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8.xml" ContentType="application/vnd.openxmlformats-officedocument.drawing+xml"/>
  <Override PartName="/xl/slicers/slicer1.xml" ContentType="application/vnd.ms-excel.slicer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tables/table1.xml" ContentType="application/vnd.openxmlformats-officedocument.spreadsheetml.table+xml"/>
  <Override PartName="/xl/drawings/drawing10.xml" ContentType="application/vnd.openxmlformats-officedocument.drawing+xml"/>
  <Override PartName="/xl/ctrlProps/ctrlProp23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6.xml" ContentType="application/vnd.openxmlformats-officedocument.drawing+xml"/>
  <Override PartName="/xl/comments1.xml" ContentType="application/vnd.openxmlformats-officedocument.spreadsheetml.comments+xml"/>
  <Override PartName="/xl/drawings/drawing17.xml" ContentType="application/vnd.openxmlformats-officedocument.drawing+xml"/>
  <Override PartName="/xl/ctrlProps/ctrlProp2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8.xml" ContentType="application/vnd.openxmlformats-officedocument.drawing+xml"/>
  <Override PartName="/xl/ctrlProps/ctrlProp28.xml" ContentType="application/vnd.ms-excel.controlproperties+xml"/>
  <Override PartName="/xl/drawings/drawing19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richData/rdRichValueTypes.xml" ContentType="application/vnd.ms-excel.rdrichvaluetypes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5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lavi\Nova pasta\vba_pfdr\PFDR (V2.9)\"/>
    </mc:Choice>
  </mc:AlternateContent>
  <xr:revisionPtr revIDLastSave="0" documentId="13_ncr:1_{EB39B794-B947-4C73-89EF-8B649A64E5AC}" xr6:coauthVersionLast="36" xr6:coauthVersionMax="47" xr10:uidLastSave="{00000000-0000-0000-0000-000000000000}"/>
  <bookViews>
    <workbookView showSheetTabs="0" xWindow="-120" yWindow="-120" windowWidth="20730" windowHeight="11760" tabRatio="876" activeTab="1" xr2:uid="{00000000-000D-0000-FFFF-FFFF00000000}"/>
  </bookViews>
  <sheets>
    <sheet name="Capa" sheetId="39" r:id="rId1"/>
    <sheet name="Home" sheetId="22" r:id="rId2"/>
    <sheet name="PBmic" sheetId="21" state="veryHidden" r:id="rId3"/>
    <sheet name="Nutrientes" sheetId="8" state="veryHidden" r:id="rId4"/>
    <sheet name="Calc.Exg" sheetId="20" state="veryHidden" r:id="rId5"/>
    <sheet name="Minerais" sheetId="33" r:id="rId6"/>
    <sheet name="BC" sheetId="27" r:id="rId7"/>
    <sheet name="BL" sheetId="40" r:id="rId8"/>
    <sheet name="OC" sheetId="36" r:id="rId9"/>
    <sheet name="Base.BC" sheetId="31" state="veryHidden" r:id="rId10"/>
    <sheet name="Base.OC" sheetId="35" state="veryHidden" r:id="rId11"/>
    <sheet name="Base.BL" sheetId="34" state="veryHidden" r:id="rId12"/>
    <sheet name="Alimentos" sheetId="4" r:id="rId13"/>
    <sheet name="Exigência" sheetId="2" r:id="rId14"/>
    <sheet name="Clientes" sheetId="24" r:id="rId15"/>
    <sheet name="Controle Serviço" sheetId="29" r:id="rId16"/>
    <sheet name="Apoio Mineral" sheetId="18" r:id="rId17"/>
    <sheet name="Proteinado" sheetId="37" r:id="rId18"/>
    <sheet name="Calcular Dieta" sheetId="3" r:id="rId19"/>
    <sheet name="Atendimento" sheetId="10" r:id="rId20"/>
    <sheet name="Ficha Mistura" sheetId="5" r:id="rId21"/>
    <sheet name="Batida" sheetId="23" r:id="rId22"/>
    <sheet name="Apoio_Gráf" sheetId="11" state="veryHidden" r:id="rId23"/>
    <sheet name="Relatório Financeiro" sheetId="26" r:id="rId24"/>
    <sheet name="Config2" sheetId="25" r:id="rId25"/>
    <sheet name="Config" sheetId="38" r:id="rId26"/>
    <sheet name="MPR" sheetId="6" r:id="rId27"/>
  </sheets>
  <functionGroups builtInGroupCount="19">
    <functionGroup name="Commands"/>
  </functionGroups>
  <definedNames>
    <definedName name="_xlnm._FilterDatabase" localSheetId="12" hidden="1">Alimentos!$A$4:$AZ$310</definedName>
    <definedName name="_xlnm._FilterDatabase" localSheetId="19" hidden="1">Atendimento!$B$6:$J$51</definedName>
    <definedName name="_xlnm._FilterDatabase" localSheetId="24" hidden="1">Config2!$C$18:$D$18</definedName>
    <definedName name="_xlnm._FilterDatabase" localSheetId="13" hidden="1">Exigência!$B$4:$AZ$54</definedName>
    <definedName name="_xlnm._FilterDatabase" localSheetId="17" hidden="1">Proteinado!$B$11:$G$11</definedName>
    <definedName name="_xlnm.Print_Area" localSheetId="19">Atendimento!$A$1:K$123</definedName>
    <definedName name="_xlnm.Print_Area" localSheetId="21">Batida!$B$1:$J$56</definedName>
    <definedName name="_xlnm.Print_Area" localSheetId="6">BC!$B$12:$H$74</definedName>
    <definedName name="_xlnm.Print_Area" localSheetId="7">BL!$B$12:$H$74</definedName>
    <definedName name="_xlnm.Print_Area" localSheetId="8">OC!$B$12:$H$74</definedName>
    <definedName name="_xlnm.Print_Area" localSheetId="17">Proteinado!$B$43:$G$143</definedName>
    <definedName name="_xlnm.Print_Area" localSheetId="23">'Relatório Financeiro'!$B$2:$H$56</definedName>
    <definedName name="Atendimento">'Calcular Dieta'!$I$40:$BB$40</definedName>
    <definedName name="Cálcio">'Calcular Dieta'!$X$40</definedName>
    <definedName name="CaPMax">'Calcular Dieta'!$BE$42</definedName>
    <definedName name="CaPMin">'Calcular Dieta'!$BE$41</definedName>
    <definedName name="Clientes">Clientes!$C$6:INDEX(Clientes!$C$6:$C$205,COUNTIF(Clientes!$C$6:$C$205,"&lt;&gt;"&amp;""))</definedName>
    <definedName name="Co">Base.BC!$K$207</definedName>
    <definedName name="Cobre">Base.BC!$K$208</definedName>
    <definedName name="CONCENTRADO.DIETA">'Calcular Dieta'!$BB$40</definedName>
    <definedName name="ConsumoPV" localSheetId="26">MPR!$C$122:INDEX(MPR!$C$122:$C$124,COUNTIF(MPR!$C$122:$C$124,"&lt;&gt;"&amp;"-"))</definedName>
    <definedName name="ConsumoPV1" localSheetId="26">MPR!$B$122:INDEX(MPR!$B$122:$B$124,COUNTIF(MPR!$B$122:$B$124,"&lt;&gt;"&amp;"-"))</definedName>
    <definedName name="ConsumoPV1" comment="=MPR!$B$122:ÍNDICE(MPR!$B$122:$B$124;CONT.SE(MPR!$B$122:$B$124;&quot;&lt;&gt;&quot;&amp;&quot;-&quot;))" localSheetId="17">MPR!$B$122:INDEX(MPR!$B$122:$B$124,COUNTIF(MPR!$B$122:$B$124,"&lt;&gt;"&amp;"-"))</definedName>
    <definedName name="Custo_Ração">'Calcular Dieta'!$A$2</definedName>
    <definedName name="Exigencia.Vacas">Base.BL!$F$18:INDEX(Base.BL!$F$18:$F$51,COUNTIF(Base.BL!$F$18:$F$51,"&lt;&gt;"&amp;""))</definedName>
    <definedName name="Exigência_Máx">'Calcular Dieta'!$I$41:$BB$41</definedName>
    <definedName name="Exigência_Mín">'Calcular Dieta'!$I$39:$BB$39</definedName>
    <definedName name="Ferro">Base.BC!$K$210</definedName>
    <definedName name="Filtrar.Alimento">Alimentos!$BF$5:INDEX(Alimentos!$BF$5:$BF$310,COUNTIF(Alimentos!$BF$5:$BF$310,"&lt;&gt;"&amp;"-"))</definedName>
    <definedName name="Fósforo">'Calcular Dieta'!$Y$40</definedName>
    <definedName name="GMD">'Calc.Exg'!$C$30</definedName>
    <definedName name="GMD.2">Base.BC!$D$10</definedName>
    <definedName name="GPCVZ">'Calc.Exg'!$I$11</definedName>
    <definedName name="Grupo_Alimento">MPR!$U$5:INDEX(MPR!$U$5:$U$19,COUNTIF(MPR!$U$5:$U$19,"&lt;&gt;"&amp;""))</definedName>
    <definedName name="GrupoAlimentos">MPR!$U$5:$U$15</definedName>
    <definedName name="Impressao.BRC" localSheetId="7">BL!$B$12:$H$60</definedName>
    <definedName name="Impressao.BRC" localSheetId="8">OC!$B$12:$H$60</definedName>
    <definedName name="Impressao.BRC">BC!$B$12:$H$60</definedName>
    <definedName name="Inclusão_Máx_Ingrediente">'Calcular Dieta'!$E$9:$E$33</definedName>
    <definedName name="Inclusão_Mín_Ingrediente.">'Calcular Dieta'!$D$9:$D$33</definedName>
    <definedName name="Iodo">Base.BC!$K$209</definedName>
    <definedName name="Mang">Base.BC!$K$211</definedName>
    <definedName name="Máx.Relação.Volumoso_Concentrado">'Calcular Dieta'!$BK$40:$BK$41</definedName>
    <definedName name="Mín.Relação.Volumoso_Concentrado">'Calcular Dieta'!$BJ$40:$BJ$41</definedName>
    <definedName name="Mistura_dos_Ingredientes">'Calcular Dieta'!$C$9:$C$33</definedName>
    <definedName name="NC">Base.BC!$J$188</definedName>
    <definedName name="NDT">'Calcular Dieta'!$N$40</definedName>
    <definedName name="NDT.DIETA">'Calcular Dieta'!$N$40</definedName>
    <definedName name="PB.DIETA">'Calcular Dieta'!$S$40</definedName>
    <definedName name="PC" localSheetId="6">BC!$C$36</definedName>
    <definedName name="PC" localSheetId="7">BL!$C$36</definedName>
    <definedName name="PC" localSheetId="4">'Calc.Exg'!$C$29</definedName>
    <definedName name="PC" localSheetId="8">OC!$C$36</definedName>
    <definedName name="PC.2">Base.BC!$D$7</definedName>
    <definedName name="PCVZ" localSheetId="6">BC!$L$18</definedName>
    <definedName name="PCVZ" localSheetId="7">BL!$L$18</definedName>
    <definedName name="PCVZ" localSheetId="4">'Calc.Exg'!$I$10</definedName>
    <definedName name="PCVZ" localSheetId="8">OC!$L$18</definedName>
    <definedName name="PCVZeq" localSheetId="4">'Calc.Exg'!$I$12</definedName>
    <definedName name="Preço_Cadastrado">'Calcular Dieta'!$G$9:$G$33</definedName>
    <definedName name="PrLeite">Base.BC!$AK$167</definedName>
    <definedName name="Profissão">Config2!$D$6</definedName>
    <definedName name="Relação.Volumoso.Concentrado">'Calcular Dieta'!$BI$40:$BI$41</definedName>
    <definedName name="RGProfissional">Config2!$E$6</definedName>
    <definedName name="SegmentaçãodeDados_Categoria">#N/A</definedName>
    <definedName name="SegmentaçãodeDados_Fase">#N/A</definedName>
    <definedName name="SegmentaçãodeDados_Feto_Filho">#N/A</definedName>
    <definedName name="SegmentaçãodeDados_GMD_g">#N/A</definedName>
    <definedName name="SegmentaçãodeDados_PV_kg">#N/A</definedName>
    <definedName name="SegmentaçãodeDados_Referência">#N/A</definedName>
    <definedName name="Sel.Exigência" comment="=Exigência!$B$3:ÍNDICE(Exigência!$B$3:$B$52;CONT.SE(Exigência!$B$3:$B$52;&quot;&lt;&gt;&quot;&amp;&quot;&quot;))">MPR!$F$61:INDEX(MPR!$F$61:$F$110,COUNTIF(MPR!$F$61:$F$110,"&lt;&gt;"&amp;"-"))</definedName>
    <definedName name="Selen">Base.BC!$K$212</definedName>
    <definedName name="SL">Base.BC!$D$9</definedName>
    <definedName name="solver_adj" localSheetId="18" hidden="1">'Calcular Dieta'!$C$9:$C$33</definedName>
    <definedName name="solver_adj" localSheetId="24" hidden="1">Config2!$C$9:$C$37</definedName>
    <definedName name="solver_adj" localSheetId="1" hidden="1">Home!$C$9:$C$33</definedName>
    <definedName name="solver_adj" localSheetId="26" hidden="1">MPR!$C$11:$C$29</definedName>
    <definedName name="solver_adj" localSheetId="17" hidden="1">Proteinado!$C$12:$C$30</definedName>
    <definedName name="solver_cvg" localSheetId="18" hidden="1">0.0001</definedName>
    <definedName name="solver_cvg" localSheetId="20" hidden="1">0.0001</definedName>
    <definedName name="solver_cvg" localSheetId="17" hidden="1">0.0001</definedName>
    <definedName name="solver_drv" localSheetId="18" hidden="1">1</definedName>
    <definedName name="solver_drv" localSheetId="20" hidden="1">1</definedName>
    <definedName name="solver_drv" localSheetId="17" hidden="1">1</definedName>
    <definedName name="solver_eng" localSheetId="16" hidden="1">1</definedName>
    <definedName name="solver_eng" localSheetId="19" hidden="1">1</definedName>
    <definedName name="solver_eng" localSheetId="18" hidden="1">1</definedName>
    <definedName name="solver_eng" localSheetId="24" hidden="1">1</definedName>
    <definedName name="solver_eng" localSheetId="13" hidden="1">1</definedName>
    <definedName name="solver_eng" localSheetId="20" hidden="1">2</definedName>
    <definedName name="solver_eng" localSheetId="1" hidden="1">1</definedName>
    <definedName name="solver_eng" localSheetId="26" hidden="1">2</definedName>
    <definedName name="solver_eng" localSheetId="17" hidden="1">2</definedName>
    <definedName name="solver_est" localSheetId="18" hidden="1">1</definedName>
    <definedName name="solver_est" localSheetId="20" hidden="1">1</definedName>
    <definedName name="solver_est" localSheetId="17" hidden="1">1</definedName>
    <definedName name="solver_itr" localSheetId="18" hidden="1">2147483647</definedName>
    <definedName name="solver_itr" localSheetId="20" hidden="1">2147483647</definedName>
    <definedName name="solver_itr" localSheetId="17" hidden="1">2147483647</definedName>
    <definedName name="solver_lhs0" localSheetId="18" hidden="1">'Calcular Dieta'!$BI$40:$BI$41</definedName>
    <definedName name="solver_lhs1" localSheetId="18" hidden="1">'Calcular Dieta'!$BE$40</definedName>
    <definedName name="solver_lhs1" localSheetId="24" hidden="1">Config2!$BF$44</definedName>
    <definedName name="solver_lhs1" localSheetId="1" hidden="1">Home!$C$9:$C$33</definedName>
    <definedName name="solver_lhs1" localSheetId="26" hidden="1">MPR!$C$11:$C$29</definedName>
    <definedName name="solver_lhs1" localSheetId="17" hidden="1">Proteinado!$C$12:$C$30</definedName>
    <definedName name="solver_lhs2" localSheetId="18" hidden="1">'Calcular Dieta'!$BE$40</definedName>
    <definedName name="solver_lhs2" localSheetId="24" hidden="1">Config2!$BF$44</definedName>
    <definedName name="solver_lhs2" localSheetId="1" hidden="1">Home!$C$9:$C$33</definedName>
    <definedName name="solver_lhs2" localSheetId="26" hidden="1">MPR!$C$11:$C$29</definedName>
    <definedName name="solver_lhs2" localSheetId="17" hidden="1">Proteinado!$C$12:$C$30</definedName>
    <definedName name="solver_lhs3" localSheetId="18" hidden="1">'Calcular Dieta'!$C$9:$C$33</definedName>
    <definedName name="solver_lhs3" localSheetId="24" hidden="1">Config2!$C$9:$C$37</definedName>
    <definedName name="solver_lhs3" localSheetId="1" hidden="1">Home!$BI$40:$BI$41</definedName>
    <definedName name="solver_lhs3" localSheetId="26" hidden="1">MPR!$N$31</definedName>
    <definedName name="solver_lhs3" localSheetId="17" hidden="1">Proteinado!$I$32:$AY$32</definedName>
    <definedName name="solver_lhs4" localSheetId="18" hidden="1">'Calcular Dieta'!$C$9:$C$33</definedName>
    <definedName name="solver_lhs4" localSheetId="24" hidden="1">Config2!$C$9:$C$37</definedName>
    <definedName name="solver_lhs4" localSheetId="1" hidden="1">Home!$BI$40:$BI$41</definedName>
    <definedName name="solver_lhs4" localSheetId="26" hidden="1">MPR!$C$72</definedName>
    <definedName name="solver_lhs4" localSheetId="17" hidden="1">Proteinado!$I$32:$AY$32</definedName>
    <definedName name="solver_lhs5" localSheetId="18" hidden="1">'Calcular Dieta'!$BI$40:$BI$41</definedName>
    <definedName name="solver_lhs5" localSheetId="24" hidden="1">Config2!$BJ$44:$BJ$45</definedName>
    <definedName name="solver_lhs5" localSheetId="1" hidden="1">Home!$I$40:$BB$40</definedName>
    <definedName name="solver_lhs5" localSheetId="17" hidden="1">Proteinado!$C$80</definedName>
    <definedName name="solver_lhs6" localSheetId="18" hidden="1">'Calcular Dieta'!$BI$40:$BI$41</definedName>
    <definedName name="solver_lhs6" localSheetId="24" hidden="1">Config2!$BJ$44:$BJ$45</definedName>
    <definedName name="solver_lhs6" localSheetId="1" hidden="1">Home!$I$40:$BB$40</definedName>
    <definedName name="solver_lhs6" localSheetId="17" hidden="1">Proteinado!$C$81</definedName>
    <definedName name="solver_lhs7" localSheetId="18" hidden="1">'Calcular Dieta'!$I$40:$BB$40</definedName>
    <definedName name="solver_lhs7" localSheetId="24" hidden="1">Config2!$J$44:$BC$44</definedName>
    <definedName name="solver_lhs7" localSheetId="17" hidden="1">Proteinado!$C$32</definedName>
    <definedName name="solver_lhs8" localSheetId="18" hidden="1">'Calcular Dieta'!$I$40:$BB$40</definedName>
    <definedName name="solver_lhs8" localSheetId="24" hidden="1">Config2!$J$44:$BC$44</definedName>
    <definedName name="solver_mip" localSheetId="18" hidden="1">2147483647</definedName>
    <definedName name="solver_mip" localSheetId="20" hidden="1">2147483647</definedName>
    <definedName name="solver_mip" localSheetId="17" hidden="1">2147483647</definedName>
    <definedName name="solver_mni" localSheetId="18" hidden="1">30</definedName>
    <definedName name="solver_mni" localSheetId="20" hidden="1">30</definedName>
    <definedName name="solver_mni" localSheetId="17" hidden="1">30</definedName>
    <definedName name="solver_mrt" localSheetId="18" hidden="1">0.075</definedName>
    <definedName name="solver_mrt" localSheetId="20" hidden="1">0.075</definedName>
    <definedName name="solver_mrt" localSheetId="17" hidden="1">0.075</definedName>
    <definedName name="solver_msl" localSheetId="18" hidden="1">2</definedName>
    <definedName name="solver_msl" localSheetId="20" hidden="1">2</definedName>
    <definedName name="solver_msl" localSheetId="17" hidden="1">2</definedName>
    <definedName name="solver_neg" localSheetId="16" hidden="1">1</definedName>
    <definedName name="solver_neg" localSheetId="19" hidden="1">1</definedName>
    <definedName name="solver_neg" localSheetId="18" hidden="1">1</definedName>
    <definedName name="solver_neg" localSheetId="24" hidden="1">1</definedName>
    <definedName name="solver_neg" localSheetId="13" hidden="1">1</definedName>
    <definedName name="solver_neg" localSheetId="20" hidden="1">1</definedName>
    <definedName name="solver_neg" localSheetId="1" hidden="1">1</definedName>
    <definedName name="solver_neg" localSheetId="26" hidden="1">1</definedName>
    <definedName name="solver_neg" localSheetId="17" hidden="1">1</definedName>
    <definedName name="solver_nod" localSheetId="18" hidden="1">2147483647</definedName>
    <definedName name="solver_nod" localSheetId="20" hidden="1">2147483647</definedName>
    <definedName name="solver_nod" localSheetId="17" hidden="1">2147483647</definedName>
    <definedName name="solver_num" localSheetId="16" hidden="1">0</definedName>
    <definedName name="solver_num" localSheetId="19" hidden="1">0</definedName>
    <definedName name="solver_num" localSheetId="18" hidden="1">8</definedName>
    <definedName name="solver_num" localSheetId="24" hidden="1">8</definedName>
    <definedName name="solver_num" localSheetId="13" hidden="1">0</definedName>
    <definedName name="solver_num" localSheetId="20" hidden="1">0</definedName>
    <definedName name="solver_num" localSheetId="1" hidden="1">6</definedName>
    <definedName name="solver_num" localSheetId="26" hidden="1">4</definedName>
    <definedName name="solver_num" localSheetId="17" hidden="1">7</definedName>
    <definedName name="solver_nwt" localSheetId="18" hidden="1">1</definedName>
    <definedName name="solver_nwt" localSheetId="20" hidden="1">1</definedName>
    <definedName name="solver_nwt" localSheetId="17" hidden="1">1</definedName>
    <definedName name="solver_opt" localSheetId="16" hidden="1">'Apoio Mineral'!#REF!</definedName>
    <definedName name="solver_opt" localSheetId="19" hidden="1">Atendimento!$O$11</definedName>
    <definedName name="solver_opt" localSheetId="18" hidden="1">'Calcular Dieta'!$BG$34</definedName>
    <definedName name="solver_opt" localSheetId="24" hidden="1">Config2!$BH$38</definedName>
    <definedName name="solver_opt" localSheetId="13" hidden="1">Exigência!$AT$7</definedName>
    <definedName name="solver_opt" localSheetId="20" hidden="1">'Ficha Mistura'!#REF!</definedName>
    <definedName name="solver_opt" localSheetId="1" hidden="1">Home!$BG$34</definedName>
    <definedName name="solver_opt" localSheetId="26" hidden="1">MPR!$M$31</definedName>
    <definedName name="solver_opt" localSheetId="17" hidden="1">Proteinado!$A$7</definedName>
    <definedName name="solver_pre" localSheetId="18" hidden="1">0.000001</definedName>
    <definedName name="solver_pre" localSheetId="20" hidden="1">0.000001</definedName>
    <definedName name="solver_pre" localSheetId="17" hidden="1">0.000001</definedName>
    <definedName name="solver_rbv" localSheetId="18" hidden="1">1</definedName>
    <definedName name="solver_rbv" localSheetId="20" hidden="1">1</definedName>
    <definedName name="solver_rbv" localSheetId="17" hidden="1">1</definedName>
    <definedName name="solver_rel0" localSheetId="18" hidden="1">3</definedName>
    <definedName name="solver_rel1" localSheetId="18" hidden="1">1</definedName>
    <definedName name="solver_rel1" localSheetId="24" hidden="1">1</definedName>
    <definedName name="solver_rel1" localSheetId="1" hidden="1">3</definedName>
    <definedName name="solver_rel1" localSheetId="26" hidden="1">3</definedName>
    <definedName name="solver_rel1" localSheetId="17" hidden="1">1</definedName>
    <definedName name="solver_rel2" localSheetId="18" hidden="1">3</definedName>
    <definedName name="solver_rel2" localSheetId="24" hidden="1">3</definedName>
    <definedName name="solver_rel2" localSheetId="1" hidden="1">1</definedName>
    <definedName name="solver_rel2" localSheetId="26" hidden="1">1</definedName>
    <definedName name="solver_rel2" localSheetId="17" hidden="1">3</definedName>
    <definedName name="solver_rel3" localSheetId="18" hidden="1">3</definedName>
    <definedName name="solver_rel3" localSheetId="24" hidden="1">3</definedName>
    <definedName name="solver_rel3" localSheetId="1" hidden="1">3</definedName>
    <definedName name="solver_rel3" localSheetId="26" hidden="1">2</definedName>
    <definedName name="solver_rel3" localSheetId="17" hidden="1">1</definedName>
    <definedName name="solver_rel4" localSheetId="18" hidden="1">1</definedName>
    <definedName name="solver_rel4" localSheetId="24" hidden="1">1</definedName>
    <definedName name="solver_rel4" localSheetId="1" hidden="1">1</definedName>
    <definedName name="solver_rel4" localSheetId="26" hidden="1">3</definedName>
    <definedName name="solver_rel4" localSheetId="17" hidden="1">3</definedName>
    <definedName name="solver_rel5" localSheetId="18" hidden="1">3</definedName>
    <definedName name="solver_rel5" localSheetId="24" hidden="1">3</definedName>
    <definedName name="solver_rel5" localSheetId="1" hidden="1">3</definedName>
    <definedName name="solver_rel5" localSheetId="17" hidden="1">1</definedName>
    <definedName name="solver_rel6" localSheetId="18" hidden="1">1</definedName>
    <definedName name="solver_rel6" localSheetId="24" hidden="1">1</definedName>
    <definedName name="solver_rel6" localSheetId="1" hidden="1">1</definedName>
    <definedName name="solver_rel6" localSheetId="17" hidden="1">2</definedName>
    <definedName name="solver_rel7" localSheetId="18" hidden="1">3</definedName>
    <definedName name="solver_rel7" localSheetId="24" hidden="1">3</definedName>
    <definedName name="solver_rel7" localSheetId="17" hidden="1">2</definedName>
    <definedName name="solver_rel8" localSheetId="18" hidden="1">1</definedName>
    <definedName name="solver_rel8" localSheetId="24" hidden="1">1</definedName>
    <definedName name="solver_rhs0" localSheetId="18" hidden="1">Mín.Relação.Volumoso_Concentrado</definedName>
    <definedName name="solver_rhs1" localSheetId="18" hidden="1">CaPMax</definedName>
    <definedName name="solver_rhs1" localSheetId="24" hidden="1">CaPMax</definedName>
    <definedName name="solver_rhs1" localSheetId="1" hidden="1">Inclusão_Mín_Ingrediente.</definedName>
    <definedName name="solver_rhs1" localSheetId="26" hidden="1">MPR!$D$11:$D$29</definedName>
    <definedName name="solver_rhs1" localSheetId="17" hidden="1">Proteinado!$E$12:$E$30</definedName>
    <definedName name="solver_rhs2" localSheetId="18" hidden="1">CaPMin</definedName>
    <definedName name="solver_rhs2" localSheetId="24" hidden="1">CaPMin</definedName>
    <definedName name="solver_rhs2" localSheetId="1" hidden="1">Inclusão_Máx_Ingrediente</definedName>
    <definedName name="solver_rhs2" localSheetId="26" hidden="1">MPR!$E$11:$E$29</definedName>
    <definedName name="solver_rhs2" localSheetId="17" hidden="1">Proteinado!$D$12:$D$30</definedName>
    <definedName name="solver_rhs3" localSheetId="18" hidden="1">Inclusão_Mín_Ingrediente.</definedName>
    <definedName name="solver_rhs3" localSheetId="24" hidden="1">Inclusão_Mín_Ingrediente.</definedName>
    <definedName name="solver_rhs3" localSheetId="1" hidden="1">Mín.Relação.Volumoso_Concentrado</definedName>
    <definedName name="solver_rhs3" localSheetId="26" hidden="1">MPR!$C$3</definedName>
    <definedName name="solver_rhs3" localSheetId="17" hidden="1">Proteinado!$I$34:$AY$34</definedName>
    <definedName name="solver_rhs4" localSheetId="18" hidden="1">Inclusão_Máx_Ingrediente</definedName>
    <definedName name="solver_rhs4" localSheetId="24" hidden="1">Inclusão_Máx_Ingrediente</definedName>
    <definedName name="solver_rhs4" localSheetId="1" hidden="1">Máx.Relação.Volumoso_Concentrado</definedName>
    <definedName name="solver_rhs4" localSheetId="26" hidden="1">MPR!$J$31</definedName>
    <definedName name="solver_rhs4" localSheetId="17" hidden="1">Proteinado!$I$33:$AY$33</definedName>
    <definedName name="solver_rhs5" localSheetId="18" hidden="1">Mín.Relação.Volumoso_Concentrado</definedName>
    <definedName name="solver_rhs5" localSheetId="24" hidden="1">Mín.Relação.Volumoso_Concentrado</definedName>
    <definedName name="solver_rhs5" localSheetId="1" hidden="1">Exigência_Mín</definedName>
    <definedName name="solver_rhs5" localSheetId="17" hidden="1">Proteinado!$D$80</definedName>
    <definedName name="solver_rhs6" localSheetId="18" hidden="1">Máx.Relação.Volumoso_Concentrado</definedName>
    <definedName name="solver_rhs6" localSheetId="24" hidden="1">Máx.Relação.Volumoso_Concentrado</definedName>
    <definedName name="solver_rhs6" localSheetId="1" hidden="1">Exigência_Máx</definedName>
    <definedName name="solver_rhs6" localSheetId="17" hidden="1">Proteinado!$D$81</definedName>
    <definedName name="solver_rhs7" localSheetId="18" hidden="1">Exigência_Mín</definedName>
    <definedName name="solver_rhs7" localSheetId="24" hidden="1">Exigência_Mín</definedName>
    <definedName name="solver_rhs7" localSheetId="17" hidden="1">1</definedName>
    <definedName name="solver_rhs8" localSheetId="18" hidden="1">Exigência_Máx</definedName>
    <definedName name="solver_rhs8" localSheetId="24" hidden="1">Exigência_Máx</definedName>
    <definedName name="solver_rlx" localSheetId="18" hidden="1">2</definedName>
    <definedName name="solver_rlx" localSheetId="20" hidden="1">2</definedName>
    <definedName name="solver_rlx" localSheetId="17" hidden="1">2</definedName>
    <definedName name="solver_rsd" localSheetId="18" hidden="1">0</definedName>
    <definedName name="solver_rsd" localSheetId="20" hidden="1">0</definedName>
    <definedName name="solver_rsd" localSheetId="17" hidden="1">0</definedName>
    <definedName name="solver_scl" localSheetId="18" hidden="1">1</definedName>
    <definedName name="solver_scl" localSheetId="20" hidden="1">1</definedName>
    <definedName name="solver_scl" localSheetId="17" hidden="1">1</definedName>
    <definedName name="solver_sho" localSheetId="18" hidden="1">2</definedName>
    <definedName name="solver_sho" localSheetId="20" hidden="1">2</definedName>
    <definedName name="solver_sho" localSheetId="17" hidden="1">2</definedName>
    <definedName name="solver_ssz" localSheetId="18" hidden="1">100</definedName>
    <definedName name="solver_ssz" localSheetId="20" hidden="1">100</definedName>
    <definedName name="solver_ssz" localSheetId="17" hidden="1">100</definedName>
    <definedName name="solver_tim" localSheetId="18" hidden="1">2147483647</definedName>
    <definedName name="solver_tim" localSheetId="20" hidden="1">2147483647</definedName>
    <definedName name="solver_tim" localSheetId="17" hidden="1">2147483647</definedName>
    <definedName name="solver_tol" localSheetId="18" hidden="1">0.01</definedName>
    <definedName name="solver_tol" localSheetId="20" hidden="1">0.01</definedName>
    <definedName name="solver_tol" localSheetId="17" hidden="1">0.01</definedName>
    <definedName name="solver_typ" localSheetId="16" hidden="1">1</definedName>
    <definedName name="solver_typ" localSheetId="19" hidden="1">1</definedName>
    <definedName name="solver_typ" localSheetId="18" hidden="1">2</definedName>
    <definedName name="solver_typ" localSheetId="24" hidden="1">2</definedName>
    <definedName name="solver_typ" localSheetId="13" hidden="1">1</definedName>
    <definedName name="solver_typ" localSheetId="20" hidden="1">1</definedName>
    <definedName name="solver_typ" localSheetId="1" hidden="1">2</definedName>
    <definedName name="solver_typ" localSheetId="26" hidden="1">2</definedName>
    <definedName name="solver_typ" localSheetId="17" hidden="1">2</definedName>
    <definedName name="solver_val" localSheetId="16" hidden="1">0</definedName>
    <definedName name="solver_val" localSheetId="19" hidden="1">0</definedName>
    <definedName name="solver_val" localSheetId="18" hidden="1">0</definedName>
    <definedName name="solver_val" localSheetId="24" hidden="1">0</definedName>
    <definedName name="solver_val" localSheetId="13" hidden="1">0</definedName>
    <definedName name="solver_val" localSheetId="20" hidden="1">0</definedName>
    <definedName name="solver_val" localSheetId="1" hidden="1">0</definedName>
    <definedName name="solver_val" localSheetId="26" hidden="1">0</definedName>
    <definedName name="solver_val" localSheetId="17" hidden="1">0</definedName>
    <definedName name="solver_ver" localSheetId="16" hidden="1">3</definedName>
    <definedName name="solver_ver" localSheetId="19" hidden="1">3</definedName>
    <definedName name="solver_ver" localSheetId="18" hidden="1">3</definedName>
    <definedName name="solver_ver" localSheetId="24" hidden="1">3</definedName>
    <definedName name="solver_ver" localSheetId="13" hidden="1">3</definedName>
    <definedName name="solver_ver" localSheetId="20" hidden="1">3</definedName>
    <definedName name="solver_ver" localSheetId="1" hidden="1">3</definedName>
    <definedName name="solver_ver" localSheetId="26" hidden="1">3</definedName>
    <definedName name="solver_ver" localSheetId="17" hidden="1">3</definedName>
    <definedName name="_xlnm.Print_Titles" localSheetId="19">Atendimento!$2:$4</definedName>
    <definedName name="_xlnm.Print_Titles" localSheetId="6">BC!$12:$14</definedName>
    <definedName name="_xlnm.Print_Titles" localSheetId="7">BL!$12:$14</definedName>
    <definedName name="_xlnm.Print_Titles" localSheetId="20">'Ficha Mistura'!$1:$6</definedName>
    <definedName name="_xlnm.Print_Titles" localSheetId="8">OC!$12:$14</definedName>
    <definedName name="Total.MN">'Calcular Dieta'!$BE$34</definedName>
    <definedName name="Total.MS">'Calcular Dieta'!$BI$34</definedName>
    <definedName name="Usuário">Config2!$C$6</definedName>
    <definedName name="Valor.KG.Proteinado">Proteinado!$BB$32</definedName>
    <definedName name="Zinco">Base.BC!$K$213</definedName>
    <definedName name="Zoom.Tela.Inicial">Home!$A$1:$S$33</definedName>
  </definedNames>
  <calcPr calcId="191029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8"/>
        <x14:slicerCache r:id="rId29"/>
        <x14:slicerCache r:id="rId30"/>
        <x14:slicerCache r:id="rId31"/>
        <x14:slicerCache r:id="rId32"/>
        <x14:slicerCache r:id="rId33"/>
      </x15:slicerCaches>
    </ext>
  </extLst>
</workbook>
</file>

<file path=xl/calcChain.xml><?xml version="1.0" encoding="utf-8"?>
<calcChain xmlns="http://schemas.openxmlformats.org/spreadsheetml/2006/main">
  <c r="D26" i="25" l="1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W12" i="2" l="1"/>
  <c r="X12" i="2"/>
  <c r="Y12" i="2"/>
  <c r="Z12" i="2"/>
  <c r="AA12" i="2"/>
  <c r="AB12" i="2"/>
  <c r="AC12" i="2"/>
  <c r="AD12" i="2"/>
  <c r="AE12" i="2"/>
  <c r="AF12" i="2"/>
  <c r="AG12" i="2"/>
  <c r="AH12" i="2"/>
  <c r="V12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B9" i="2"/>
  <c r="AB10" i="2"/>
  <c r="V9" i="2"/>
  <c r="W9" i="2"/>
  <c r="X9" i="2"/>
  <c r="Y9" i="2"/>
  <c r="Z9" i="2"/>
  <c r="AA9" i="2"/>
  <c r="V10" i="2"/>
  <c r="W10" i="2"/>
  <c r="X10" i="2"/>
  <c r="Y10" i="2"/>
  <c r="Z10" i="2"/>
  <c r="AA10" i="2"/>
  <c r="D25" i="18"/>
  <c r="S50" i="37"/>
  <c r="T50" i="37" s="1"/>
  <c r="S51" i="37"/>
  <c r="T51" i="37" s="1"/>
  <c r="Q49" i="37"/>
  <c r="R34" i="37"/>
  <c r="B12" i="10"/>
  <c r="S49" i="37" l="1"/>
  <c r="T49" i="37" s="1"/>
  <c r="B17" i="40"/>
  <c r="B21" i="40"/>
  <c r="Q52" i="37"/>
  <c r="Q51" i="37"/>
  <c r="Q50" i="37"/>
  <c r="Q48" i="37"/>
  <c r="B43" i="37"/>
  <c r="V34" i="37"/>
  <c r="Z34" i="37"/>
  <c r="X34" i="37"/>
  <c r="W34" i="37"/>
  <c r="A114" i="6"/>
  <c r="B123" i="6" s="1"/>
  <c r="B121" i="6"/>
  <c r="BE14" i="37"/>
  <c r="AD12" i="37"/>
  <c r="AE12" i="37"/>
  <c r="AF12" i="37"/>
  <c r="AG12" i="37"/>
  <c r="AH12" i="37"/>
  <c r="AI12" i="37"/>
  <c r="AJ12" i="37"/>
  <c r="AK12" i="37"/>
  <c r="AL12" i="37"/>
  <c r="AM12" i="37"/>
  <c r="AN12" i="37"/>
  <c r="AO12" i="37"/>
  <c r="AP12" i="37"/>
  <c r="AQ12" i="37"/>
  <c r="AR12" i="37"/>
  <c r="AS12" i="37"/>
  <c r="AT12" i="37"/>
  <c r="AU12" i="37"/>
  <c r="AV12" i="37"/>
  <c r="AW12" i="37"/>
  <c r="AX12" i="37"/>
  <c r="AY12" i="37"/>
  <c r="AD13" i="37"/>
  <c r="AE13" i="37"/>
  <c r="AF13" i="37"/>
  <c r="AG13" i="37"/>
  <c r="AH13" i="37"/>
  <c r="AI13" i="37"/>
  <c r="AJ13" i="37"/>
  <c r="AK13" i="37"/>
  <c r="AL13" i="37"/>
  <c r="AM13" i="37"/>
  <c r="AN13" i="37"/>
  <c r="AO13" i="37"/>
  <c r="AP13" i="37"/>
  <c r="AQ13" i="37"/>
  <c r="AR13" i="37"/>
  <c r="AS13" i="37"/>
  <c r="AT13" i="37"/>
  <c r="AU13" i="37"/>
  <c r="AV13" i="37"/>
  <c r="AW13" i="37"/>
  <c r="AX13" i="37"/>
  <c r="AY13" i="37"/>
  <c r="AD14" i="37"/>
  <c r="AE14" i="37"/>
  <c r="AF14" i="37"/>
  <c r="AG14" i="37"/>
  <c r="AH14" i="37"/>
  <c r="AI14" i="37"/>
  <c r="AJ14" i="37"/>
  <c r="AK14" i="37"/>
  <c r="AL14" i="37"/>
  <c r="AM14" i="37"/>
  <c r="AN14" i="37"/>
  <c r="AO14" i="37"/>
  <c r="AP14" i="37"/>
  <c r="AQ14" i="37"/>
  <c r="AR14" i="37"/>
  <c r="AS14" i="37"/>
  <c r="AT14" i="37"/>
  <c r="AU14" i="37"/>
  <c r="AV14" i="37"/>
  <c r="AW14" i="37"/>
  <c r="AX14" i="37"/>
  <c r="AY14" i="37"/>
  <c r="AD15" i="37"/>
  <c r="AE15" i="37"/>
  <c r="AF15" i="37"/>
  <c r="AG15" i="37"/>
  <c r="AH15" i="37"/>
  <c r="AI15" i="37"/>
  <c r="AJ15" i="37"/>
  <c r="AK15" i="37"/>
  <c r="AL15" i="37"/>
  <c r="AM15" i="37"/>
  <c r="AN15" i="37"/>
  <c r="AO15" i="37"/>
  <c r="AP15" i="37"/>
  <c r="AQ15" i="37"/>
  <c r="AR15" i="37"/>
  <c r="AS15" i="37"/>
  <c r="AT15" i="37"/>
  <c r="AU15" i="37"/>
  <c r="AV15" i="37"/>
  <c r="AW15" i="37"/>
  <c r="AX15" i="37"/>
  <c r="AY15" i="37"/>
  <c r="AD16" i="37"/>
  <c r="AE16" i="37"/>
  <c r="AF16" i="37"/>
  <c r="AG16" i="37"/>
  <c r="AH16" i="37"/>
  <c r="AI16" i="37"/>
  <c r="AJ16" i="37"/>
  <c r="AK16" i="37"/>
  <c r="AL16" i="37"/>
  <c r="AM16" i="37"/>
  <c r="AN16" i="37"/>
  <c r="AO16" i="37"/>
  <c r="AP16" i="37"/>
  <c r="AQ16" i="37"/>
  <c r="AR16" i="37"/>
  <c r="AS16" i="37"/>
  <c r="AT16" i="37"/>
  <c r="AU16" i="37"/>
  <c r="AV16" i="37"/>
  <c r="AW16" i="37"/>
  <c r="AX16" i="37"/>
  <c r="AY16" i="37"/>
  <c r="AD17" i="37"/>
  <c r="AE17" i="37"/>
  <c r="AF17" i="37"/>
  <c r="AG17" i="37"/>
  <c r="AH17" i="37"/>
  <c r="AI17" i="37"/>
  <c r="AJ17" i="37"/>
  <c r="AK17" i="37"/>
  <c r="AL17" i="37"/>
  <c r="AM17" i="37"/>
  <c r="AN17" i="37"/>
  <c r="AO17" i="37"/>
  <c r="AP17" i="37"/>
  <c r="AQ17" i="37"/>
  <c r="AR17" i="37"/>
  <c r="AS17" i="37"/>
  <c r="AT17" i="37"/>
  <c r="AU17" i="37"/>
  <c r="AV17" i="37"/>
  <c r="AW17" i="37"/>
  <c r="AX17" i="37"/>
  <c r="AY17" i="37"/>
  <c r="AD18" i="37"/>
  <c r="AE18" i="37"/>
  <c r="AF18" i="37"/>
  <c r="AG18" i="37"/>
  <c r="AH18" i="37"/>
  <c r="AI18" i="37"/>
  <c r="AJ18" i="37"/>
  <c r="AK18" i="37"/>
  <c r="AL18" i="37"/>
  <c r="AM18" i="37"/>
  <c r="AN18" i="37"/>
  <c r="AO18" i="37"/>
  <c r="AP18" i="37"/>
  <c r="AQ18" i="37"/>
  <c r="AR18" i="37"/>
  <c r="AS18" i="37"/>
  <c r="AT18" i="37"/>
  <c r="AU18" i="37"/>
  <c r="AV18" i="37"/>
  <c r="AW18" i="37"/>
  <c r="AX18" i="37"/>
  <c r="AY18" i="37"/>
  <c r="AD19" i="37"/>
  <c r="AE19" i="37"/>
  <c r="AF19" i="37"/>
  <c r="AG19" i="37"/>
  <c r="AH19" i="37"/>
  <c r="AI19" i="37"/>
  <c r="AJ19" i="37"/>
  <c r="AK19" i="37"/>
  <c r="AL19" i="37"/>
  <c r="AM19" i="37"/>
  <c r="AN19" i="37"/>
  <c r="AO19" i="37"/>
  <c r="AP19" i="37"/>
  <c r="AQ19" i="37"/>
  <c r="AR19" i="37"/>
  <c r="AS19" i="37"/>
  <c r="AT19" i="37"/>
  <c r="AU19" i="37"/>
  <c r="AV19" i="37"/>
  <c r="AW19" i="37"/>
  <c r="AX19" i="37"/>
  <c r="AY19" i="37"/>
  <c r="AD20" i="37"/>
  <c r="AE20" i="37"/>
  <c r="AF20" i="37"/>
  <c r="AG20" i="37"/>
  <c r="AH20" i="37"/>
  <c r="AI20" i="37"/>
  <c r="AJ20" i="37"/>
  <c r="AK20" i="37"/>
  <c r="AL20" i="37"/>
  <c r="AM20" i="37"/>
  <c r="AN20" i="37"/>
  <c r="AO20" i="37"/>
  <c r="AP20" i="37"/>
  <c r="AQ20" i="37"/>
  <c r="AR20" i="37"/>
  <c r="AS20" i="37"/>
  <c r="AT20" i="37"/>
  <c r="AU20" i="37"/>
  <c r="AV20" i="37"/>
  <c r="AW20" i="37"/>
  <c r="AX20" i="37"/>
  <c r="AY20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AV21" i="37"/>
  <c r="AW21" i="37"/>
  <c r="AX21" i="37"/>
  <c r="AY21" i="37"/>
  <c r="AD22" i="37"/>
  <c r="AE22" i="37"/>
  <c r="AF22" i="37"/>
  <c r="AG22" i="37"/>
  <c r="AH22" i="37"/>
  <c r="AI22" i="37"/>
  <c r="AJ22" i="37"/>
  <c r="AK22" i="37"/>
  <c r="AL22" i="37"/>
  <c r="AM22" i="37"/>
  <c r="AN22" i="37"/>
  <c r="AO22" i="37"/>
  <c r="AP22" i="37"/>
  <c r="AQ22" i="37"/>
  <c r="AR22" i="37"/>
  <c r="AS22" i="37"/>
  <c r="AT22" i="37"/>
  <c r="AU22" i="37"/>
  <c r="AV22" i="37"/>
  <c r="AW22" i="37"/>
  <c r="AX22" i="37"/>
  <c r="AY22" i="37"/>
  <c r="AD23" i="37"/>
  <c r="AE23" i="37"/>
  <c r="AF23" i="37"/>
  <c r="AG23" i="37"/>
  <c r="AH23" i="37"/>
  <c r="AI23" i="37"/>
  <c r="AJ23" i="37"/>
  <c r="AK23" i="37"/>
  <c r="AL23" i="37"/>
  <c r="AM23" i="37"/>
  <c r="AN23" i="37"/>
  <c r="AO23" i="37"/>
  <c r="AP23" i="37"/>
  <c r="AQ23" i="37"/>
  <c r="AR23" i="37"/>
  <c r="AS23" i="37"/>
  <c r="AT23" i="37"/>
  <c r="AU23" i="37"/>
  <c r="AV23" i="37"/>
  <c r="AW23" i="37"/>
  <c r="AX23" i="37"/>
  <c r="AY23" i="37"/>
  <c r="AD24" i="37"/>
  <c r="AE24" i="37"/>
  <c r="AF24" i="37"/>
  <c r="AG24" i="37"/>
  <c r="AH24" i="37"/>
  <c r="AI24" i="37"/>
  <c r="AJ24" i="37"/>
  <c r="AK24" i="37"/>
  <c r="AL24" i="37"/>
  <c r="AM24" i="37"/>
  <c r="AN24" i="37"/>
  <c r="AO24" i="37"/>
  <c r="AP24" i="37"/>
  <c r="AQ24" i="37"/>
  <c r="AR24" i="37"/>
  <c r="AS24" i="37"/>
  <c r="AT24" i="37"/>
  <c r="AU24" i="37"/>
  <c r="AV24" i="37"/>
  <c r="AW24" i="37"/>
  <c r="AX24" i="37"/>
  <c r="AY24" i="37"/>
  <c r="AD25" i="37"/>
  <c r="AE25" i="37"/>
  <c r="AF25" i="37"/>
  <c r="AG25" i="37"/>
  <c r="AH25" i="37"/>
  <c r="AI25" i="37"/>
  <c r="AJ25" i="37"/>
  <c r="AK25" i="37"/>
  <c r="AL25" i="37"/>
  <c r="AM25" i="37"/>
  <c r="AN25" i="37"/>
  <c r="AO25" i="37"/>
  <c r="AP25" i="37"/>
  <c r="AQ25" i="37"/>
  <c r="AR25" i="37"/>
  <c r="AS25" i="37"/>
  <c r="AT25" i="37"/>
  <c r="AU25" i="37"/>
  <c r="AV25" i="37"/>
  <c r="AW25" i="37"/>
  <c r="AX25" i="37"/>
  <c r="AY25" i="37"/>
  <c r="AD26" i="37"/>
  <c r="AE26" i="37"/>
  <c r="AF26" i="37"/>
  <c r="AG26" i="37"/>
  <c r="AH26" i="37"/>
  <c r="AI26" i="37"/>
  <c r="AJ26" i="37"/>
  <c r="AK26" i="37"/>
  <c r="AL26" i="37"/>
  <c r="AM26" i="37"/>
  <c r="AN26" i="37"/>
  <c r="AO26" i="37"/>
  <c r="AP26" i="37"/>
  <c r="AQ26" i="37"/>
  <c r="AR26" i="37"/>
  <c r="AS26" i="37"/>
  <c r="AT26" i="37"/>
  <c r="AU26" i="37"/>
  <c r="AV26" i="37"/>
  <c r="AW26" i="37"/>
  <c r="AX26" i="37"/>
  <c r="AY26" i="37"/>
  <c r="AD27" i="37"/>
  <c r="AE27" i="37"/>
  <c r="AF27" i="37"/>
  <c r="AG27" i="37"/>
  <c r="AH27" i="37"/>
  <c r="AI27" i="37"/>
  <c r="AJ27" i="37"/>
  <c r="AK27" i="37"/>
  <c r="AL27" i="37"/>
  <c r="AM27" i="37"/>
  <c r="AN27" i="37"/>
  <c r="AO27" i="37"/>
  <c r="AP27" i="37"/>
  <c r="AQ27" i="37"/>
  <c r="AR27" i="37"/>
  <c r="AS27" i="37"/>
  <c r="AT27" i="37"/>
  <c r="AU27" i="37"/>
  <c r="AV27" i="37"/>
  <c r="AW27" i="37"/>
  <c r="AX27" i="37"/>
  <c r="AY27" i="37"/>
  <c r="AD28" i="37"/>
  <c r="AE28" i="37"/>
  <c r="AF28" i="37"/>
  <c r="AG28" i="37"/>
  <c r="AH28" i="37"/>
  <c r="AI28" i="37"/>
  <c r="AJ28" i="37"/>
  <c r="AK28" i="37"/>
  <c r="AL28" i="37"/>
  <c r="AM28" i="37"/>
  <c r="AN28" i="37"/>
  <c r="AO28" i="37"/>
  <c r="AP28" i="37"/>
  <c r="AQ28" i="37"/>
  <c r="AR28" i="37"/>
  <c r="AS28" i="37"/>
  <c r="AT28" i="37"/>
  <c r="AU28" i="37"/>
  <c r="AV28" i="37"/>
  <c r="AW28" i="37"/>
  <c r="AX28" i="37"/>
  <c r="AY28" i="37"/>
  <c r="AD29" i="37"/>
  <c r="AE29" i="37"/>
  <c r="AF29" i="37"/>
  <c r="AG29" i="37"/>
  <c r="AH29" i="37"/>
  <c r="AI29" i="37"/>
  <c r="AJ29" i="37"/>
  <c r="AK29" i="37"/>
  <c r="AL29" i="37"/>
  <c r="AM29" i="37"/>
  <c r="AN29" i="37"/>
  <c r="AO29" i="37"/>
  <c r="AP29" i="37"/>
  <c r="AQ29" i="37"/>
  <c r="AR29" i="37"/>
  <c r="AS29" i="37"/>
  <c r="AT29" i="37"/>
  <c r="AU29" i="37"/>
  <c r="AV29" i="37"/>
  <c r="AW29" i="37"/>
  <c r="AX29" i="37"/>
  <c r="AY29" i="37"/>
  <c r="AD30" i="37"/>
  <c r="AE30" i="37"/>
  <c r="AF30" i="37"/>
  <c r="AG30" i="37"/>
  <c r="AH30" i="37"/>
  <c r="AI30" i="37"/>
  <c r="AJ30" i="37"/>
  <c r="AK30" i="37"/>
  <c r="AL30" i="37"/>
  <c r="AM30" i="37"/>
  <c r="AN30" i="37"/>
  <c r="AO30" i="37"/>
  <c r="AP30" i="37"/>
  <c r="AQ30" i="37"/>
  <c r="AR30" i="37"/>
  <c r="AS30" i="37"/>
  <c r="AT30" i="37"/>
  <c r="AU30" i="37"/>
  <c r="AV30" i="37"/>
  <c r="AW30" i="37"/>
  <c r="AX30" i="37"/>
  <c r="AY30" i="37"/>
  <c r="AC30" i="37"/>
  <c r="AC29" i="37"/>
  <c r="AC28" i="37"/>
  <c r="AC27" i="37"/>
  <c r="AC26" i="37"/>
  <c r="AC25" i="37"/>
  <c r="AC24" i="37"/>
  <c r="AC23" i="37"/>
  <c r="AC22" i="37"/>
  <c r="AC21" i="37"/>
  <c r="AC20" i="37"/>
  <c r="AC19" i="37"/>
  <c r="AC18" i="37"/>
  <c r="AC17" i="37"/>
  <c r="AC16" i="37"/>
  <c r="AC15" i="37"/>
  <c r="AC14" i="37"/>
  <c r="AC13" i="37"/>
  <c r="AC12" i="37"/>
  <c r="P30" i="37"/>
  <c r="P29" i="37"/>
  <c r="P28" i="37"/>
  <c r="P27" i="37"/>
  <c r="P26" i="37"/>
  <c r="P25" i="37"/>
  <c r="P24" i="37"/>
  <c r="P23" i="37"/>
  <c r="P22" i="37"/>
  <c r="P21" i="37"/>
  <c r="P20" i="37"/>
  <c r="P19" i="37"/>
  <c r="P18" i="37"/>
  <c r="P17" i="37"/>
  <c r="P16" i="37"/>
  <c r="P15" i="37"/>
  <c r="P14" i="37"/>
  <c r="P13" i="37"/>
  <c r="P12" i="37"/>
  <c r="O12" i="37"/>
  <c r="O13" i="37"/>
  <c r="O14" i="37"/>
  <c r="O15" i="37"/>
  <c r="O16" i="37"/>
  <c r="O17" i="37"/>
  <c r="O18" i="37"/>
  <c r="O19" i="37"/>
  <c r="O20" i="37"/>
  <c r="O21" i="37"/>
  <c r="O22" i="37"/>
  <c r="O23" i="37"/>
  <c r="O24" i="37"/>
  <c r="O25" i="37"/>
  <c r="O26" i="37"/>
  <c r="O27" i="37"/>
  <c r="O28" i="37"/>
  <c r="O29" i="37"/>
  <c r="O30" i="37"/>
  <c r="J9" i="37"/>
  <c r="K9" i="37"/>
  <c r="L9" i="37"/>
  <c r="M9" i="37"/>
  <c r="N9" i="37"/>
  <c r="O9" i="37"/>
  <c r="P9" i="37"/>
  <c r="Q9" i="37"/>
  <c r="R9" i="37"/>
  <c r="S9" i="37"/>
  <c r="T9" i="37"/>
  <c r="U9" i="37"/>
  <c r="V9" i="37"/>
  <c r="W9" i="37"/>
  <c r="X9" i="37"/>
  <c r="Y9" i="37"/>
  <c r="Z9" i="37"/>
  <c r="AA9" i="37"/>
  <c r="AB9" i="37"/>
  <c r="AC9" i="37"/>
  <c r="AD9" i="37"/>
  <c r="AE9" i="37"/>
  <c r="AF9" i="37"/>
  <c r="AG9" i="37"/>
  <c r="AH9" i="37"/>
  <c r="AI9" i="37"/>
  <c r="AJ9" i="37"/>
  <c r="AK9" i="37"/>
  <c r="AL9" i="37"/>
  <c r="AM9" i="37"/>
  <c r="AN9" i="37"/>
  <c r="AO9" i="37"/>
  <c r="AP9" i="37"/>
  <c r="AQ9" i="37"/>
  <c r="AR9" i="37"/>
  <c r="AS9" i="37"/>
  <c r="AT9" i="37"/>
  <c r="AU9" i="37"/>
  <c r="AV9" i="37"/>
  <c r="AW9" i="37"/>
  <c r="AX9" i="37"/>
  <c r="AY9" i="37"/>
  <c r="I9" i="37"/>
  <c r="BC9" i="37" s="1"/>
  <c r="R12" i="37"/>
  <c r="S12" i="37"/>
  <c r="T12" i="37"/>
  <c r="U12" i="37"/>
  <c r="V12" i="37"/>
  <c r="W12" i="37"/>
  <c r="X12" i="37"/>
  <c r="Y12" i="37"/>
  <c r="Z12" i="37"/>
  <c r="AA12" i="37"/>
  <c r="AB12" i="37"/>
  <c r="R13" i="37"/>
  <c r="S13" i="37"/>
  <c r="T13" i="37"/>
  <c r="U13" i="37"/>
  <c r="V13" i="37"/>
  <c r="W13" i="37"/>
  <c r="X13" i="37"/>
  <c r="Y13" i="37"/>
  <c r="Z13" i="37"/>
  <c r="AA13" i="37"/>
  <c r="AB13" i="37"/>
  <c r="R14" i="37"/>
  <c r="S14" i="37"/>
  <c r="T14" i="37"/>
  <c r="U14" i="37"/>
  <c r="V14" i="37"/>
  <c r="W14" i="37"/>
  <c r="X14" i="37"/>
  <c r="Y14" i="37"/>
  <c r="Z14" i="37"/>
  <c r="AA14" i="37"/>
  <c r="AB14" i="37"/>
  <c r="R15" i="37"/>
  <c r="S15" i="37"/>
  <c r="T15" i="37"/>
  <c r="U15" i="37"/>
  <c r="V15" i="37"/>
  <c r="W15" i="37"/>
  <c r="X15" i="37"/>
  <c r="Y15" i="37"/>
  <c r="Z15" i="37"/>
  <c r="AA15" i="37"/>
  <c r="AB15" i="37"/>
  <c r="R16" i="37"/>
  <c r="S16" i="37"/>
  <c r="T16" i="37"/>
  <c r="U16" i="37"/>
  <c r="V16" i="37"/>
  <c r="W16" i="37"/>
  <c r="X16" i="37"/>
  <c r="Y16" i="37"/>
  <c r="Z16" i="37"/>
  <c r="AA16" i="37"/>
  <c r="AB16" i="37"/>
  <c r="R17" i="37"/>
  <c r="S17" i="37"/>
  <c r="T17" i="37"/>
  <c r="U17" i="37"/>
  <c r="V17" i="37"/>
  <c r="W17" i="37"/>
  <c r="X17" i="37"/>
  <c r="Y17" i="37"/>
  <c r="Z17" i="37"/>
  <c r="AA17" i="37"/>
  <c r="AB17" i="37"/>
  <c r="R18" i="37"/>
  <c r="S18" i="37"/>
  <c r="T18" i="37"/>
  <c r="U18" i="37"/>
  <c r="V18" i="37"/>
  <c r="W18" i="37"/>
  <c r="X18" i="37"/>
  <c r="Y18" i="37"/>
  <c r="Z18" i="37"/>
  <c r="AA18" i="37"/>
  <c r="AB18" i="37"/>
  <c r="R19" i="37"/>
  <c r="S19" i="37"/>
  <c r="T19" i="37"/>
  <c r="U19" i="37"/>
  <c r="V19" i="37"/>
  <c r="W19" i="37"/>
  <c r="X19" i="37"/>
  <c r="Y19" i="37"/>
  <c r="Z19" i="37"/>
  <c r="AA19" i="37"/>
  <c r="AB19" i="37"/>
  <c r="R20" i="37"/>
  <c r="S20" i="37"/>
  <c r="T20" i="37"/>
  <c r="U20" i="37"/>
  <c r="V20" i="37"/>
  <c r="W20" i="37"/>
  <c r="X20" i="37"/>
  <c r="Y20" i="37"/>
  <c r="Z20" i="37"/>
  <c r="AA20" i="37"/>
  <c r="AB20" i="37"/>
  <c r="R21" i="37"/>
  <c r="S21" i="37"/>
  <c r="T21" i="37"/>
  <c r="U21" i="37"/>
  <c r="V21" i="37"/>
  <c r="W21" i="37"/>
  <c r="X21" i="37"/>
  <c r="Y21" i="37"/>
  <c r="Z21" i="37"/>
  <c r="AA21" i="37"/>
  <c r="AB21" i="37"/>
  <c r="R22" i="37"/>
  <c r="S22" i="37"/>
  <c r="T22" i="37"/>
  <c r="U22" i="37"/>
  <c r="V22" i="37"/>
  <c r="W22" i="37"/>
  <c r="X22" i="37"/>
  <c r="Y22" i="37"/>
  <c r="Z22" i="37"/>
  <c r="AA22" i="37"/>
  <c r="AB22" i="37"/>
  <c r="R23" i="37"/>
  <c r="S23" i="37"/>
  <c r="T23" i="37"/>
  <c r="U23" i="37"/>
  <c r="V23" i="37"/>
  <c r="W23" i="37"/>
  <c r="X23" i="37"/>
  <c r="Y23" i="37"/>
  <c r="Z23" i="37"/>
  <c r="AA23" i="37"/>
  <c r="AB23" i="37"/>
  <c r="R24" i="37"/>
  <c r="S24" i="37"/>
  <c r="T24" i="37"/>
  <c r="U24" i="37"/>
  <c r="V24" i="37"/>
  <c r="W24" i="37"/>
  <c r="X24" i="37"/>
  <c r="Y24" i="37"/>
  <c r="Z24" i="37"/>
  <c r="AA24" i="37"/>
  <c r="AB24" i="37"/>
  <c r="R25" i="37"/>
  <c r="S25" i="37"/>
  <c r="T25" i="37"/>
  <c r="U25" i="37"/>
  <c r="V25" i="37"/>
  <c r="W25" i="37"/>
  <c r="X25" i="37"/>
  <c r="Y25" i="37"/>
  <c r="Z25" i="37"/>
  <c r="AA25" i="37"/>
  <c r="AB25" i="37"/>
  <c r="R26" i="37"/>
  <c r="S26" i="37"/>
  <c r="T26" i="37"/>
  <c r="U26" i="37"/>
  <c r="V26" i="37"/>
  <c r="W26" i="37"/>
  <c r="X26" i="37"/>
  <c r="Y26" i="37"/>
  <c r="Z26" i="37"/>
  <c r="AA26" i="37"/>
  <c r="AB26" i="37"/>
  <c r="R27" i="37"/>
  <c r="S27" i="37"/>
  <c r="T27" i="37"/>
  <c r="U27" i="37"/>
  <c r="V27" i="37"/>
  <c r="W27" i="37"/>
  <c r="X27" i="37"/>
  <c r="Y27" i="37"/>
  <c r="Z27" i="37"/>
  <c r="AA27" i="37"/>
  <c r="AB27" i="37"/>
  <c r="R28" i="37"/>
  <c r="S28" i="37"/>
  <c r="T28" i="37"/>
  <c r="U28" i="37"/>
  <c r="V28" i="37"/>
  <c r="W28" i="37"/>
  <c r="X28" i="37"/>
  <c r="Y28" i="37"/>
  <c r="Z28" i="37"/>
  <c r="AA28" i="37"/>
  <c r="AB28" i="37"/>
  <c r="R29" i="37"/>
  <c r="S29" i="37"/>
  <c r="T29" i="37"/>
  <c r="U29" i="37"/>
  <c r="V29" i="37"/>
  <c r="W29" i="37"/>
  <c r="X29" i="37"/>
  <c r="Y29" i="37"/>
  <c r="Z29" i="37"/>
  <c r="AA29" i="37"/>
  <c r="AB29" i="37"/>
  <c r="R30" i="37"/>
  <c r="S30" i="37"/>
  <c r="T30" i="37"/>
  <c r="U30" i="37"/>
  <c r="V30" i="37"/>
  <c r="W30" i="37"/>
  <c r="X30" i="37"/>
  <c r="Y30" i="37"/>
  <c r="Z30" i="37"/>
  <c r="AA30" i="37"/>
  <c r="AB30" i="37"/>
  <c r="Q30" i="37"/>
  <c r="Q29" i="37"/>
  <c r="Q28" i="37"/>
  <c r="Q27" i="37"/>
  <c r="Q26" i="37"/>
  <c r="Q25" i="37"/>
  <c r="Q24" i="37"/>
  <c r="Q23" i="37"/>
  <c r="Q22" i="37"/>
  <c r="Q21" i="37"/>
  <c r="Q20" i="37"/>
  <c r="Q19" i="37"/>
  <c r="Q18" i="37"/>
  <c r="Q17" i="37"/>
  <c r="Q16" i="37"/>
  <c r="Q15" i="37"/>
  <c r="Q14" i="37"/>
  <c r="Q13" i="37"/>
  <c r="Q12" i="37"/>
  <c r="U10" i="37"/>
  <c r="V10" i="37"/>
  <c r="W10" i="37"/>
  <c r="X10" i="37"/>
  <c r="Y10" i="37"/>
  <c r="Z10" i="37"/>
  <c r="AA10" i="37"/>
  <c r="AB10" i="37"/>
  <c r="AC10" i="37"/>
  <c r="AD10" i="37"/>
  <c r="AE10" i="37"/>
  <c r="AF10" i="37"/>
  <c r="AG10" i="37"/>
  <c r="AH10" i="37"/>
  <c r="AI10" i="37"/>
  <c r="AJ10" i="37"/>
  <c r="AK10" i="37"/>
  <c r="AL10" i="37"/>
  <c r="AM10" i="37"/>
  <c r="AN10" i="37"/>
  <c r="AO10" i="37"/>
  <c r="AP10" i="37"/>
  <c r="AQ10" i="37"/>
  <c r="AR10" i="37"/>
  <c r="AS10" i="37"/>
  <c r="AT10" i="37"/>
  <c r="AU10" i="37"/>
  <c r="AV10" i="37"/>
  <c r="AW10" i="37"/>
  <c r="AX10" i="37"/>
  <c r="AY10" i="37"/>
  <c r="U11" i="37"/>
  <c r="V11" i="37"/>
  <c r="W11" i="37"/>
  <c r="X11" i="37"/>
  <c r="Y11" i="37"/>
  <c r="Z11" i="37"/>
  <c r="AA11" i="37"/>
  <c r="AB11" i="37"/>
  <c r="AC11" i="37"/>
  <c r="AD11" i="37"/>
  <c r="AE11" i="37"/>
  <c r="AF11" i="37"/>
  <c r="AG11" i="37"/>
  <c r="AH11" i="37"/>
  <c r="AI11" i="37"/>
  <c r="AJ11" i="37"/>
  <c r="AK11" i="37"/>
  <c r="AL11" i="37"/>
  <c r="AM11" i="37"/>
  <c r="AN11" i="37"/>
  <c r="AO11" i="37"/>
  <c r="AP11" i="37"/>
  <c r="AQ11" i="37"/>
  <c r="AR11" i="37"/>
  <c r="AS11" i="37"/>
  <c r="AT11" i="37"/>
  <c r="AU11" i="37"/>
  <c r="AV11" i="37"/>
  <c r="AW11" i="37"/>
  <c r="AX11" i="37"/>
  <c r="AY11" i="37"/>
  <c r="J10" i="37"/>
  <c r="K10" i="37"/>
  <c r="L10" i="37"/>
  <c r="M10" i="37"/>
  <c r="N10" i="37"/>
  <c r="O10" i="37"/>
  <c r="P10" i="37"/>
  <c r="Q10" i="37"/>
  <c r="R10" i="37"/>
  <c r="S10" i="37"/>
  <c r="T10" i="37"/>
  <c r="J11" i="37"/>
  <c r="K11" i="37"/>
  <c r="L11" i="37"/>
  <c r="M11" i="37"/>
  <c r="N11" i="37"/>
  <c r="O11" i="37"/>
  <c r="P11" i="37"/>
  <c r="Q11" i="37"/>
  <c r="R11" i="37"/>
  <c r="S11" i="37"/>
  <c r="T11" i="37"/>
  <c r="J12" i="37"/>
  <c r="K12" i="37"/>
  <c r="L12" i="37"/>
  <c r="M12" i="37"/>
  <c r="N12" i="37"/>
  <c r="J13" i="37"/>
  <c r="K13" i="37"/>
  <c r="L13" i="37"/>
  <c r="M13" i="37"/>
  <c r="N13" i="37"/>
  <c r="J14" i="37"/>
  <c r="K14" i="37"/>
  <c r="L14" i="37"/>
  <c r="M14" i="37"/>
  <c r="N14" i="37"/>
  <c r="J15" i="37"/>
  <c r="K15" i="37"/>
  <c r="L15" i="37"/>
  <c r="M15" i="37"/>
  <c r="N15" i="37"/>
  <c r="J16" i="37"/>
  <c r="K16" i="37"/>
  <c r="L16" i="37"/>
  <c r="M16" i="37"/>
  <c r="N16" i="37"/>
  <c r="J17" i="37"/>
  <c r="K17" i="37"/>
  <c r="L17" i="37"/>
  <c r="M17" i="37"/>
  <c r="N17" i="37"/>
  <c r="J18" i="37"/>
  <c r="K18" i="37"/>
  <c r="L18" i="37"/>
  <c r="M18" i="37"/>
  <c r="N18" i="37"/>
  <c r="J19" i="37"/>
  <c r="K19" i="37"/>
  <c r="L19" i="37"/>
  <c r="M19" i="37"/>
  <c r="N19" i="37"/>
  <c r="J20" i="37"/>
  <c r="K20" i="37"/>
  <c r="L20" i="37"/>
  <c r="M20" i="37"/>
  <c r="N20" i="37"/>
  <c r="J21" i="37"/>
  <c r="K21" i="37"/>
  <c r="L21" i="37"/>
  <c r="M21" i="37"/>
  <c r="N21" i="37"/>
  <c r="J22" i="37"/>
  <c r="K22" i="37"/>
  <c r="L22" i="37"/>
  <c r="M22" i="37"/>
  <c r="N22" i="37"/>
  <c r="J23" i="37"/>
  <c r="K23" i="37"/>
  <c r="L23" i="37"/>
  <c r="M23" i="37"/>
  <c r="N23" i="37"/>
  <c r="J24" i="37"/>
  <c r="K24" i="37"/>
  <c r="L24" i="37"/>
  <c r="M24" i="37"/>
  <c r="N24" i="37"/>
  <c r="J25" i="37"/>
  <c r="K25" i="37"/>
  <c r="L25" i="37"/>
  <c r="M25" i="37"/>
  <c r="N25" i="37"/>
  <c r="J26" i="37"/>
  <c r="K26" i="37"/>
  <c r="L26" i="37"/>
  <c r="M26" i="37"/>
  <c r="N26" i="37"/>
  <c r="J27" i="37"/>
  <c r="K27" i="37"/>
  <c r="L27" i="37"/>
  <c r="M27" i="37"/>
  <c r="N27" i="37"/>
  <c r="J28" i="37"/>
  <c r="K28" i="37"/>
  <c r="L28" i="37"/>
  <c r="M28" i="37"/>
  <c r="N28" i="37"/>
  <c r="J29" i="37"/>
  <c r="K29" i="37"/>
  <c r="L29" i="37"/>
  <c r="M29" i="37"/>
  <c r="N29" i="37"/>
  <c r="J30" i="37"/>
  <c r="K30" i="37"/>
  <c r="L30" i="37"/>
  <c r="M30" i="37"/>
  <c r="N30" i="37"/>
  <c r="I30" i="37"/>
  <c r="I29" i="37"/>
  <c r="I28" i="37"/>
  <c r="I27" i="37"/>
  <c r="I26" i="37"/>
  <c r="I25" i="37"/>
  <c r="I24" i="37"/>
  <c r="I23" i="37"/>
  <c r="I22" i="37"/>
  <c r="I21" i="37"/>
  <c r="I20" i="37"/>
  <c r="I19" i="37"/>
  <c r="I18" i="37"/>
  <c r="I17" i="37"/>
  <c r="I16" i="37"/>
  <c r="I15" i="37"/>
  <c r="I14" i="37"/>
  <c r="I13" i="37"/>
  <c r="I12" i="37"/>
  <c r="I10" i="37"/>
  <c r="I11" i="37"/>
  <c r="BE12" i="37"/>
  <c r="BE13" i="37"/>
  <c r="BE29" i="37"/>
  <c r="BE16" i="37"/>
  <c r="BE17" i="37"/>
  <c r="BE18" i="37"/>
  <c r="BE19" i="37"/>
  <c r="BE20" i="37"/>
  <c r="BE21" i="37"/>
  <c r="BE22" i="37"/>
  <c r="BE23" i="37"/>
  <c r="BE24" i="37"/>
  <c r="BE25" i="37"/>
  <c r="BE26" i="37"/>
  <c r="BE27" i="37"/>
  <c r="BE28" i="37"/>
  <c r="BE30" i="37"/>
  <c r="C2" i="23"/>
  <c r="O48" i="26"/>
  <c r="R32" i="37" l="1"/>
  <c r="R35" i="37" s="1"/>
  <c r="V32" i="37"/>
  <c r="R49" i="37" s="1"/>
  <c r="AS32" i="37"/>
  <c r="AS35" i="37" s="1"/>
  <c r="AK32" i="37"/>
  <c r="AK35" i="37" s="1"/>
  <c r="N32" i="37"/>
  <c r="N35" i="37" s="1"/>
  <c r="AV32" i="37"/>
  <c r="AV35" i="37" s="1"/>
  <c r="AN32" i="37"/>
  <c r="AN35" i="37" s="1"/>
  <c r="AF32" i="37"/>
  <c r="AF35" i="37" s="1"/>
  <c r="AG32" i="37"/>
  <c r="AG35" i="37" s="1"/>
  <c r="M32" i="37"/>
  <c r="M35" i="37" s="1"/>
  <c r="Q32" i="37"/>
  <c r="Q35" i="37" s="1"/>
  <c r="U32" i="37"/>
  <c r="U35" i="37" s="1"/>
  <c r="AU32" i="37"/>
  <c r="AU35" i="37" s="1"/>
  <c r="AM32" i="37"/>
  <c r="AM35" i="37" s="1"/>
  <c r="AE32" i="37"/>
  <c r="AE35" i="37" s="1"/>
  <c r="W32" i="37"/>
  <c r="AO32" i="37"/>
  <c r="AO35" i="37" s="1"/>
  <c r="L32" i="37"/>
  <c r="L35" i="37" s="1"/>
  <c r="AB32" i="37"/>
  <c r="AB35" i="37" s="1"/>
  <c r="T32" i="37"/>
  <c r="T35" i="37" s="1"/>
  <c r="O32" i="37"/>
  <c r="O35" i="37" s="1"/>
  <c r="AT32" i="37"/>
  <c r="AT35" i="37" s="1"/>
  <c r="AL32" i="37"/>
  <c r="AL35" i="37" s="1"/>
  <c r="AD32" i="37"/>
  <c r="AD35" i="37" s="1"/>
  <c r="I32" i="37"/>
  <c r="I35" i="37" s="1"/>
  <c r="K32" i="37"/>
  <c r="K35" i="37" s="1"/>
  <c r="AA32" i="37"/>
  <c r="AA35" i="37" s="1"/>
  <c r="S32" i="37"/>
  <c r="S35" i="37" s="1"/>
  <c r="P32" i="37"/>
  <c r="P35" i="37" s="1"/>
  <c r="J32" i="37"/>
  <c r="J35" i="37" s="1"/>
  <c r="Z32" i="37"/>
  <c r="AR32" i="37"/>
  <c r="AR35" i="37" s="1"/>
  <c r="AJ32" i="37"/>
  <c r="AJ35" i="37" s="1"/>
  <c r="Y32" i="37"/>
  <c r="Y35" i="37" s="1"/>
  <c r="AY32" i="37"/>
  <c r="AY35" i="37" s="1"/>
  <c r="AQ32" i="37"/>
  <c r="AQ35" i="37" s="1"/>
  <c r="AI32" i="37"/>
  <c r="AI35" i="37" s="1"/>
  <c r="AW32" i="37"/>
  <c r="AW35" i="37" s="1"/>
  <c r="X32" i="37"/>
  <c r="AC32" i="37"/>
  <c r="AC35" i="37" s="1"/>
  <c r="AX32" i="37"/>
  <c r="AX35" i="37" s="1"/>
  <c r="AP32" i="37"/>
  <c r="AP35" i="37" s="1"/>
  <c r="AH32" i="37"/>
  <c r="AH35" i="37" s="1"/>
  <c r="B124" i="6"/>
  <c r="B113" i="6"/>
  <c r="D81" i="37" s="1"/>
  <c r="Q54" i="37" s="1"/>
  <c r="B122" i="6"/>
  <c r="A121" i="6"/>
  <c r="A120" i="6" s="1"/>
  <c r="AZ9" i="4"/>
  <c r="Y42" i="34"/>
  <c r="Y23" i="34"/>
  <c r="W42" i="34"/>
  <c r="W23" i="34"/>
  <c r="U42" i="34"/>
  <c r="U23" i="34"/>
  <c r="S42" i="34"/>
  <c r="S23" i="34"/>
  <c r="Q42" i="34"/>
  <c r="Q23" i="34"/>
  <c r="O23" i="34"/>
  <c r="AZ6" i="4"/>
  <c r="AZ7" i="4"/>
  <c r="AZ8" i="4"/>
  <c r="AZ11" i="4"/>
  <c r="AZ14" i="4"/>
  <c r="AZ10" i="4"/>
  <c r="AZ12" i="4"/>
  <c r="AZ13" i="4"/>
  <c r="AZ15" i="4"/>
  <c r="AZ16" i="4"/>
  <c r="AZ17" i="4"/>
  <c r="AZ18" i="4"/>
  <c r="AZ19" i="4"/>
  <c r="AZ20" i="4"/>
  <c r="AZ21" i="4"/>
  <c r="AZ22" i="4"/>
  <c r="AZ23" i="4"/>
  <c r="AZ24" i="4"/>
  <c r="AZ25" i="4"/>
  <c r="AZ26" i="4"/>
  <c r="AZ27" i="4"/>
  <c r="AZ28" i="4"/>
  <c r="AZ29" i="4"/>
  <c r="AZ30" i="4"/>
  <c r="AZ31" i="4"/>
  <c r="AZ32" i="4"/>
  <c r="AZ33" i="4"/>
  <c r="AZ34" i="4"/>
  <c r="AZ35" i="4"/>
  <c r="AZ36" i="4"/>
  <c r="AZ37" i="4"/>
  <c r="AZ38" i="4"/>
  <c r="AZ39" i="4"/>
  <c r="AZ40" i="4"/>
  <c r="AZ41" i="4"/>
  <c r="AZ42" i="4"/>
  <c r="AZ43" i="4"/>
  <c r="AZ44" i="4"/>
  <c r="AZ45" i="4"/>
  <c r="AZ46" i="4"/>
  <c r="AZ47" i="4"/>
  <c r="AZ48" i="4"/>
  <c r="AZ49" i="4"/>
  <c r="AZ50" i="4"/>
  <c r="AZ51" i="4"/>
  <c r="AZ52" i="4"/>
  <c r="AZ53" i="4"/>
  <c r="AZ54" i="4"/>
  <c r="AZ55" i="4"/>
  <c r="AZ56" i="4"/>
  <c r="AZ57" i="4"/>
  <c r="AZ58" i="4"/>
  <c r="AZ59" i="4"/>
  <c r="AZ60" i="4"/>
  <c r="AZ61" i="4"/>
  <c r="AZ62" i="4"/>
  <c r="AZ63" i="4"/>
  <c r="AZ64" i="4"/>
  <c r="AZ65" i="4"/>
  <c r="AZ66" i="4"/>
  <c r="AZ67" i="4"/>
  <c r="AZ68" i="4"/>
  <c r="AZ69" i="4"/>
  <c r="AZ70" i="4"/>
  <c r="AZ71" i="4"/>
  <c r="AZ72" i="4"/>
  <c r="AZ73" i="4"/>
  <c r="AZ74" i="4"/>
  <c r="AZ75" i="4"/>
  <c r="AZ76" i="4"/>
  <c r="AZ77" i="4"/>
  <c r="AZ78" i="4"/>
  <c r="AZ79" i="4"/>
  <c r="AZ80" i="4"/>
  <c r="AZ81" i="4"/>
  <c r="AZ82" i="4"/>
  <c r="AZ83" i="4"/>
  <c r="AZ84" i="4"/>
  <c r="AZ85" i="4"/>
  <c r="AZ86" i="4"/>
  <c r="AZ87" i="4"/>
  <c r="AZ88" i="4"/>
  <c r="AZ89" i="4"/>
  <c r="AZ90" i="4"/>
  <c r="AZ91" i="4"/>
  <c r="AZ92" i="4"/>
  <c r="AZ93" i="4"/>
  <c r="AZ94" i="4"/>
  <c r="AZ95" i="4"/>
  <c r="AZ96" i="4"/>
  <c r="AZ97" i="4"/>
  <c r="AZ98" i="4"/>
  <c r="AZ99" i="4"/>
  <c r="AZ100" i="4"/>
  <c r="AZ101" i="4"/>
  <c r="AZ102" i="4"/>
  <c r="AZ103" i="4"/>
  <c r="AZ104" i="4"/>
  <c r="AZ105" i="4"/>
  <c r="AZ106" i="4"/>
  <c r="AZ107" i="4"/>
  <c r="AZ108" i="4"/>
  <c r="AZ109" i="4"/>
  <c r="AZ110" i="4"/>
  <c r="AZ111" i="4"/>
  <c r="AZ112" i="4"/>
  <c r="AZ113" i="4"/>
  <c r="AZ114" i="4"/>
  <c r="AZ115" i="4"/>
  <c r="AZ116" i="4"/>
  <c r="AZ117" i="4"/>
  <c r="AZ118" i="4"/>
  <c r="AZ119" i="4"/>
  <c r="AZ120" i="4"/>
  <c r="AZ121" i="4"/>
  <c r="AZ122" i="4"/>
  <c r="AZ123" i="4"/>
  <c r="AZ124" i="4"/>
  <c r="AZ125" i="4"/>
  <c r="AZ126" i="4"/>
  <c r="AZ127" i="4"/>
  <c r="AZ128" i="4"/>
  <c r="AZ129" i="4"/>
  <c r="AZ130" i="4"/>
  <c r="AZ131" i="4"/>
  <c r="AZ132" i="4"/>
  <c r="AZ133" i="4"/>
  <c r="AZ134" i="4"/>
  <c r="AZ135" i="4"/>
  <c r="AZ136" i="4"/>
  <c r="AZ137" i="4"/>
  <c r="AZ138" i="4"/>
  <c r="AZ139" i="4"/>
  <c r="AZ140" i="4"/>
  <c r="AZ141" i="4"/>
  <c r="AZ142" i="4"/>
  <c r="AZ143" i="4"/>
  <c r="AZ144" i="4"/>
  <c r="AZ145" i="4"/>
  <c r="AZ146" i="4"/>
  <c r="AZ147" i="4"/>
  <c r="AZ148" i="4"/>
  <c r="AZ149" i="4"/>
  <c r="AZ150" i="4"/>
  <c r="AZ151" i="4"/>
  <c r="AZ152" i="4"/>
  <c r="AZ153" i="4"/>
  <c r="AZ154" i="4"/>
  <c r="AZ155" i="4"/>
  <c r="AZ156" i="4"/>
  <c r="AZ157" i="4"/>
  <c r="AZ158" i="4"/>
  <c r="AZ159" i="4"/>
  <c r="AZ160" i="4"/>
  <c r="AZ161" i="4"/>
  <c r="AZ162" i="4"/>
  <c r="AZ163" i="4"/>
  <c r="AZ164" i="4"/>
  <c r="AZ165" i="4"/>
  <c r="AZ166" i="4"/>
  <c r="AZ167" i="4"/>
  <c r="AZ168" i="4"/>
  <c r="AZ169" i="4"/>
  <c r="AZ170" i="4"/>
  <c r="AZ171" i="4"/>
  <c r="AZ172" i="4"/>
  <c r="AZ173" i="4"/>
  <c r="AZ174" i="4"/>
  <c r="AZ175" i="4"/>
  <c r="AZ176" i="4"/>
  <c r="AZ177" i="4"/>
  <c r="AZ178" i="4"/>
  <c r="AZ179" i="4"/>
  <c r="AZ180" i="4"/>
  <c r="AZ181" i="4"/>
  <c r="AZ182" i="4"/>
  <c r="AZ183" i="4"/>
  <c r="AZ184" i="4"/>
  <c r="AZ185" i="4"/>
  <c r="AZ186" i="4"/>
  <c r="AZ187" i="4"/>
  <c r="AZ188" i="4"/>
  <c r="AZ189" i="4"/>
  <c r="AZ190" i="4"/>
  <c r="AZ191" i="4"/>
  <c r="AZ192" i="4"/>
  <c r="AZ193" i="4"/>
  <c r="AZ194" i="4"/>
  <c r="AZ195" i="4"/>
  <c r="AZ196" i="4"/>
  <c r="AZ197" i="4"/>
  <c r="AZ198" i="4"/>
  <c r="AZ199" i="4"/>
  <c r="AZ200" i="4"/>
  <c r="AZ201" i="4"/>
  <c r="AZ202" i="4"/>
  <c r="AZ203" i="4"/>
  <c r="AZ204" i="4"/>
  <c r="AZ205" i="4"/>
  <c r="AZ206" i="4"/>
  <c r="AZ207" i="4"/>
  <c r="AZ208" i="4"/>
  <c r="AZ209" i="4"/>
  <c r="AZ210" i="4"/>
  <c r="AZ211" i="4"/>
  <c r="AZ212" i="4"/>
  <c r="AZ213" i="4"/>
  <c r="AZ214" i="4"/>
  <c r="AZ215" i="4"/>
  <c r="AZ216" i="4"/>
  <c r="AZ217" i="4"/>
  <c r="AZ218" i="4"/>
  <c r="AZ219" i="4"/>
  <c r="AZ221" i="4"/>
  <c r="AZ222" i="4"/>
  <c r="AZ223" i="4"/>
  <c r="AZ224" i="4"/>
  <c r="AZ225" i="4"/>
  <c r="AZ226" i="4"/>
  <c r="AZ227" i="4"/>
  <c r="AZ228" i="4"/>
  <c r="AZ229" i="4"/>
  <c r="AZ230" i="4"/>
  <c r="AZ231" i="4"/>
  <c r="AZ232" i="4"/>
  <c r="AZ233" i="4"/>
  <c r="AZ234" i="4"/>
  <c r="AZ235" i="4"/>
  <c r="AZ236" i="4"/>
  <c r="AZ237" i="4"/>
  <c r="AZ238" i="4"/>
  <c r="AZ239" i="4"/>
  <c r="AZ240" i="4"/>
  <c r="AZ241" i="4"/>
  <c r="AZ242" i="4"/>
  <c r="AZ243" i="4"/>
  <c r="AZ244" i="4"/>
  <c r="AZ245" i="4"/>
  <c r="AZ246" i="4"/>
  <c r="AZ247" i="4"/>
  <c r="AZ248" i="4"/>
  <c r="AZ249" i="4"/>
  <c r="AZ250" i="4"/>
  <c r="AZ251" i="4"/>
  <c r="AZ252" i="4"/>
  <c r="AZ253" i="4"/>
  <c r="AZ254" i="4"/>
  <c r="AZ255" i="4"/>
  <c r="AZ256" i="4"/>
  <c r="AZ257" i="4"/>
  <c r="AZ258" i="4"/>
  <c r="AZ259" i="4"/>
  <c r="AZ260" i="4"/>
  <c r="AZ261" i="4"/>
  <c r="AZ262" i="4"/>
  <c r="AZ263" i="4"/>
  <c r="AZ264" i="4"/>
  <c r="AZ220" i="4"/>
  <c r="AZ265" i="4"/>
  <c r="AZ266" i="4"/>
  <c r="AZ267" i="4"/>
  <c r="AZ268" i="4"/>
  <c r="AZ269" i="4"/>
  <c r="AZ270" i="4"/>
  <c r="AZ271" i="4"/>
  <c r="AZ272" i="4"/>
  <c r="AZ273" i="4"/>
  <c r="AZ274" i="4"/>
  <c r="AZ275" i="4"/>
  <c r="AZ276" i="4"/>
  <c r="AZ277" i="4"/>
  <c r="AZ278" i="4"/>
  <c r="AZ279" i="4"/>
  <c r="AZ280" i="4"/>
  <c r="AZ281" i="4"/>
  <c r="AZ282" i="4"/>
  <c r="AZ283" i="4"/>
  <c r="AZ284" i="4"/>
  <c r="AZ285" i="4"/>
  <c r="AZ286" i="4"/>
  <c r="AZ287" i="4"/>
  <c r="AZ288" i="4"/>
  <c r="AZ289" i="4"/>
  <c r="AZ290" i="4"/>
  <c r="AZ291" i="4"/>
  <c r="AZ292" i="4"/>
  <c r="AZ293" i="4"/>
  <c r="AZ294" i="4"/>
  <c r="AZ295" i="4"/>
  <c r="AZ296" i="4"/>
  <c r="AZ297" i="4"/>
  <c r="AZ298" i="4"/>
  <c r="AZ299" i="4"/>
  <c r="AZ300" i="4"/>
  <c r="AZ301" i="4"/>
  <c r="AZ302" i="4"/>
  <c r="AZ303" i="4"/>
  <c r="AZ304" i="4"/>
  <c r="AZ305" i="4"/>
  <c r="AZ306" i="4"/>
  <c r="AZ307" i="4"/>
  <c r="AZ308" i="4"/>
  <c r="AZ309" i="4"/>
  <c r="AZ310" i="4"/>
  <c r="AF8" i="34"/>
  <c r="AJ8" i="34"/>
  <c r="AN8" i="34"/>
  <c r="AR8" i="34"/>
  <c r="AV8" i="34"/>
  <c r="V35" i="37" l="1"/>
  <c r="X35" i="37"/>
  <c r="R51" i="37"/>
  <c r="Z35" i="37"/>
  <c r="R52" i="37"/>
  <c r="S52" i="37" s="1"/>
  <c r="T52" i="37" s="1"/>
  <c r="W35" i="37"/>
  <c r="R50" i="37"/>
  <c r="R48" i="37"/>
  <c r="S48" i="37" s="1"/>
  <c r="T48" i="37" s="1"/>
  <c r="B120" i="6"/>
  <c r="D120" i="6" s="1"/>
  <c r="A126" i="6" s="1"/>
  <c r="B10" i="37" s="1"/>
  <c r="E122" i="6"/>
  <c r="I4" i="34"/>
  <c r="J4" i="34"/>
  <c r="K4" i="34"/>
  <c r="L4" i="34"/>
  <c r="M4" i="34"/>
  <c r="N4" i="34"/>
  <c r="O4" i="34"/>
  <c r="P4" i="34"/>
  <c r="Q4" i="34"/>
  <c r="R4" i="34"/>
  <c r="S4" i="34"/>
  <c r="T4" i="34"/>
  <c r="U4" i="34"/>
  <c r="V4" i="34"/>
  <c r="W4" i="34"/>
  <c r="X4" i="34"/>
  <c r="Y4" i="34"/>
  <c r="I5" i="34"/>
  <c r="J5" i="34"/>
  <c r="K5" i="34"/>
  <c r="L5" i="34"/>
  <c r="M5" i="34"/>
  <c r="N5" i="34"/>
  <c r="O5" i="34"/>
  <c r="P5" i="34"/>
  <c r="Q5" i="34"/>
  <c r="R5" i="34"/>
  <c r="S5" i="34"/>
  <c r="T5" i="34"/>
  <c r="U5" i="34"/>
  <c r="V5" i="34"/>
  <c r="W5" i="34"/>
  <c r="X5" i="34"/>
  <c r="Y5" i="34"/>
  <c r="H4" i="34"/>
  <c r="H5" i="34"/>
  <c r="AU14" i="34" l="1"/>
  <c r="AS5" i="34" s="1"/>
  <c r="AT5" i="34" s="1"/>
  <c r="AU5" i="34" s="1"/>
  <c r="AU13" i="34"/>
  <c r="AS4" i="34" s="1"/>
  <c r="AT4" i="34" s="1"/>
  <c r="AU4" i="34" s="1"/>
  <c r="AU12" i="34"/>
  <c r="AU11" i="34"/>
  <c r="AS3" i="34" s="1"/>
  <c r="AT3" i="34" s="1"/>
  <c r="AU3" i="34" s="1"/>
  <c r="AQ12" i="34"/>
  <c r="AQ11" i="34"/>
  <c r="AM15" i="34"/>
  <c r="AM11" i="34"/>
  <c r="AM10" i="34"/>
  <c r="AK2" i="34" s="1"/>
  <c r="AL2" i="34" s="1"/>
  <c r="AI11" i="34"/>
  <c r="AE14" i="34"/>
  <c r="AE13" i="34"/>
  <c r="AE12" i="34"/>
  <c r="AE11" i="34"/>
  <c r="AS9" i="34"/>
  <c r="AO9" i="34"/>
  <c r="AK9" i="34"/>
  <c r="AG9" i="34"/>
  <c r="D10" i="31"/>
  <c r="AA9" i="34"/>
  <c r="F27" i="34"/>
  <c r="F31" i="34"/>
  <c r="F30" i="34"/>
  <c r="F28" i="34"/>
  <c r="F29" i="34"/>
  <c r="M2" i="34"/>
  <c r="AI37" i="34"/>
  <c r="AI36" i="34"/>
  <c r="AI35" i="34"/>
  <c r="AI34" i="34"/>
  <c r="AI33" i="34"/>
  <c r="AI32" i="34"/>
  <c r="AI31" i="34"/>
  <c r="AI28" i="34"/>
  <c r="AI27" i="34"/>
  <c r="AI26" i="34"/>
  <c r="AI25" i="34"/>
  <c r="AI24" i="34"/>
  <c r="AI22" i="34"/>
  <c r="AI21" i="34"/>
  <c r="AM37" i="34"/>
  <c r="AK37" i="34" s="1"/>
  <c r="AM36" i="34"/>
  <c r="AK36" i="34" s="1"/>
  <c r="AM35" i="34"/>
  <c r="AK35" i="34" s="1"/>
  <c r="AM30" i="34"/>
  <c r="AK30" i="34" s="1"/>
  <c r="AM29" i="34"/>
  <c r="AM28" i="34"/>
  <c r="AM27" i="34"/>
  <c r="AM26" i="34"/>
  <c r="AM23" i="34"/>
  <c r="AM22" i="34"/>
  <c r="AI30" i="34"/>
  <c r="AI29" i="34"/>
  <c r="AL1" i="34"/>
  <c r="AM1" i="34" s="1"/>
  <c r="AN1" i="34" s="1"/>
  <c r="AN9" i="34" s="1"/>
  <c r="AH1" i="34"/>
  <c r="AI1" i="34" s="1"/>
  <c r="AM7" i="34"/>
  <c r="AL7" i="34"/>
  <c r="AM6" i="34"/>
  <c r="AL6" i="34"/>
  <c r="AK5" i="34"/>
  <c r="AL5" i="34" s="1"/>
  <c r="AM5" i="34" s="1"/>
  <c r="AK4" i="34"/>
  <c r="AL3" i="34"/>
  <c r="AM3" i="34" s="1"/>
  <c r="AB1" i="34"/>
  <c r="AB9" i="34" s="1"/>
  <c r="BC76" i="40"/>
  <c r="BB76" i="40"/>
  <c r="BA76" i="40"/>
  <c r="AZ76" i="40"/>
  <c r="AY76" i="40"/>
  <c r="AX76" i="40"/>
  <c r="AW76" i="40"/>
  <c r="AV76" i="40"/>
  <c r="AU76" i="40"/>
  <c r="AT76" i="40"/>
  <c r="AS76" i="40"/>
  <c r="AR76" i="40"/>
  <c r="AQ76" i="40"/>
  <c r="AP76" i="40"/>
  <c r="AO76" i="40"/>
  <c r="AN76" i="40"/>
  <c r="AM76" i="40"/>
  <c r="AL76" i="40"/>
  <c r="AK76" i="40"/>
  <c r="AJ76" i="40"/>
  <c r="AI76" i="40"/>
  <c r="AH76" i="40"/>
  <c r="AG76" i="40"/>
  <c r="AF76" i="40"/>
  <c r="AE76" i="40"/>
  <c r="AD76" i="40"/>
  <c r="AC76" i="40"/>
  <c r="AB76" i="40"/>
  <c r="AA76" i="40"/>
  <c r="Z76" i="40"/>
  <c r="Y76" i="40"/>
  <c r="X76" i="40"/>
  <c r="W76" i="40"/>
  <c r="V76" i="40"/>
  <c r="U76" i="40"/>
  <c r="T76" i="40"/>
  <c r="S76" i="40"/>
  <c r="R76" i="40"/>
  <c r="Q76" i="40"/>
  <c r="P76" i="40"/>
  <c r="O76" i="40"/>
  <c r="N76" i="40"/>
  <c r="M76" i="40"/>
  <c r="L76" i="40"/>
  <c r="K76" i="40"/>
  <c r="B74" i="40"/>
  <c r="B73" i="40"/>
  <c r="B72" i="40"/>
  <c r="C62" i="40"/>
  <c r="AU7" i="34"/>
  <c r="AT7" i="34"/>
  <c r="AS7" i="34"/>
  <c r="AU6" i="34"/>
  <c r="AT6" i="34"/>
  <c r="AS6" i="34"/>
  <c r="AS2" i="34"/>
  <c r="AT2" i="34" s="1"/>
  <c r="AT1" i="34"/>
  <c r="AU1" i="34" s="1"/>
  <c r="B3" i="34" l="1"/>
  <c r="AI9" i="34"/>
  <c r="AJ1" i="34"/>
  <c r="AJ9" i="34" s="1"/>
  <c r="AM9" i="34"/>
  <c r="B2" i="34"/>
  <c r="AU9" i="34"/>
  <c r="AV1" i="34"/>
  <c r="AV9" i="34" s="1"/>
  <c r="AM31" i="34"/>
  <c r="AK31" i="34" s="1"/>
  <c r="AM32" i="34"/>
  <c r="AK32" i="34" s="1"/>
  <c r="AM18" i="34"/>
  <c r="AK27" i="34" s="1"/>
  <c r="AM34" i="34"/>
  <c r="AK34" i="34" s="1"/>
  <c r="AK6" i="34"/>
  <c r="AM33" i="34"/>
  <c r="AK33" i="34" s="1"/>
  <c r="AT9" i="34"/>
  <c r="AL9" i="34"/>
  <c r="AH9" i="34"/>
  <c r="AL4" i="34"/>
  <c r="AM4" i="34" s="1"/>
  <c r="AM2" i="34"/>
  <c r="AC1" i="34"/>
  <c r="AC9" i="34" s="1"/>
  <c r="AU2" i="34"/>
  <c r="B8" i="34" l="1"/>
  <c r="AL18" i="34"/>
  <c r="AK26" i="34"/>
  <c r="AK29" i="34"/>
  <c r="AL23" i="34"/>
  <c r="AK28" i="34"/>
  <c r="AK22" i="34"/>
  <c r="AD1" i="34"/>
  <c r="AD9" i="34" s="1"/>
  <c r="AQ7" i="34"/>
  <c r="AP7" i="34"/>
  <c r="AO7" i="34"/>
  <c r="AQ6" i="34"/>
  <c r="AP6" i="34"/>
  <c r="AO6" i="34"/>
  <c r="AO5" i="34"/>
  <c r="AP5" i="34" s="1"/>
  <c r="AQ5" i="34" s="1"/>
  <c r="AO4" i="34"/>
  <c r="AP4" i="34" s="1"/>
  <c r="AQ4" i="34" s="1"/>
  <c r="AO3" i="34"/>
  <c r="AP3" i="34" s="1"/>
  <c r="AQ3" i="34" s="1"/>
  <c r="AO2" i="34"/>
  <c r="AP2" i="34" s="1"/>
  <c r="AQ2" i="34" s="1"/>
  <c r="AP1" i="34"/>
  <c r="AG6" i="34"/>
  <c r="AG5" i="34"/>
  <c r="AH5" i="34" s="1"/>
  <c r="AI5" i="34" s="1"/>
  <c r="AG4" i="34"/>
  <c r="AH4" i="34" s="1"/>
  <c r="AI4" i="34" s="1"/>
  <c r="AG3" i="34"/>
  <c r="AH3" i="34" s="1"/>
  <c r="AI3" i="34" s="1"/>
  <c r="AG2" i="34"/>
  <c r="AI7" i="34"/>
  <c r="AH7" i="34"/>
  <c r="AI6" i="34"/>
  <c r="AH6" i="34"/>
  <c r="AB6" i="34"/>
  <c r="AC6" i="34" s="1"/>
  <c r="AD6" i="34"/>
  <c r="AE6" i="34"/>
  <c r="AB7" i="34"/>
  <c r="AC7" i="34" s="1"/>
  <c r="AD7" i="34"/>
  <c r="AE7" i="34"/>
  <c r="AA6" i="34"/>
  <c r="AA7" i="34"/>
  <c r="AA5" i="34"/>
  <c r="AB5" i="34" s="1"/>
  <c r="AC5" i="34" s="1"/>
  <c r="AD5" i="34" s="1"/>
  <c r="AE5" i="34" s="1"/>
  <c r="AA4" i="34"/>
  <c r="AB4" i="34" s="1"/>
  <c r="AC4" i="34" s="1"/>
  <c r="AD4" i="34" s="1"/>
  <c r="AE4" i="34" s="1"/>
  <c r="AA3" i="34"/>
  <c r="AB3" i="34" s="1"/>
  <c r="AC3" i="34" s="1"/>
  <c r="AD3" i="34" s="1"/>
  <c r="AE3" i="34" s="1"/>
  <c r="AA2" i="34"/>
  <c r="AB2" i="34" s="1"/>
  <c r="B87" i="5"/>
  <c r="AE32" i="34"/>
  <c r="AC32" i="34" s="1"/>
  <c r="AE33" i="34"/>
  <c r="AC33" i="34" s="1"/>
  <c r="AQ1" i="34" l="1"/>
  <c r="AP9" i="34"/>
  <c r="AC2" i="34"/>
  <c r="AE1" i="34"/>
  <c r="AH2" i="34"/>
  <c r="H2" i="34"/>
  <c r="AE37" i="34"/>
  <c r="AC37" i="34" s="1"/>
  <c r="AU18" i="34"/>
  <c r="AT18" i="34" s="1"/>
  <c r="AU20" i="34"/>
  <c r="AU21" i="34" s="1"/>
  <c r="AU23" i="34"/>
  <c r="AU22" i="34"/>
  <c r="AU37" i="34"/>
  <c r="AS37" i="34" s="1"/>
  <c r="AU24" i="34"/>
  <c r="AU25" i="34"/>
  <c r="AU26" i="34"/>
  <c r="AU27" i="34"/>
  <c r="AU28" i="34"/>
  <c r="AU29" i="34"/>
  <c r="AU30" i="34"/>
  <c r="AS30" i="34" s="1"/>
  <c r="AU31" i="34"/>
  <c r="AS31" i="34" s="1"/>
  <c r="AU32" i="34"/>
  <c r="AS32" i="34" s="1"/>
  <c r="AU33" i="34"/>
  <c r="AS33" i="34" s="1"/>
  <c r="AU34" i="34"/>
  <c r="AS34" i="34" s="1"/>
  <c r="AU35" i="34"/>
  <c r="AS35" i="34" s="1"/>
  <c r="AU36" i="34"/>
  <c r="AS36" i="34" s="1"/>
  <c r="AQ18" i="34"/>
  <c r="AQ19" i="34"/>
  <c r="AQ20" i="34"/>
  <c r="AQ23" i="34"/>
  <c r="AQ22" i="34"/>
  <c r="AQ37" i="34"/>
  <c r="AO37" i="34" s="1"/>
  <c r="AQ24" i="34"/>
  <c r="AQ25" i="34"/>
  <c r="AQ26" i="34"/>
  <c r="AQ27" i="34"/>
  <c r="AQ28" i="34"/>
  <c r="AQ29" i="34"/>
  <c r="AQ30" i="34"/>
  <c r="AO30" i="34" s="1"/>
  <c r="AQ31" i="34"/>
  <c r="AO31" i="34" s="1"/>
  <c r="AQ32" i="34"/>
  <c r="AO32" i="34" s="1"/>
  <c r="AQ33" i="34"/>
  <c r="AO33" i="34" s="1"/>
  <c r="AQ34" i="34"/>
  <c r="AO34" i="34" s="1"/>
  <c r="AQ35" i="34"/>
  <c r="AO35" i="34" s="1"/>
  <c r="AQ36" i="34"/>
  <c r="AO36" i="34" s="1"/>
  <c r="AE19" i="34"/>
  <c r="AE20" i="34"/>
  <c r="AG36" i="34"/>
  <c r="AE36" i="34"/>
  <c r="AC36" i="34" s="1"/>
  <c r="AG35" i="34"/>
  <c r="AE35" i="34"/>
  <c r="AC35" i="34" s="1"/>
  <c r="AG34" i="34"/>
  <c r="AE34" i="34"/>
  <c r="AC34" i="34" s="1"/>
  <c r="AG33" i="34"/>
  <c r="AG32" i="34"/>
  <c r="AG31" i="34"/>
  <c r="AE31" i="34"/>
  <c r="AC31" i="34" s="1"/>
  <c r="AG30" i="34"/>
  <c r="AE30" i="34"/>
  <c r="AC30" i="34" s="1"/>
  <c r="AE29" i="34"/>
  <c r="AE28" i="34"/>
  <c r="AE27" i="34"/>
  <c r="AE26" i="34"/>
  <c r="AE25" i="34"/>
  <c r="AE24" i="34"/>
  <c r="AG37" i="34"/>
  <c r="AE22" i="34"/>
  <c r="AI23" i="34"/>
  <c r="AE23" i="34"/>
  <c r="AE18" i="34"/>
  <c r="AD18" i="34" s="1"/>
  <c r="B98" i="37"/>
  <c r="AE9" i="34" l="1"/>
  <c r="AF1" i="34"/>
  <c r="AF9" i="34" s="1"/>
  <c r="AQ9" i="34"/>
  <c r="AR1" i="34"/>
  <c r="AR9" i="34" s="1"/>
  <c r="AD2" i="34"/>
  <c r="AI2" i="34"/>
  <c r="AQ21" i="34"/>
  <c r="AO21" i="34" s="1"/>
  <c r="AP52" i="34"/>
  <c r="AO29" i="34"/>
  <c r="AO27" i="34"/>
  <c r="AO24" i="34"/>
  <c r="AO20" i="34"/>
  <c r="AS27" i="34"/>
  <c r="AT23" i="34"/>
  <c r="AC19" i="34"/>
  <c r="AU19" i="34"/>
  <c r="AO25" i="34"/>
  <c r="AO28" i="34"/>
  <c r="AO19" i="34"/>
  <c r="AO22" i="34"/>
  <c r="AP18" i="34"/>
  <c r="AP23" i="34" s="1"/>
  <c r="AC20" i="34"/>
  <c r="AD23" i="34"/>
  <c r="AC22" i="34"/>
  <c r="AE21" i="34"/>
  <c r="AC21" i="34" s="1"/>
  <c r="AC26" i="34"/>
  <c r="E115" i="6"/>
  <c r="B1" i="37"/>
  <c r="C143" i="37"/>
  <c r="B138" i="37"/>
  <c r="B140" i="37"/>
  <c r="B139" i="37"/>
  <c r="I66" i="37"/>
  <c r="B92" i="37"/>
  <c r="E93" i="37"/>
  <c r="E92" i="37"/>
  <c r="E91" i="37"/>
  <c r="BE15" i="37"/>
  <c r="BE32" i="37" s="1"/>
  <c r="BD68" i="37"/>
  <c r="BD69" i="37"/>
  <c r="BD70" i="37"/>
  <c r="BD71" i="37"/>
  <c r="AE2" i="34" l="1"/>
  <c r="AC27" i="34"/>
  <c r="AC28" i="34"/>
  <c r="AC24" i="34"/>
  <c r="AC29" i="34"/>
  <c r="AC25" i="34"/>
  <c r="BA19" i="37" l="1"/>
  <c r="BA20" i="37"/>
  <c r="BA21" i="37"/>
  <c r="BA22" i="37"/>
  <c r="BA23" i="37"/>
  <c r="BA24" i="37"/>
  <c r="BA25" i="37"/>
  <c r="BA26" i="37"/>
  <c r="BA27" i="37"/>
  <c r="BA28" i="37"/>
  <c r="BA29" i="37"/>
  <c r="BA30" i="37"/>
  <c r="BD30" i="37" s="1"/>
  <c r="C32" i="37"/>
  <c r="BC30" i="37"/>
  <c r="BC29" i="37"/>
  <c r="BC28" i="37"/>
  <c r="BC27" i="37"/>
  <c r="BC26" i="37"/>
  <c r="BC25" i="37"/>
  <c r="BC24" i="37"/>
  <c r="BC23" i="37"/>
  <c r="BC22" i="37"/>
  <c r="BC21" i="37"/>
  <c r="BC20" i="37"/>
  <c r="BC19" i="37"/>
  <c r="BB30" i="37"/>
  <c r="BB29" i="37"/>
  <c r="BB28" i="37"/>
  <c r="BB27" i="37"/>
  <c r="BB26" i="37"/>
  <c r="BB25" i="37"/>
  <c r="BB24" i="37"/>
  <c r="BB23" i="37"/>
  <c r="BB22" i="37"/>
  <c r="BB21" i="37"/>
  <c r="BB20" i="37"/>
  <c r="BB19" i="37"/>
  <c r="BC18" i="37"/>
  <c r="BC17" i="37"/>
  <c r="BC16" i="37"/>
  <c r="BC15" i="37"/>
  <c r="BC14" i="37"/>
  <c r="BC13" i="37"/>
  <c r="BC11" i="37"/>
  <c r="J7" i="3"/>
  <c r="J6" i="3"/>
  <c r="J8" i="3"/>
  <c r="G30" i="37"/>
  <c r="G16" i="37"/>
  <c r="BB16" i="37" s="1"/>
  <c r="G14" i="37"/>
  <c r="BB14" i="37" s="1"/>
  <c r="G20" i="37"/>
  <c r="G21" i="37"/>
  <c r="G28" i="37"/>
  <c r="G15" i="37"/>
  <c r="G25" i="37"/>
  <c r="G18" i="37"/>
  <c r="BB18" i="37" s="1"/>
  <c r="G23" i="37"/>
  <c r="G27" i="37"/>
  <c r="G17" i="37"/>
  <c r="G19" i="37"/>
  <c r="G22" i="37"/>
  <c r="G13" i="37"/>
  <c r="BB13" i="37" s="1"/>
  <c r="G24" i="37"/>
  <c r="G26" i="37"/>
  <c r="G12" i="37"/>
  <c r="G29" i="37"/>
  <c r="A7" i="37" l="1"/>
  <c r="BB12" i="37"/>
  <c r="BB32" i="37"/>
  <c r="BB15" i="37"/>
  <c r="BA18" i="37"/>
  <c r="BD18" i="37" s="1"/>
  <c r="BA12" i="37"/>
  <c r="BD12" i="37" s="1"/>
  <c r="BA13" i="37"/>
  <c r="BD13" i="37" s="1"/>
  <c r="BB17" i="37"/>
  <c r="BA17" i="37"/>
  <c r="BD17" i="37" s="1"/>
  <c r="BA16" i="37"/>
  <c r="BD16" i="37" s="1"/>
  <c r="BA15" i="37"/>
  <c r="BD15" i="37" s="1"/>
  <c r="BA14" i="37"/>
  <c r="BD14" i="37" s="1"/>
  <c r="BC32" i="37"/>
  <c r="BC12" i="37"/>
  <c r="BD24" i="37"/>
  <c r="BD25" i="37"/>
  <c r="BD26" i="37"/>
  <c r="BD19" i="37"/>
  <c r="BD27" i="37"/>
  <c r="BD20" i="37"/>
  <c r="BD28" i="37"/>
  <c r="BD21" i="37"/>
  <c r="BD29" i="37"/>
  <c r="BD22" i="37"/>
  <c r="BD23" i="37"/>
  <c r="F115" i="6" l="1"/>
  <c r="G115" i="6" s="1"/>
  <c r="D118" i="6" s="1"/>
  <c r="E66" i="37"/>
  <c r="BA32" i="37"/>
  <c r="BD57" i="37"/>
  <c r="M66" i="37" l="1"/>
  <c r="E121" i="37"/>
  <c r="M56" i="37"/>
  <c r="B56" i="37"/>
  <c r="E56" i="37"/>
  <c r="E111" i="37" s="1"/>
  <c r="D56" i="37"/>
  <c r="D111" i="37" s="1"/>
  <c r="C111" i="37" s="1"/>
  <c r="BD67" i="37"/>
  <c r="BD51" i="37"/>
  <c r="BD59" i="37"/>
  <c r="BD52" i="37"/>
  <c r="BD50" i="37"/>
  <c r="BD53" i="37"/>
  <c r="BD61" i="37"/>
  <c r="BD65" i="37"/>
  <c r="BD63" i="37"/>
  <c r="BD60" i="37"/>
  <c r="BD64" i="37"/>
  <c r="BD62" i="37"/>
  <c r="BD48" i="37"/>
  <c r="BD54" i="37"/>
  <c r="BD56" i="37"/>
  <c r="BD66" i="37"/>
  <c r="BD49" i="37"/>
  <c r="BD58" i="37"/>
  <c r="BD55" i="37"/>
  <c r="F111" i="37" l="1"/>
  <c r="I56" i="37"/>
  <c r="B111" i="37"/>
  <c r="M59" i="37"/>
  <c r="M55" i="37"/>
  <c r="M60" i="37"/>
  <c r="M53" i="37"/>
  <c r="M52" i="37"/>
  <c r="M47" i="37"/>
  <c r="E47" i="37"/>
  <c r="E102" i="37" s="1"/>
  <c r="M49" i="37"/>
  <c r="M63" i="37"/>
  <c r="M54" i="37"/>
  <c r="M50" i="37"/>
  <c r="M51" i="37"/>
  <c r="M57" i="37"/>
  <c r="M48" i="37"/>
  <c r="M62" i="37"/>
  <c r="M61" i="37"/>
  <c r="M58" i="37"/>
  <c r="M65" i="37"/>
  <c r="M64" i="37"/>
  <c r="B63" i="37"/>
  <c r="E63" i="37"/>
  <c r="E118" i="37" s="1"/>
  <c r="D63" i="37"/>
  <c r="D118" i="37" s="1"/>
  <c r="C118" i="37" s="1"/>
  <c r="B59" i="37"/>
  <c r="E59" i="37"/>
  <c r="E114" i="37" s="1"/>
  <c r="D59" i="37"/>
  <c r="D114" i="37" s="1"/>
  <c r="C114" i="37" s="1"/>
  <c r="B50" i="37"/>
  <c r="D50" i="37"/>
  <c r="D105" i="37" s="1"/>
  <c r="C105" i="37" s="1"/>
  <c r="E50" i="37"/>
  <c r="E105" i="37" s="1"/>
  <c r="E57" i="37"/>
  <c r="E112" i="37" s="1"/>
  <c r="B57" i="37"/>
  <c r="D57" i="37"/>
  <c r="D112" i="37" s="1"/>
  <c r="C112" i="37" s="1"/>
  <c r="B60" i="37"/>
  <c r="E60" i="37"/>
  <c r="E115" i="37" s="1"/>
  <c r="D60" i="37"/>
  <c r="D115" i="37" s="1"/>
  <c r="C115" i="37" s="1"/>
  <c r="B54" i="37"/>
  <c r="E54" i="37"/>
  <c r="E109" i="37" s="1"/>
  <c r="D54" i="37"/>
  <c r="D109" i="37" s="1"/>
  <c r="C109" i="37" s="1"/>
  <c r="B62" i="37"/>
  <c r="E62" i="37"/>
  <c r="E117" i="37" s="1"/>
  <c r="D62" i="37"/>
  <c r="D117" i="37" s="1"/>
  <c r="C117" i="37" s="1"/>
  <c r="B64" i="37"/>
  <c r="D64" i="37"/>
  <c r="D119" i="37" s="1"/>
  <c r="C119" i="37" s="1"/>
  <c r="E64" i="37"/>
  <c r="E119" i="37" s="1"/>
  <c r="B55" i="37"/>
  <c r="D55" i="37"/>
  <c r="D110" i="37" s="1"/>
  <c r="C110" i="37" s="1"/>
  <c r="E55" i="37"/>
  <c r="E110" i="37" s="1"/>
  <c r="B53" i="37"/>
  <c r="D53" i="37"/>
  <c r="D108" i="37" s="1"/>
  <c r="C108" i="37" s="1"/>
  <c r="E53" i="37"/>
  <c r="E108" i="37" s="1"/>
  <c r="B52" i="37"/>
  <c r="E52" i="37"/>
  <c r="E107" i="37" s="1"/>
  <c r="D52" i="37"/>
  <c r="D107" i="37" s="1"/>
  <c r="C107" i="37" s="1"/>
  <c r="B48" i="37"/>
  <c r="E48" i="37"/>
  <c r="E103" i="37" s="1"/>
  <c r="D48" i="37"/>
  <c r="D103" i="37" s="1"/>
  <c r="C103" i="37" s="1"/>
  <c r="B49" i="37"/>
  <c r="D49" i="37"/>
  <c r="D104" i="37" s="1"/>
  <c r="C104" i="37" s="1"/>
  <c r="E49" i="37"/>
  <c r="E104" i="37" s="1"/>
  <c r="B58" i="37"/>
  <c r="D58" i="37"/>
  <c r="D113" i="37" s="1"/>
  <c r="C113" i="37" s="1"/>
  <c r="E58" i="37"/>
  <c r="E113" i="37" s="1"/>
  <c r="B65" i="37"/>
  <c r="E65" i="37"/>
  <c r="E120" i="37" s="1"/>
  <c r="D65" i="37"/>
  <c r="D120" i="37" s="1"/>
  <c r="C120" i="37" s="1"/>
  <c r="B61" i="37"/>
  <c r="D61" i="37"/>
  <c r="D116" i="37" s="1"/>
  <c r="C116" i="37" s="1"/>
  <c r="E61" i="37"/>
  <c r="E116" i="37" s="1"/>
  <c r="B51" i="37"/>
  <c r="D51" i="37"/>
  <c r="D106" i="37" s="1"/>
  <c r="C106" i="37" s="1"/>
  <c r="E51" i="37"/>
  <c r="E106" i="37" s="1"/>
  <c r="D47" i="37"/>
  <c r="D102" i="37" s="1"/>
  <c r="B47" i="37"/>
  <c r="I47" i="37" s="1"/>
  <c r="BC76" i="36"/>
  <c r="BB76" i="36"/>
  <c r="BA76" i="36"/>
  <c r="AZ76" i="36"/>
  <c r="AY76" i="36"/>
  <c r="AX76" i="36"/>
  <c r="AW76" i="36"/>
  <c r="AV76" i="36"/>
  <c r="AU76" i="36"/>
  <c r="AT76" i="36"/>
  <c r="AS76" i="36"/>
  <c r="AR76" i="36"/>
  <c r="AQ76" i="36"/>
  <c r="AP76" i="36"/>
  <c r="AO76" i="36"/>
  <c r="AN76" i="36"/>
  <c r="AM76" i="36"/>
  <c r="AL76" i="36"/>
  <c r="AK76" i="36"/>
  <c r="AJ76" i="36"/>
  <c r="AI76" i="36"/>
  <c r="AH76" i="36"/>
  <c r="AG76" i="36"/>
  <c r="AF76" i="36"/>
  <c r="AE76" i="36"/>
  <c r="AD76" i="36"/>
  <c r="AC76" i="36"/>
  <c r="AB76" i="36"/>
  <c r="AA76" i="36"/>
  <c r="Z76" i="36"/>
  <c r="Y76" i="36"/>
  <c r="X76" i="36"/>
  <c r="W76" i="36"/>
  <c r="V76" i="36"/>
  <c r="U76" i="36"/>
  <c r="T76" i="36"/>
  <c r="S76" i="36"/>
  <c r="R76" i="36"/>
  <c r="Q76" i="36"/>
  <c r="P76" i="36"/>
  <c r="O76" i="36"/>
  <c r="N76" i="36"/>
  <c r="M76" i="36"/>
  <c r="L76" i="36"/>
  <c r="K76" i="36"/>
  <c r="B74" i="36"/>
  <c r="B73" i="36"/>
  <c r="B72" i="36"/>
  <c r="C62" i="36"/>
  <c r="F112" i="37" l="1"/>
  <c r="F118" i="37"/>
  <c r="F108" i="37"/>
  <c r="F109" i="37"/>
  <c r="F105" i="37"/>
  <c r="F116" i="37"/>
  <c r="F115" i="37"/>
  <c r="D121" i="37"/>
  <c r="C102" i="37"/>
  <c r="F102" i="37" s="1"/>
  <c r="I53" i="37"/>
  <c r="B108" i="37"/>
  <c r="I59" i="37"/>
  <c r="B114" i="37"/>
  <c r="I57" i="37"/>
  <c r="B112" i="37"/>
  <c r="I51" i="37"/>
  <c r="B106" i="37"/>
  <c r="F113" i="37"/>
  <c r="F107" i="37"/>
  <c r="I55" i="37"/>
  <c r="B110" i="37"/>
  <c r="I63" i="37"/>
  <c r="B118" i="37"/>
  <c r="I65" i="37"/>
  <c r="B120" i="37"/>
  <c r="I62" i="37"/>
  <c r="B117" i="37"/>
  <c r="F106" i="37"/>
  <c r="I58" i="37"/>
  <c r="B113" i="37"/>
  <c r="I54" i="37"/>
  <c r="B109" i="37"/>
  <c r="F110" i="37"/>
  <c r="I52" i="37"/>
  <c r="B107" i="37"/>
  <c r="F119" i="37"/>
  <c r="I50" i="37"/>
  <c r="B105" i="37"/>
  <c r="F103" i="37"/>
  <c r="I48" i="37"/>
  <c r="B103" i="37"/>
  <c r="I61" i="37"/>
  <c r="B116" i="37"/>
  <c r="F104" i="37"/>
  <c r="I64" i="37"/>
  <c r="B119" i="37"/>
  <c r="F114" i="37"/>
  <c r="B102" i="37"/>
  <c r="F120" i="37"/>
  <c r="I49" i="37"/>
  <c r="B104" i="37"/>
  <c r="F117" i="37"/>
  <c r="I60" i="37"/>
  <c r="B115" i="37"/>
  <c r="D66" i="37"/>
  <c r="S10" i="33"/>
  <c r="S11" i="33"/>
  <c r="S12" i="33"/>
  <c r="S13" i="33"/>
  <c r="S14" i="33"/>
  <c r="S15" i="33"/>
  <c r="S16" i="33"/>
  <c r="S9" i="33"/>
  <c r="R16" i="33"/>
  <c r="R10" i="33"/>
  <c r="R11" i="33"/>
  <c r="R12" i="33"/>
  <c r="R13" i="33"/>
  <c r="R14" i="33"/>
  <c r="R15" i="33"/>
  <c r="R9" i="33"/>
  <c r="S8" i="33"/>
  <c r="S6" i="33"/>
  <c r="S7" i="33"/>
  <c r="S5" i="33"/>
  <c r="R4" i="33"/>
  <c r="R5" i="33"/>
  <c r="R6" i="33"/>
  <c r="R7" i="33"/>
  <c r="R8" i="33"/>
  <c r="R3" i="33"/>
  <c r="AK818" i="35"/>
  <c r="B818" i="35"/>
  <c r="AK817" i="35"/>
  <c r="B817" i="35"/>
  <c r="AK816" i="35"/>
  <c r="B816" i="35"/>
  <c r="AK815" i="35"/>
  <c r="B815" i="35"/>
  <c r="AK814" i="35"/>
  <c r="B814" i="35"/>
  <c r="AK813" i="35"/>
  <c r="B813" i="35"/>
  <c r="AK812" i="35"/>
  <c r="B812" i="35"/>
  <c r="AK811" i="35"/>
  <c r="B811" i="35"/>
  <c r="AK810" i="35"/>
  <c r="B810" i="35"/>
  <c r="AK809" i="35"/>
  <c r="B809" i="35"/>
  <c r="AK808" i="35"/>
  <c r="B808" i="35"/>
  <c r="AK807" i="35"/>
  <c r="B807" i="35"/>
  <c r="AK806" i="35"/>
  <c r="B806" i="35"/>
  <c r="AK805" i="35"/>
  <c r="B805" i="35"/>
  <c r="AK804" i="35"/>
  <c r="B804" i="35"/>
  <c r="AK803" i="35"/>
  <c r="B803" i="35"/>
  <c r="AK802" i="35"/>
  <c r="B802" i="35"/>
  <c r="AK801" i="35"/>
  <c r="B801" i="35"/>
  <c r="AK800" i="35"/>
  <c r="B800" i="35"/>
  <c r="AK799" i="35"/>
  <c r="B799" i="35"/>
  <c r="AK798" i="35"/>
  <c r="B798" i="35"/>
  <c r="AK797" i="35"/>
  <c r="B797" i="35"/>
  <c r="AK796" i="35"/>
  <c r="B796" i="35"/>
  <c r="AK795" i="35"/>
  <c r="B795" i="35"/>
  <c r="AK794" i="35"/>
  <c r="B794" i="35"/>
  <c r="AK793" i="35"/>
  <c r="B793" i="35"/>
  <c r="AK792" i="35"/>
  <c r="B792" i="35"/>
  <c r="AK791" i="35"/>
  <c r="B791" i="35"/>
  <c r="AK790" i="35"/>
  <c r="B790" i="35"/>
  <c r="AK789" i="35"/>
  <c r="B789" i="35"/>
  <c r="AK788" i="35"/>
  <c r="B788" i="35"/>
  <c r="AK787" i="35"/>
  <c r="B787" i="35"/>
  <c r="AK786" i="35"/>
  <c r="B786" i="35"/>
  <c r="AK785" i="35"/>
  <c r="B785" i="35"/>
  <c r="AK784" i="35"/>
  <c r="B784" i="35"/>
  <c r="AK783" i="35"/>
  <c r="B783" i="35"/>
  <c r="AK782" i="35"/>
  <c r="B782" i="35"/>
  <c r="AK781" i="35"/>
  <c r="B781" i="35"/>
  <c r="AK780" i="35"/>
  <c r="B780" i="35"/>
  <c r="AK779" i="35"/>
  <c r="B779" i="35"/>
  <c r="AK778" i="35"/>
  <c r="B778" i="35"/>
  <c r="AK777" i="35"/>
  <c r="B777" i="35"/>
  <c r="AK776" i="35"/>
  <c r="B776" i="35"/>
  <c r="AK775" i="35"/>
  <c r="B775" i="35"/>
  <c r="AK774" i="35"/>
  <c r="B774" i="35"/>
  <c r="AK773" i="35"/>
  <c r="B773" i="35"/>
  <c r="AK772" i="35"/>
  <c r="B772" i="35"/>
  <c r="AK771" i="35"/>
  <c r="B771" i="35"/>
  <c r="AK770" i="35"/>
  <c r="B770" i="35"/>
  <c r="AK769" i="35"/>
  <c r="B769" i="35"/>
  <c r="AK768" i="35"/>
  <c r="B768" i="35"/>
  <c r="AK767" i="35"/>
  <c r="B767" i="35"/>
  <c r="AK766" i="35"/>
  <c r="B766" i="35"/>
  <c r="AK765" i="35"/>
  <c r="B765" i="35"/>
  <c r="AK764" i="35"/>
  <c r="B764" i="35"/>
  <c r="AK763" i="35"/>
  <c r="B763" i="35"/>
  <c r="AK762" i="35"/>
  <c r="B762" i="35"/>
  <c r="AK761" i="35"/>
  <c r="B761" i="35"/>
  <c r="AK760" i="35"/>
  <c r="B760" i="35"/>
  <c r="AK759" i="35"/>
  <c r="B759" i="35"/>
  <c r="AK758" i="35"/>
  <c r="B758" i="35"/>
  <c r="AK757" i="35"/>
  <c r="B757" i="35"/>
  <c r="AK756" i="35"/>
  <c r="B756" i="35"/>
  <c r="AK755" i="35"/>
  <c r="B755" i="35"/>
  <c r="AK754" i="35"/>
  <c r="B754" i="35"/>
  <c r="AK753" i="35"/>
  <c r="B753" i="35"/>
  <c r="AK752" i="35"/>
  <c r="B752" i="35"/>
  <c r="AK751" i="35"/>
  <c r="B751" i="35"/>
  <c r="AK750" i="35"/>
  <c r="B750" i="35"/>
  <c r="AK749" i="35"/>
  <c r="B749" i="35"/>
  <c r="AK748" i="35"/>
  <c r="B748" i="35"/>
  <c r="AK747" i="35"/>
  <c r="B747" i="35"/>
  <c r="AK746" i="35"/>
  <c r="B746" i="35"/>
  <c r="AK745" i="35"/>
  <c r="B745" i="35"/>
  <c r="AK744" i="35"/>
  <c r="B744" i="35"/>
  <c r="AK743" i="35"/>
  <c r="B743" i="35"/>
  <c r="AK742" i="35"/>
  <c r="B742" i="35"/>
  <c r="AK741" i="35"/>
  <c r="B741" i="35"/>
  <c r="AK740" i="35"/>
  <c r="B740" i="35"/>
  <c r="AK739" i="35"/>
  <c r="B739" i="35"/>
  <c r="AK738" i="35"/>
  <c r="B738" i="35"/>
  <c r="AK737" i="35"/>
  <c r="B737" i="35"/>
  <c r="AK736" i="35"/>
  <c r="B736" i="35"/>
  <c r="AK735" i="35"/>
  <c r="B735" i="35"/>
  <c r="AK734" i="35"/>
  <c r="B734" i="35"/>
  <c r="AK733" i="35"/>
  <c r="B733" i="35"/>
  <c r="AK732" i="35"/>
  <c r="B732" i="35"/>
  <c r="AK731" i="35"/>
  <c r="B731" i="35"/>
  <c r="AK730" i="35"/>
  <c r="B730" i="35"/>
  <c r="AK729" i="35"/>
  <c r="B729" i="35"/>
  <c r="AK728" i="35"/>
  <c r="B728" i="35"/>
  <c r="AK727" i="35"/>
  <c r="B727" i="35"/>
  <c r="AK726" i="35"/>
  <c r="B726" i="35"/>
  <c r="AK725" i="35"/>
  <c r="B725" i="35"/>
  <c r="AK724" i="35"/>
  <c r="B724" i="35"/>
  <c r="AK723" i="35"/>
  <c r="B723" i="35"/>
  <c r="AK722" i="35"/>
  <c r="B722" i="35"/>
  <c r="AK721" i="35"/>
  <c r="B721" i="35"/>
  <c r="AK720" i="35"/>
  <c r="B720" i="35"/>
  <c r="AK719" i="35"/>
  <c r="B719" i="35"/>
  <c r="AK718" i="35"/>
  <c r="B718" i="35"/>
  <c r="AK717" i="35"/>
  <c r="B717" i="35"/>
  <c r="AK716" i="35"/>
  <c r="B716" i="35"/>
  <c r="AK715" i="35"/>
  <c r="B715" i="35"/>
  <c r="AK714" i="35"/>
  <c r="B714" i="35"/>
  <c r="AK713" i="35"/>
  <c r="B713" i="35"/>
  <c r="AK712" i="35"/>
  <c r="B712" i="35"/>
  <c r="AK711" i="35"/>
  <c r="B711" i="35"/>
  <c r="AK710" i="35"/>
  <c r="B710" i="35"/>
  <c r="AK709" i="35"/>
  <c r="B709" i="35"/>
  <c r="AK708" i="35"/>
  <c r="B708" i="35"/>
  <c r="AK707" i="35"/>
  <c r="B707" i="35"/>
  <c r="AK706" i="35"/>
  <c r="B706" i="35"/>
  <c r="AK705" i="35"/>
  <c r="B705" i="35"/>
  <c r="AK704" i="35"/>
  <c r="B704" i="35"/>
  <c r="AK703" i="35"/>
  <c r="B703" i="35"/>
  <c r="AK702" i="35"/>
  <c r="B702" i="35"/>
  <c r="AK701" i="35"/>
  <c r="B701" i="35"/>
  <c r="AK700" i="35"/>
  <c r="B700" i="35"/>
  <c r="AK699" i="35"/>
  <c r="B699" i="35"/>
  <c r="AK698" i="35"/>
  <c r="B698" i="35"/>
  <c r="AK697" i="35"/>
  <c r="B697" i="35"/>
  <c r="AK696" i="35"/>
  <c r="B696" i="35"/>
  <c r="AK695" i="35"/>
  <c r="B695" i="35"/>
  <c r="AK694" i="35"/>
  <c r="B694" i="35"/>
  <c r="AK693" i="35"/>
  <c r="B693" i="35"/>
  <c r="AK692" i="35"/>
  <c r="B692" i="35"/>
  <c r="AK691" i="35"/>
  <c r="B691" i="35"/>
  <c r="AK690" i="35"/>
  <c r="B690" i="35"/>
  <c r="AK689" i="35"/>
  <c r="B689" i="35"/>
  <c r="AK688" i="35"/>
  <c r="B688" i="35"/>
  <c r="AK687" i="35"/>
  <c r="B687" i="35"/>
  <c r="AK686" i="35"/>
  <c r="B686" i="35"/>
  <c r="AK685" i="35"/>
  <c r="B685" i="35"/>
  <c r="AK684" i="35"/>
  <c r="B684" i="35"/>
  <c r="AK683" i="35"/>
  <c r="B683" i="35"/>
  <c r="AK682" i="35"/>
  <c r="B682" i="35"/>
  <c r="AK681" i="35"/>
  <c r="B681" i="35"/>
  <c r="AK680" i="35"/>
  <c r="B680" i="35"/>
  <c r="AK679" i="35"/>
  <c r="B679" i="35"/>
  <c r="AK678" i="35"/>
  <c r="B678" i="35"/>
  <c r="AK677" i="35"/>
  <c r="B677" i="35"/>
  <c r="AK676" i="35"/>
  <c r="B676" i="35"/>
  <c r="AK675" i="35"/>
  <c r="B675" i="35"/>
  <c r="AK674" i="35"/>
  <c r="B674" i="35"/>
  <c r="AK673" i="35"/>
  <c r="B673" i="35"/>
  <c r="AK672" i="35"/>
  <c r="B672" i="35"/>
  <c r="AK671" i="35"/>
  <c r="B671" i="35"/>
  <c r="AK670" i="35"/>
  <c r="B670" i="35"/>
  <c r="AK669" i="35"/>
  <c r="B669" i="35"/>
  <c r="AK668" i="35"/>
  <c r="B668" i="35"/>
  <c r="AK667" i="35"/>
  <c r="B667" i="35"/>
  <c r="AK666" i="35"/>
  <c r="B666" i="35"/>
  <c r="AK665" i="35"/>
  <c r="B665" i="35"/>
  <c r="AK664" i="35"/>
  <c r="B664" i="35"/>
  <c r="AK663" i="35"/>
  <c r="B663" i="35"/>
  <c r="AK662" i="35"/>
  <c r="B662" i="35"/>
  <c r="AK661" i="35"/>
  <c r="B661" i="35"/>
  <c r="AK660" i="35"/>
  <c r="B660" i="35"/>
  <c r="AK659" i="35"/>
  <c r="B659" i="35"/>
  <c r="AK658" i="35"/>
  <c r="B658" i="35"/>
  <c r="AK657" i="35"/>
  <c r="B657" i="35"/>
  <c r="AK656" i="35"/>
  <c r="B656" i="35"/>
  <c r="AK655" i="35"/>
  <c r="B655" i="35"/>
  <c r="AK654" i="35"/>
  <c r="B654" i="35"/>
  <c r="AK653" i="35"/>
  <c r="B653" i="35"/>
  <c r="AK652" i="35"/>
  <c r="B652" i="35"/>
  <c r="AK651" i="35"/>
  <c r="B651" i="35"/>
  <c r="AK650" i="35"/>
  <c r="B650" i="35"/>
  <c r="AK649" i="35"/>
  <c r="B649" i="35"/>
  <c r="AK648" i="35"/>
  <c r="B648" i="35"/>
  <c r="AK647" i="35"/>
  <c r="B647" i="35"/>
  <c r="AK646" i="35"/>
  <c r="B646" i="35"/>
  <c r="AK645" i="35"/>
  <c r="B645" i="35"/>
  <c r="AK644" i="35"/>
  <c r="B644" i="35"/>
  <c r="AK643" i="35"/>
  <c r="B643" i="35"/>
  <c r="AK642" i="35"/>
  <c r="B642" i="35"/>
  <c r="AK641" i="35"/>
  <c r="B641" i="35"/>
  <c r="AK640" i="35"/>
  <c r="B640" i="35"/>
  <c r="AK639" i="35"/>
  <c r="B639" i="35"/>
  <c r="AK638" i="35"/>
  <c r="B638" i="35"/>
  <c r="AK637" i="35"/>
  <c r="B637" i="35"/>
  <c r="AK636" i="35"/>
  <c r="B636" i="35"/>
  <c r="AK635" i="35"/>
  <c r="B635" i="35"/>
  <c r="AK634" i="35"/>
  <c r="B634" i="35"/>
  <c r="AK633" i="35"/>
  <c r="B633" i="35"/>
  <c r="AK632" i="35"/>
  <c r="B632" i="35"/>
  <c r="AK631" i="35"/>
  <c r="B631" i="35"/>
  <c r="AK630" i="35"/>
  <c r="B630" i="35"/>
  <c r="AK629" i="35"/>
  <c r="B629" i="35"/>
  <c r="AK628" i="35"/>
  <c r="B628" i="35"/>
  <c r="AK627" i="35"/>
  <c r="B627" i="35"/>
  <c r="AK626" i="35"/>
  <c r="B626" i="35"/>
  <c r="AK625" i="35"/>
  <c r="B625" i="35"/>
  <c r="AK624" i="35"/>
  <c r="B624" i="35"/>
  <c r="AK623" i="35"/>
  <c r="B623" i="35"/>
  <c r="AK622" i="35"/>
  <c r="B622" i="35"/>
  <c r="AK621" i="35"/>
  <c r="B621" i="35"/>
  <c r="AK620" i="35"/>
  <c r="B620" i="35"/>
  <c r="AK619" i="35"/>
  <c r="B619" i="35"/>
  <c r="AK618" i="35"/>
  <c r="B618" i="35"/>
  <c r="AK617" i="35"/>
  <c r="B617" i="35"/>
  <c r="AK616" i="35"/>
  <c r="B616" i="35"/>
  <c r="AK615" i="35"/>
  <c r="B615" i="35"/>
  <c r="AK614" i="35"/>
  <c r="B614" i="35"/>
  <c r="AK613" i="35"/>
  <c r="B613" i="35"/>
  <c r="AK612" i="35"/>
  <c r="B612" i="35"/>
  <c r="AK611" i="35"/>
  <c r="B611" i="35"/>
  <c r="AK610" i="35"/>
  <c r="B610" i="35"/>
  <c r="AK609" i="35"/>
  <c r="B609" i="35"/>
  <c r="AK608" i="35"/>
  <c r="B608" i="35"/>
  <c r="AK607" i="35"/>
  <c r="B607" i="35"/>
  <c r="AK606" i="35"/>
  <c r="B606" i="35"/>
  <c r="AK605" i="35"/>
  <c r="B605" i="35"/>
  <c r="AK604" i="35"/>
  <c r="B604" i="35"/>
  <c r="AK603" i="35"/>
  <c r="B603" i="35"/>
  <c r="AK602" i="35"/>
  <c r="B602" i="35"/>
  <c r="AK601" i="35"/>
  <c r="B601" i="35"/>
  <c r="AK600" i="35"/>
  <c r="B600" i="35"/>
  <c r="AK599" i="35"/>
  <c r="B599" i="35"/>
  <c r="AK598" i="35"/>
  <c r="B598" i="35"/>
  <c r="AK597" i="35"/>
  <c r="B597" i="35"/>
  <c r="AK596" i="35"/>
  <c r="B596" i="35"/>
  <c r="AK595" i="35"/>
  <c r="B595" i="35"/>
  <c r="AK594" i="35"/>
  <c r="B594" i="35"/>
  <c r="AK593" i="35"/>
  <c r="B593" i="35"/>
  <c r="AK592" i="35"/>
  <c r="B592" i="35"/>
  <c r="AK591" i="35"/>
  <c r="B591" i="35"/>
  <c r="AK590" i="35"/>
  <c r="B590" i="35"/>
  <c r="AK589" i="35"/>
  <c r="B589" i="35"/>
  <c r="AK588" i="35"/>
  <c r="B588" i="35"/>
  <c r="AK587" i="35"/>
  <c r="B587" i="35"/>
  <c r="AK586" i="35"/>
  <c r="B586" i="35"/>
  <c r="AK585" i="35"/>
  <c r="B585" i="35"/>
  <c r="AK584" i="35"/>
  <c r="B584" i="35"/>
  <c r="AK583" i="35"/>
  <c r="B583" i="35"/>
  <c r="AK582" i="35"/>
  <c r="B582" i="35"/>
  <c r="AK581" i="35"/>
  <c r="B581" i="35"/>
  <c r="AK580" i="35"/>
  <c r="B580" i="35"/>
  <c r="AK579" i="35"/>
  <c r="B579" i="35"/>
  <c r="AK578" i="35"/>
  <c r="B578" i="35"/>
  <c r="AK577" i="35"/>
  <c r="B577" i="35"/>
  <c r="AK576" i="35"/>
  <c r="B576" i="35"/>
  <c r="AK575" i="35"/>
  <c r="B575" i="35"/>
  <c r="AK574" i="35"/>
  <c r="B574" i="35"/>
  <c r="AK573" i="35"/>
  <c r="B573" i="35"/>
  <c r="AK572" i="35"/>
  <c r="B572" i="35"/>
  <c r="AK571" i="35"/>
  <c r="B571" i="35"/>
  <c r="AK570" i="35"/>
  <c r="B570" i="35"/>
  <c r="AK569" i="35"/>
  <c r="B569" i="35"/>
  <c r="AK568" i="35"/>
  <c r="B568" i="35"/>
  <c r="AK567" i="35"/>
  <c r="B567" i="35"/>
  <c r="AK566" i="35"/>
  <c r="B566" i="35"/>
  <c r="AK565" i="35"/>
  <c r="B565" i="35"/>
  <c r="AK564" i="35"/>
  <c r="B564" i="35"/>
  <c r="AK563" i="35"/>
  <c r="B563" i="35"/>
  <c r="AK562" i="35"/>
  <c r="B562" i="35"/>
  <c r="AK561" i="35"/>
  <c r="B561" i="35"/>
  <c r="AK560" i="35"/>
  <c r="B560" i="35"/>
  <c r="AK559" i="35"/>
  <c r="B559" i="35"/>
  <c r="AK558" i="35"/>
  <c r="B558" i="35"/>
  <c r="AK557" i="35"/>
  <c r="B557" i="35"/>
  <c r="AK556" i="35"/>
  <c r="B556" i="35"/>
  <c r="AK555" i="35"/>
  <c r="B555" i="35"/>
  <c r="AK554" i="35"/>
  <c r="B554" i="35"/>
  <c r="AK553" i="35"/>
  <c r="B553" i="35"/>
  <c r="AK552" i="35"/>
  <c r="B552" i="35"/>
  <c r="AK551" i="35"/>
  <c r="B551" i="35"/>
  <c r="AK550" i="35"/>
  <c r="B550" i="35"/>
  <c r="AK549" i="35"/>
  <c r="B549" i="35"/>
  <c r="AK548" i="35"/>
  <c r="B548" i="35"/>
  <c r="AK547" i="35"/>
  <c r="B547" i="35"/>
  <c r="AK546" i="35"/>
  <c r="B546" i="35"/>
  <c r="AK545" i="35"/>
  <c r="B545" i="35"/>
  <c r="AK544" i="35"/>
  <c r="B544" i="35"/>
  <c r="AK543" i="35"/>
  <c r="B543" i="35"/>
  <c r="AK542" i="35"/>
  <c r="B542" i="35"/>
  <c r="AK541" i="35"/>
  <c r="B541" i="35"/>
  <c r="AK540" i="35"/>
  <c r="B540" i="35"/>
  <c r="AK539" i="35"/>
  <c r="B539" i="35"/>
  <c r="AK538" i="35"/>
  <c r="B538" i="35"/>
  <c r="AK537" i="35"/>
  <c r="B537" i="35"/>
  <c r="AK536" i="35"/>
  <c r="B536" i="35"/>
  <c r="AK535" i="35"/>
  <c r="B535" i="35"/>
  <c r="AK534" i="35"/>
  <c r="B534" i="35"/>
  <c r="AK533" i="35"/>
  <c r="B533" i="35"/>
  <c r="AK532" i="35"/>
  <c r="B532" i="35"/>
  <c r="AK531" i="35"/>
  <c r="B531" i="35"/>
  <c r="AK530" i="35"/>
  <c r="B530" i="35"/>
  <c r="AK529" i="35"/>
  <c r="B529" i="35"/>
  <c r="AK528" i="35"/>
  <c r="B528" i="35"/>
  <c r="AK527" i="35"/>
  <c r="B527" i="35"/>
  <c r="AK526" i="35"/>
  <c r="B526" i="35"/>
  <c r="AK525" i="35"/>
  <c r="B525" i="35"/>
  <c r="AK524" i="35"/>
  <c r="B524" i="35"/>
  <c r="AK523" i="35"/>
  <c r="B523" i="35"/>
  <c r="AK522" i="35"/>
  <c r="B522" i="35"/>
  <c r="AK521" i="35"/>
  <c r="B521" i="35"/>
  <c r="AK520" i="35"/>
  <c r="B520" i="35"/>
  <c r="AK519" i="35"/>
  <c r="B519" i="35"/>
  <c r="AK518" i="35"/>
  <c r="B518" i="35"/>
  <c r="AK517" i="35"/>
  <c r="B517" i="35"/>
  <c r="AK516" i="35"/>
  <c r="B516" i="35"/>
  <c r="AK515" i="35"/>
  <c r="B515" i="35"/>
  <c r="AK514" i="35"/>
  <c r="B514" i="35"/>
  <c r="AK513" i="35"/>
  <c r="B513" i="35"/>
  <c r="AK512" i="35"/>
  <c r="B512" i="35"/>
  <c r="AK511" i="35"/>
  <c r="B511" i="35"/>
  <c r="AK510" i="35"/>
  <c r="B510" i="35"/>
  <c r="AK509" i="35"/>
  <c r="B509" i="35"/>
  <c r="AK508" i="35"/>
  <c r="B508" i="35"/>
  <c r="AK507" i="35"/>
  <c r="B507" i="35"/>
  <c r="AK506" i="35"/>
  <c r="B506" i="35"/>
  <c r="AK505" i="35"/>
  <c r="B505" i="35"/>
  <c r="AK504" i="35"/>
  <c r="B504" i="35"/>
  <c r="AK503" i="35"/>
  <c r="B503" i="35"/>
  <c r="AK502" i="35"/>
  <c r="B502" i="35"/>
  <c r="AK501" i="35"/>
  <c r="B501" i="35"/>
  <c r="AK500" i="35"/>
  <c r="B500" i="35"/>
  <c r="AK499" i="35"/>
  <c r="B499" i="35"/>
  <c r="AK498" i="35"/>
  <c r="B498" i="35"/>
  <c r="AK497" i="35"/>
  <c r="B497" i="35"/>
  <c r="AK496" i="35"/>
  <c r="B496" i="35"/>
  <c r="AK495" i="35"/>
  <c r="B495" i="35"/>
  <c r="AK494" i="35"/>
  <c r="B494" i="35"/>
  <c r="AK493" i="35"/>
  <c r="B493" i="35"/>
  <c r="AK492" i="35"/>
  <c r="B492" i="35"/>
  <c r="AK491" i="35"/>
  <c r="B491" i="35"/>
  <c r="AK490" i="35"/>
  <c r="B490" i="35"/>
  <c r="AK489" i="35"/>
  <c r="B489" i="35"/>
  <c r="AK488" i="35"/>
  <c r="B488" i="35"/>
  <c r="AK487" i="35"/>
  <c r="B487" i="35"/>
  <c r="AK486" i="35"/>
  <c r="B486" i="35"/>
  <c r="AK485" i="35"/>
  <c r="B485" i="35"/>
  <c r="AK484" i="35"/>
  <c r="B484" i="35"/>
  <c r="AK483" i="35"/>
  <c r="B483" i="35"/>
  <c r="AK482" i="35"/>
  <c r="B482" i="35"/>
  <c r="AK481" i="35"/>
  <c r="B481" i="35"/>
  <c r="AK480" i="35"/>
  <c r="B480" i="35"/>
  <c r="AK479" i="35"/>
  <c r="B479" i="35"/>
  <c r="AK478" i="35"/>
  <c r="B478" i="35"/>
  <c r="AK477" i="35"/>
  <c r="B477" i="35"/>
  <c r="AK476" i="35"/>
  <c r="B476" i="35"/>
  <c r="AK475" i="35"/>
  <c r="B475" i="35"/>
  <c r="AK474" i="35"/>
  <c r="B474" i="35"/>
  <c r="AK473" i="35"/>
  <c r="B473" i="35"/>
  <c r="AK472" i="35"/>
  <c r="B472" i="35"/>
  <c r="AK471" i="35"/>
  <c r="B471" i="35"/>
  <c r="AK470" i="35"/>
  <c r="B470" i="35"/>
  <c r="AK469" i="35"/>
  <c r="B469" i="35"/>
  <c r="AK468" i="35"/>
  <c r="B468" i="35"/>
  <c r="AK467" i="35"/>
  <c r="B467" i="35"/>
  <c r="AK466" i="35"/>
  <c r="B466" i="35"/>
  <c r="AK465" i="35"/>
  <c r="B465" i="35"/>
  <c r="AK464" i="35"/>
  <c r="B464" i="35"/>
  <c r="AK463" i="35"/>
  <c r="B463" i="35"/>
  <c r="AK462" i="35"/>
  <c r="B462" i="35"/>
  <c r="AK461" i="35"/>
  <c r="B461" i="35"/>
  <c r="AK460" i="35"/>
  <c r="B460" i="35"/>
  <c r="AK459" i="35"/>
  <c r="B459" i="35"/>
  <c r="AK458" i="35"/>
  <c r="B458" i="35"/>
  <c r="AK457" i="35"/>
  <c r="B457" i="35"/>
  <c r="AK456" i="35"/>
  <c r="B456" i="35"/>
  <c r="AK455" i="35"/>
  <c r="B455" i="35"/>
  <c r="AK454" i="35"/>
  <c r="B454" i="35"/>
  <c r="AK453" i="35"/>
  <c r="B453" i="35"/>
  <c r="AK452" i="35"/>
  <c r="B452" i="35"/>
  <c r="AK451" i="35"/>
  <c r="B451" i="35"/>
  <c r="AK450" i="35"/>
  <c r="B450" i="35"/>
  <c r="AK449" i="35"/>
  <c r="B449" i="35"/>
  <c r="AK448" i="35"/>
  <c r="B448" i="35"/>
  <c r="AK447" i="35"/>
  <c r="B447" i="35"/>
  <c r="AK446" i="35"/>
  <c r="B446" i="35"/>
  <c r="AK445" i="35"/>
  <c r="B445" i="35"/>
  <c r="AK444" i="35"/>
  <c r="B444" i="35"/>
  <c r="AK443" i="35"/>
  <c r="B443" i="35"/>
  <c r="AK442" i="35"/>
  <c r="B442" i="35"/>
  <c r="AK441" i="35"/>
  <c r="B441" i="35"/>
  <c r="AK440" i="35"/>
  <c r="B440" i="35"/>
  <c r="AK439" i="35"/>
  <c r="B439" i="35"/>
  <c r="AK438" i="35"/>
  <c r="B438" i="35"/>
  <c r="AK437" i="35"/>
  <c r="B437" i="35"/>
  <c r="AK436" i="35"/>
  <c r="B436" i="35"/>
  <c r="AK435" i="35"/>
  <c r="B435" i="35"/>
  <c r="AK434" i="35"/>
  <c r="B434" i="35"/>
  <c r="AK433" i="35"/>
  <c r="B433" i="35"/>
  <c r="AK432" i="35"/>
  <c r="B432" i="35"/>
  <c r="AK431" i="35"/>
  <c r="B431" i="35"/>
  <c r="AK430" i="35"/>
  <c r="B430" i="35"/>
  <c r="AK429" i="35"/>
  <c r="B429" i="35"/>
  <c r="AK428" i="35"/>
  <c r="B428" i="35"/>
  <c r="AK427" i="35"/>
  <c r="B427" i="35"/>
  <c r="AK426" i="35"/>
  <c r="B426" i="35"/>
  <c r="AK425" i="35"/>
  <c r="B425" i="35"/>
  <c r="AK424" i="35"/>
  <c r="B424" i="35"/>
  <c r="AK423" i="35"/>
  <c r="B423" i="35"/>
  <c r="AK422" i="35"/>
  <c r="B422" i="35"/>
  <c r="AK421" i="35"/>
  <c r="B421" i="35"/>
  <c r="AK420" i="35"/>
  <c r="B420" i="35"/>
  <c r="AK419" i="35"/>
  <c r="B419" i="35"/>
  <c r="AK418" i="35"/>
  <c r="B418" i="35"/>
  <c r="AK417" i="35"/>
  <c r="B417" i="35"/>
  <c r="AK416" i="35"/>
  <c r="B416" i="35"/>
  <c r="AK415" i="35"/>
  <c r="B415" i="35"/>
  <c r="AK414" i="35"/>
  <c r="B414" i="35"/>
  <c r="AK413" i="35"/>
  <c r="B413" i="35"/>
  <c r="AK412" i="35"/>
  <c r="B412" i="35"/>
  <c r="AK411" i="35"/>
  <c r="B411" i="35"/>
  <c r="AK410" i="35"/>
  <c r="B410" i="35"/>
  <c r="AK409" i="35"/>
  <c r="B409" i="35"/>
  <c r="AK408" i="35"/>
  <c r="B408" i="35"/>
  <c r="AK407" i="35"/>
  <c r="B407" i="35"/>
  <c r="AK406" i="35"/>
  <c r="B406" i="35"/>
  <c r="AK405" i="35"/>
  <c r="B405" i="35"/>
  <c r="AK404" i="35"/>
  <c r="B404" i="35"/>
  <c r="AK403" i="35"/>
  <c r="B403" i="35"/>
  <c r="AK402" i="35"/>
  <c r="B402" i="35"/>
  <c r="AK401" i="35"/>
  <c r="B401" i="35"/>
  <c r="AK400" i="35"/>
  <c r="B400" i="35"/>
  <c r="AK399" i="35"/>
  <c r="B399" i="35"/>
  <c r="AK398" i="35"/>
  <c r="B398" i="35"/>
  <c r="AK397" i="35"/>
  <c r="B397" i="35"/>
  <c r="AK396" i="35"/>
  <c r="B396" i="35"/>
  <c r="AK395" i="35"/>
  <c r="B395" i="35"/>
  <c r="AK394" i="35"/>
  <c r="B394" i="35"/>
  <c r="AK393" i="35"/>
  <c r="B393" i="35"/>
  <c r="AK392" i="35"/>
  <c r="B392" i="35"/>
  <c r="AK391" i="35"/>
  <c r="B391" i="35"/>
  <c r="AK390" i="35"/>
  <c r="B390" i="35"/>
  <c r="AK389" i="35"/>
  <c r="B389" i="35"/>
  <c r="AK388" i="35"/>
  <c r="B388" i="35"/>
  <c r="AK387" i="35"/>
  <c r="B387" i="35"/>
  <c r="AK386" i="35"/>
  <c r="B386" i="35"/>
  <c r="AK385" i="35"/>
  <c r="B385" i="35"/>
  <c r="AK384" i="35"/>
  <c r="B384" i="35"/>
  <c r="AK383" i="35"/>
  <c r="B383" i="35"/>
  <c r="AK382" i="35"/>
  <c r="B382" i="35"/>
  <c r="AK381" i="35"/>
  <c r="B381" i="35"/>
  <c r="AK380" i="35"/>
  <c r="B380" i="35"/>
  <c r="AK379" i="35"/>
  <c r="B379" i="35"/>
  <c r="AK378" i="35"/>
  <c r="B378" i="35"/>
  <c r="AK377" i="35"/>
  <c r="B377" i="35"/>
  <c r="AK376" i="35"/>
  <c r="B376" i="35"/>
  <c r="AK375" i="35"/>
  <c r="B375" i="35"/>
  <c r="AK374" i="35"/>
  <c r="B374" i="35"/>
  <c r="AK373" i="35"/>
  <c r="B373" i="35"/>
  <c r="AK372" i="35"/>
  <c r="B372" i="35"/>
  <c r="AK371" i="35"/>
  <c r="B371" i="35"/>
  <c r="AK370" i="35"/>
  <c r="B370" i="35"/>
  <c r="AK369" i="35"/>
  <c r="B369" i="35"/>
  <c r="AK368" i="35"/>
  <c r="B368" i="35"/>
  <c r="AK367" i="35"/>
  <c r="B367" i="35"/>
  <c r="AK366" i="35"/>
  <c r="B366" i="35"/>
  <c r="AK365" i="35"/>
  <c r="B365" i="35"/>
  <c r="AK364" i="35"/>
  <c r="B364" i="35"/>
  <c r="AK363" i="35"/>
  <c r="B363" i="35"/>
  <c r="AK362" i="35"/>
  <c r="B362" i="35"/>
  <c r="AK361" i="35"/>
  <c r="B361" i="35"/>
  <c r="AK360" i="35"/>
  <c r="B360" i="35"/>
  <c r="AK359" i="35"/>
  <c r="B359" i="35"/>
  <c r="AK358" i="35"/>
  <c r="B358" i="35"/>
  <c r="AK357" i="35"/>
  <c r="B357" i="35"/>
  <c r="AK356" i="35"/>
  <c r="B356" i="35"/>
  <c r="AK355" i="35"/>
  <c r="B355" i="35"/>
  <c r="AK354" i="35"/>
  <c r="B354" i="35"/>
  <c r="AK353" i="35"/>
  <c r="B353" i="35"/>
  <c r="AK352" i="35"/>
  <c r="B352" i="35"/>
  <c r="AK351" i="35"/>
  <c r="B351" i="35"/>
  <c r="AK350" i="35"/>
  <c r="B350" i="35"/>
  <c r="AK349" i="35"/>
  <c r="B349" i="35"/>
  <c r="AK348" i="35"/>
  <c r="B348" i="35"/>
  <c r="AK347" i="35"/>
  <c r="B347" i="35"/>
  <c r="AK346" i="35"/>
  <c r="B346" i="35"/>
  <c r="AK345" i="35"/>
  <c r="B345" i="35"/>
  <c r="AK344" i="35"/>
  <c r="B344" i="35"/>
  <c r="AK343" i="35"/>
  <c r="B343" i="35"/>
  <c r="AK342" i="35"/>
  <c r="B342" i="35"/>
  <c r="AK341" i="35"/>
  <c r="B341" i="35"/>
  <c r="AK340" i="35"/>
  <c r="B340" i="35"/>
  <c r="AK339" i="35"/>
  <c r="B339" i="35"/>
  <c r="AK338" i="35"/>
  <c r="B338" i="35"/>
  <c r="AK337" i="35"/>
  <c r="B337" i="35"/>
  <c r="AK336" i="35"/>
  <c r="B336" i="35"/>
  <c r="AK335" i="35"/>
  <c r="B335" i="35"/>
  <c r="AK334" i="35"/>
  <c r="B334" i="35"/>
  <c r="AK333" i="35"/>
  <c r="B333" i="35"/>
  <c r="AK332" i="35"/>
  <c r="B332" i="35"/>
  <c r="AK331" i="35"/>
  <c r="B331" i="35"/>
  <c r="AK330" i="35"/>
  <c r="B330" i="35"/>
  <c r="AK329" i="35"/>
  <c r="B329" i="35"/>
  <c r="AK328" i="35"/>
  <c r="B328" i="35"/>
  <c r="AK327" i="35"/>
  <c r="B327" i="35"/>
  <c r="AK326" i="35"/>
  <c r="B326" i="35"/>
  <c r="AK325" i="35"/>
  <c r="B325" i="35"/>
  <c r="AK324" i="35"/>
  <c r="B324" i="35"/>
  <c r="AK323" i="35"/>
  <c r="B323" i="35"/>
  <c r="AK322" i="35"/>
  <c r="B322" i="35"/>
  <c r="AK321" i="35"/>
  <c r="B321" i="35"/>
  <c r="AK320" i="35"/>
  <c r="B320" i="35"/>
  <c r="AK319" i="35"/>
  <c r="B319" i="35"/>
  <c r="AK318" i="35"/>
  <c r="B318" i="35"/>
  <c r="AK317" i="35"/>
  <c r="B317" i="35"/>
  <c r="AK316" i="35"/>
  <c r="B316" i="35"/>
  <c r="AK315" i="35"/>
  <c r="B315" i="35"/>
  <c r="AK314" i="35"/>
  <c r="B314" i="35"/>
  <c r="AK313" i="35"/>
  <c r="B313" i="35"/>
  <c r="AK312" i="35"/>
  <c r="B312" i="35"/>
  <c r="AK311" i="35"/>
  <c r="B311" i="35"/>
  <c r="AK310" i="35"/>
  <c r="B310" i="35"/>
  <c r="AK309" i="35"/>
  <c r="B309" i="35"/>
  <c r="AK308" i="35"/>
  <c r="B308" i="35"/>
  <c r="AK307" i="35"/>
  <c r="B307" i="35"/>
  <c r="AK306" i="35"/>
  <c r="B306" i="35"/>
  <c r="AK305" i="35"/>
  <c r="B305" i="35"/>
  <c r="AK304" i="35"/>
  <c r="B304" i="35"/>
  <c r="AK303" i="35"/>
  <c r="B303" i="35"/>
  <c r="AK302" i="35"/>
  <c r="B302" i="35"/>
  <c r="AK301" i="35"/>
  <c r="B301" i="35"/>
  <c r="AK300" i="35"/>
  <c r="B300" i="35"/>
  <c r="AK299" i="35"/>
  <c r="B299" i="35"/>
  <c r="AK298" i="35"/>
  <c r="B298" i="35"/>
  <c r="AK297" i="35"/>
  <c r="B297" i="35"/>
  <c r="AK296" i="35"/>
  <c r="B296" i="35"/>
  <c r="AK295" i="35"/>
  <c r="B295" i="35"/>
  <c r="AK294" i="35"/>
  <c r="B294" i="35"/>
  <c r="AK293" i="35"/>
  <c r="B293" i="35"/>
  <c r="AK292" i="35"/>
  <c r="B292" i="35"/>
  <c r="AK291" i="35"/>
  <c r="B291" i="35"/>
  <c r="AK290" i="35"/>
  <c r="B290" i="35"/>
  <c r="AK289" i="35"/>
  <c r="B289" i="35"/>
  <c r="AK288" i="35"/>
  <c r="B288" i="35"/>
  <c r="AK287" i="35"/>
  <c r="B287" i="35"/>
  <c r="AK286" i="35"/>
  <c r="B286" i="35"/>
  <c r="AK285" i="35"/>
  <c r="B285" i="35"/>
  <c r="AK284" i="35"/>
  <c r="B284" i="35"/>
  <c r="AK283" i="35"/>
  <c r="B283" i="35"/>
  <c r="AK282" i="35"/>
  <c r="B282" i="35"/>
  <c r="AK281" i="35"/>
  <c r="B281" i="35"/>
  <c r="AK280" i="35"/>
  <c r="B280" i="35"/>
  <c r="AK279" i="35"/>
  <c r="B279" i="35"/>
  <c r="AK278" i="35"/>
  <c r="B278" i="35"/>
  <c r="AK277" i="35"/>
  <c r="B277" i="35"/>
  <c r="AK276" i="35"/>
  <c r="B276" i="35"/>
  <c r="AK275" i="35"/>
  <c r="B275" i="35"/>
  <c r="AK274" i="35"/>
  <c r="B274" i="35"/>
  <c r="AK273" i="35"/>
  <c r="B273" i="35"/>
  <c r="AK272" i="35"/>
  <c r="B272" i="35"/>
  <c r="AK271" i="35"/>
  <c r="B271" i="35"/>
  <c r="AK270" i="35"/>
  <c r="B270" i="35"/>
  <c r="AK269" i="35"/>
  <c r="B269" i="35"/>
  <c r="AK268" i="35"/>
  <c r="B268" i="35"/>
  <c r="AK267" i="35"/>
  <c r="B267" i="35"/>
  <c r="AK266" i="35"/>
  <c r="B266" i="35"/>
  <c r="AK265" i="35"/>
  <c r="B265" i="35"/>
  <c r="AK264" i="35"/>
  <c r="B264" i="35"/>
  <c r="AK263" i="35"/>
  <c r="B263" i="35"/>
  <c r="AK262" i="35"/>
  <c r="B262" i="35"/>
  <c r="AK261" i="35"/>
  <c r="B261" i="35"/>
  <c r="AK260" i="35"/>
  <c r="B260" i="35"/>
  <c r="AK259" i="35"/>
  <c r="B259" i="35"/>
  <c r="AK258" i="35"/>
  <c r="B258" i="35"/>
  <c r="AK257" i="35"/>
  <c r="B257" i="35"/>
  <c r="AK256" i="35"/>
  <c r="B256" i="35"/>
  <c r="AK255" i="35"/>
  <c r="B255" i="35"/>
  <c r="AK254" i="35"/>
  <c r="B254" i="35"/>
  <c r="AK253" i="35"/>
  <c r="B253" i="35"/>
  <c r="AK252" i="35"/>
  <c r="B252" i="35"/>
  <c r="AK251" i="35"/>
  <c r="B251" i="35"/>
  <c r="AK250" i="35"/>
  <c r="B250" i="35"/>
  <c r="AK249" i="35"/>
  <c r="B249" i="35"/>
  <c r="AK248" i="35"/>
  <c r="B248" i="35"/>
  <c r="AK247" i="35"/>
  <c r="B247" i="35"/>
  <c r="AK246" i="35"/>
  <c r="B246" i="35"/>
  <c r="AK245" i="35"/>
  <c r="B245" i="35"/>
  <c r="AK244" i="35"/>
  <c r="B244" i="35"/>
  <c r="AK243" i="35"/>
  <c r="B243" i="35"/>
  <c r="AK242" i="35"/>
  <c r="B242" i="35"/>
  <c r="AK241" i="35"/>
  <c r="B241" i="35"/>
  <c r="AK240" i="35"/>
  <c r="B240" i="35"/>
  <c r="AK239" i="35"/>
  <c r="B239" i="35"/>
  <c r="AK238" i="35"/>
  <c r="B238" i="35"/>
  <c r="AK237" i="35"/>
  <c r="B237" i="35"/>
  <c r="AK236" i="35"/>
  <c r="B236" i="35"/>
  <c r="AK235" i="35"/>
  <c r="B235" i="35"/>
  <c r="AK234" i="35"/>
  <c r="B234" i="35"/>
  <c r="AK233" i="35"/>
  <c r="B233" i="35"/>
  <c r="AK232" i="35"/>
  <c r="B232" i="35"/>
  <c r="AK231" i="35"/>
  <c r="B231" i="35"/>
  <c r="AK230" i="35"/>
  <c r="B230" i="35"/>
  <c r="AK229" i="35"/>
  <c r="B229" i="35"/>
  <c r="AK228" i="35"/>
  <c r="B228" i="35"/>
  <c r="AK227" i="35"/>
  <c r="B227" i="35"/>
  <c r="AK226" i="35"/>
  <c r="B226" i="35"/>
  <c r="AK225" i="35"/>
  <c r="B225" i="35"/>
  <c r="AK224" i="35"/>
  <c r="B224" i="35"/>
  <c r="AK223" i="35"/>
  <c r="B223" i="35"/>
  <c r="AK222" i="35"/>
  <c r="B222" i="35"/>
  <c r="AK221" i="35"/>
  <c r="B221" i="35"/>
  <c r="AK220" i="35"/>
  <c r="B220" i="35"/>
  <c r="AK219" i="35"/>
  <c r="B219" i="35"/>
  <c r="AK218" i="35"/>
  <c r="B218" i="35"/>
  <c r="AK217" i="35"/>
  <c r="B217" i="35"/>
  <c r="AK216" i="35"/>
  <c r="B216" i="35"/>
  <c r="AK215" i="35"/>
  <c r="B215" i="35"/>
  <c r="AK214" i="35"/>
  <c r="B214" i="35"/>
  <c r="AK213" i="35"/>
  <c r="B213" i="35"/>
  <c r="AK212" i="35"/>
  <c r="B212" i="35"/>
  <c r="AK211" i="35"/>
  <c r="B211" i="35"/>
  <c r="AK210" i="35"/>
  <c r="B210" i="35"/>
  <c r="AK209" i="35"/>
  <c r="B209" i="35"/>
  <c r="AK208" i="35"/>
  <c r="B208" i="35"/>
  <c r="AK207" i="35"/>
  <c r="B207" i="35"/>
  <c r="AK206" i="35"/>
  <c r="B206" i="35"/>
  <c r="AK205" i="35"/>
  <c r="B205" i="35"/>
  <c r="AK204" i="35"/>
  <c r="B204" i="35"/>
  <c r="AK203" i="35"/>
  <c r="B203" i="35"/>
  <c r="AK202" i="35"/>
  <c r="B202" i="35"/>
  <c r="AK201" i="35"/>
  <c r="B201" i="35"/>
  <c r="AK200" i="35"/>
  <c r="B200" i="35"/>
  <c r="AK199" i="35"/>
  <c r="B199" i="35"/>
  <c r="AK198" i="35"/>
  <c r="B198" i="35"/>
  <c r="AK197" i="35"/>
  <c r="B197" i="35"/>
  <c r="AK196" i="35"/>
  <c r="B196" i="35"/>
  <c r="AK195" i="35"/>
  <c r="B195" i="35"/>
  <c r="AK194" i="35"/>
  <c r="B194" i="35"/>
  <c r="AK193" i="35"/>
  <c r="B193" i="35"/>
  <c r="AK192" i="35"/>
  <c r="B192" i="35"/>
  <c r="AK191" i="35"/>
  <c r="B191" i="35"/>
  <c r="AK190" i="35"/>
  <c r="B190" i="35"/>
  <c r="AK189" i="35"/>
  <c r="B189" i="35"/>
  <c r="AK188" i="35"/>
  <c r="B188" i="35"/>
  <c r="AK187" i="35"/>
  <c r="B187" i="35"/>
  <c r="AK186" i="35"/>
  <c r="B186" i="35"/>
  <c r="AK185" i="35"/>
  <c r="B185" i="35"/>
  <c r="AK184" i="35"/>
  <c r="B184" i="35"/>
  <c r="AK183" i="35"/>
  <c r="B183" i="35"/>
  <c r="AK182" i="35"/>
  <c r="B182" i="35"/>
  <c r="AK181" i="35"/>
  <c r="B181" i="35"/>
  <c r="AK180" i="35"/>
  <c r="B180" i="35"/>
  <c r="AK179" i="35"/>
  <c r="B179" i="35"/>
  <c r="AK178" i="35"/>
  <c r="B178" i="35"/>
  <c r="AK177" i="35"/>
  <c r="B177" i="35"/>
  <c r="AK176" i="35"/>
  <c r="B176" i="35"/>
  <c r="AK175" i="35"/>
  <c r="B175" i="35"/>
  <c r="AK174" i="35"/>
  <c r="B174" i="35"/>
  <c r="AK173" i="35"/>
  <c r="B173" i="35"/>
  <c r="AK172" i="35"/>
  <c r="B172" i="35"/>
  <c r="AK171" i="35"/>
  <c r="B171" i="35"/>
  <c r="AK170" i="35"/>
  <c r="B170" i="35"/>
  <c r="AK169" i="35"/>
  <c r="B169" i="35"/>
  <c r="AK168" i="35"/>
  <c r="B168" i="35"/>
  <c r="AK167" i="35"/>
  <c r="B167" i="35"/>
  <c r="AK166" i="35"/>
  <c r="B166" i="35"/>
  <c r="AK165" i="35"/>
  <c r="B165" i="35"/>
  <c r="AK164" i="35"/>
  <c r="B164" i="35"/>
  <c r="AK163" i="35"/>
  <c r="B163" i="35"/>
  <c r="AK162" i="35"/>
  <c r="B162" i="35"/>
  <c r="AK161" i="35"/>
  <c r="B161" i="35"/>
  <c r="AK160" i="35"/>
  <c r="B160" i="35"/>
  <c r="AK159" i="35"/>
  <c r="B159" i="35"/>
  <c r="AK158" i="35"/>
  <c r="B158" i="35"/>
  <c r="AK157" i="35"/>
  <c r="B157" i="35"/>
  <c r="AK156" i="35"/>
  <c r="B156" i="35"/>
  <c r="AK155" i="35"/>
  <c r="B155" i="35"/>
  <c r="AK154" i="35"/>
  <c r="B154" i="35"/>
  <c r="AK153" i="35"/>
  <c r="B153" i="35"/>
  <c r="AK152" i="35"/>
  <c r="B152" i="35"/>
  <c r="AK151" i="35"/>
  <c r="B151" i="35"/>
  <c r="AK150" i="35"/>
  <c r="B150" i="35"/>
  <c r="AK149" i="35"/>
  <c r="B149" i="35"/>
  <c r="AK148" i="35"/>
  <c r="B148" i="35"/>
  <c r="AK147" i="35"/>
  <c r="B147" i="35"/>
  <c r="AK146" i="35"/>
  <c r="B146" i="35"/>
  <c r="AK145" i="35"/>
  <c r="B145" i="35"/>
  <c r="AK144" i="35"/>
  <c r="B144" i="35"/>
  <c r="AK143" i="35"/>
  <c r="B143" i="35"/>
  <c r="AK142" i="35"/>
  <c r="B142" i="35"/>
  <c r="AK141" i="35"/>
  <c r="B141" i="35"/>
  <c r="AK140" i="35"/>
  <c r="B140" i="35"/>
  <c r="AK139" i="35"/>
  <c r="B139" i="35"/>
  <c r="AK138" i="35"/>
  <c r="B138" i="35"/>
  <c r="AK137" i="35"/>
  <c r="B137" i="35"/>
  <c r="AK136" i="35"/>
  <c r="B136" i="35"/>
  <c r="AK135" i="35"/>
  <c r="B135" i="35"/>
  <c r="AK134" i="35"/>
  <c r="B134" i="35"/>
  <c r="AK133" i="35"/>
  <c r="B133" i="35"/>
  <c r="AK132" i="35"/>
  <c r="B132" i="35"/>
  <c r="AK131" i="35"/>
  <c r="B131" i="35"/>
  <c r="AK130" i="35"/>
  <c r="B130" i="35"/>
  <c r="AK129" i="35"/>
  <c r="B129" i="35"/>
  <c r="AK128" i="35"/>
  <c r="B128" i="35"/>
  <c r="AK127" i="35"/>
  <c r="B127" i="35"/>
  <c r="AK126" i="35"/>
  <c r="B126" i="35"/>
  <c r="AK125" i="35"/>
  <c r="B125" i="35"/>
  <c r="AK124" i="35"/>
  <c r="B124" i="35"/>
  <c r="AK123" i="35"/>
  <c r="B123" i="35"/>
  <c r="AK122" i="35"/>
  <c r="B122" i="35"/>
  <c r="AK121" i="35"/>
  <c r="B121" i="35"/>
  <c r="AK120" i="35"/>
  <c r="B120" i="35"/>
  <c r="AK119" i="35"/>
  <c r="B119" i="35"/>
  <c r="AK118" i="35"/>
  <c r="B118" i="35"/>
  <c r="AK117" i="35"/>
  <c r="B117" i="35"/>
  <c r="AK116" i="35"/>
  <c r="B116" i="35"/>
  <c r="AK115" i="35"/>
  <c r="B115" i="35"/>
  <c r="AK114" i="35"/>
  <c r="B114" i="35"/>
  <c r="AK113" i="35"/>
  <c r="B113" i="35"/>
  <c r="AK112" i="35"/>
  <c r="B112" i="35"/>
  <c r="AK111" i="35"/>
  <c r="B111" i="35"/>
  <c r="AK110" i="35"/>
  <c r="B110" i="35"/>
  <c r="AK109" i="35"/>
  <c r="B109" i="35"/>
  <c r="AK108" i="35"/>
  <c r="B108" i="35"/>
  <c r="AK107" i="35"/>
  <c r="B107" i="35"/>
  <c r="AK106" i="35"/>
  <c r="B106" i="35"/>
  <c r="AK105" i="35"/>
  <c r="B105" i="35"/>
  <c r="AK104" i="35"/>
  <c r="B104" i="35"/>
  <c r="AK103" i="35"/>
  <c r="B103" i="35"/>
  <c r="AK102" i="35"/>
  <c r="B102" i="35"/>
  <c r="AK101" i="35"/>
  <c r="B101" i="35"/>
  <c r="AK100" i="35"/>
  <c r="B100" i="35"/>
  <c r="AK99" i="35"/>
  <c r="B99" i="35"/>
  <c r="AK98" i="35"/>
  <c r="B98" i="35"/>
  <c r="AK97" i="35"/>
  <c r="B97" i="35"/>
  <c r="AK96" i="35"/>
  <c r="B96" i="35"/>
  <c r="AK95" i="35"/>
  <c r="B95" i="35"/>
  <c r="AK94" i="35"/>
  <c r="B94" i="35"/>
  <c r="AK93" i="35"/>
  <c r="B93" i="35"/>
  <c r="AK92" i="35"/>
  <c r="B92" i="35"/>
  <c r="AK91" i="35"/>
  <c r="B91" i="35"/>
  <c r="AK90" i="35"/>
  <c r="B90" i="35"/>
  <c r="AK89" i="35"/>
  <c r="B89" i="35"/>
  <c r="AK88" i="35"/>
  <c r="B88" i="35"/>
  <c r="AK87" i="35"/>
  <c r="B87" i="35"/>
  <c r="AK86" i="35"/>
  <c r="B86" i="35"/>
  <c r="AK85" i="35"/>
  <c r="B85" i="35"/>
  <c r="AK84" i="35"/>
  <c r="B84" i="35"/>
  <c r="AK83" i="35"/>
  <c r="B83" i="35"/>
  <c r="AK82" i="35"/>
  <c r="B82" i="35"/>
  <c r="AK81" i="35"/>
  <c r="B81" i="35"/>
  <c r="AK80" i="35"/>
  <c r="B80" i="35"/>
  <c r="AK79" i="35"/>
  <c r="B79" i="35"/>
  <c r="AK78" i="35"/>
  <c r="B78" i="35"/>
  <c r="AK77" i="35"/>
  <c r="B77" i="35"/>
  <c r="AK76" i="35"/>
  <c r="B76" i="35"/>
  <c r="AK75" i="35"/>
  <c r="B75" i="35"/>
  <c r="AK74" i="35"/>
  <c r="B74" i="35"/>
  <c r="AK73" i="35"/>
  <c r="B73" i="35"/>
  <c r="AK72" i="35"/>
  <c r="B72" i="35"/>
  <c r="AK71" i="35"/>
  <c r="B71" i="35"/>
  <c r="AK70" i="35"/>
  <c r="B70" i="35"/>
  <c r="AK69" i="35"/>
  <c r="B69" i="35"/>
  <c r="AK68" i="35"/>
  <c r="B68" i="35"/>
  <c r="AK67" i="35"/>
  <c r="B67" i="35"/>
  <c r="AK66" i="35"/>
  <c r="B66" i="35"/>
  <c r="AK65" i="35"/>
  <c r="B65" i="35"/>
  <c r="AK64" i="35"/>
  <c r="B64" i="35"/>
  <c r="AK63" i="35"/>
  <c r="B63" i="35"/>
  <c r="AK62" i="35"/>
  <c r="B62" i="35"/>
  <c r="AK61" i="35"/>
  <c r="B61" i="35"/>
  <c r="AK60" i="35"/>
  <c r="B60" i="35"/>
  <c r="AK59" i="35"/>
  <c r="B59" i="35"/>
  <c r="AK58" i="35"/>
  <c r="B58" i="35"/>
  <c r="AK57" i="35"/>
  <c r="B57" i="35"/>
  <c r="AK56" i="35"/>
  <c r="B56" i="35"/>
  <c r="AK55" i="35"/>
  <c r="B55" i="35"/>
  <c r="AK54" i="35"/>
  <c r="B54" i="35"/>
  <c r="AK53" i="35"/>
  <c r="B53" i="35"/>
  <c r="AK52" i="35"/>
  <c r="B52" i="35"/>
  <c r="AK51" i="35"/>
  <c r="B51" i="35"/>
  <c r="AK50" i="35"/>
  <c r="B50" i="35"/>
  <c r="AK49" i="35"/>
  <c r="B49" i="35"/>
  <c r="AK48" i="35"/>
  <c r="B48" i="35"/>
  <c r="AK47" i="35"/>
  <c r="B47" i="35"/>
  <c r="AK46" i="35"/>
  <c r="B46" i="35"/>
  <c r="AK45" i="35"/>
  <c r="B45" i="35"/>
  <c r="AK44" i="35"/>
  <c r="B44" i="35"/>
  <c r="AK43" i="35"/>
  <c r="B43" i="35"/>
  <c r="AK42" i="35"/>
  <c r="B42" i="35"/>
  <c r="AK41" i="35"/>
  <c r="B41" i="35"/>
  <c r="AK40" i="35"/>
  <c r="B40" i="35"/>
  <c r="AK39" i="35"/>
  <c r="B39" i="35"/>
  <c r="AK38" i="35"/>
  <c r="B38" i="35"/>
  <c r="AK37" i="35"/>
  <c r="B37" i="35"/>
  <c r="AK36" i="35"/>
  <c r="B36" i="35"/>
  <c r="AK35" i="35"/>
  <c r="B35" i="35"/>
  <c r="AK34" i="35"/>
  <c r="B34" i="35"/>
  <c r="AK33" i="35"/>
  <c r="B33" i="35"/>
  <c r="AK32" i="35"/>
  <c r="B32" i="35"/>
  <c r="AK31" i="35"/>
  <c r="B31" i="35"/>
  <c r="AK30" i="35"/>
  <c r="B30" i="35"/>
  <c r="AK29" i="35"/>
  <c r="B29" i="35"/>
  <c r="AK28" i="35"/>
  <c r="B28" i="35"/>
  <c r="AK27" i="35"/>
  <c r="B27" i="35"/>
  <c r="AK26" i="35"/>
  <c r="B26" i="35"/>
  <c r="AK25" i="35"/>
  <c r="B25" i="35"/>
  <c r="AK24" i="35"/>
  <c r="B24" i="35"/>
  <c r="AK23" i="35"/>
  <c r="B23" i="35"/>
  <c r="AK22" i="35"/>
  <c r="B22" i="35"/>
  <c r="AK21" i="35"/>
  <c r="B21" i="35"/>
  <c r="AK20" i="35"/>
  <c r="B20" i="35"/>
  <c r="AK19" i="35"/>
  <c r="B19" i="35"/>
  <c r="AK18" i="35"/>
  <c r="B18" i="35"/>
  <c r="AK17" i="35"/>
  <c r="B17" i="35"/>
  <c r="AK16" i="35"/>
  <c r="B16" i="35"/>
  <c r="AK15" i="35"/>
  <c r="B15" i="35"/>
  <c r="AK14" i="35"/>
  <c r="B14" i="35"/>
  <c r="AK13" i="35"/>
  <c r="B13" i="35"/>
  <c r="AK12" i="35"/>
  <c r="B12" i="35"/>
  <c r="AK11" i="35"/>
  <c r="B11" i="35"/>
  <c r="AK10" i="35"/>
  <c r="B10" i="35"/>
  <c r="AK9" i="35"/>
  <c r="B9" i="35"/>
  <c r="AK8" i="35"/>
  <c r="B8" i="35"/>
  <c r="AK7" i="35"/>
  <c r="B7" i="35"/>
  <c r="AK6" i="35"/>
  <c r="B6" i="35"/>
  <c r="AK5" i="35"/>
  <c r="B5" i="35"/>
  <c r="C121" i="37" l="1"/>
  <c r="F121" i="37"/>
  <c r="B1" i="35"/>
  <c r="Q3" i="35" s="1"/>
  <c r="AI3" i="35" l="1"/>
  <c r="AD2" i="35"/>
  <c r="Y3" i="35"/>
  <c r="T2" i="35"/>
  <c r="N3" i="35"/>
  <c r="P2" i="35"/>
  <c r="AG3" i="35"/>
  <c r="X2" i="35"/>
  <c r="D1" i="35"/>
  <c r="AB2" i="35"/>
  <c r="M3" i="35"/>
  <c r="AD3" i="35"/>
  <c r="X3" i="35"/>
  <c r="P3" i="35"/>
  <c r="S2" i="35"/>
  <c r="T3" i="35"/>
  <c r="U3" i="35"/>
  <c r="O2" i="35"/>
  <c r="B2" i="35"/>
  <c r="L2" i="35" s="1"/>
  <c r="E9" i="2" s="1"/>
  <c r="Z3" i="35"/>
  <c r="U2" i="35"/>
  <c r="AE3" i="35"/>
  <c r="AH3" i="35"/>
  <c r="AC2" i="35"/>
  <c r="R2" i="35"/>
  <c r="AA2" i="35"/>
  <c r="AB3" i="35"/>
  <c r="AC3" i="35"/>
  <c r="W2" i="35"/>
  <c r="Q2" i="35"/>
  <c r="Z2" i="35"/>
  <c r="AI2" i="35"/>
  <c r="AF2" i="35"/>
  <c r="V2" i="35"/>
  <c r="AE2" i="35"/>
  <c r="Y2" i="35"/>
  <c r="AH2" i="35"/>
  <c r="S3" i="35"/>
  <c r="AF3" i="35"/>
  <c r="V3" i="35"/>
  <c r="O3" i="35"/>
  <c r="AG2" i="35"/>
  <c r="R3" i="35"/>
  <c r="AA3" i="35"/>
  <c r="M2" i="35"/>
  <c r="N2" i="35"/>
  <c r="W3" i="35"/>
  <c r="D2" i="35" l="1"/>
  <c r="B13" i="36" s="1"/>
  <c r="G2" i="35"/>
  <c r="D9" i="2" s="1"/>
  <c r="D3" i="35"/>
  <c r="B9" i="2" l="1"/>
  <c r="J15" i="36"/>
  <c r="AZ5" i="4"/>
  <c r="W2" i="34" l="1"/>
  <c r="I2" i="34"/>
  <c r="J2" i="34"/>
  <c r="K2" i="34"/>
  <c r="L2" i="34"/>
  <c r="N2" i="34"/>
  <c r="O2" i="34"/>
  <c r="P2" i="34"/>
  <c r="Q2" i="34"/>
  <c r="R2" i="34"/>
  <c r="S2" i="34"/>
  <c r="T2" i="34"/>
  <c r="U2" i="34"/>
  <c r="V2" i="34"/>
  <c r="X2" i="34"/>
  <c r="Y2" i="34"/>
  <c r="I3" i="34"/>
  <c r="J3" i="34"/>
  <c r="K3" i="34"/>
  <c r="L3" i="34"/>
  <c r="M3" i="34"/>
  <c r="M7" i="34" s="1"/>
  <c r="N3" i="34"/>
  <c r="O3" i="34"/>
  <c r="P3" i="34"/>
  <c r="Q3" i="34"/>
  <c r="R3" i="34"/>
  <c r="S3" i="34"/>
  <c r="T3" i="34"/>
  <c r="U3" i="34"/>
  <c r="V3" i="34"/>
  <c r="W3" i="34"/>
  <c r="X3" i="34"/>
  <c r="Y3" i="34"/>
  <c r="H3" i="34"/>
  <c r="Y55" i="34"/>
  <c r="W55" i="34"/>
  <c r="U55" i="34"/>
  <c r="S55" i="34"/>
  <c r="Q55" i="34"/>
  <c r="O55" i="34"/>
  <c r="M55" i="34"/>
  <c r="K55" i="34"/>
  <c r="I55" i="34"/>
  <c r="Y54" i="34"/>
  <c r="W54" i="34"/>
  <c r="U54" i="34"/>
  <c r="S54" i="34"/>
  <c r="Q54" i="34"/>
  <c r="O54" i="34"/>
  <c r="M54" i="34"/>
  <c r="K54" i="34"/>
  <c r="I54" i="34"/>
  <c r="Y53" i="34"/>
  <c r="W53" i="34"/>
  <c r="U53" i="34"/>
  <c r="S53" i="34"/>
  <c r="Q53" i="34"/>
  <c r="O53" i="34"/>
  <c r="M53" i="34"/>
  <c r="K53" i="34"/>
  <c r="I53" i="34"/>
  <c r="C7" i="27"/>
  <c r="O42" i="34"/>
  <c r="M42" i="34"/>
  <c r="K42" i="34"/>
  <c r="I42" i="34"/>
  <c r="M23" i="34"/>
  <c r="K23" i="34"/>
  <c r="I23" i="34"/>
  <c r="W7" i="34" l="1"/>
  <c r="Y7" i="34"/>
  <c r="P9" i="34"/>
  <c r="P7" i="34"/>
  <c r="F22" i="34" s="1"/>
  <c r="X9" i="34"/>
  <c r="X7" i="34"/>
  <c r="F26" i="34" s="1"/>
  <c r="O7" i="34"/>
  <c r="Q7" i="34"/>
  <c r="V9" i="34"/>
  <c r="V7" i="34"/>
  <c r="F25" i="34" s="1"/>
  <c r="N7" i="34"/>
  <c r="F21" i="34" s="1"/>
  <c r="N9" i="34"/>
  <c r="U7" i="34"/>
  <c r="L9" i="34"/>
  <c r="L7" i="34"/>
  <c r="F20" i="34" s="1"/>
  <c r="T9" i="34"/>
  <c r="T7" i="34"/>
  <c r="F24" i="34" s="1"/>
  <c r="K7" i="34"/>
  <c r="S7" i="34"/>
  <c r="J7" i="34"/>
  <c r="F19" i="34" s="1"/>
  <c r="J9" i="34"/>
  <c r="H9" i="34"/>
  <c r="H7" i="34"/>
  <c r="F18" i="34" s="1"/>
  <c r="R9" i="34"/>
  <c r="R7" i="34"/>
  <c r="F23" i="34" s="1"/>
  <c r="I7" i="34"/>
  <c r="O9" i="34"/>
  <c r="U9" i="34"/>
  <c r="M9" i="34"/>
  <c r="S9" i="34"/>
  <c r="K9" i="34"/>
  <c r="Q9" i="34"/>
  <c r="I9" i="34"/>
  <c r="Y9" i="34"/>
  <c r="W9" i="34"/>
  <c r="M41" i="3"/>
  <c r="O41" i="3"/>
  <c r="P41" i="3"/>
  <c r="Q41" i="3"/>
  <c r="U41" i="3"/>
  <c r="V41" i="3"/>
  <c r="W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B76" i="27"/>
  <c r="BC76" i="27"/>
  <c r="AV76" i="27"/>
  <c r="AW76" i="27"/>
  <c r="AX76" i="27"/>
  <c r="AY76" i="27"/>
  <c r="AZ76" i="27"/>
  <c r="BA76" i="27"/>
  <c r="AQ76" i="27"/>
  <c r="AR76" i="27"/>
  <c r="AS76" i="27"/>
  <c r="AT76" i="27"/>
  <c r="AU76" i="27"/>
  <c r="L76" i="27"/>
  <c r="M76" i="27"/>
  <c r="N76" i="27"/>
  <c r="O76" i="27"/>
  <c r="P76" i="27"/>
  <c r="Q76" i="27"/>
  <c r="R76" i="27"/>
  <c r="S76" i="27"/>
  <c r="T76" i="27"/>
  <c r="U76" i="27"/>
  <c r="V76" i="27"/>
  <c r="W76" i="27"/>
  <c r="X76" i="27"/>
  <c r="Y76" i="27"/>
  <c r="Z76" i="27"/>
  <c r="AA76" i="27"/>
  <c r="AB76" i="27"/>
  <c r="AC76" i="27"/>
  <c r="AD76" i="27"/>
  <c r="AE76" i="27"/>
  <c r="AF76" i="27"/>
  <c r="AG76" i="27"/>
  <c r="AH76" i="27"/>
  <c r="AI76" i="27"/>
  <c r="AJ76" i="27"/>
  <c r="AK76" i="27"/>
  <c r="AL76" i="27"/>
  <c r="AM76" i="27"/>
  <c r="AN76" i="27"/>
  <c r="AO76" i="27"/>
  <c r="AP76" i="27"/>
  <c r="K76" i="27"/>
  <c r="B6" i="34" l="1"/>
  <c r="C10" i="34"/>
  <c r="C11" i="34"/>
  <c r="C51" i="34"/>
  <c r="C18" i="34"/>
  <c r="C46" i="34"/>
  <c r="C36" i="34"/>
  <c r="C39" i="34"/>
  <c r="C44" i="34"/>
  <c r="C42" i="34"/>
  <c r="C45" i="34"/>
  <c r="C43" i="34"/>
  <c r="C41" i="34"/>
  <c r="C47" i="34"/>
  <c r="C48" i="34"/>
  <c r="C23" i="34"/>
  <c r="C50" i="34"/>
  <c r="C40" i="34"/>
  <c r="C35" i="34"/>
  <c r="C49" i="34"/>
  <c r="C38" i="34"/>
  <c r="C33" i="34"/>
  <c r="C37" i="34"/>
  <c r="C31" i="34"/>
  <c r="C32" i="34"/>
  <c r="C30" i="34"/>
  <c r="C34" i="34"/>
  <c r="B7" i="20"/>
  <c r="B6" i="20"/>
  <c r="C24" i="20" s="1"/>
  <c r="AH5" i="31"/>
  <c r="AI5" i="31"/>
  <c r="AJ5" i="31"/>
  <c r="AK5" i="31"/>
  <c r="AL5" i="31"/>
  <c r="AM5" i="31"/>
  <c r="AN5" i="31"/>
  <c r="AO5" i="31"/>
  <c r="AP5" i="31"/>
  <c r="AQ5" i="31"/>
  <c r="AR5" i="31"/>
  <c r="AS5" i="31"/>
  <c r="AT5" i="31"/>
  <c r="AU5" i="31"/>
  <c r="AV5" i="31"/>
  <c r="AW5" i="31"/>
  <c r="AX5" i="31"/>
  <c r="AY5" i="31"/>
  <c r="AZ5" i="31"/>
  <c r="BA5" i="31"/>
  <c r="BB5" i="31"/>
  <c r="BC5" i="31"/>
  <c r="BD5" i="31"/>
  <c r="BE5" i="31"/>
  <c r="BF5" i="31"/>
  <c r="BG5" i="31"/>
  <c r="BH5" i="31"/>
  <c r="BI5" i="31"/>
  <c r="BJ5" i="31"/>
  <c r="BK5" i="31"/>
  <c r="BL5" i="31"/>
  <c r="BM5" i="31"/>
  <c r="BN5" i="31"/>
  <c r="BO5" i="31"/>
  <c r="BP5" i="31"/>
  <c r="BQ5" i="31"/>
  <c r="BR5" i="31"/>
  <c r="BS5" i="31"/>
  <c r="BT5" i="31"/>
  <c r="BU5" i="31"/>
  <c r="BV5" i="31"/>
  <c r="BW5" i="31"/>
  <c r="BX5" i="31"/>
  <c r="BY5" i="31"/>
  <c r="BZ5" i="31"/>
  <c r="CA5" i="31"/>
  <c r="CB5" i="31"/>
  <c r="CC5" i="31"/>
  <c r="CD5" i="31"/>
  <c r="CE5" i="31"/>
  <c r="CF5" i="31"/>
  <c r="CG5" i="31"/>
  <c r="CH5" i="31"/>
  <c r="CI5" i="31"/>
  <c r="CJ5" i="31"/>
  <c r="CK5" i="31"/>
  <c r="CL5" i="31"/>
  <c r="CM5" i="31"/>
  <c r="CN5" i="31"/>
  <c r="CO5" i="31"/>
  <c r="CP5" i="31"/>
  <c r="CQ5" i="31"/>
  <c r="CR5" i="31"/>
  <c r="CS5" i="31"/>
  <c r="CT5" i="31"/>
  <c r="CU5" i="31"/>
  <c r="CV5" i="31"/>
  <c r="CW5" i="31"/>
  <c r="CX5" i="31"/>
  <c r="CY5" i="31"/>
  <c r="CZ5" i="31"/>
  <c r="DA5" i="31"/>
  <c r="DB5" i="31"/>
  <c r="DC5" i="31"/>
  <c r="DD5" i="31"/>
  <c r="DE5" i="31"/>
  <c r="DF5" i="31"/>
  <c r="DG5" i="31"/>
  <c r="DH5" i="31"/>
  <c r="DI5" i="31"/>
  <c r="DJ5" i="31"/>
  <c r="DK5" i="31"/>
  <c r="DL5" i="31"/>
  <c r="DM5" i="31"/>
  <c r="DN5" i="31"/>
  <c r="DO5" i="31"/>
  <c r="DP5" i="31"/>
  <c r="DQ5" i="31"/>
  <c r="DR5" i="31"/>
  <c r="DS5" i="31"/>
  <c r="DT5" i="31"/>
  <c r="DU5" i="31"/>
  <c r="DV5" i="31"/>
  <c r="DW5" i="31"/>
  <c r="DX5" i="31"/>
  <c r="DY5" i="31"/>
  <c r="DZ5" i="31"/>
  <c r="AG5" i="31"/>
  <c r="J5" i="31"/>
  <c r="K5" i="31"/>
  <c r="L5" i="31"/>
  <c r="M5" i="31"/>
  <c r="N5" i="31"/>
  <c r="O5" i="31"/>
  <c r="P5" i="31"/>
  <c r="Q5" i="31"/>
  <c r="R5" i="31"/>
  <c r="S5" i="31"/>
  <c r="T5" i="31"/>
  <c r="U5" i="31"/>
  <c r="V5" i="31"/>
  <c r="W5" i="31"/>
  <c r="X5" i="31"/>
  <c r="Y5" i="31"/>
  <c r="Z5" i="31"/>
  <c r="AA5" i="31"/>
  <c r="AB5" i="31"/>
  <c r="AC5" i="31"/>
  <c r="AD5" i="31"/>
  <c r="AE5" i="31"/>
  <c r="I5" i="31"/>
  <c r="AU51" i="31"/>
  <c r="AT51" i="31"/>
  <c r="AV51" i="31" s="1"/>
  <c r="AS51" i="31"/>
  <c r="AU50" i="31"/>
  <c r="AT50" i="31"/>
  <c r="AV50" i="31" s="1"/>
  <c r="AS50" i="31"/>
  <c r="AU49" i="31"/>
  <c r="AT49" i="31"/>
  <c r="AV49" i="31" s="1"/>
  <c r="AS49" i="31"/>
  <c r="AU48" i="31"/>
  <c r="AT48" i="31"/>
  <c r="AV48" i="31" s="1"/>
  <c r="AS48" i="31"/>
  <c r="AU47" i="31"/>
  <c r="AT47" i="31"/>
  <c r="AV47" i="31" s="1"/>
  <c r="AS47" i="31"/>
  <c r="AU46" i="31"/>
  <c r="AT46" i="31"/>
  <c r="AV46" i="31" s="1"/>
  <c r="AS46" i="31"/>
  <c r="AU45" i="31"/>
  <c r="AT45" i="31"/>
  <c r="AV45" i="31" s="1"/>
  <c r="AS45" i="31"/>
  <c r="AU44" i="31"/>
  <c r="AT44" i="31"/>
  <c r="AV44" i="31" s="1"/>
  <c r="AS44" i="31"/>
  <c r="AU43" i="31"/>
  <c r="AT43" i="31"/>
  <c r="AV43" i="31" s="1"/>
  <c r="AS43" i="31"/>
  <c r="AU42" i="31"/>
  <c r="AT42" i="31"/>
  <c r="AV42" i="31" s="1"/>
  <c r="AS42" i="31"/>
  <c r="AU41" i="31"/>
  <c r="AT41" i="31"/>
  <c r="AV41" i="31" s="1"/>
  <c r="AS41" i="31"/>
  <c r="AU40" i="31"/>
  <c r="AT40" i="31"/>
  <c r="AV40" i="31" s="1"/>
  <c r="AS40" i="31"/>
  <c r="AU39" i="31"/>
  <c r="AT39" i="31"/>
  <c r="AV39" i="31" s="1"/>
  <c r="AS39" i="31"/>
  <c r="AV38" i="31"/>
  <c r="AU38" i="31"/>
  <c r="AT38" i="31"/>
  <c r="AS38" i="31"/>
  <c r="AU37" i="31"/>
  <c r="AT37" i="31"/>
  <c r="AV37" i="31" s="1"/>
  <c r="AS37" i="31"/>
  <c r="AT36" i="31"/>
  <c r="AV36" i="31" s="1"/>
  <c r="AU35" i="31"/>
  <c r="AT35" i="31"/>
  <c r="AV35" i="31" s="1"/>
  <c r="AS35" i="31"/>
  <c r="AU34" i="31"/>
  <c r="AS34" i="31"/>
  <c r="AU33" i="31"/>
  <c r="AT33" i="31"/>
  <c r="AV33" i="31" s="1"/>
  <c r="AS33" i="31"/>
  <c r="AU32" i="31"/>
  <c r="AT32" i="31"/>
  <c r="AV32" i="31" s="1"/>
  <c r="AS32" i="31"/>
  <c r="AU31" i="31"/>
  <c r="AT31" i="31"/>
  <c r="AV31" i="31" s="1"/>
  <c r="AS31" i="31"/>
  <c r="AU19" i="31"/>
  <c r="AW19" i="31" s="1"/>
  <c r="AY19" i="31" s="1"/>
  <c r="BA19" i="31" s="1"/>
  <c r="AS19" i="31"/>
  <c r="AT17" i="31"/>
  <c r="AV17" i="31" s="1"/>
  <c r="AX17" i="31" s="1"/>
  <c r="AZ17" i="31" s="1"/>
  <c r="BB17" i="31" s="1"/>
  <c r="AT14" i="31"/>
  <c r="AV14" i="31" s="1"/>
  <c r="AX14" i="31" s="1"/>
  <c r="AZ14" i="31" s="1"/>
  <c r="BB14" i="31" s="1"/>
  <c r="AT13" i="31"/>
  <c r="AV13" i="31" s="1"/>
  <c r="AX13" i="31" s="1"/>
  <c r="AZ13" i="31" s="1"/>
  <c r="BB13" i="31" s="1"/>
  <c r="AU12" i="31"/>
  <c r="AW12" i="31" s="1"/>
  <c r="AY12" i="31" s="1"/>
  <c r="BA12" i="31" s="1"/>
  <c r="AS12" i="31"/>
  <c r="B17" i="20"/>
  <c r="B16" i="20"/>
  <c r="C26" i="20" s="1"/>
  <c r="B4" i="31" s="1"/>
  <c r="C25" i="20"/>
  <c r="C23" i="20"/>
  <c r="B1" i="31" s="1"/>
  <c r="B4" i="34" l="1"/>
  <c r="B5" i="34"/>
  <c r="B3" i="31"/>
  <c r="H5" i="27"/>
  <c r="AF10" i="31"/>
  <c r="AY189" i="31"/>
  <c r="AF7" i="31" s="1"/>
  <c r="D7" i="31"/>
  <c r="BD6" i="31"/>
  <c r="BB6" i="31"/>
  <c r="BC6" i="31"/>
  <c r="BE6" i="31"/>
  <c r="BF6" i="31"/>
  <c r="BG6" i="31"/>
  <c r="BH6" i="31"/>
  <c r="D49" i="34" l="1"/>
  <c r="D41" i="34"/>
  <c r="D25" i="34"/>
  <c r="D48" i="34"/>
  <c r="D40" i="34"/>
  <c r="D24" i="34"/>
  <c r="D20" i="34"/>
  <c r="D51" i="34"/>
  <c r="D27" i="34"/>
  <c r="D50" i="34"/>
  <c r="D47" i="34"/>
  <c r="D39" i="34"/>
  <c r="D46" i="34"/>
  <c r="D38" i="34"/>
  <c r="D22" i="34"/>
  <c r="D45" i="34"/>
  <c r="D37" i="34"/>
  <c r="D21" i="34"/>
  <c r="D44" i="34"/>
  <c r="D43" i="34"/>
  <c r="D19" i="34"/>
  <c r="D42" i="34"/>
  <c r="D10" i="34"/>
  <c r="D11" i="34"/>
  <c r="F11" i="34" s="1"/>
  <c r="D13" i="34"/>
  <c r="C13" i="34" s="1"/>
  <c r="D14" i="34"/>
  <c r="C14" i="34" s="1"/>
  <c r="D16" i="34"/>
  <c r="D15" i="34"/>
  <c r="F15" i="34" s="1"/>
  <c r="D12" i="34"/>
  <c r="AQ7" i="31"/>
  <c r="AU7" i="31"/>
  <c r="AS7" i="31"/>
  <c r="I10" i="31"/>
  <c r="BC244" i="31"/>
  <c r="AY244" i="31"/>
  <c r="AK244" i="31"/>
  <c r="BC240" i="31"/>
  <c r="AY240" i="31"/>
  <c r="AK240" i="31"/>
  <c r="BC236" i="31"/>
  <c r="AY236" i="31"/>
  <c r="AK236" i="31"/>
  <c r="BC232" i="31"/>
  <c r="AY232" i="31"/>
  <c r="AK232" i="31"/>
  <c r="BC228" i="31"/>
  <c r="AK228" i="31"/>
  <c r="BC224" i="31"/>
  <c r="AK224" i="31"/>
  <c r="BC220" i="31"/>
  <c r="AK220" i="31"/>
  <c r="BC216" i="31"/>
  <c r="AK216" i="31"/>
  <c r="BC212" i="31"/>
  <c r="AK212" i="31"/>
  <c r="BC208" i="31"/>
  <c r="AK208" i="31"/>
  <c r="BC204" i="31"/>
  <c r="AK204" i="31"/>
  <c r="BC200" i="31"/>
  <c r="AU200" i="31"/>
  <c r="AS200" i="31"/>
  <c r="AP200" i="31"/>
  <c r="AK200" i="31"/>
  <c r="AD200" i="31"/>
  <c r="AB200" i="31"/>
  <c r="Z200" i="31"/>
  <c r="V200" i="31"/>
  <c r="T200" i="31"/>
  <c r="R200" i="31"/>
  <c r="O200" i="31"/>
  <c r="M200" i="31"/>
  <c r="K200" i="31"/>
  <c r="BC196" i="31"/>
  <c r="AU196" i="31"/>
  <c r="AS196" i="31"/>
  <c r="AP196" i="31"/>
  <c r="AK196" i="31"/>
  <c r="AD196" i="31"/>
  <c r="AB196" i="31"/>
  <c r="Z196" i="31"/>
  <c r="V196" i="31"/>
  <c r="T196" i="31"/>
  <c r="R196" i="31"/>
  <c r="O196" i="31"/>
  <c r="M196" i="31"/>
  <c r="K196" i="31"/>
  <c r="Z195" i="31"/>
  <c r="BC167" i="31"/>
  <c r="AK167" i="31"/>
  <c r="AK246" i="31" s="1"/>
  <c r="AH160" i="31"/>
  <c r="BC153" i="31"/>
  <c r="BC160" i="31" s="1"/>
  <c r="AY153" i="31"/>
  <c r="AY160" i="31" s="1"/>
  <c r="AU153" i="31"/>
  <c r="AS153" i="31"/>
  <c r="AP153" i="31"/>
  <c r="AK153" i="31"/>
  <c r="AK139" i="31" s="1"/>
  <c r="AD153" i="31"/>
  <c r="AB153" i="31"/>
  <c r="AB160" i="31" s="1"/>
  <c r="Y153" i="31"/>
  <c r="AP139" i="31" s="1"/>
  <c r="AP146" i="31" s="1"/>
  <c r="V153" i="31"/>
  <c r="T153" i="31"/>
  <c r="R153" i="31"/>
  <c r="O153" i="31"/>
  <c r="M153" i="31"/>
  <c r="M160" i="31" s="1"/>
  <c r="J153" i="31"/>
  <c r="AH144" i="31"/>
  <c r="AZ143" i="31"/>
  <c r="AL143" i="31"/>
  <c r="AI143" i="31"/>
  <c r="AH139" i="31"/>
  <c r="AH148" i="31" s="1"/>
  <c r="S134" i="31"/>
  <c r="DP118" i="31"/>
  <c r="DO118" i="31"/>
  <c r="DN118" i="31"/>
  <c r="DM118" i="31"/>
  <c r="DL118" i="31"/>
  <c r="DK118" i="31"/>
  <c r="DJ118" i="31"/>
  <c r="DI118" i="31"/>
  <c r="DH118" i="31"/>
  <c r="DG118" i="31"/>
  <c r="DF118" i="31"/>
  <c r="DE118" i="31"/>
  <c r="DD118" i="31"/>
  <c r="DC118" i="31"/>
  <c r="DB118" i="31"/>
  <c r="DA118" i="31"/>
  <c r="CZ118" i="31"/>
  <c r="CY118" i="31"/>
  <c r="CX118" i="31"/>
  <c r="CW118" i="31"/>
  <c r="CV118" i="31"/>
  <c r="CU118" i="31"/>
  <c r="CT118" i="31"/>
  <c r="CS118" i="31"/>
  <c r="CR118" i="31"/>
  <c r="CQ118" i="31"/>
  <c r="CP118" i="31"/>
  <c r="CO118" i="31"/>
  <c r="CN118" i="31"/>
  <c r="CM118" i="31"/>
  <c r="CL118" i="31"/>
  <c r="CK118" i="31"/>
  <c r="CJ118" i="31"/>
  <c r="CI118" i="31"/>
  <c r="CH118" i="31"/>
  <c r="CG118" i="31"/>
  <c r="CF118" i="31"/>
  <c r="CE118" i="31"/>
  <c r="CD118" i="31"/>
  <c r="CC118" i="31"/>
  <c r="CB118" i="31"/>
  <c r="CA118" i="31"/>
  <c r="BZ118" i="31"/>
  <c r="BY118" i="31"/>
  <c r="BX118" i="31"/>
  <c r="BW118" i="31"/>
  <c r="BV118" i="31"/>
  <c r="BU118" i="31"/>
  <c r="BT118" i="31"/>
  <c r="BS118" i="31"/>
  <c r="BR118" i="31"/>
  <c r="BQ118" i="31"/>
  <c r="BP118" i="31"/>
  <c r="BO118" i="31"/>
  <c r="BN118" i="31"/>
  <c r="BM118" i="31"/>
  <c r="BL118" i="31"/>
  <c r="BK118" i="31"/>
  <c r="BJ118" i="31"/>
  <c r="BI118" i="31"/>
  <c r="BH118" i="31"/>
  <c r="BG118" i="31"/>
  <c r="BF118" i="31"/>
  <c r="BE118" i="31"/>
  <c r="BD118" i="31"/>
  <c r="BC118" i="31"/>
  <c r="BB118" i="31"/>
  <c r="BA118" i="31"/>
  <c r="AZ118" i="31"/>
  <c r="AY118" i="31"/>
  <c r="AX118" i="31"/>
  <c r="AW118" i="31"/>
  <c r="AV118" i="31"/>
  <c r="AU118" i="31"/>
  <c r="AT118" i="31"/>
  <c r="AS118" i="31"/>
  <c r="AR118" i="31"/>
  <c r="AQ118" i="31"/>
  <c r="AP118" i="31"/>
  <c r="AO118" i="31"/>
  <c r="AN118" i="31"/>
  <c r="AM118" i="31"/>
  <c r="AL118" i="31"/>
  <c r="AK118" i="31"/>
  <c r="AJ118" i="31"/>
  <c r="AI118" i="31"/>
  <c r="AH118" i="31"/>
  <c r="AG118" i="31"/>
  <c r="AF118" i="31"/>
  <c r="AE118" i="31"/>
  <c r="AD118" i="31"/>
  <c r="AC118" i="31"/>
  <c r="AB118" i="31"/>
  <c r="AA118" i="31"/>
  <c r="Z118" i="31"/>
  <c r="Y118" i="31"/>
  <c r="X118" i="31"/>
  <c r="W118" i="31"/>
  <c r="V118" i="31"/>
  <c r="U118" i="31"/>
  <c r="T118" i="31"/>
  <c r="S118" i="31"/>
  <c r="R118" i="31"/>
  <c r="Q118" i="31"/>
  <c r="P118" i="31"/>
  <c r="O118" i="31"/>
  <c r="N118" i="31"/>
  <c r="M118" i="31"/>
  <c r="L118" i="31"/>
  <c r="K118" i="31"/>
  <c r="J118" i="31"/>
  <c r="I118" i="31"/>
  <c r="DP117" i="31"/>
  <c r="DO117" i="31"/>
  <c r="DN117" i="31"/>
  <c r="DM117" i="31"/>
  <c r="DL117" i="31"/>
  <c r="DK117" i="31"/>
  <c r="DJ117" i="31"/>
  <c r="DI117" i="31"/>
  <c r="DH117" i="31"/>
  <c r="DG117" i="31"/>
  <c r="DF117" i="31"/>
  <c r="DE117" i="31"/>
  <c r="DD117" i="31"/>
  <c r="DC117" i="31"/>
  <c r="DB117" i="31"/>
  <c r="DA117" i="31"/>
  <c r="CZ117" i="31"/>
  <c r="CY117" i="31"/>
  <c r="CX117" i="31"/>
  <c r="CW117" i="31"/>
  <c r="CV117" i="31"/>
  <c r="CU117" i="31"/>
  <c r="CT117" i="31"/>
  <c r="CS117" i="31"/>
  <c r="CR117" i="31"/>
  <c r="CQ117" i="31"/>
  <c r="CP117" i="31"/>
  <c r="CO117" i="31"/>
  <c r="CN117" i="31"/>
  <c r="CM117" i="31"/>
  <c r="CL117" i="31"/>
  <c r="CK117" i="31"/>
  <c r="CJ117" i="31"/>
  <c r="CI117" i="31"/>
  <c r="CH117" i="31"/>
  <c r="CG117" i="31"/>
  <c r="CF117" i="31"/>
  <c r="CE117" i="31"/>
  <c r="CD117" i="31"/>
  <c r="CC117" i="31"/>
  <c r="CB117" i="31"/>
  <c r="CA117" i="31"/>
  <c r="BZ117" i="31"/>
  <c r="BY117" i="31"/>
  <c r="BX117" i="31"/>
  <c r="BW117" i="31"/>
  <c r="BV117" i="31"/>
  <c r="BU117" i="31"/>
  <c r="BT117" i="31"/>
  <c r="BS117" i="31"/>
  <c r="BR117" i="31"/>
  <c r="BQ117" i="31"/>
  <c r="BP117" i="31"/>
  <c r="BO117" i="31"/>
  <c r="BN117" i="31"/>
  <c r="BM117" i="31"/>
  <c r="BL117" i="31"/>
  <c r="BK117" i="31"/>
  <c r="BJ117" i="31"/>
  <c r="BI117" i="31"/>
  <c r="BH117" i="31"/>
  <c r="BG117" i="31"/>
  <c r="BF117" i="31"/>
  <c r="BE117" i="31"/>
  <c r="BD117" i="31"/>
  <c r="BC117" i="31"/>
  <c r="BB117" i="31"/>
  <c r="BA117" i="31"/>
  <c r="AZ117" i="31"/>
  <c r="AY117" i="31"/>
  <c r="AX117" i="31"/>
  <c r="AW117" i="31"/>
  <c r="AV117" i="31"/>
  <c r="AU117" i="31"/>
  <c r="AT117" i="31"/>
  <c r="AS117" i="31"/>
  <c r="AR117" i="31"/>
  <c r="AQ117" i="31"/>
  <c r="AP117" i="31"/>
  <c r="AO117" i="31"/>
  <c r="AN117" i="31"/>
  <c r="AM117" i="31"/>
  <c r="AL117" i="31"/>
  <c r="AK117" i="31"/>
  <c r="AJ117" i="31"/>
  <c r="AI117" i="31"/>
  <c r="AH117" i="31"/>
  <c r="AG117" i="31"/>
  <c r="AF117" i="31"/>
  <c r="AE117" i="31"/>
  <c r="AD117" i="31"/>
  <c r="AC117" i="31"/>
  <c r="AB117" i="31"/>
  <c r="AA117" i="31"/>
  <c r="Z117" i="31"/>
  <c r="Y117" i="31"/>
  <c r="X117" i="31"/>
  <c r="W117" i="31"/>
  <c r="V117" i="31"/>
  <c r="U117" i="31"/>
  <c r="T117" i="31"/>
  <c r="S117" i="31"/>
  <c r="R117" i="31"/>
  <c r="Q117" i="31"/>
  <c r="P117" i="31"/>
  <c r="O117" i="31"/>
  <c r="N117" i="31"/>
  <c r="M117" i="31"/>
  <c r="L117" i="31"/>
  <c r="K117" i="31"/>
  <c r="J117" i="31"/>
  <c r="I117" i="31"/>
  <c r="DP116" i="31"/>
  <c r="DO116" i="31"/>
  <c r="DN116" i="31"/>
  <c r="DM116" i="31"/>
  <c r="DL116" i="31"/>
  <c r="DK116" i="31"/>
  <c r="DJ116" i="31"/>
  <c r="DI116" i="31"/>
  <c r="DH116" i="31"/>
  <c r="DG116" i="31"/>
  <c r="DF116" i="31"/>
  <c r="DE116" i="31"/>
  <c r="DD116" i="31"/>
  <c r="DC116" i="31"/>
  <c r="DB116" i="31"/>
  <c r="DA116" i="31"/>
  <c r="CZ116" i="31"/>
  <c r="CY116" i="31"/>
  <c r="CX116" i="31"/>
  <c r="CW116" i="31"/>
  <c r="CV116" i="31"/>
  <c r="CU116" i="31"/>
  <c r="CT116" i="31"/>
  <c r="CS116" i="31"/>
  <c r="CR116" i="31"/>
  <c r="CQ116" i="31"/>
  <c r="CP116" i="31"/>
  <c r="CO116" i="31"/>
  <c r="CN116" i="31"/>
  <c r="CM116" i="31"/>
  <c r="CL116" i="31"/>
  <c r="CK116" i="31"/>
  <c r="CJ116" i="31"/>
  <c r="CI116" i="31"/>
  <c r="CH116" i="31"/>
  <c r="CG116" i="31"/>
  <c r="CF116" i="31"/>
  <c r="CE116" i="31"/>
  <c r="CD116" i="31"/>
  <c r="CC116" i="31"/>
  <c r="CB116" i="31"/>
  <c r="CA116" i="31"/>
  <c r="BZ116" i="31"/>
  <c r="BY116" i="31"/>
  <c r="BX116" i="31"/>
  <c r="BW116" i="31"/>
  <c r="BV116" i="31"/>
  <c r="BU116" i="31"/>
  <c r="BT116" i="31"/>
  <c r="BS116" i="31"/>
  <c r="BR116" i="31"/>
  <c r="BQ116" i="31"/>
  <c r="BP116" i="31"/>
  <c r="BO116" i="31"/>
  <c r="BN116" i="31"/>
  <c r="BM116" i="31"/>
  <c r="BL116" i="31"/>
  <c r="BK116" i="31"/>
  <c r="BJ116" i="31"/>
  <c r="BI116" i="31"/>
  <c r="BH116" i="31"/>
  <c r="BG116" i="31"/>
  <c r="BF116" i="31"/>
  <c r="BE116" i="31"/>
  <c r="BD116" i="31"/>
  <c r="BC116" i="31"/>
  <c r="BB116" i="31"/>
  <c r="BA116" i="31"/>
  <c r="AZ116" i="31"/>
  <c r="AY116" i="31"/>
  <c r="AX116" i="31"/>
  <c r="AW116" i="31"/>
  <c r="AV116" i="31"/>
  <c r="AU116" i="31"/>
  <c r="AT116" i="31"/>
  <c r="AS116" i="31"/>
  <c r="AR116" i="31"/>
  <c r="AQ116" i="31"/>
  <c r="AP116" i="31"/>
  <c r="AO116" i="31"/>
  <c r="AN116" i="31"/>
  <c r="AM116" i="31"/>
  <c r="AL116" i="31"/>
  <c r="AK116" i="31"/>
  <c r="AJ116" i="31"/>
  <c r="AI116" i="31"/>
  <c r="AH116" i="31"/>
  <c r="AG116" i="31"/>
  <c r="AF116" i="31"/>
  <c r="AE116" i="31"/>
  <c r="AD116" i="31"/>
  <c r="AC116" i="31"/>
  <c r="AB116" i="31"/>
  <c r="AA116" i="31"/>
  <c r="Z116" i="31"/>
  <c r="Y116" i="31"/>
  <c r="X116" i="31"/>
  <c r="W116" i="31"/>
  <c r="V116" i="31"/>
  <c r="U116" i="31"/>
  <c r="T116" i="31"/>
  <c r="S116" i="31"/>
  <c r="R116" i="31"/>
  <c r="Q116" i="31"/>
  <c r="P116" i="31"/>
  <c r="O116" i="31"/>
  <c r="N116" i="31"/>
  <c r="M116" i="31"/>
  <c r="L116" i="31"/>
  <c r="K116" i="31"/>
  <c r="J116" i="31"/>
  <c r="I116" i="31"/>
  <c r="DP115" i="31"/>
  <c r="DO115" i="31"/>
  <c r="DN115" i="31"/>
  <c r="DM115" i="31"/>
  <c r="DL115" i="31"/>
  <c r="DK115" i="31"/>
  <c r="DJ115" i="31"/>
  <c r="DI115" i="31"/>
  <c r="DH115" i="31"/>
  <c r="DG115" i="31"/>
  <c r="DF115" i="31"/>
  <c r="DE115" i="31"/>
  <c r="DD115" i="31"/>
  <c r="DC115" i="31"/>
  <c r="DB115" i="31"/>
  <c r="DA115" i="31"/>
  <c r="CZ115" i="31"/>
  <c r="CY115" i="31"/>
  <c r="CX115" i="31"/>
  <c r="CW115" i="31"/>
  <c r="CV115" i="31"/>
  <c r="CU115" i="31"/>
  <c r="CT115" i="31"/>
  <c r="CS115" i="31"/>
  <c r="CR115" i="31"/>
  <c r="CQ115" i="31"/>
  <c r="CP115" i="31"/>
  <c r="CO115" i="31"/>
  <c r="CN115" i="31"/>
  <c r="CM115" i="31"/>
  <c r="CL115" i="31"/>
  <c r="CK115" i="31"/>
  <c r="CJ115" i="31"/>
  <c r="CI115" i="31"/>
  <c r="CH115" i="31"/>
  <c r="CG115" i="31"/>
  <c r="CF115" i="31"/>
  <c r="CE115" i="31"/>
  <c r="CD115" i="31"/>
  <c r="CC115" i="31"/>
  <c r="CB115" i="31"/>
  <c r="CA115" i="31"/>
  <c r="BZ115" i="31"/>
  <c r="BY115" i="31"/>
  <c r="BX115" i="31"/>
  <c r="BW115" i="31"/>
  <c r="BV115" i="31"/>
  <c r="BU115" i="31"/>
  <c r="BT115" i="31"/>
  <c r="BS115" i="31"/>
  <c r="BR115" i="31"/>
  <c r="BQ115" i="31"/>
  <c r="BP115" i="31"/>
  <c r="BO115" i="31"/>
  <c r="BN115" i="31"/>
  <c r="BM115" i="31"/>
  <c r="BL115" i="31"/>
  <c r="BK115" i="31"/>
  <c r="BJ115" i="31"/>
  <c r="BI115" i="31"/>
  <c r="BH115" i="31"/>
  <c r="BG115" i="31"/>
  <c r="BF115" i="31"/>
  <c r="BE115" i="31"/>
  <c r="BD115" i="31"/>
  <c r="BC115" i="31"/>
  <c r="BB115" i="31"/>
  <c r="BA115" i="31"/>
  <c r="AZ115" i="31"/>
  <c r="AY115" i="31"/>
  <c r="AX115" i="31"/>
  <c r="AW115" i="31"/>
  <c r="AV115" i="31"/>
  <c r="AU115" i="31"/>
  <c r="AT115" i="31"/>
  <c r="AS115" i="31"/>
  <c r="AR115" i="31"/>
  <c r="AQ115" i="31"/>
  <c r="AP115" i="31"/>
  <c r="AO115" i="31"/>
  <c r="AN115" i="31"/>
  <c r="AM115" i="31"/>
  <c r="AL115" i="31"/>
  <c r="AK115" i="31"/>
  <c r="AJ115" i="31"/>
  <c r="AI115" i="31"/>
  <c r="AH115" i="31"/>
  <c r="AG115" i="31"/>
  <c r="AF115" i="31"/>
  <c r="AE115" i="31"/>
  <c r="AD115" i="31"/>
  <c r="AC115" i="31"/>
  <c r="AB115" i="31"/>
  <c r="AA115" i="31"/>
  <c r="Z115" i="31"/>
  <c r="Y115" i="31"/>
  <c r="X115" i="31"/>
  <c r="W115" i="31"/>
  <c r="V115" i="31"/>
  <c r="U115" i="31"/>
  <c r="T115" i="31"/>
  <c r="S115" i="31"/>
  <c r="R115" i="31"/>
  <c r="Q115" i="31"/>
  <c r="P115" i="31"/>
  <c r="O115" i="31"/>
  <c r="N115" i="31"/>
  <c r="M115" i="31"/>
  <c r="L115" i="31"/>
  <c r="K115" i="31"/>
  <c r="J115" i="31"/>
  <c r="I115" i="31"/>
  <c r="DP114" i="31"/>
  <c r="DO114" i="31"/>
  <c r="DN114" i="31"/>
  <c r="DM114" i="31"/>
  <c r="DL114" i="31"/>
  <c r="DK114" i="31"/>
  <c r="DJ114" i="31"/>
  <c r="DI114" i="31"/>
  <c r="DH114" i="31"/>
  <c r="DG114" i="31"/>
  <c r="DF114" i="31"/>
  <c r="DE114" i="31"/>
  <c r="DD114" i="31"/>
  <c r="DC114" i="31"/>
  <c r="DB114" i="31"/>
  <c r="DA114" i="31"/>
  <c r="CZ114" i="31"/>
  <c r="CY114" i="31"/>
  <c r="CX114" i="31"/>
  <c r="CW114" i="31"/>
  <c r="CV114" i="31"/>
  <c r="CU114" i="31"/>
  <c r="CT114" i="31"/>
  <c r="CS114" i="31"/>
  <c r="CR114" i="31"/>
  <c r="CQ114" i="31"/>
  <c r="CP114" i="31"/>
  <c r="CO114" i="31"/>
  <c r="CN114" i="31"/>
  <c r="CM114" i="31"/>
  <c r="CL114" i="31"/>
  <c r="CK114" i="31"/>
  <c r="CJ114" i="31"/>
  <c r="CI114" i="31"/>
  <c r="CH114" i="31"/>
  <c r="CG114" i="31"/>
  <c r="CF114" i="31"/>
  <c r="CE114" i="31"/>
  <c r="CD114" i="31"/>
  <c r="CC114" i="31"/>
  <c r="CB114" i="31"/>
  <c r="CA114" i="31"/>
  <c r="BZ114" i="31"/>
  <c r="BY114" i="31"/>
  <c r="BX114" i="31"/>
  <c r="BW114" i="31"/>
  <c r="BV114" i="31"/>
  <c r="BU114" i="31"/>
  <c r="BT114" i="31"/>
  <c r="BS114" i="31"/>
  <c r="BR114" i="31"/>
  <c r="BQ114" i="31"/>
  <c r="BP114" i="31"/>
  <c r="BO114" i="31"/>
  <c r="BN114" i="31"/>
  <c r="BM114" i="31"/>
  <c r="BL114" i="31"/>
  <c r="BK114" i="31"/>
  <c r="BJ114" i="31"/>
  <c r="BI114" i="31"/>
  <c r="BH114" i="31"/>
  <c r="BG114" i="31"/>
  <c r="BF114" i="31"/>
  <c r="BE114" i="31"/>
  <c r="BD114" i="31"/>
  <c r="BC114" i="31"/>
  <c r="BB114" i="31"/>
  <c r="BA114" i="31"/>
  <c r="AZ114" i="31"/>
  <c r="AY114" i="31"/>
  <c r="AX114" i="31"/>
  <c r="AW114" i="31"/>
  <c r="AV114" i="31"/>
  <c r="AU114" i="31"/>
  <c r="AT114" i="31"/>
  <c r="AS114" i="31"/>
  <c r="AR114" i="31"/>
  <c r="AQ114" i="31"/>
  <c r="AP114" i="31"/>
  <c r="AO114" i="31"/>
  <c r="AN114" i="31"/>
  <c r="AM114" i="31"/>
  <c r="AL114" i="31"/>
  <c r="AK114" i="31"/>
  <c r="AJ114" i="31"/>
  <c r="AI114" i="31"/>
  <c r="AH114" i="31"/>
  <c r="AG114" i="31"/>
  <c r="AF114" i="31"/>
  <c r="AE114" i="31"/>
  <c r="AD114" i="31"/>
  <c r="AC114" i="31"/>
  <c r="AB114" i="31"/>
  <c r="AA114" i="31"/>
  <c r="Z114" i="31"/>
  <c r="Y114" i="31"/>
  <c r="X114" i="31"/>
  <c r="W114" i="31"/>
  <c r="V114" i="31"/>
  <c r="U114" i="31"/>
  <c r="T114" i="31"/>
  <c r="S114" i="31"/>
  <c r="R114" i="31"/>
  <c r="Q114" i="31"/>
  <c r="P114" i="31"/>
  <c r="O114" i="31"/>
  <c r="N114" i="31"/>
  <c r="M114" i="31"/>
  <c r="L114" i="31"/>
  <c r="K114" i="31"/>
  <c r="J114" i="31"/>
  <c r="I114" i="31"/>
  <c r="DP113" i="31"/>
  <c r="DO113" i="31"/>
  <c r="DN113" i="31"/>
  <c r="DM113" i="31"/>
  <c r="DL113" i="31"/>
  <c r="DK113" i="31"/>
  <c r="DJ113" i="31"/>
  <c r="DI113" i="31"/>
  <c r="DH113" i="31"/>
  <c r="DG113" i="31"/>
  <c r="DF113" i="31"/>
  <c r="DE113" i="31"/>
  <c r="DD113" i="31"/>
  <c r="DC113" i="31"/>
  <c r="DB113" i="31"/>
  <c r="DA113" i="31"/>
  <c r="CZ113" i="31"/>
  <c r="CY113" i="31"/>
  <c r="CX113" i="31"/>
  <c r="CW113" i="31"/>
  <c r="CV113" i="31"/>
  <c r="CU113" i="31"/>
  <c r="CT113" i="31"/>
  <c r="CS113" i="31"/>
  <c r="CR113" i="31"/>
  <c r="CQ113" i="31"/>
  <c r="CP113" i="31"/>
  <c r="CO113" i="31"/>
  <c r="CN113" i="31"/>
  <c r="CM113" i="31"/>
  <c r="CL113" i="31"/>
  <c r="CK113" i="31"/>
  <c r="CJ113" i="31"/>
  <c r="CI113" i="31"/>
  <c r="CH113" i="31"/>
  <c r="CG113" i="31"/>
  <c r="CF113" i="31"/>
  <c r="CE113" i="31"/>
  <c r="CD113" i="31"/>
  <c r="CC113" i="31"/>
  <c r="CB113" i="31"/>
  <c r="CA113" i="31"/>
  <c r="BZ113" i="31"/>
  <c r="BY113" i="31"/>
  <c r="BX113" i="31"/>
  <c r="BW113" i="31"/>
  <c r="BV113" i="31"/>
  <c r="BU113" i="31"/>
  <c r="BT113" i="31"/>
  <c r="BS113" i="31"/>
  <c r="BR113" i="31"/>
  <c r="BQ113" i="31"/>
  <c r="BP113" i="31"/>
  <c r="BO113" i="31"/>
  <c r="BN113" i="31"/>
  <c r="BM113" i="31"/>
  <c r="BL113" i="31"/>
  <c r="BK113" i="31"/>
  <c r="BJ113" i="31"/>
  <c r="BI113" i="31"/>
  <c r="BH113" i="31"/>
  <c r="BG113" i="31"/>
  <c r="BF113" i="31"/>
  <c r="BE113" i="31"/>
  <c r="BD113" i="31"/>
  <c r="BC113" i="31"/>
  <c r="BB113" i="31"/>
  <c r="BA113" i="31"/>
  <c r="AZ113" i="31"/>
  <c r="AY113" i="31"/>
  <c r="AX113" i="31"/>
  <c r="AW113" i="31"/>
  <c r="AV113" i="31"/>
  <c r="AU113" i="31"/>
  <c r="AT113" i="31"/>
  <c r="AS113" i="31"/>
  <c r="AR113" i="31"/>
  <c r="AQ113" i="31"/>
  <c r="AP113" i="31"/>
  <c r="AO113" i="31"/>
  <c r="AN113" i="31"/>
  <c r="AM113" i="31"/>
  <c r="AL113" i="31"/>
  <c r="AK113" i="31"/>
  <c r="AJ113" i="31"/>
  <c r="AI113" i="31"/>
  <c r="AH113" i="31"/>
  <c r="AG113" i="31"/>
  <c r="AF113" i="31"/>
  <c r="AE113" i="31"/>
  <c r="AD113" i="31"/>
  <c r="AC113" i="31"/>
  <c r="AB113" i="31"/>
  <c r="AA113" i="31"/>
  <c r="Z113" i="31"/>
  <c r="Y113" i="31"/>
  <c r="X113" i="31"/>
  <c r="W113" i="31"/>
  <c r="V113" i="31"/>
  <c r="U113" i="31"/>
  <c r="T113" i="31"/>
  <c r="S113" i="31"/>
  <c r="R113" i="31"/>
  <c r="Q113" i="31"/>
  <c r="P113" i="31"/>
  <c r="O113" i="31"/>
  <c r="N113" i="31"/>
  <c r="M113" i="31"/>
  <c r="L113" i="31"/>
  <c r="K113" i="31"/>
  <c r="J113" i="31"/>
  <c r="I113" i="31"/>
  <c r="DP112" i="31"/>
  <c r="DO112" i="31"/>
  <c r="DN112" i="31"/>
  <c r="DM112" i="31"/>
  <c r="DL112" i="31"/>
  <c r="DK112" i="31"/>
  <c r="DJ112" i="31"/>
  <c r="DI112" i="31"/>
  <c r="DH112" i="31"/>
  <c r="DG112" i="31"/>
  <c r="DF112" i="31"/>
  <c r="DE112" i="31"/>
  <c r="DD112" i="31"/>
  <c r="DC112" i="31"/>
  <c r="DB112" i="31"/>
  <c r="DA112" i="31"/>
  <c r="CZ112" i="31"/>
  <c r="CY112" i="31"/>
  <c r="CX112" i="31"/>
  <c r="CW112" i="31"/>
  <c r="CV112" i="31"/>
  <c r="CU112" i="31"/>
  <c r="CT112" i="31"/>
  <c r="CS112" i="31"/>
  <c r="CR112" i="31"/>
  <c r="CQ112" i="31"/>
  <c r="CP112" i="31"/>
  <c r="CO112" i="31"/>
  <c r="CN112" i="31"/>
  <c r="CM112" i="31"/>
  <c r="CL112" i="31"/>
  <c r="CK112" i="31"/>
  <c r="CJ112" i="31"/>
  <c r="CI112" i="31"/>
  <c r="CH112" i="31"/>
  <c r="CG112" i="31"/>
  <c r="CF112" i="31"/>
  <c r="CE112" i="31"/>
  <c r="CD112" i="31"/>
  <c r="CC112" i="31"/>
  <c r="CB112" i="31"/>
  <c r="CA112" i="31"/>
  <c r="BZ112" i="31"/>
  <c r="BY112" i="31"/>
  <c r="BX112" i="31"/>
  <c r="BW112" i="31"/>
  <c r="BV112" i="31"/>
  <c r="BU112" i="31"/>
  <c r="BT112" i="31"/>
  <c r="BS112" i="31"/>
  <c r="BR112" i="31"/>
  <c r="BQ112" i="31"/>
  <c r="BP112" i="31"/>
  <c r="BO112" i="31"/>
  <c r="BN112" i="31"/>
  <c r="BM112" i="31"/>
  <c r="BL112" i="31"/>
  <c r="BK112" i="31"/>
  <c r="BJ112" i="31"/>
  <c r="BI112" i="31"/>
  <c r="BH112" i="31"/>
  <c r="BG112" i="31"/>
  <c r="BF112" i="31"/>
  <c r="BE112" i="31"/>
  <c r="BD112" i="31"/>
  <c r="BC112" i="31"/>
  <c r="BB112" i="31"/>
  <c r="BA112" i="31"/>
  <c r="AZ112" i="31"/>
  <c r="AY112" i="31"/>
  <c r="AX112" i="31"/>
  <c r="AW112" i="31"/>
  <c r="AV112" i="31"/>
  <c r="AU112" i="31"/>
  <c r="AT112" i="31"/>
  <c r="AS112" i="31"/>
  <c r="AR112" i="31"/>
  <c r="AQ112" i="31"/>
  <c r="AP112" i="31"/>
  <c r="AO112" i="31"/>
  <c r="AN112" i="31"/>
  <c r="AM112" i="31"/>
  <c r="AL112" i="31"/>
  <c r="AK112" i="31"/>
  <c r="AJ112" i="31"/>
  <c r="AI112" i="31"/>
  <c r="AH112" i="31"/>
  <c r="AG112" i="31"/>
  <c r="AF112" i="31"/>
  <c r="AE112" i="31"/>
  <c r="AD112" i="31"/>
  <c r="AC112" i="31"/>
  <c r="AB112" i="31"/>
  <c r="AA112" i="31"/>
  <c r="Z112" i="31"/>
  <c r="Y112" i="31"/>
  <c r="X112" i="31"/>
  <c r="W112" i="31"/>
  <c r="V112" i="31"/>
  <c r="U112" i="31"/>
  <c r="T112" i="31"/>
  <c r="S112" i="31"/>
  <c r="R112" i="31"/>
  <c r="Q112" i="31"/>
  <c r="P112" i="31"/>
  <c r="O112" i="31"/>
  <c r="N112" i="31"/>
  <c r="M112" i="31"/>
  <c r="L112" i="31"/>
  <c r="K112" i="31"/>
  <c r="J112" i="31"/>
  <c r="I112" i="31"/>
  <c r="DP111" i="31"/>
  <c r="DO111" i="31"/>
  <c r="DN111" i="31"/>
  <c r="DM111" i="31"/>
  <c r="DL111" i="31"/>
  <c r="DK111" i="31"/>
  <c r="DJ111" i="31"/>
  <c r="DI111" i="31"/>
  <c r="DH111" i="31"/>
  <c r="DG111" i="31"/>
  <c r="DF111" i="31"/>
  <c r="DE111" i="31"/>
  <c r="DD111" i="31"/>
  <c r="DC111" i="31"/>
  <c r="DB111" i="31"/>
  <c r="DA111" i="31"/>
  <c r="CZ111" i="31"/>
  <c r="CY111" i="31"/>
  <c r="CX111" i="31"/>
  <c r="CW111" i="31"/>
  <c r="CV111" i="31"/>
  <c r="CU111" i="31"/>
  <c r="CT111" i="31"/>
  <c r="CS111" i="31"/>
  <c r="CR111" i="31"/>
  <c r="CQ111" i="31"/>
  <c r="CP111" i="31"/>
  <c r="CO111" i="31"/>
  <c r="CN111" i="31"/>
  <c r="CM111" i="31"/>
  <c r="CL111" i="31"/>
  <c r="CK111" i="31"/>
  <c r="CJ111" i="31"/>
  <c r="CI111" i="31"/>
  <c r="CH111" i="31"/>
  <c r="CG111" i="31"/>
  <c r="CF111" i="31"/>
  <c r="CE111" i="31"/>
  <c r="CD111" i="31"/>
  <c r="CC111" i="31"/>
  <c r="CB111" i="31"/>
  <c r="CA111" i="31"/>
  <c r="BZ111" i="31"/>
  <c r="BY111" i="31"/>
  <c r="BX111" i="31"/>
  <c r="BW111" i="31"/>
  <c r="BV111" i="31"/>
  <c r="BU111" i="31"/>
  <c r="BT111" i="31"/>
  <c r="BS111" i="31"/>
  <c r="BR111" i="31"/>
  <c r="BQ111" i="31"/>
  <c r="BP111" i="31"/>
  <c r="BO111" i="31"/>
  <c r="BN111" i="31"/>
  <c r="BM111" i="31"/>
  <c r="BL111" i="31"/>
  <c r="BK111" i="31"/>
  <c r="BJ111" i="31"/>
  <c r="BI111" i="31"/>
  <c r="BH111" i="31"/>
  <c r="BG111" i="31"/>
  <c r="BF111" i="31"/>
  <c r="BE111" i="31"/>
  <c r="BD111" i="31"/>
  <c r="BC111" i="31"/>
  <c r="BB111" i="31"/>
  <c r="BA111" i="31"/>
  <c r="AZ111" i="31"/>
  <c r="AY111" i="31"/>
  <c r="AX111" i="31"/>
  <c r="AW111" i="31"/>
  <c r="AV111" i="31"/>
  <c r="AU111" i="31"/>
  <c r="AT111" i="31"/>
  <c r="AS111" i="31"/>
  <c r="AR111" i="31"/>
  <c r="AQ111" i="31"/>
  <c r="AP111" i="31"/>
  <c r="AO111" i="31"/>
  <c r="AN111" i="31"/>
  <c r="AM111" i="31"/>
  <c r="AL111" i="31"/>
  <c r="AK111" i="31"/>
  <c r="AJ111" i="31"/>
  <c r="AI111" i="31"/>
  <c r="AH111" i="31"/>
  <c r="AG111" i="31"/>
  <c r="AF111" i="31"/>
  <c r="AE111" i="31"/>
  <c r="AD111" i="31"/>
  <c r="AC111" i="31"/>
  <c r="AB111" i="31"/>
  <c r="AA111" i="31"/>
  <c r="Z111" i="31"/>
  <c r="Y111" i="31"/>
  <c r="X111" i="31"/>
  <c r="W111" i="31"/>
  <c r="V111" i="31"/>
  <c r="U111" i="31"/>
  <c r="T111" i="31"/>
  <c r="S111" i="31"/>
  <c r="R111" i="31"/>
  <c r="Q111" i="31"/>
  <c r="P111" i="31"/>
  <c r="O111" i="31"/>
  <c r="N111" i="31"/>
  <c r="M111" i="31"/>
  <c r="L111" i="31"/>
  <c r="K111" i="31"/>
  <c r="J111" i="31"/>
  <c r="I111" i="31"/>
  <c r="DP110" i="31"/>
  <c r="DO110" i="31"/>
  <c r="DN110" i="31"/>
  <c r="DM110" i="31"/>
  <c r="DL110" i="31"/>
  <c r="DK110" i="31"/>
  <c r="DJ110" i="31"/>
  <c r="DI110" i="31"/>
  <c r="DH110" i="31"/>
  <c r="DG110" i="31"/>
  <c r="DF110" i="31"/>
  <c r="DE110" i="31"/>
  <c r="DD110" i="31"/>
  <c r="DC110" i="31"/>
  <c r="DB110" i="31"/>
  <c r="DA110" i="31"/>
  <c r="CZ110" i="31"/>
  <c r="CY110" i="31"/>
  <c r="CX110" i="31"/>
  <c r="CW110" i="31"/>
  <c r="CV110" i="31"/>
  <c r="CU110" i="31"/>
  <c r="CT110" i="31"/>
  <c r="CS110" i="31"/>
  <c r="CR110" i="31"/>
  <c r="CQ110" i="31"/>
  <c r="CP110" i="31"/>
  <c r="CO110" i="31"/>
  <c r="CN110" i="31"/>
  <c r="CM110" i="31"/>
  <c r="CL110" i="31"/>
  <c r="CK110" i="31"/>
  <c r="CJ110" i="31"/>
  <c r="CI110" i="31"/>
  <c r="CH110" i="31"/>
  <c r="CG110" i="31"/>
  <c r="CF110" i="31"/>
  <c r="CE110" i="31"/>
  <c r="CD110" i="31"/>
  <c r="CC110" i="31"/>
  <c r="CB110" i="31"/>
  <c r="CA110" i="31"/>
  <c r="BZ110" i="31"/>
  <c r="BY110" i="31"/>
  <c r="BX110" i="31"/>
  <c r="BW110" i="31"/>
  <c r="BV110" i="31"/>
  <c r="BU110" i="31"/>
  <c r="BT110" i="31"/>
  <c r="BS110" i="31"/>
  <c r="BR110" i="31"/>
  <c r="BQ110" i="31"/>
  <c r="BP110" i="31"/>
  <c r="BO110" i="31"/>
  <c r="BN110" i="31"/>
  <c r="BM110" i="31"/>
  <c r="BL110" i="31"/>
  <c r="BK110" i="31"/>
  <c r="BJ110" i="31"/>
  <c r="BI110" i="31"/>
  <c r="BH110" i="31"/>
  <c r="BG110" i="31"/>
  <c r="BF110" i="31"/>
  <c r="BE110" i="31"/>
  <c r="BD110" i="31"/>
  <c r="BC110" i="31"/>
  <c r="BB110" i="31"/>
  <c r="BA110" i="31"/>
  <c r="AZ110" i="31"/>
  <c r="AY110" i="31"/>
  <c r="AX110" i="31"/>
  <c r="AW110" i="31"/>
  <c r="AV110" i="31"/>
  <c r="AU110" i="31"/>
  <c r="AT110" i="31"/>
  <c r="AS110" i="31"/>
  <c r="AR110" i="31"/>
  <c r="AQ110" i="31"/>
  <c r="AP110" i="31"/>
  <c r="AO110" i="31"/>
  <c r="AN110" i="31"/>
  <c r="AM110" i="31"/>
  <c r="AL110" i="31"/>
  <c r="AK110" i="31"/>
  <c r="AJ110" i="31"/>
  <c r="AI110" i="31"/>
  <c r="AH110" i="31"/>
  <c r="AG110" i="31"/>
  <c r="AF110" i="31"/>
  <c r="AE110" i="31"/>
  <c r="AD110" i="31"/>
  <c r="AC110" i="31"/>
  <c r="AB110" i="31"/>
  <c r="AA110" i="31"/>
  <c r="Z110" i="31"/>
  <c r="Y110" i="31"/>
  <c r="X110" i="31"/>
  <c r="W110" i="31"/>
  <c r="V110" i="31"/>
  <c r="U110" i="31"/>
  <c r="T110" i="31"/>
  <c r="S110" i="31"/>
  <c r="R110" i="31"/>
  <c r="Q110" i="31"/>
  <c r="P110" i="31"/>
  <c r="O110" i="31"/>
  <c r="N110" i="31"/>
  <c r="M110" i="31"/>
  <c r="L110" i="31"/>
  <c r="K110" i="31"/>
  <c r="J110" i="31"/>
  <c r="I110" i="31"/>
  <c r="DP109" i="31"/>
  <c r="DO109" i="31"/>
  <c r="DN109" i="31"/>
  <c r="DM109" i="31"/>
  <c r="DL109" i="31"/>
  <c r="DK109" i="31"/>
  <c r="DJ109" i="31"/>
  <c r="DI109" i="31"/>
  <c r="DH109" i="31"/>
  <c r="DG109" i="31"/>
  <c r="DF109" i="31"/>
  <c r="DE109" i="31"/>
  <c r="DD109" i="31"/>
  <c r="DC109" i="31"/>
  <c r="DB109" i="31"/>
  <c r="DA109" i="31"/>
  <c r="CZ109" i="31"/>
  <c r="CY109" i="31"/>
  <c r="CX109" i="31"/>
  <c r="CW109" i="31"/>
  <c r="CV109" i="31"/>
  <c r="CU109" i="31"/>
  <c r="CT109" i="31"/>
  <c r="CS109" i="31"/>
  <c r="CR109" i="31"/>
  <c r="CQ109" i="31"/>
  <c r="CP109" i="31"/>
  <c r="CO109" i="31"/>
  <c r="CN109" i="31"/>
  <c r="CM109" i="31"/>
  <c r="CL109" i="31"/>
  <c r="CK109" i="31"/>
  <c r="CJ109" i="31"/>
  <c r="CI109" i="31"/>
  <c r="CH109" i="31"/>
  <c r="CG109" i="31"/>
  <c r="CF109" i="31"/>
  <c r="CE109" i="31"/>
  <c r="CD109" i="31"/>
  <c r="CC109" i="31"/>
  <c r="CB109" i="31"/>
  <c r="CA109" i="31"/>
  <c r="BZ109" i="31"/>
  <c r="BY109" i="31"/>
  <c r="BX109" i="31"/>
  <c r="BW109" i="31"/>
  <c r="BV109" i="31"/>
  <c r="BU109" i="31"/>
  <c r="BT109" i="31"/>
  <c r="BS109" i="31"/>
  <c r="BR109" i="31"/>
  <c r="BQ109" i="31"/>
  <c r="BP109" i="31"/>
  <c r="BO109" i="31"/>
  <c r="BN109" i="31"/>
  <c r="BM109" i="31"/>
  <c r="BL109" i="31"/>
  <c r="BK109" i="31"/>
  <c r="BJ109" i="31"/>
  <c r="BI109" i="31"/>
  <c r="BH109" i="31"/>
  <c r="BG109" i="31"/>
  <c r="BF109" i="31"/>
  <c r="BE109" i="31"/>
  <c r="BD109" i="31"/>
  <c r="BC109" i="31"/>
  <c r="BB109" i="31"/>
  <c r="BA109" i="31"/>
  <c r="AZ109" i="31"/>
  <c r="AY109" i="31"/>
  <c r="AX109" i="31"/>
  <c r="AW109" i="31"/>
  <c r="AV109" i="31"/>
  <c r="AU109" i="31"/>
  <c r="AT109" i="31"/>
  <c r="AS109" i="31"/>
  <c r="AR109" i="31"/>
  <c r="AQ109" i="31"/>
  <c r="AP109" i="31"/>
  <c r="AO109" i="31"/>
  <c r="AN109" i="31"/>
  <c r="AM109" i="31"/>
  <c r="AL109" i="31"/>
  <c r="AK109" i="31"/>
  <c r="AJ109" i="31"/>
  <c r="AI109" i="31"/>
  <c r="AH109" i="31"/>
  <c r="AG109" i="31"/>
  <c r="AF109" i="31"/>
  <c r="AE109" i="31"/>
  <c r="AD109" i="31"/>
  <c r="AC109" i="31"/>
  <c r="AB109" i="31"/>
  <c r="AA109" i="31"/>
  <c r="Z109" i="31"/>
  <c r="Y109" i="31"/>
  <c r="X109" i="31"/>
  <c r="W109" i="31"/>
  <c r="V109" i="31"/>
  <c r="U109" i="31"/>
  <c r="T109" i="31"/>
  <c r="S109" i="31"/>
  <c r="R109" i="31"/>
  <c r="Q109" i="31"/>
  <c r="P109" i="31"/>
  <c r="O109" i="31"/>
  <c r="N109" i="31"/>
  <c r="M109" i="31"/>
  <c r="L109" i="31"/>
  <c r="K109" i="31"/>
  <c r="J109" i="31"/>
  <c r="I109" i="31"/>
  <c r="DP108" i="31"/>
  <c r="DO108" i="31"/>
  <c r="DN108" i="31"/>
  <c r="DM108" i="31"/>
  <c r="DL108" i="31"/>
  <c r="DK108" i="31"/>
  <c r="DJ108" i="31"/>
  <c r="DI108" i="31"/>
  <c r="DH108" i="31"/>
  <c r="DG108" i="31"/>
  <c r="DF108" i="31"/>
  <c r="DE108" i="31"/>
  <c r="DD108" i="31"/>
  <c r="DC108" i="31"/>
  <c r="DB108" i="31"/>
  <c r="DA108" i="31"/>
  <c r="CZ108" i="31"/>
  <c r="CY108" i="31"/>
  <c r="CX108" i="31"/>
  <c r="CW108" i="31"/>
  <c r="CV108" i="31"/>
  <c r="CU108" i="31"/>
  <c r="CT108" i="31"/>
  <c r="CS108" i="31"/>
  <c r="CR108" i="31"/>
  <c r="CQ108" i="31"/>
  <c r="CP108" i="31"/>
  <c r="CO108" i="31"/>
  <c r="CN108" i="31"/>
  <c r="CM108" i="31"/>
  <c r="CL108" i="31"/>
  <c r="CK108" i="31"/>
  <c r="CJ108" i="31"/>
  <c r="CI108" i="31"/>
  <c r="CH108" i="31"/>
  <c r="CG108" i="31"/>
  <c r="CF108" i="31"/>
  <c r="CE108" i="31"/>
  <c r="CD108" i="31"/>
  <c r="CC108" i="31"/>
  <c r="CB108" i="31"/>
  <c r="CA108" i="31"/>
  <c r="BZ108" i="31"/>
  <c r="BY108" i="31"/>
  <c r="BX108" i="31"/>
  <c r="BW108" i="31"/>
  <c r="BV108" i="31"/>
  <c r="BU108" i="31"/>
  <c r="BT108" i="31"/>
  <c r="BS108" i="31"/>
  <c r="BR108" i="31"/>
  <c r="BQ108" i="31"/>
  <c r="BP108" i="31"/>
  <c r="BO108" i="31"/>
  <c r="BN108" i="31"/>
  <c r="BM108" i="31"/>
  <c r="BL108" i="31"/>
  <c r="BK108" i="31"/>
  <c r="BJ108" i="31"/>
  <c r="BI108" i="31"/>
  <c r="BH108" i="31"/>
  <c r="BG108" i="31"/>
  <c r="BF108" i="31"/>
  <c r="BE108" i="31"/>
  <c r="BD108" i="31"/>
  <c r="BC108" i="31"/>
  <c r="BB108" i="31"/>
  <c r="BA108" i="31"/>
  <c r="AZ108" i="31"/>
  <c r="AY108" i="31"/>
  <c r="AX108" i="31"/>
  <c r="AW108" i="31"/>
  <c r="AV108" i="31"/>
  <c r="AU108" i="31"/>
  <c r="AT108" i="31"/>
  <c r="AS108" i="31"/>
  <c r="AR108" i="31"/>
  <c r="AQ108" i="31"/>
  <c r="AP108" i="31"/>
  <c r="AO108" i="31"/>
  <c r="AN108" i="31"/>
  <c r="AM108" i="31"/>
  <c r="AL108" i="31"/>
  <c r="AK108" i="31"/>
  <c r="AJ108" i="31"/>
  <c r="AI108" i="31"/>
  <c r="AH108" i="31"/>
  <c r="AG108" i="31"/>
  <c r="AF108" i="31"/>
  <c r="AE108" i="31"/>
  <c r="AD108" i="31"/>
  <c r="AC108" i="31"/>
  <c r="AB108" i="31"/>
  <c r="AA108" i="31"/>
  <c r="Z108" i="31"/>
  <c r="Y108" i="31"/>
  <c r="X108" i="31"/>
  <c r="W108" i="31"/>
  <c r="V108" i="31"/>
  <c r="U108" i="31"/>
  <c r="T108" i="31"/>
  <c r="S108" i="31"/>
  <c r="R108" i="31"/>
  <c r="Q108" i="31"/>
  <c r="P108" i="31"/>
  <c r="O108" i="31"/>
  <c r="N108" i="31"/>
  <c r="M108" i="31"/>
  <c r="L108" i="31"/>
  <c r="K108" i="31"/>
  <c r="J108" i="31"/>
  <c r="I108" i="31"/>
  <c r="DP107" i="31"/>
  <c r="DN107" i="31"/>
  <c r="DL107" i="31"/>
  <c r="DJ107" i="31"/>
  <c r="DH107" i="31"/>
  <c r="DF107" i="31"/>
  <c r="DD107" i="31"/>
  <c r="DB107" i="31"/>
  <c r="CZ107" i="31"/>
  <c r="CX107" i="31"/>
  <c r="CV107" i="31"/>
  <c r="CT107" i="31"/>
  <c r="CR107" i="31"/>
  <c r="CP107" i="31"/>
  <c r="CN107" i="31"/>
  <c r="CL107" i="31"/>
  <c r="CJ107" i="31"/>
  <c r="CH107" i="31"/>
  <c r="CF107" i="31"/>
  <c r="CD107" i="31"/>
  <c r="CB107" i="31"/>
  <c r="BZ107" i="31"/>
  <c r="BX107" i="31"/>
  <c r="BV107" i="31"/>
  <c r="BT107" i="31"/>
  <c r="BR107" i="31"/>
  <c r="BP107" i="31"/>
  <c r="BN107" i="31"/>
  <c r="BL107" i="31"/>
  <c r="BJ107" i="31"/>
  <c r="BH107" i="31"/>
  <c r="BF107" i="31"/>
  <c r="BD107" i="31"/>
  <c r="BB107" i="31"/>
  <c r="AZ107" i="31"/>
  <c r="AX107" i="31"/>
  <c r="AV107" i="31"/>
  <c r="AT107" i="31"/>
  <c r="AR107" i="31"/>
  <c r="AP107" i="31"/>
  <c r="AN107" i="31"/>
  <c r="AL107" i="31"/>
  <c r="AJ107" i="31"/>
  <c r="AH107" i="31"/>
  <c r="AF107" i="31"/>
  <c r="AD107" i="31"/>
  <c r="AB107" i="31"/>
  <c r="Z107" i="31"/>
  <c r="X107" i="31"/>
  <c r="V107" i="31"/>
  <c r="T107" i="31"/>
  <c r="R107" i="31"/>
  <c r="P107" i="31"/>
  <c r="N107" i="31"/>
  <c r="L107" i="31"/>
  <c r="J107" i="31"/>
  <c r="DO106" i="31"/>
  <c r="DM106" i="31"/>
  <c r="DK106" i="31"/>
  <c r="DI106" i="31"/>
  <c r="DG106" i="31"/>
  <c r="DE106" i="31"/>
  <c r="DC106" i="31"/>
  <c r="DA106" i="31"/>
  <c r="CY106" i="31"/>
  <c r="CW106" i="31"/>
  <c r="CU106" i="31"/>
  <c r="CS106" i="31"/>
  <c r="CQ106" i="31"/>
  <c r="CO106" i="31"/>
  <c r="CM106" i="31"/>
  <c r="CK106" i="31"/>
  <c r="CI106" i="31"/>
  <c r="CG106" i="31"/>
  <c r="CE106" i="31"/>
  <c r="CC106" i="31"/>
  <c r="CA106" i="31"/>
  <c r="BY106" i="31"/>
  <c r="BW106" i="31"/>
  <c r="BU106" i="31"/>
  <c r="BS106" i="31"/>
  <c r="BQ106" i="31"/>
  <c r="BO106" i="31"/>
  <c r="BM106" i="31"/>
  <c r="BK106" i="31"/>
  <c r="BI106" i="31"/>
  <c r="BG106" i="31"/>
  <c r="BE106" i="31"/>
  <c r="BC106" i="31"/>
  <c r="BA106" i="31"/>
  <c r="AY106" i="31"/>
  <c r="AW106" i="31"/>
  <c r="AU106" i="31"/>
  <c r="AS106" i="31"/>
  <c r="AQ106" i="31"/>
  <c r="AO106" i="31"/>
  <c r="AM106" i="31"/>
  <c r="AK106" i="31"/>
  <c r="AI106" i="31"/>
  <c r="AG106" i="31"/>
  <c r="AE106" i="31"/>
  <c r="AC106" i="31"/>
  <c r="AA106" i="31"/>
  <c r="Y106" i="31"/>
  <c r="W106" i="31"/>
  <c r="U106" i="31"/>
  <c r="S106" i="31"/>
  <c r="Q106" i="31"/>
  <c r="O106" i="31"/>
  <c r="M106" i="31"/>
  <c r="K106" i="31"/>
  <c r="I106" i="31"/>
  <c r="DO105" i="31"/>
  <c r="DM105" i="31"/>
  <c r="DK105" i="31"/>
  <c r="DI105" i="31"/>
  <c r="DG105" i="31"/>
  <c r="DE105" i="31"/>
  <c r="DC105" i="31"/>
  <c r="DA105" i="31"/>
  <c r="CY105" i="31"/>
  <c r="CW105" i="31"/>
  <c r="CU105" i="31"/>
  <c r="CS105" i="31"/>
  <c r="CQ105" i="31"/>
  <c r="CO105" i="31"/>
  <c r="CM105" i="31"/>
  <c r="CK105" i="31"/>
  <c r="CI105" i="31"/>
  <c r="CG105" i="31"/>
  <c r="CE105" i="31"/>
  <c r="CC105" i="31"/>
  <c r="CA105" i="31"/>
  <c r="BY105" i="31"/>
  <c r="BW105" i="31"/>
  <c r="BU105" i="31"/>
  <c r="BS105" i="31"/>
  <c r="BQ105" i="31"/>
  <c r="BO105" i="31"/>
  <c r="BM105" i="31"/>
  <c r="BK105" i="31"/>
  <c r="BI105" i="31"/>
  <c r="BG105" i="31"/>
  <c r="BE105" i="31"/>
  <c r="BC105" i="31"/>
  <c r="BA105" i="31"/>
  <c r="AY105" i="31"/>
  <c r="AW105" i="31"/>
  <c r="AU105" i="31"/>
  <c r="AS105" i="31"/>
  <c r="AQ105" i="31"/>
  <c r="AO105" i="31"/>
  <c r="AM105" i="31"/>
  <c r="AK105" i="31"/>
  <c r="AI105" i="31"/>
  <c r="AG105" i="31"/>
  <c r="AE105" i="31"/>
  <c r="AC105" i="31"/>
  <c r="AA105" i="31"/>
  <c r="Y105" i="31"/>
  <c r="W105" i="31"/>
  <c r="U105" i="31"/>
  <c r="S105" i="31"/>
  <c r="Q105" i="31"/>
  <c r="O105" i="31"/>
  <c r="M105" i="31"/>
  <c r="K105" i="31"/>
  <c r="I105" i="31"/>
  <c r="HN87" i="31"/>
  <c r="HM87" i="31"/>
  <c r="HL87" i="31"/>
  <c r="HK87" i="31"/>
  <c r="HJ87" i="31"/>
  <c r="HI87" i="31"/>
  <c r="HH87" i="31"/>
  <c r="HG87" i="31"/>
  <c r="HF87" i="31"/>
  <c r="HE87" i="31"/>
  <c r="HD87" i="31"/>
  <c r="HC87" i="31"/>
  <c r="HB87" i="31"/>
  <c r="HA87" i="31"/>
  <c r="GZ87" i="31"/>
  <c r="GY87" i="31"/>
  <c r="GX87" i="31"/>
  <c r="GW87" i="31"/>
  <c r="GV87" i="31"/>
  <c r="GU87" i="31"/>
  <c r="GT87" i="31"/>
  <c r="GS87" i="31"/>
  <c r="GR87" i="31"/>
  <c r="GQ87" i="31"/>
  <c r="GP87" i="31"/>
  <c r="GO87" i="31"/>
  <c r="GN87" i="31"/>
  <c r="GM87" i="31"/>
  <c r="GL87" i="31"/>
  <c r="GK87" i="31"/>
  <c r="GJ87" i="31"/>
  <c r="GI87" i="31"/>
  <c r="GH87" i="31"/>
  <c r="GG87" i="31"/>
  <c r="GF87" i="31"/>
  <c r="GE87" i="31"/>
  <c r="GD87" i="31"/>
  <c r="GC87" i="31"/>
  <c r="GB87" i="31"/>
  <c r="GA87" i="31"/>
  <c r="FZ87" i="31"/>
  <c r="FY87" i="31"/>
  <c r="FX87" i="31"/>
  <c r="FW87" i="31"/>
  <c r="FV87" i="31"/>
  <c r="FU87" i="31"/>
  <c r="FT87" i="31"/>
  <c r="FS87" i="31"/>
  <c r="FR87" i="31"/>
  <c r="FQ87" i="31"/>
  <c r="FP87" i="31"/>
  <c r="FO87" i="31"/>
  <c r="FN87" i="31"/>
  <c r="FM87" i="31"/>
  <c r="FL87" i="31"/>
  <c r="FK87" i="31"/>
  <c r="FJ87" i="31"/>
  <c r="FI87" i="31"/>
  <c r="FH87" i="31"/>
  <c r="FG87" i="31"/>
  <c r="FF87" i="31"/>
  <c r="FE87" i="31"/>
  <c r="FD87" i="31"/>
  <c r="FC87" i="31"/>
  <c r="FB87" i="31"/>
  <c r="FA87" i="31"/>
  <c r="EZ87" i="31"/>
  <c r="EY87" i="31"/>
  <c r="EX87" i="31"/>
  <c r="EW87" i="31"/>
  <c r="EV87" i="31"/>
  <c r="EU87" i="31"/>
  <c r="ET87" i="31"/>
  <c r="ES87" i="31"/>
  <c r="ER87" i="31"/>
  <c r="EQ87" i="31"/>
  <c r="EP87" i="31"/>
  <c r="EO87" i="31"/>
  <c r="EN87" i="31"/>
  <c r="EM87" i="31"/>
  <c r="EL87" i="31"/>
  <c r="EK87" i="31"/>
  <c r="EJ87" i="31"/>
  <c r="EI87" i="31"/>
  <c r="EH87" i="31"/>
  <c r="EG87" i="31"/>
  <c r="EF87" i="31"/>
  <c r="EE87" i="31"/>
  <c r="ED87" i="31"/>
  <c r="EC87" i="31"/>
  <c r="EB87" i="31"/>
  <c r="EA87" i="31"/>
  <c r="DZ87" i="31"/>
  <c r="DY87" i="31"/>
  <c r="DX87" i="31"/>
  <c r="DW87" i="31"/>
  <c r="DV87" i="31"/>
  <c r="DU87" i="31"/>
  <c r="DT87" i="31"/>
  <c r="DS87" i="31"/>
  <c r="DR87" i="31"/>
  <c r="DQ87" i="31"/>
  <c r="DP87" i="31"/>
  <c r="DO87" i="31"/>
  <c r="DN87" i="31"/>
  <c r="DM87" i="31"/>
  <c r="DL87" i="31"/>
  <c r="DK87" i="31"/>
  <c r="DJ87" i="31"/>
  <c r="DI87" i="31"/>
  <c r="DH87" i="31"/>
  <c r="DG87" i="31"/>
  <c r="DF87" i="31"/>
  <c r="DE87" i="31"/>
  <c r="DD87" i="31"/>
  <c r="DC87" i="31"/>
  <c r="DB87" i="31"/>
  <c r="DA87" i="31"/>
  <c r="CZ87" i="31"/>
  <c r="CY87" i="31"/>
  <c r="CX87" i="31"/>
  <c r="CW87" i="31"/>
  <c r="CV87" i="31"/>
  <c r="CU87" i="31"/>
  <c r="CT87" i="31"/>
  <c r="CS87" i="31"/>
  <c r="CR87" i="31"/>
  <c r="CQ87" i="31"/>
  <c r="CP87" i="31"/>
  <c r="CO87" i="31"/>
  <c r="CN87" i="31"/>
  <c r="CM87" i="31"/>
  <c r="CL87" i="31"/>
  <c r="CK87" i="31"/>
  <c r="CJ87" i="31"/>
  <c r="CI87" i="31"/>
  <c r="CH87" i="31"/>
  <c r="CG87" i="31"/>
  <c r="CF87" i="31"/>
  <c r="CE87" i="31"/>
  <c r="CD87" i="31"/>
  <c r="CC87" i="31"/>
  <c r="CB87" i="31"/>
  <c r="CA87" i="31"/>
  <c r="BZ87" i="31"/>
  <c r="BY87" i="31"/>
  <c r="BX87" i="31"/>
  <c r="BW87" i="31"/>
  <c r="BV87" i="31"/>
  <c r="BU87" i="31"/>
  <c r="BT87" i="31"/>
  <c r="BS87" i="31"/>
  <c r="BR87" i="31"/>
  <c r="BQ87" i="31"/>
  <c r="BP87" i="31"/>
  <c r="BO87" i="31"/>
  <c r="BN87" i="31"/>
  <c r="BM87" i="31"/>
  <c r="BL87" i="31"/>
  <c r="BK87" i="31"/>
  <c r="BJ87" i="31"/>
  <c r="BI87" i="31"/>
  <c r="BH87" i="31"/>
  <c r="BG87" i="31"/>
  <c r="BF87" i="31"/>
  <c r="BE87" i="31"/>
  <c r="BD87" i="31"/>
  <c r="BC87" i="31"/>
  <c r="BB87" i="31"/>
  <c r="BA87" i="31"/>
  <c r="AZ87" i="31"/>
  <c r="AY87" i="31"/>
  <c r="AX87" i="31"/>
  <c r="AW87" i="31"/>
  <c r="AV87" i="31"/>
  <c r="AU87" i="31"/>
  <c r="AT87" i="31"/>
  <c r="AS87" i="31"/>
  <c r="AR87" i="31"/>
  <c r="AQ87" i="31"/>
  <c r="AP87" i="31"/>
  <c r="AO87" i="31"/>
  <c r="AN87" i="31"/>
  <c r="AM87" i="31"/>
  <c r="AL87" i="31"/>
  <c r="AK87" i="31"/>
  <c r="AJ87" i="31"/>
  <c r="AI87" i="31"/>
  <c r="AH87" i="31"/>
  <c r="AG87" i="31"/>
  <c r="AF87" i="31"/>
  <c r="AE87" i="31"/>
  <c r="AD87" i="31"/>
  <c r="AC87" i="31"/>
  <c r="AB87" i="31"/>
  <c r="AA87" i="31"/>
  <c r="Z87" i="31"/>
  <c r="Y87" i="31"/>
  <c r="X87" i="31"/>
  <c r="W87" i="31"/>
  <c r="V87" i="31"/>
  <c r="U87" i="31"/>
  <c r="T87" i="31"/>
  <c r="S87" i="31"/>
  <c r="R87" i="31"/>
  <c r="Q87" i="31"/>
  <c r="P87" i="31"/>
  <c r="O87" i="31"/>
  <c r="N87" i="31"/>
  <c r="M87" i="31"/>
  <c r="L87" i="31"/>
  <c r="K87" i="31"/>
  <c r="J87" i="31"/>
  <c r="I87" i="31"/>
  <c r="HN86" i="31"/>
  <c r="HM86" i="31"/>
  <c r="HL86" i="31"/>
  <c r="HK86" i="31"/>
  <c r="HJ86" i="31"/>
  <c r="HI86" i="31"/>
  <c r="HH86" i="31"/>
  <c r="HG86" i="31"/>
  <c r="HF86" i="31"/>
  <c r="HE86" i="31"/>
  <c r="HD86" i="31"/>
  <c r="HC86" i="31"/>
  <c r="HB86" i="31"/>
  <c r="HA86" i="31"/>
  <c r="GZ86" i="31"/>
  <c r="GY86" i="31"/>
  <c r="GX86" i="31"/>
  <c r="GW86" i="31"/>
  <c r="GV86" i="31"/>
  <c r="GU86" i="31"/>
  <c r="GT86" i="31"/>
  <c r="GS86" i="31"/>
  <c r="GR86" i="31"/>
  <c r="GQ86" i="31"/>
  <c r="GP86" i="31"/>
  <c r="GO86" i="31"/>
  <c r="GN86" i="31"/>
  <c r="GM86" i="31"/>
  <c r="GL86" i="31"/>
  <c r="GK86" i="31"/>
  <c r="GJ86" i="31"/>
  <c r="GI86" i="31"/>
  <c r="GH86" i="31"/>
  <c r="GG86" i="31"/>
  <c r="GF86" i="31"/>
  <c r="GE86" i="31"/>
  <c r="GD86" i="31"/>
  <c r="GC86" i="31"/>
  <c r="GB86" i="31"/>
  <c r="GA86" i="31"/>
  <c r="FZ86" i="31"/>
  <c r="FY86" i="31"/>
  <c r="FX86" i="31"/>
  <c r="FW86" i="31"/>
  <c r="FV86" i="31"/>
  <c r="FU86" i="31"/>
  <c r="FT86" i="31"/>
  <c r="FS86" i="31"/>
  <c r="FR86" i="31"/>
  <c r="FQ86" i="31"/>
  <c r="FP86" i="31"/>
  <c r="FO86" i="31"/>
  <c r="FN86" i="31"/>
  <c r="FM86" i="31"/>
  <c r="FL86" i="31"/>
  <c r="FK86" i="31"/>
  <c r="FJ86" i="31"/>
  <c r="FI86" i="31"/>
  <c r="FH86" i="31"/>
  <c r="FG86" i="31"/>
  <c r="FF86" i="31"/>
  <c r="FE86" i="31"/>
  <c r="FD86" i="31"/>
  <c r="FC86" i="31"/>
  <c r="FB86" i="31"/>
  <c r="FA86" i="31"/>
  <c r="EZ86" i="31"/>
  <c r="EY86" i="31"/>
  <c r="EX86" i="31"/>
  <c r="EW86" i="31"/>
  <c r="EV86" i="31"/>
  <c r="EU86" i="31"/>
  <c r="ET86" i="31"/>
  <c r="ES86" i="31"/>
  <c r="ER86" i="31"/>
  <c r="EQ86" i="31"/>
  <c r="EP86" i="31"/>
  <c r="EO86" i="31"/>
  <c r="EN86" i="31"/>
  <c r="EM86" i="31"/>
  <c r="EL86" i="31"/>
  <c r="EK86" i="31"/>
  <c r="EJ86" i="31"/>
  <c r="EI86" i="31"/>
  <c r="EH86" i="31"/>
  <c r="EG86" i="31"/>
  <c r="EF86" i="31"/>
  <c r="EE86" i="31"/>
  <c r="ED86" i="31"/>
  <c r="EC86" i="31"/>
  <c r="EB86" i="31"/>
  <c r="EA86" i="31"/>
  <c r="DZ86" i="31"/>
  <c r="DY86" i="31"/>
  <c r="DX86" i="31"/>
  <c r="DW86" i="31"/>
  <c r="DV86" i="31"/>
  <c r="DU86" i="31"/>
  <c r="DT86" i="31"/>
  <c r="DS86" i="31"/>
  <c r="DR86" i="31"/>
  <c r="DQ86" i="31"/>
  <c r="DP86" i="31"/>
  <c r="DO86" i="31"/>
  <c r="DN86" i="31"/>
  <c r="DM86" i="31"/>
  <c r="DL86" i="31"/>
  <c r="DK86" i="31"/>
  <c r="DJ86" i="31"/>
  <c r="DI86" i="31"/>
  <c r="DH86" i="31"/>
  <c r="DG86" i="31"/>
  <c r="DF86" i="31"/>
  <c r="DE86" i="31"/>
  <c r="DD86" i="31"/>
  <c r="DC86" i="31"/>
  <c r="DB86" i="31"/>
  <c r="DA86" i="31"/>
  <c r="CZ86" i="31"/>
  <c r="CY86" i="31"/>
  <c r="CX86" i="31"/>
  <c r="CW86" i="31"/>
  <c r="CV86" i="31"/>
  <c r="CU86" i="31"/>
  <c r="CT86" i="31"/>
  <c r="CS86" i="31"/>
  <c r="CR86" i="31"/>
  <c r="CQ86" i="31"/>
  <c r="CP86" i="31"/>
  <c r="CO86" i="31"/>
  <c r="CN86" i="31"/>
  <c r="CM86" i="31"/>
  <c r="CL86" i="31"/>
  <c r="CK86" i="31"/>
  <c r="CJ86" i="31"/>
  <c r="CI86" i="31"/>
  <c r="CH86" i="31"/>
  <c r="CG86" i="31"/>
  <c r="CF86" i="31"/>
  <c r="CE86" i="31"/>
  <c r="CD86" i="31"/>
  <c r="CC86" i="31"/>
  <c r="CB86" i="31"/>
  <c r="CA86" i="31"/>
  <c r="BZ86" i="31"/>
  <c r="BY86" i="31"/>
  <c r="BX86" i="31"/>
  <c r="BW86" i="31"/>
  <c r="BV86" i="31"/>
  <c r="BU86" i="31"/>
  <c r="BT86" i="31"/>
  <c r="BS86" i="31"/>
  <c r="BR86" i="31"/>
  <c r="BQ86" i="31"/>
  <c r="BP86" i="31"/>
  <c r="BO86" i="31"/>
  <c r="BN86" i="31"/>
  <c r="BM86" i="31"/>
  <c r="BL86" i="31"/>
  <c r="BK86" i="31"/>
  <c r="BJ86" i="31"/>
  <c r="BI86" i="31"/>
  <c r="BH86" i="31"/>
  <c r="BG86" i="31"/>
  <c r="BF86" i="31"/>
  <c r="BE86" i="31"/>
  <c r="BD86" i="31"/>
  <c r="BC86" i="31"/>
  <c r="BB86" i="31"/>
  <c r="BA86" i="31"/>
  <c r="AZ86" i="31"/>
  <c r="AY86" i="31"/>
  <c r="AX86" i="31"/>
  <c r="AW86" i="31"/>
  <c r="AV86" i="31"/>
  <c r="AU86" i="31"/>
  <c r="AT86" i="31"/>
  <c r="AS86" i="31"/>
  <c r="AR86" i="31"/>
  <c r="AQ86" i="31"/>
  <c r="AP86" i="31"/>
  <c r="AO86" i="31"/>
  <c r="AN86" i="31"/>
  <c r="AM86" i="31"/>
  <c r="AL86" i="31"/>
  <c r="AK86" i="31"/>
  <c r="AJ86" i="31"/>
  <c r="AI86" i="31"/>
  <c r="AH86" i="31"/>
  <c r="AG86" i="31"/>
  <c r="AF86" i="31"/>
  <c r="AE86" i="31"/>
  <c r="AD86" i="31"/>
  <c r="AC86" i="31"/>
  <c r="AB86" i="31"/>
  <c r="AA86" i="31"/>
  <c r="Z86" i="31"/>
  <c r="Y86" i="31"/>
  <c r="X86" i="31"/>
  <c r="W86" i="31"/>
  <c r="V86" i="31"/>
  <c r="U86" i="31"/>
  <c r="T86" i="31"/>
  <c r="S86" i="31"/>
  <c r="R86" i="31"/>
  <c r="Q86" i="31"/>
  <c r="P86" i="31"/>
  <c r="O86" i="31"/>
  <c r="N86" i="31"/>
  <c r="M86" i="31"/>
  <c r="L86" i="31"/>
  <c r="K86" i="31"/>
  <c r="J86" i="31"/>
  <c r="I86" i="31"/>
  <c r="HN85" i="31"/>
  <c r="HM85" i="31"/>
  <c r="HL85" i="31"/>
  <c r="HK85" i="31"/>
  <c r="HJ85" i="31"/>
  <c r="HI85" i="31"/>
  <c r="HH85" i="31"/>
  <c r="HG85" i="31"/>
  <c r="HF85" i="31"/>
  <c r="HE85" i="31"/>
  <c r="HD85" i="31"/>
  <c r="HC85" i="31"/>
  <c r="HB85" i="31"/>
  <c r="HA85" i="31"/>
  <c r="GZ85" i="31"/>
  <c r="GY85" i="31"/>
  <c r="GX85" i="31"/>
  <c r="GW85" i="31"/>
  <c r="GV85" i="31"/>
  <c r="GU85" i="31"/>
  <c r="GT85" i="31"/>
  <c r="GS85" i="31"/>
  <c r="GR85" i="31"/>
  <c r="GQ85" i="31"/>
  <c r="GP85" i="31"/>
  <c r="GO85" i="31"/>
  <c r="GN85" i="31"/>
  <c r="GM85" i="31"/>
  <c r="GL85" i="31"/>
  <c r="GK85" i="31"/>
  <c r="GJ85" i="31"/>
  <c r="GI85" i="31"/>
  <c r="GH85" i="31"/>
  <c r="GG85" i="31"/>
  <c r="GF85" i="31"/>
  <c r="GE85" i="31"/>
  <c r="GD85" i="31"/>
  <c r="GC85" i="31"/>
  <c r="GB85" i="31"/>
  <c r="GA85" i="31"/>
  <c r="FZ85" i="31"/>
  <c r="FY85" i="31"/>
  <c r="FX85" i="31"/>
  <c r="FW85" i="31"/>
  <c r="FV85" i="31"/>
  <c r="FU85" i="31"/>
  <c r="FT85" i="31"/>
  <c r="FS85" i="31"/>
  <c r="FR85" i="31"/>
  <c r="FQ85" i="31"/>
  <c r="FP85" i="31"/>
  <c r="FO85" i="31"/>
  <c r="FN85" i="31"/>
  <c r="FM85" i="31"/>
  <c r="FL85" i="31"/>
  <c r="FK85" i="31"/>
  <c r="FJ85" i="31"/>
  <c r="FI85" i="31"/>
  <c r="FH85" i="31"/>
  <c r="FG85" i="31"/>
  <c r="FF85" i="31"/>
  <c r="FE85" i="31"/>
  <c r="FD85" i="31"/>
  <c r="FC85" i="31"/>
  <c r="FB85" i="31"/>
  <c r="FA85" i="31"/>
  <c r="EZ85" i="31"/>
  <c r="EY85" i="31"/>
  <c r="EX85" i="31"/>
  <c r="EW85" i="31"/>
  <c r="EV85" i="31"/>
  <c r="EU85" i="31"/>
  <c r="ET85" i="31"/>
  <c r="ES85" i="31"/>
  <c r="ER85" i="31"/>
  <c r="EQ85" i="31"/>
  <c r="EP85" i="31"/>
  <c r="EO85" i="31"/>
  <c r="EN85" i="31"/>
  <c r="EM85" i="31"/>
  <c r="EL85" i="31"/>
  <c r="EK85" i="31"/>
  <c r="EJ85" i="31"/>
  <c r="EI85" i="31"/>
  <c r="EH85" i="31"/>
  <c r="EG85" i="31"/>
  <c r="EF85" i="31"/>
  <c r="EE85" i="31"/>
  <c r="ED85" i="31"/>
  <c r="EC85" i="31"/>
  <c r="EB85" i="31"/>
  <c r="EA85" i="31"/>
  <c r="DZ85" i="31"/>
  <c r="DY85" i="31"/>
  <c r="DX85" i="31"/>
  <c r="DW85" i="31"/>
  <c r="DV85" i="31"/>
  <c r="DU85" i="31"/>
  <c r="DT85" i="31"/>
  <c r="DS85" i="31"/>
  <c r="DR85" i="31"/>
  <c r="DQ85" i="31"/>
  <c r="DP85" i="31"/>
  <c r="DO85" i="31"/>
  <c r="DN85" i="31"/>
  <c r="DM85" i="31"/>
  <c r="DL85" i="31"/>
  <c r="DK85" i="31"/>
  <c r="DJ85" i="31"/>
  <c r="DI85" i="31"/>
  <c r="DH85" i="31"/>
  <c r="DG85" i="31"/>
  <c r="DF85" i="31"/>
  <c r="DE85" i="31"/>
  <c r="DD85" i="31"/>
  <c r="DC85" i="31"/>
  <c r="DB85" i="31"/>
  <c r="DA85" i="31"/>
  <c r="CZ85" i="31"/>
  <c r="CY85" i="31"/>
  <c r="CX85" i="31"/>
  <c r="CW85" i="31"/>
  <c r="CV85" i="31"/>
  <c r="CU85" i="31"/>
  <c r="CT85" i="31"/>
  <c r="CS85" i="31"/>
  <c r="CR85" i="31"/>
  <c r="CQ85" i="31"/>
  <c r="CP85" i="31"/>
  <c r="CO85" i="31"/>
  <c r="CN85" i="31"/>
  <c r="CM85" i="31"/>
  <c r="CL85" i="31"/>
  <c r="CK85" i="31"/>
  <c r="CJ85" i="31"/>
  <c r="CI85" i="31"/>
  <c r="CH85" i="31"/>
  <c r="CG85" i="31"/>
  <c r="CF85" i="31"/>
  <c r="CE85" i="31"/>
  <c r="CD85" i="31"/>
  <c r="CC85" i="31"/>
  <c r="CB85" i="31"/>
  <c r="CA85" i="31"/>
  <c r="BZ85" i="31"/>
  <c r="BY85" i="31"/>
  <c r="BX85" i="31"/>
  <c r="BW85" i="31"/>
  <c r="BV85" i="31"/>
  <c r="BU85" i="31"/>
  <c r="BT85" i="31"/>
  <c r="BS85" i="31"/>
  <c r="BR85" i="31"/>
  <c r="BQ85" i="31"/>
  <c r="BP85" i="31"/>
  <c r="BO85" i="31"/>
  <c r="BN85" i="31"/>
  <c r="BM85" i="31"/>
  <c r="BL85" i="31"/>
  <c r="BK85" i="31"/>
  <c r="BJ85" i="31"/>
  <c r="BI85" i="31"/>
  <c r="BH85" i="31"/>
  <c r="BG85" i="31"/>
  <c r="BF85" i="31"/>
  <c r="BE85" i="31"/>
  <c r="BD85" i="31"/>
  <c r="BC85" i="31"/>
  <c r="BB85" i="31"/>
  <c r="BA85" i="31"/>
  <c r="AZ85" i="31"/>
  <c r="AY85" i="31"/>
  <c r="AX85" i="31"/>
  <c r="AW85" i="31"/>
  <c r="AV85" i="31"/>
  <c r="AU85" i="31"/>
  <c r="AT85" i="31"/>
  <c r="AS85" i="31"/>
  <c r="AR85" i="31"/>
  <c r="AQ85" i="31"/>
  <c r="AP85" i="31"/>
  <c r="AO85" i="31"/>
  <c r="AN85" i="31"/>
  <c r="AM85" i="31"/>
  <c r="AL85" i="31"/>
  <c r="AK85" i="31"/>
  <c r="AJ85" i="31"/>
  <c r="AI85" i="31"/>
  <c r="AH85" i="31"/>
  <c r="AG85" i="31"/>
  <c r="AF85" i="31"/>
  <c r="AE85" i="31"/>
  <c r="AD85" i="31"/>
  <c r="AC85" i="31"/>
  <c r="AB85" i="31"/>
  <c r="AA85" i="31"/>
  <c r="Z85" i="31"/>
  <c r="Y85" i="31"/>
  <c r="X85" i="31"/>
  <c r="W85" i="31"/>
  <c r="V85" i="31"/>
  <c r="U85" i="31"/>
  <c r="T85" i="31"/>
  <c r="S85" i="31"/>
  <c r="R85" i="31"/>
  <c r="Q85" i="31"/>
  <c r="P85" i="31"/>
  <c r="O85" i="31"/>
  <c r="N85" i="31"/>
  <c r="M85" i="31"/>
  <c r="L85" i="31"/>
  <c r="K85" i="31"/>
  <c r="J85" i="31"/>
  <c r="I85" i="31"/>
  <c r="HN84" i="31"/>
  <c r="HM84" i="31"/>
  <c r="HL84" i="31"/>
  <c r="HK84" i="31"/>
  <c r="HJ84" i="31"/>
  <c r="HI84" i="31"/>
  <c r="HH84" i="31"/>
  <c r="HG84" i="31"/>
  <c r="HF84" i="31"/>
  <c r="HE84" i="31"/>
  <c r="HD84" i="31"/>
  <c r="HC84" i="31"/>
  <c r="HB84" i="31"/>
  <c r="HA84" i="31"/>
  <c r="GZ84" i="31"/>
  <c r="GY84" i="31"/>
  <c r="GX84" i="31"/>
  <c r="GW84" i="31"/>
  <c r="GV84" i="31"/>
  <c r="GU84" i="31"/>
  <c r="GT84" i="31"/>
  <c r="GS84" i="31"/>
  <c r="GR84" i="31"/>
  <c r="GQ84" i="31"/>
  <c r="GP84" i="31"/>
  <c r="GO84" i="31"/>
  <c r="GN84" i="31"/>
  <c r="GM84" i="31"/>
  <c r="GL84" i="31"/>
  <c r="GK84" i="31"/>
  <c r="GJ84" i="31"/>
  <c r="GI84" i="31"/>
  <c r="GH84" i="31"/>
  <c r="GG84" i="31"/>
  <c r="GF84" i="31"/>
  <c r="GE84" i="31"/>
  <c r="GD84" i="31"/>
  <c r="GC84" i="31"/>
  <c r="GB84" i="31"/>
  <c r="GA84" i="31"/>
  <c r="FZ84" i="31"/>
  <c r="FY84" i="31"/>
  <c r="FX84" i="31"/>
  <c r="FW84" i="31"/>
  <c r="FV84" i="31"/>
  <c r="FU84" i="31"/>
  <c r="FT84" i="31"/>
  <c r="FS84" i="31"/>
  <c r="FR84" i="31"/>
  <c r="FQ84" i="31"/>
  <c r="FP84" i="31"/>
  <c r="FO84" i="31"/>
  <c r="FN84" i="31"/>
  <c r="FM84" i="31"/>
  <c r="FL84" i="31"/>
  <c r="FK84" i="31"/>
  <c r="FJ84" i="31"/>
  <c r="FI84" i="31"/>
  <c r="FH84" i="31"/>
  <c r="FG84" i="31"/>
  <c r="FF84" i="31"/>
  <c r="FE84" i="31"/>
  <c r="FD84" i="31"/>
  <c r="FC84" i="31"/>
  <c r="FB84" i="31"/>
  <c r="FA84" i="31"/>
  <c r="EZ84" i="31"/>
  <c r="EY84" i="31"/>
  <c r="EX84" i="31"/>
  <c r="EW84" i="31"/>
  <c r="EV84" i="31"/>
  <c r="EU84" i="31"/>
  <c r="ET84" i="31"/>
  <c r="ES84" i="31"/>
  <c r="ER84" i="31"/>
  <c r="EQ84" i="31"/>
  <c r="EP84" i="31"/>
  <c r="EO84" i="31"/>
  <c r="EN84" i="31"/>
  <c r="EM84" i="31"/>
  <c r="EL84" i="31"/>
  <c r="EK84" i="31"/>
  <c r="EJ84" i="31"/>
  <c r="EI84" i="31"/>
  <c r="EH84" i="31"/>
  <c r="EG84" i="31"/>
  <c r="EF84" i="31"/>
  <c r="EE84" i="31"/>
  <c r="ED84" i="31"/>
  <c r="EC84" i="31"/>
  <c r="EB84" i="31"/>
  <c r="EA84" i="31"/>
  <c r="DZ84" i="31"/>
  <c r="DY84" i="31"/>
  <c r="DX84" i="31"/>
  <c r="DW84" i="31"/>
  <c r="DV84" i="31"/>
  <c r="DU84" i="31"/>
  <c r="DT84" i="31"/>
  <c r="DS84" i="31"/>
  <c r="DR84" i="31"/>
  <c r="DQ84" i="31"/>
  <c r="DP84" i="31"/>
  <c r="DO84" i="31"/>
  <c r="DN84" i="31"/>
  <c r="DM84" i="31"/>
  <c r="DL84" i="31"/>
  <c r="DK84" i="31"/>
  <c r="DJ84" i="31"/>
  <c r="DI84" i="31"/>
  <c r="DH84" i="31"/>
  <c r="DG84" i="31"/>
  <c r="DF84" i="31"/>
  <c r="DE84" i="31"/>
  <c r="DD84" i="31"/>
  <c r="DC84" i="31"/>
  <c r="DB84" i="31"/>
  <c r="DA84" i="31"/>
  <c r="CZ84" i="31"/>
  <c r="CY84" i="31"/>
  <c r="CX84" i="31"/>
  <c r="CW84" i="31"/>
  <c r="CV84" i="31"/>
  <c r="CU84" i="31"/>
  <c r="CT84" i="31"/>
  <c r="CS84" i="31"/>
  <c r="CR84" i="31"/>
  <c r="CQ84" i="31"/>
  <c r="CP84" i="31"/>
  <c r="CO84" i="31"/>
  <c r="CN84" i="31"/>
  <c r="CM84" i="31"/>
  <c r="CL84" i="31"/>
  <c r="CK84" i="31"/>
  <c r="CJ84" i="31"/>
  <c r="CI84" i="31"/>
  <c r="CH84" i="31"/>
  <c r="CG84" i="31"/>
  <c r="CF84" i="31"/>
  <c r="CE84" i="31"/>
  <c r="CD84" i="31"/>
  <c r="CC84" i="31"/>
  <c r="CB84" i="31"/>
  <c r="CA84" i="31"/>
  <c r="BZ84" i="31"/>
  <c r="BY84" i="31"/>
  <c r="BX84" i="31"/>
  <c r="BW84" i="31"/>
  <c r="BV84" i="31"/>
  <c r="BU84" i="31"/>
  <c r="BT84" i="31"/>
  <c r="BS84" i="31"/>
  <c r="BR84" i="31"/>
  <c r="BQ84" i="31"/>
  <c r="BP84" i="31"/>
  <c r="BO84" i="31"/>
  <c r="BN84" i="31"/>
  <c r="BM84" i="31"/>
  <c r="BL84" i="31"/>
  <c r="BK84" i="31"/>
  <c r="BJ84" i="31"/>
  <c r="BI84" i="31"/>
  <c r="BH84" i="31"/>
  <c r="BG84" i="31"/>
  <c r="BF84" i="31"/>
  <c r="BE84" i="31"/>
  <c r="BD84" i="31"/>
  <c r="BC84" i="31"/>
  <c r="BB84" i="31"/>
  <c r="BA84" i="31"/>
  <c r="AZ84" i="31"/>
  <c r="AY84" i="31"/>
  <c r="AX84" i="31"/>
  <c r="AW84" i="31"/>
  <c r="AV84" i="31"/>
  <c r="AU84" i="31"/>
  <c r="AT84" i="31"/>
  <c r="AS84" i="31"/>
  <c r="AR84" i="31"/>
  <c r="AQ84" i="31"/>
  <c r="AP84" i="31"/>
  <c r="AO84" i="31"/>
  <c r="AN84" i="31"/>
  <c r="AM84" i="31"/>
  <c r="AL84" i="31"/>
  <c r="AK84" i="31"/>
  <c r="AJ84" i="31"/>
  <c r="AI84" i="31"/>
  <c r="AH84" i="31"/>
  <c r="AG84" i="31"/>
  <c r="AF84" i="31"/>
  <c r="AE84" i="31"/>
  <c r="AD84" i="31"/>
  <c r="AC84" i="31"/>
  <c r="AB84" i="31"/>
  <c r="AA84" i="31"/>
  <c r="Z84" i="31"/>
  <c r="Y84" i="31"/>
  <c r="X84" i="31"/>
  <c r="W84" i="31"/>
  <c r="V84" i="31"/>
  <c r="U84" i="31"/>
  <c r="T84" i="31"/>
  <c r="S84" i="31"/>
  <c r="R84" i="31"/>
  <c r="Q84" i="31"/>
  <c r="P84" i="31"/>
  <c r="O84" i="31"/>
  <c r="N84" i="31"/>
  <c r="M84" i="31"/>
  <c r="L84" i="31"/>
  <c r="K84" i="31"/>
  <c r="J84" i="31"/>
  <c r="I84" i="31"/>
  <c r="HN83" i="31"/>
  <c r="HM83" i="31"/>
  <c r="HL83" i="31"/>
  <c r="HK83" i="31"/>
  <c r="HJ83" i="31"/>
  <c r="HI83" i="31"/>
  <c r="HH83" i="31"/>
  <c r="HG83" i="31"/>
  <c r="HF83" i="31"/>
  <c r="HE83" i="31"/>
  <c r="HD83" i="31"/>
  <c r="HC83" i="31"/>
  <c r="HB83" i="31"/>
  <c r="HA83" i="31"/>
  <c r="GZ83" i="31"/>
  <c r="GY83" i="31"/>
  <c r="GX83" i="31"/>
  <c r="GW83" i="31"/>
  <c r="GV83" i="31"/>
  <c r="GU83" i="31"/>
  <c r="GT83" i="31"/>
  <c r="GS83" i="31"/>
  <c r="GR83" i="31"/>
  <c r="GQ83" i="31"/>
  <c r="GP83" i="31"/>
  <c r="GO83" i="31"/>
  <c r="GN83" i="31"/>
  <c r="GM83" i="31"/>
  <c r="GL83" i="31"/>
  <c r="GK83" i="31"/>
  <c r="GJ83" i="31"/>
  <c r="GI83" i="31"/>
  <c r="GH83" i="31"/>
  <c r="GG83" i="31"/>
  <c r="GF83" i="31"/>
  <c r="GE83" i="31"/>
  <c r="GD83" i="31"/>
  <c r="GC83" i="31"/>
  <c r="GB83" i="31"/>
  <c r="GA83" i="31"/>
  <c r="FZ83" i="31"/>
  <c r="FY83" i="31"/>
  <c r="FX83" i="31"/>
  <c r="FW83" i="31"/>
  <c r="FV83" i="31"/>
  <c r="FU83" i="31"/>
  <c r="FT83" i="31"/>
  <c r="FS83" i="31"/>
  <c r="FR83" i="31"/>
  <c r="FQ83" i="31"/>
  <c r="FP83" i="31"/>
  <c r="FO83" i="31"/>
  <c r="FN83" i="31"/>
  <c r="FM83" i="31"/>
  <c r="FL83" i="31"/>
  <c r="FK83" i="31"/>
  <c r="FJ83" i="31"/>
  <c r="FI83" i="31"/>
  <c r="FH83" i="31"/>
  <c r="FG83" i="31"/>
  <c r="FF83" i="31"/>
  <c r="FE83" i="31"/>
  <c r="FD83" i="31"/>
  <c r="FC83" i="31"/>
  <c r="FB83" i="31"/>
  <c r="FA83" i="31"/>
  <c r="EZ83" i="31"/>
  <c r="EY83" i="31"/>
  <c r="EX83" i="31"/>
  <c r="EW83" i="31"/>
  <c r="EV83" i="31"/>
  <c r="EU83" i="31"/>
  <c r="ET83" i="31"/>
  <c r="ES83" i="31"/>
  <c r="ER83" i="31"/>
  <c r="EQ83" i="31"/>
  <c r="EP83" i="31"/>
  <c r="EO83" i="31"/>
  <c r="EN83" i="31"/>
  <c r="EM83" i="31"/>
  <c r="EL83" i="31"/>
  <c r="EK83" i="31"/>
  <c r="EJ83" i="31"/>
  <c r="EI83" i="31"/>
  <c r="EH83" i="31"/>
  <c r="EG83" i="31"/>
  <c r="EF83" i="31"/>
  <c r="EE83" i="31"/>
  <c r="ED83" i="31"/>
  <c r="EC83" i="31"/>
  <c r="EB83" i="31"/>
  <c r="EA83" i="31"/>
  <c r="DZ83" i="31"/>
  <c r="DY83" i="31"/>
  <c r="DX83" i="31"/>
  <c r="DW83" i="31"/>
  <c r="DV83" i="31"/>
  <c r="DU83" i="31"/>
  <c r="DT83" i="31"/>
  <c r="DS83" i="31"/>
  <c r="DR83" i="31"/>
  <c r="DQ83" i="31"/>
  <c r="DP83" i="31"/>
  <c r="DO83" i="31"/>
  <c r="DN83" i="31"/>
  <c r="DM83" i="31"/>
  <c r="DL83" i="31"/>
  <c r="DK83" i="31"/>
  <c r="DJ83" i="31"/>
  <c r="DI83" i="31"/>
  <c r="DH83" i="31"/>
  <c r="DG83" i="31"/>
  <c r="DF83" i="31"/>
  <c r="DE83" i="31"/>
  <c r="DD83" i="31"/>
  <c r="DC83" i="31"/>
  <c r="DB83" i="31"/>
  <c r="DA83" i="31"/>
  <c r="CZ83" i="31"/>
  <c r="CY83" i="31"/>
  <c r="CX83" i="31"/>
  <c r="CW83" i="31"/>
  <c r="CV83" i="31"/>
  <c r="CU83" i="31"/>
  <c r="CT83" i="31"/>
  <c r="CS83" i="31"/>
  <c r="CR83" i="31"/>
  <c r="CQ83" i="31"/>
  <c r="CP83" i="31"/>
  <c r="CO83" i="31"/>
  <c r="CN83" i="31"/>
  <c r="CM83" i="31"/>
  <c r="CL83" i="31"/>
  <c r="CK83" i="31"/>
  <c r="CJ83" i="31"/>
  <c r="CI83" i="31"/>
  <c r="CH83" i="31"/>
  <c r="CG83" i="31"/>
  <c r="CF83" i="31"/>
  <c r="CE83" i="31"/>
  <c r="CD83" i="31"/>
  <c r="CC83" i="31"/>
  <c r="CB83" i="31"/>
  <c r="CA83" i="31"/>
  <c r="BZ83" i="31"/>
  <c r="BY83" i="31"/>
  <c r="BX83" i="31"/>
  <c r="BW83" i="31"/>
  <c r="BV83" i="31"/>
  <c r="BU83" i="31"/>
  <c r="BT83" i="31"/>
  <c r="BS83" i="31"/>
  <c r="BR83" i="31"/>
  <c r="BQ83" i="31"/>
  <c r="BP83" i="31"/>
  <c r="BO83" i="31"/>
  <c r="BN83" i="31"/>
  <c r="BM83" i="31"/>
  <c r="BL83" i="31"/>
  <c r="BK83" i="31"/>
  <c r="BJ83" i="31"/>
  <c r="BI83" i="31"/>
  <c r="BH83" i="31"/>
  <c r="BG83" i="31"/>
  <c r="BF83" i="31"/>
  <c r="BE83" i="31"/>
  <c r="BD83" i="31"/>
  <c r="BC83" i="31"/>
  <c r="BB83" i="31"/>
  <c r="BA83" i="31"/>
  <c r="AZ83" i="31"/>
  <c r="AY83" i="31"/>
  <c r="AX83" i="31"/>
  <c r="AW83" i="31"/>
  <c r="AV83" i="31"/>
  <c r="AU83" i="31"/>
  <c r="AT83" i="31"/>
  <c r="AS83" i="31"/>
  <c r="AR83" i="31"/>
  <c r="AQ83" i="31"/>
  <c r="AP83" i="31"/>
  <c r="AO83" i="31"/>
  <c r="AN83" i="31"/>
  <c r="AM83" i="31"/>
  <c r="AL83" i="31"/>
  <c r="AK83" i="31"/>
  <c r="AJ83" i="31"/>
  <c r="AI83" i="31"/>
  <c r="AH83" i="31"/>
  <c r="AG83" i="31"/>
  <c r="AF83" i="31"/>
  <c r="AE83" i="31"/>
  <c r="AD83" i="31"/>
  <c r="AC83" i="31"/>
  <c r="AB83" i="31"/>
  <c r="AA83" i="31"/>
  <c r="Z83" i="31"/>
  <c r="Y83" i="31"/>
  <c r="X83" i="31"/>
  <c r="W83" i="31"/>
  <c r="V83" i="31"/>
  <c r="U83" i="31"/>
  <c r="T83" i="31"/>
  <c r="S83" i="31"/>
  <c r="R83" i="31"/>
  <c r="Q83" i="31"/>
  <c r="P83" i="31"/>
  <c r="O83" i="31"/>
  <c r="N83" i="31"/>
  <c r="M83" i="31"/>
  <c r="L83" i="31"/>
  <c r="K83" i="31"/>
  <c r="J83" i="31"/>
  <c r="I83" i="31"/>
  <c r="HN82" i="31"/>
  <c r="HM82" i="31"/>
  <c r="HL82" i="31"/>
  <c r="HK82" i="31"/>
  <c r="HJ82" i="31"/>
  <c r="HI82" i="31"/>
  <c r="HH82" i="31"/>
  <c r="HG82" i="31"/>
  <c r="HF82" i="31"/>
  <c r="HE82" i="31"/>
  <c r="HD82" i="31"/>
  <c r="HC82" i="31"/>
  <c r="HB82" i="31"/>
  <c r="HA82" i="31"/>
  <c r="GZ82" i="31"/>
  <c r="GY82" i="31"/>
  <c r="GX82" i="31"/>
  <c r="GW82" i="31"/>
  <c r="GV82" i="31"/>
  <c r="GU82" i="31"/>
  <c r="GT82" i="31"/>
  <c r="GS82" i="31"/>
  <c r="GR82" i="31"/>
  <c r="GQ82" i="31"/>
  <c r="GP82" i="31"/>
  <c r="GO82" i="31"/>
  <c r="GN82" i="31"/>
  <c r="GM82" i="31"/>
  <c r="GL82" i="31"/>
  <c r="GK82" i="31"/>
  <c r="GJ82" i="31"/>
  <c r="GI82" i="31"/>
  <c r="GH82" i="31"/>
  <c r="GG82" i="31"/>
  <c r="GF82" i="31"/>
  <c r="GE82" i="31"/>
  <c r="GD82" i="31"/>
  <c r="GC82" i="31"/>
  <c r="GB82" i="31"/>
  <c r="GA82" i="31"/>
  <c r="FZ82" i="31"/>
  <c r="FY82" i="31"/>
  <c r="FX82" i="31"/>
  <c r="FW82" i="31"/>
  <c r="FV82" i="31"/>
  <c r="FU82" i="31"/>
  <c r="FT82" i="31"/>
  <c r="FS82" i="31"/>
  <c r="FR82" i="31"/>
  <c r="FQ82" i="31"/>
  <c r="FP82" i="31"/>
  <c r="FO82" i="31"/>
  <c r="FN82" i="31"/>
  <c r="FM82" i="31"/>
  <c r="FL82" i="31"/>
  <c r="FK82" i="31"/>
  <c r="FJ82" i="31"/>
  <c r="FI82" i="31"/>
  <c r="FH82" i="31"/>
  <c r="FG82" i="31"/>
  <c r="FF82" i="31"/>
  <c r="FE82" i="31"/>
  <c r="FD82" i="31"/>
  <c r="FC82" i="31"/>
  <c r="FB82" i="31"/>
  <c r="FA82" i="31"/>
  <c r="EZ82" i="31"/>
  <c r="EY82" i="31"/>
  <c r="EX82" i="31"/>
  <c r="EW82" i="31"/>
  <c r="EV82" i="31"/>
  <c r="EU82" i="31"/>
  <c r="ET82" i="31"/>
  <c r="ES82" i="31"/>
  <c r="ER82" i="31"/>
  <c r="EQ82" i="31"/>
  <c r="EP82" i="31"/>
  <c r="EO82" i="31"/>
  <c r="EN82" i="31"/>
  <c r="EM82" i="31"/>
  <c r="EL82" i="31"/>
  <c r="EK82" i="31"/>
  <c r="EJ82" i="31"/>
  <c r="EI82" i="31"/>
  <c r="EH82" i="31"/>
  <c r="EG82" i="31"/>
  <c r="EF82" i="31"/>
  <c r="EE82" i="31"/>
  <c r="ED82" i="31"/>
  <c r="EC82" i="31"/>
  <c r="EB82" i="31"/>
  <c r="EA82" i="31"/>
  <c r="DZ82" i="31"/>
  <c r="DY82" i="31"/>
  <c r="DX82" i="31"/>
  <c r="DW82" i="31"/>
  <c r="DV82" i="31"/>
  <c r="DU82" i="31"/>
  <c r="DT82" i="31"/>
  <c r="DS82" i="31"/>
  <c r="DR82" i="31"/>
  <c r="DQ82" i="31"/>
  <c r="DP82" i="31"/>
  <c r="DO82" i="31"/>
  <c r="DN82" i="31"/>
  <c r="DM82" i="31"/>
  <c r="DL82" i="31"/>
  <c r="DK82" i="31"/>
  <c r="DJ82" i="31"/>
  <c r="DI82" i="31"/>
  <c r="DH82" i="31"/>
  <c r="DG82" i="31"/>
  <c r="DF82" i="31"/>
  <c r="DE82" i="31"/>
  <c r="DD82" i="31"/>
  <c r="DC82" i="31"/>
  <c r="DB82" i="31"/>
  <c r="DA82" i="31"/>
  <c r="CZ82" i="31"/>
  <c r="CY82" i="31"/>
  <c r="CX82" i="31"/>
  <c r="CW82" i="31"/>
  <c r="CV82" i="31"/>
  <c r="CU82" i="31"/>
  <c r="CT82" i="31"/>
  <c r="CS82" i="31"/>
  <c r="CR82" i="31"/>
  <c r="CQ82" i="31"/>
  <c r="CP82" i="31"/>
  <c r="CO82" i="31"/>
  <c r="CN82" i="31"/>
  <c r="CM82" i="31"/>
  <c r="CL82" i="31"/>
  <c r="CK82" i="31"/>
  <c r="CJ82" i="31"/>
  <c r="CI82" i="31"/>
  <c r="CH82" i="31"/>
  <c r="CG82" i="31"/>
  <c r="CF82" i="31"/>
  <c r="CE82" i="31"/>
  <c r="CD82" i="31"/>
  <c r="CC82" i="31"/>
  <c r="CB82" i="31"/>
  <c r="CA82" i="31"/>
  <c r="BZ82" i="31"/>
  <c r="BY82" i="31"/>
  <c r="BX82" i="31"/>
  <c r="BW82" i="31"/>
  <c r="BV82" i="31"/>
  <c r="BU82" i="31"/>
  <c r="BT82" i="31"/>
  <c r="BS82" i="31"/>
  <c r="BR82" i="31"/>
  <c r="BQ82" i="31"/>
  <c r="BP82" i="31"/>
  <c r="BO82" i="31"/>
  <c r="BN82" i="31"/>
  <c r="BM82" i="31"/>
  <c r="BL82" i="31"/>
  <c r="BK82" i="31"/>
  <c r="BJ82" i="31"/>
  <c r="BI82" i="31"/>
  <c r="BH82" i="31"/>
  <c r="BG82" i="31"/>
  <c r="BF82" i="31"/>
  <c r="BE82" i="31"/>
  <c r="BD82" i="31"/>
  <c r="BC82" i="31"/>
  <c r="BB82" i="31"/>
  <c r="BA82" i="31"/>
  <c r="AZ82" i="31"/>
  <c r="AY82" i="31"/>
  <c r="AX82" i="31"/>
  <c r="AW82" i="31"/>
  <c r="AV82" i="31"/>
  <c r="AU82" i="31"/>
  <c r="AT82" i="31"/>
  <c r="AS82" i="31"/>
  <c r="AR82" i="31"/>
  <c r="AQ82" i="31"/>
  <c r="AP82" i="31"/>
  <c r="AO82" i="31"/>
  <c r="AN82" i="31"/>
  <c r="AM82" i="31"/>
  <c r="AL82" i="31"/>
  <c r="AK82" i="31"/>
  <c r="AJ82" i="31"/>
  <c r="AI82" i="31"/>
  <c r="AH82" i="31"/>
  <c r="AG82" i="31"/>
  <c r="AF82" i="31"/>
  <c r="AE82" i="31"/>
  <c r="AD82" i="31"/>
  <c r="AC82" i="31"/>
  <c r="AB82" i="31"/>
  <c r="AA82" i="31"/>
  <c r="Z82" i="31"/>
  <c r="Y82" i="31"/>
  <c r="X82" i="31"/>
  <c r="W82" i="31"/>
  <c r="V82" i="31"/>
  <c r="U82" i="31"/>
  <c r="T82" i="31"/>
  <c r="S82" i="31"/>
  <c r="R82" i="31"/>
  <c r="Q82" i="31"/>
  <c r="P82" i="31"/>
  <c r="O82" i="31"/>
  <c r="N82" i="31"/>
  <c r="M82" i="31"/>
  <c r="L82" i="31"/>
  <c r="K82" i="31"/>
  <c r="J82" i="31"/>
  <c r="I82" i="31"/>
  <c r="HN81" i="31"/>
  <c r="HM81" i="31"/>
  <c r="HL81" i="31"/>
  <c r="HK81" i="31"/>
  <c r="HJ81" i="31"/>
  <c r="HI81" i="31"/>
  <c r="HH81" i="31"/>
  <c r="HG81" i="31"/>
  <c r="HF81" i="31"/>
  <c r="HE81" i="31"/>
  <c r="HD81" i="31"/>
  <c r="HC81" i="31"/>
  <c r="HB81" i="31"/>
  <c r="HA81" i="31"/>
  <c r="GZ81" i="31"/>
  <c r="GY81" i="31"/>
  <c r="GX81" i="31"/>
  <c r="GW81" i="31"/>
  <c r="GV81" i="31"/>
  <c r="GU81" i="31"/>
  <c r="GT81" i="31"/>
  <c r="GS81" i="31"/>
  <c r="GR81" i="31"/>
  <c r="GQ81" i="31"/>
  <c r="GP81" i="31"/>
  <c r="GO81" i="31"/>
  <c r="GN81" i="31"/>
  <c r="GM81" i="31"/>
  <c r="GL81" i="31"/>
  <c r="GK81" i="31"/>
  <c r="GJ81" i="31"/>
  <c r="GI81" i="31"/>
  <c r="GH81" i="31"/>
  <c r="GG81" i="31"/>
  <c r="GF81" i="31"/>
  <c r="GE81" i="31"/>
  <c r="GD81" i="31"/>
  <c r="GC81" i="31"/>
  <c r="GB81" i="31"/>
  <c r="GA81" i="31"/>
  <c r="FZ81" i="31"/>
  <c r="FY81" i="31"/>
  <c r="FX81" i="31"/>
  <c r="FW81" i="31"/>
  <c r="FV81" i="31"/>
  <c r="FU81" i="31"/>
  <c r="FT81" i="31"/>
  <c r="FS81" i="31"/>
  <c r="FR81" i="31"/>
  <c r="FQ81" i="31"/>
  <c r="FP81" i="31"/>
  <c r="FO81" i="31"/>
  <c r="FN81" i="31"/>
  <c r="FM81" i="31"/>
  <c r="FL81" i="31"/>
  <c r="FK81" i="31"/>
  <c r="FJ81" i="31"/>
  <c r="FI81" i="31"/>
  <c r="FH81" i="31"/>
  <c r="FG81" i="31"/>
  <c r="FF81" i="31"/>
  <c r="FE81" i="31"/>
  <c r="FD81" i="31"/>
  <c r="FC81" i="31"/>
  <c r="FB81" i="31"/>
  <c r="FA81" i="31"/>
  <c r="EZ81" i="31"/>
  <c r="EY81" i="31"/>
  <c r="EX81" i="31"/>
  <c r="EW81" i="31"/>
  <c r="EV81" i="31"/>
  <c r="EU81" i="31"/>
  <c r="ET81" i="31"/>
  <c r="ES81" i="31"/>
  <c r="ER81" i="31"/>
  <c r="EQ81" i="31"/>
  <c r="EP81" i="31"/>
  <c r="EO81" i="31"/>
  <c r="EN81" i="31"/>
  <c r="EM81" i="31"/>
  <c r="EL81" i="31"/>
  <c r="EK81" i="31"/>
  <c r="EJ81" i="31"/>
  <c r="EI81" i="31"/>
  <c r="EH81" i="31"/>
  <c r="EG81" i="31"/>
  <c r="EF81" i="31"/>
  <c r="EE81" i="31"/>
  <c r="ED81" i="31"/>
  <c r="EC81" i="31"/>
  <c r="EB81" i="31"/>
  <c r="EA81" i="31"/>
  <c r="DZ81" i="31"/>
  <c r="DY81" i="31"/>
  <c r="DX81" i="31"/>
  <c r="DW81" i="31"/>
  <c r="DV81" i="31"/>
  <c r="DU81" i="31"/>
  <c r="DT81" i="31"/>
  <c r="DS81" i="31"/>
  <c r="DR81" i="31"/>
  <c r="DQ81" i="31"/>
  <c r="DP81" i="31"/>
  <c r="DO81" i="31"/>
  <c r="DN81" i="31"/>
  <c r="DM81" i="31"/>
  <c r="DL81" i="31"/>
  <c r="DK81" i="31"/>
  <c r="DJ81" i="31"/>
  <c r="DI81" i="31"/>
  <c r="DH81" i="31"/>
  <c r="DG81" i="31"/>
  <c r="DF81" i="31"/>
  <c r="DE81" i="31"/>
  <c r="DD81" i="31"/>
  <c r="DC81" i="31"/>
  <c r="DB81" i="31"/>
  <c r="DA81" i="31"/>
  <c r="CZ81" i="31"/>
  <c r="CY81" i="31"/>
  <c r="CX81" i="31"/>
  <c r="CW81" i="31"/>
  <c r="CV81" i="31"/>
  <c r="CU81" i="31"/>
  <c r="CT81" i="31"/>
  <c r="CS81" i="31"/>
  <c r="CR81" i="31"/>
  <c r="CQ81" i="31"/>
  <c r="CP81" i="31"/>
  <c r="CO81" i="31"/>
  <c r="CN81" i="31"/>
  <c r="CM81" i="31"/>
  <c r="CL81" i="31"/>
  <c r="CK81" i="31"/>
  <c r="CJ81" i="31"/>
  <c r="CI81" i="31"/>
  <c r="CH81" i="31"/>
  <c r="CG81" i="31"/>
  <c r="CF81" i="31"/>
  <c r="CE81" i="31"/>
  <c r="CD81" i="31"/>
  <c r="CC81" i="31"/>
  <c r="CB81" i="31"/>
  <c r="CA81" i="31"/>
  <c r="BZ81" i="31"/>
  <c r="BY81" i="31"/>
  <c r="BX81" i="31"/>
  <c r="BW81" i="31"/>
  <c r="BV81" i="31"/>
  <c r="BU81" i="31"/>
  <c r="BT81" i="31"/>
  <c r="BS81" i="31"/>
  <c r="BR81" i="31"/>
  <c r="BQ81" i="31"/>
  <c r="BP81" i="31"/>
  <c r="BO81" i="31"/>
  <c r="BN81" i="31"/>
  <c r="BM81" i="31"/>
  <c r="BL81" i="31"/>
  <c r="BK81" i="31"/>
  <c r="BJ81" i="31"/>
  <c r="BI81" i="31"/>
  <c r="BH81" i="31"/>
  <c r="BG81" i="31"/>
  <c r="BF81" i="31"/>
  <c r="BE81" i="31"/>
  <c r="BD81" i="31"/>
  <c r="BC81" i="31"/>
  <c r="BB81" i="31"/>
  <c r="BA81" i="31"/>
  <c r="AZ81" i="31"/>
  <c r="AY81" i="31"/>
  <c r="AX81" i="31"/>
  <c r="AW81" i="31"/>
  <c r="AV81" i="31"/>
  <c r="AU81" i="31"/>
  <c r="AT81" i="31"/>
  <c r="AS81" i="31"/>
  <c r="AR81" i="31"/>
  <c r="AQ81" i="31"/>
  <c r="AP81" i="31"/>
  <c r="AO81" i="31"/>
  <c r="AN81" i="31"/>
  <c r="AM81" i="31"/>
  <c r="AL81" i="31"/>
  <c r="AK81" i="31"/>
  <c r="AJ81" i="31"/>
  <c r="AI81" i="31"/>
  <c r="AH81" i="31"/>
  <c r="AG81" i="31"/>
  <c r="AF81" i="31"/>
  <c r="AE81" i="31"/>
  <c r="AD81" i="31"/>
  <c r="AC81" i="31"/>
  <c r="AB81" i="31"/>
  <c r="AA81" i="31"/>
  <c r="Z81" i="31"/>
  <c r="Y81" i="31"/>
  <c r="X81" i="31"/>
  <c r="W81" i="31"/>
  <c r="V81" i="31"/>
  <c r="U81" i="31"/>
  <c r="T81" i="31"/>
  <c r="S81" i="31"/>
  <c r="R81" i="31"/>
  <c r="Q81" i="31"/>
  <c r="P81" i="31"/>
  <c r="O81" i="31"/>
  <c r="N81" i="31"/>
  <c r="M81" i="31"/>
  <c r="L81" i="31"/>
  <c r="K81" i="31"/>
  <c r="J81" i="31"/>
  <c r="I81" i="31"/>
  <c r="HN80" i="31"/>
  <c r="HM80" i="31"/>
  <c r="HL80" i="31"/>
  <c r="HK80" i="31"/>
  <c r="HJ80" i="31"/>
  <c r="HI80" i="31"/>
  <c r="HH80" i="31"/>
  <c r="HG80" i="31"/>
  <c r="HF80" i="31"/>
  <c r="HE80" i="31"/>
  <c r="HD80" i="31"/>
  <c r="HC80" i="31"/>
  <c r="HB80" i="31"/>
  <c r="HA80" i="31"/>
  <c r="GZ80" i="31"/>
  <c r="GY80" i="31"/>
  <c r="GX80" i="31"/>
  <c r="GW80" i="31"/>
  <c r="GV80" i="31"/>
  <c r="GU80" i="31"/>
  <c r="GT80" i="31"/>
  <c r="GS80" i="31"/>
  <c r="GR80" i="31"/>
  <c r="GQ80" i="31"/>
  <c r="GP80" i="31"/>
  <c r="GO80" i="31"/>
  <c r="GN80" i="31"/>
  <c r="GM80" i="31"/>
  <c r="GL80" i="31"/>
  <c r="GK80" i="31"/>
  <c r="GJ80" i="31"/>
  <c r="GI80" i="31"/>
  <c r="GH80" i="31"/>
  <c r="GG80" i="31"/>
  <c r="GF80" i="31"/>
  <c r="GE80" i="31"/>
  <c r="GD80" i="31"/>
  <c r="GC80" i="31"/>
  <c r="GB80" i="31"/>
  <c r="GA80" i="31"/>
  <c r="FZ80" i="31"/>
  <c r="FY80" i="31"/>
  <c r="FX80" i="31"/>
  <c r="FW80" i="31"/>
  <c r="FV80" i="31"/>
  <c r="FU80" i="31"/>
  <c r="FT80" i="31"/>
  <c r="FS80" i="31"/>
  <c r="FR80" i="31"/>
  <c r="FQ80" i="31"/>
  <c r="FP80" i="31"/>
  <c r="FO80" i="31"/>
  <c r="FN80" i="31"/>
  <c r="FM80" i="31"/>
  <c r="FL80" i="31"/>
  <c r="FK80" i="31"/>
  <c r="FJ80" i="31"/>
  <c r="FI80" i="31"/>
  <c r="FH80" i="31"/>
  <c r="FG80" i="31"/>
  <c r="FF80" i="31"/>
  <c r="FE80" i="31"/>
  <c r="FD80" i="31"/>
  <c r="FC80" i="31"/>
  <c r="FB80" i="31"/>
  <c r="FA80" i="31"/>
  <c r="EZ80" i="31"/>
  <c r="EY80" i="31"/>
  <c r="EX80" i="31"/>
  <c r="EW80" i="31"/>
  <c r="EV80" i="31"/>
  <c r="EU80" i="31"/>
  <c r="ET80" i="31"/>
  <c r="ES80" i="31"/>
  <c r="ER80" i="31"/>
  <c r="EQ80" i="31"/>
  <c r="EP80" i="31"/>
  <c r="EO80" i="31"/>
  <c r="EN80" i="31"/>
  <c r="EM80" i="31"/>
  <c r="EL80" i="31"/>
  <c r="EK80" i="31"/>
  <c r="EJ80" i="31"/>
  <c r="EI80" i="31"/>
  <c r="EH80" i="31"/>
  <c r="EG80" i="31"/>
  <c r="EF80" i="31"/>
  <c r="EE80" i="31"/>
  <c r="ED80" i="31"/>
  <c r="EC80" i="31"/>
  <c r="EB80" i="31"/>
  <c r="EA80" i="31"/>
  <c r="DZ80" i="31"/>
  <c r="DY80" i="31"/>
  <c r="DX80" i="31"/>
  <c r="DW80" i="31"/>
  <c r="DV80" i="31"/>
  <c r="DU80" i="31"/>
  <c r="DT80" i="31"/>
  <c r="DS80" i="31"/>
  <c r="DR80" i="31"/>
  <c r="DQ80" i="31"/>
  <c r="DP80" i="31"/>
  <c r="DO80" i="31"/>
  <c r="DN80" i="31"/>
  <c r="DM80" i="31"/>
  <c r="DL80" i="31"/>
  <c r="DK80" i="31"/>
  <c r="DJ80" i="31"/>
  <c r="DI80" i="31"/>
  <c r="DH80" i="31"/>
  <c r="DG80" i="31"/>
  <c r="DF80" i="31"/>
  <c r="DE80" i="31"/>
  <c r="DD80" i="31"/>
  <c r="DC80" i="31"/>
  <c r="DB80" i="31"/>
  <c r="DA80" i="31"/>
  <c r="CZ80" i="31"/>
  <c r="CY80" i="31"/>
  <c r="CX80" i="31"/>
  <c r="CW80" i="31"/>
  <c r="CV80" i="31"/>
  <c r="CU80" i="31"/>
  <c r="CT80" i="31"/>
  <c r="CS80" i="31"/>
  <c r="CR80" i="31"/>
  <c r="CQ80" i="31"/>
  <c r="CP80" i="31"/>
  <c r="CO80" i="31"/>
  <c r="CN80" i="31"/>
  <c r="CM80" i="31"/>
  <c r="CL80" i="31"/>
  <c r="CK80" i="31"/>
  <c r="CJ80" i="31"/>
  <c r="CI80" i="31"/>
  <c r="CH80" i="31"/>
  <c r="CG80" i="31"/>
  <c r="CF80" i="31"/>
  <c r="CE80" i="31"/>
  <c r="CD80" i="31"/>
  <c r="CC80" i="31"/>
  <c r="CB80" i="31"/>
  <c r="CA80" i="31"/>
  <c r="BZ80" i="31"/>
  <c r="BY80" i="31"/>
  <c r="BX80" i="31"/>
  <c r="BW80" i="31"/>
  <c r="BV80" i="31"/>
  <c r="BU80" i="31"/>
  <c r="BT80" i="31"/>
  <c r="BS80" i="31"/>
  <c r="BR80" i="31"/>
  <c r="BQ80" i="31"/>
  <c r="BP80" i="31"/>
  <c r="BO80" i="31"/>
  <c r="BN80" i="31"/>
  <c r="BM80" i="31"/>
  <c r="BL80" i="31"/>
  <c r="BK80" i="31"/>
  <c r="BJ80" i="31"/>
  <c r="BI80" i="31"/>
  <c r="BH80" i="31"/>
  <c r="BG80" i="31"/>
  <c r="BF80" i="31"/>
  <c r="BE80" i="31"/>
  <c r="BD80" i="31"/>
  <c r="BC80" i="31"/>
  <c r="BB80" i="31"/>
  <c r="BA80" i="31"/>
  <c r="AZ80" i="31"/>
  <c r="AY80" i="31"/>
  <c r="AX80" i="31"/>
  <c r="AW80" i="31"/>
  <c r="AV80" i="31"/>
  <c r="AU80" i="31"/>
  <c r="AT80" i="31"/>
  <c r="AS80" i="31"/>
  <c r="AR80" i="31"/>
  <c r="AQ80" i="31"/>
  <c r="AP80" i="31"/>
  <c r="AO80" i="31"/>
  <c r="AN80" i="31"/>
  <c r="AM80" i="31"/>
  <c r="AL80" i="31"/>
  <c r="AK80" i="31"/>
  <c r="AJ80" i="31"/>
  <c r="AI80" i="31"/>
  <c r="AH80" i="31"/>
  <c r="AG80" i="31"/>
  <c r="AF80" i="31"/>
  <c r="AE80" i="31"/>
  <c r="AD80" i="31"/>
  <c r="AC80" i="31"/>
  <c r="AB80" i="31"/>
  <c r="AA80" i="31"/>
  <c r="Z80" i="31"/>
  <c r="Y80" i="31"/>
  <c r="X80" i="31"/>
  <c r="W80" i="31"/>
  <c r="V80" i="31"/>
  <c r="U80" i="31"/>
  <c r="T80" i="31"/>
  <c r="S80" i="31"/>
  <c r="R80" i="31"/>
  <c r="Q80" i="31"/>
  <c r="P80" i="31"/>
  <c r="O80" i="31"/>
  <c r="N80" i="31"/>
  <c r="M80" i="31"/>
  <c r="L80" i="31"/>
  <c r="K80" i="31"/>
  <c r="J80" i="31"/>
  <c r="I80" i="31"/>
  <c r="HN79" i="31"/>
  <c r="HM79" i="31"/>
  <c r="HL79" i="31"/>
  <c r="HK79" i="31"/>
  <c r="HJ79" i="31"/>
  <c r="HI79" i="31"/>
  <c r="HH79" i="31"/>
  <c r="HG79" i="31"/>
  <c r="HF79" i="31"/>
  <c r="HE79" i="31"/>
  <c r="HD79" i="31"/>
  <c r="HC79" i="31"/>
  <c r="HB79" i="31"/>
  <c r="HA79" i="31"/>
  <c r="GZ79" i="31"/>
  <c r="GY79" i="31"/>
  <c r="GX79" i="31"/>
  <c r="GW79" i="31"/>
  <c r="GV79" i="31"/>
  <c r="GU79" i="31"/>
  <c r="GT79" i="31"/>
  <c r="GS79" i="31"/>
  <c r="GR79" i="31"/>
  <c r="GQ79" i="31"/>
  <c r="GP79" i="31"/>
  <c r="GO79" i="31"/>
  <c r="GN79" i="31"/>
  <c r="GM79" i="31"/>
  <c r="GL79" i="31"/>
  <c r="GK79" i="31"/>
  <c r="GJ79" i="31"/>
  <c r="GI79" i="31"/>
  <c r="GH79" i="31"/>
  <c r="GG79" i="31"/>
  <c r="GF79" i="31"/>
  <c r="GE79" i="31"/>
  <c r="GD79" i="31"/>
  <c r="GC79" i="31"/>
  <c r="GB79" i="31"/>
  <c r="GA79" i="31"/>
  <c r="FZ79" i="31"/>
  <c r="FY79" i="31"/>
  <c r="FX79" i="31"/>
  <c r="FW79" i="31"/>
  <c r="FV79" i="31"/>
  <c r="FU79" i="31"/>
  <c r="FT79" i="31"/>
  <c r="FS79" i="31"/>
  <c r="FR79" i="31"/>
  <c r="FQ79" i="31"/>
  <c r="FP79" i="31"/>
  <c r="FO79" i="31"/>
  <c r="FN79" i="31"/>
  <c r="FM79" i="31"/>
  <c r="FL79" i="31"/>
  <c r="FK79" i="31"/>
  <c r="FJ79" i="31"/>
  <c r="FI79" i="31"/>
  <c r="FH79" i="31"/>
  <c r="FG79" i="31"/>
  <c r="FF79" i="31"/>
  <c r="FE79" i="31"/>
  <c r="FD79" i="31"/>
  <c r="FC79" i="31"/>
  <c r="FB79" i="31"/>
  <c r="FA79" i="31"/>
  <c r="EZ79" i="31"/>
  <c r="EY79" i="31"/>
  <c r="EX79" i="31"/>
  <c r="EW79" i="31"/>
  <c r="EV79" i="31"/>
  <c r="EU79" i="31"/>
  <c r="ET79" i="31"/>
  <c r="ES79" i="31"/>
  <c r="ER79" i="31"/>
  <c r="EQ79" i="31"/>
  <c r="EP79" i="31"/>
  <c r="EO79" i="31"/>
  <c r="EN79" i="31"/>
  <c r="EM79" i="31"/>
  <c r="EL79" i="31"/>
  <c r="EK79" i="31"/>
  <c r="EJ79" i="31"/>
  <c r="EI79" i="31"/>
  <c r="EH79" i="31"/>
  <c r="EG79" i="31"/>
  <c r="EF79" i="31"/>
  <c r="EE79" i="31"/>
  <c r="ED79" i="31"/>
  <c r="EC79" i="31"/>
  <c r="EB79" i="31"/>
  <c r="EA79" i="31"/>
  <c r="DZ79" i="31"/>
  <c r="DY79" i="31"/>
  <c r="DX79" i="31"/>
  <c r="DW79" i="31"/>
  <c r="DV79" i="31"/>
  <c r="DU79" i="31"/>
  <c r="DT79" i="31"/>
  <c r="DS79" i="31"/>
  <c r="DR79" i="31"/>
  <c r="DQ79" i="31"/>
  <c r="DP79" i="31"/>
  <c r="DO79" i="31"/>
  <c r="DN79" i="31"/>
  <c r="DM79" i="31"/>
  <c r="DL79" i="31"/>
  <c r="DK79" i="31"/>
  <c r="DJ79" i="31"/>
  <c r="DI79" i="31"/>
  <c r="DH79" i="31"/>
  <c r="DG79" i="31"/>
  <c r="DF79" i="31"/>
  <c r="DE79" i="31"/>
  <c r="DD79" i="31"/>
  <c r="DC79" i="31"/>
  <c r="DB79" i="31"/>
  <c r="DA79" i="31"/>
  <c r="CZ79" i="31"/>
  <c r="CY79" i="31"/>
  <c r="CX79" i="31"/>
  <c r="CW79" i="31"/>
  <c r="CV79" i="31"/>
  <c r="CU79" i="31"/>
  <c r="CT79" i="31"/>
  <c r="CS79" i="31"/>
  <c r="CR79" i="31"/>
  <c r="CQ79" i="31"/>
  <c r="CP79" i="31"/>
  <c r="CO79" i="31"/>
  <c r="CN79" i="31"/>
  <c r="CM79" i="31"/>
  <c r="CL79" i="31"/>
  <c r="CK79" i="31"/>
  <c r="CJ79" i="31"/>
  <c r="CI79" i="31"/>
  <c r="CH79" i="31"/>
  <c r="CG79" i="31"/>
  <c r="CF79" i="31"/>
  <c r="CE79" i="31"/>
  <c r="CD79" i="31"/>
  <c r="CC79" i="31"/>
  <c r="CB79" i="31"/>
  <c r="CA79" i="31"/>
  <c r="BZ79" i="31"/>
  <c r="BY79" i="31"/>
  <c r="BX79" i="31"/>
  <c r="BW79" i="31"/>
  <c r="BV79" i="31"/>
  <c r="BU79" i="31"/>
  <c r="BT79" i="31"/>
  <c r="BS79" i="31"/>
  <c r="BR79" i="31"/>
  <c r="BQ79" i="31"/>
  <c r="BP79" i="31"/>
  <c r="BO79" i="31"/>
  <c r="BN79" i="31"/>
  <c r="BM79" i="31"/>
  <c r="BL79" i="31"/>
  <c r="BK79" i="31"/>
  <c r="BJ79" i="31"/>
  <c r="BI79" i="31"/>
  <c r="BH79" i="31"/>
  <c r="BG79" i="31"/>
  <c r="BF79" i="31"/>
  <c r="BE79" i="31"/>
  <c r="BD79" i="31"/>
  <c r="BC79" i="31"/>
  <c r="BB79" i="31"/>
  <c r="BA79" i="31"/>
  <c r="AZ79" i="31"/>
  <c r="AY79" i="31"/>
  <c r="AX79" i="31"/>
  <c r="AW79" i="31"/>
  <c r="AV79" i="31"/>
  <c r="AU79" i="31"/>
  <c r="AT79" i="31"/>
  <c r="AS79" i="31"/>
  <c r="AR79" i="31"/>
  <c r="AQ79" i="31"/>
  <c r="AP79" i="31"/>
  <c r="AO79" i="31"/>
  <c r="AN79" i="31"/>
  <c r="AM79" i="31"/>
  <c r="AL79" i="31"/>
  <c r="AK79" i="31"/>
  <c r="AJ79" i="31"/>
  <c r="AI79" i="31"/>
  <c r="AH79" i="31"/>
  <c r="AG79" i="31"/>
  <c r="AF79" i="31"/>
  <c r="AE79" i="31"/>
  <c r="AD79" i="31"/>
  <c r="AC79" i="31"/>
  <c r="AB79" i="31"/>
  <c r="AA79" i="31"/>
  <c r="Z79" i="31"/>
  <c r="Y79" i="31"/>
  <c r="X79" i="31"/>
  <c r="W79" i="31"/>
  <c r="V79" i="31"/>
  <c r="U79" i="31"/>
  <c r="T79" i="31"/>
  <c r="S79" i="31"/>
  <c r="R79" i="31"/>
  <c r="Q79" i="31"/>
  <c r="P79" i="31"/>
  <c r="O79" i="31"/>
  <c r="N79" i="31"/>
  <c r="M79" i="31"/>
  <c r="L79" i="31"/>
  <c r="K79" i="31"/>
  <c r="J79" i="31"/>
  <c r="I79" i="31"/>
  <c r="HN78" i="31"/>
  <c r="HM78" i="31"/>
  <c r="HL78" i="31"/>
  <c r="HK78" i="31"/>
  <c r="HJ78" i="31"/>
  <c r="HI78" i="31"/>
  <c r="HH78" i="31"/>
  <c r="HG78" i="31"/>
  <c r="HF78" i="31"/>
  <c r="HE78" i="31"/>
  <c r="HD78" i="31"/>
  <c r="HC78" i="31"/>
  <c r="HB78" i="31"/>
  <c r="HA78" i="31"/>
  <c r="GZ78" i="31"/>
  <c r="GY78" i="31"/>
  <c r="GX78" i="31"/>
  <c r="GW78" i="31"/>
  <c r="GV78" i="31"/>
  <c r="GU78" i="31"/>
  <c r="GT78" i="31"/>
  <c r="GS78" i="31"/>
  <c r="GR78" i="31"/>
  <c r="GQ78" i="31"/>
  <c r="GP78" i="31"/>
  <c r="GO78" i="31"/>
  <c r="GN78" i="31"/>
  <c r="GM78" i="31"/>
  <c r="GL78" i="31"/>
  <c r="GK78" i="31"/>
  <c r="GJ78" i="31"/>
  <c r="GI78" i="31"/>
  <c r="GH78" i="31"/>
  <c r="GG78" i="31"/>
  <c r="GF78" i="31"/>
  <c r="GE78" i="31"/>
  <c r="GD78" i="31"/>
  <c r="GC78" i="31"/>
  <c r="GB78" i="31"/>
  <c r="GA78" i="31"/>
  <c r="FZ78" i="31"/>
  <c r="FY78" i="31"/>
  <c r="FX78" i="31"/>
  <c r="FW78" i="31"/>
  <c r="FV78" i="31"/>
  <c r="FU78" i="31"/>
  <c r="FT78" i="31"/>
  <c r="FS78" i="31"/>
  <c r="FR78" i="31"/>
  <c r="FQ78" i="31"/>
  <c r="FP78" i="31"/>
  <c r="FO78" i="31"/>
  <c r="FN78" i="31"/>
  <c r="FM78" i="31"/>
  <c r="FL78" i="31"/>
  <c r="FK78" i="31"/>
  <c r="FJ78" i="31"/>
  <c r="FI78" i="31"/>
  <c r="FH78" i="31"/>
  <c r="FG78" i="31"/>
  <c r="FF78" i="31"/>
  <c r="FE78" i="31"/>
  <c r="FD78" i="31"/>
  <c r="FC78" i="31"/>
  <c r="FB78" i="31"/>
  <c r="FA78" i="31"/>
  <c r="EZ78" i="31"/>
  <c r="EY78" i="31"/>
  <c r="EX78" i="31"/>
  <c r="EW78" i="31"/>
  <c r="EV78" i="31"/>
  <c r="EU78" i="31"/>
  <c r="ET78" i="31"/>
  <c r="ES78" i="31"/>
  <c r="ER78" i="31"/>
  <c r="EQ78" i="31"/>
  <c r="EP78" i="31"/>
  <c r="EO78" i="31"/>
  <c r="EN78" i="31"/>
  <c r="EM78" i="31"/>
  <c r="EL78" i="31"/>
  <c r="EK78" i="31"/>
  <c r="EJ78" i="31"/>
  <c r="EI78" i="31"/>
  <c r="EH78" i="31"/>
  <c r="EG78" i="31"/>
  <c r="EF78" i="31"/>
  <c r="EE78" i="31"/>
  <c r="ED78" i="31"/>
  <c r="EC78" i="31"/>
  <c r="EB78" i="31"/>
  <c r="EA78" i="31"/>
  <c r="DZ78" i="31"/>
  <c r="DY78" i="31"/>
  <c r="DX78" i="31"/>
  <c r="DW78" i="31"/>
  <c r="DV78" i="31"/>
  <c r="DU78" i="31"/>
  <c r="DT78" i="31"/>
  <c r="DS78" i="31"/>
  <c r="DR78" i="31"/>
  <c r="DQ78" i="31"/>
  <c r="DP78" i="31"/>
  <c r="DO78" i="31"/>
  <c r="DN78" i="31"/>
  <c r="DM78" i="31"/>
  <c r="DL78" i="31"/>
  <c r="DK78" i="31"/>
  <c r="DJ78" i="31"/>
  <c r="DI78" i="31"/>
  <c r="DH78" i="31"/>
  <c r="DG78" i="31"/>
  <c r="DF78" i="31"/>
  <c r="DE78" i="31"/>
  <c r="DD78" i="31"/>
  <c r="DC78" i="31"/>
  <c r="DB78" i="31"/>
  <c r="DA78" i="31"/>
  <c r="CZ78" i="31"/>
  <c r="CY78" i="31"/>
  <c r="CX78" i="31"/>
  <c r="CW78" i="31"/>
  <c r="CV78" i="31"/>
  <c r="CU78" i="31"/>
  <c r="CT78" i="31"/>
  <c r="CS78" i="31"/>
  <c r="CR78" i="31"/>
  <c r="CQ78" i="31"/>
  <c r="CP78" i="31"/>
  <c r="CO78" i="31"/>
  <c r="CN78" i="31"/>
  <c r="CM78" i="31"/>
  <c r="CL78" i="31"/>
  <c r="CK78" i="31"/>
  <c r="CJ78" i="31"/>
  <c r="CI78" i="31"/>
  <c r="CH78" i="31"/>
  <c r="CG78" i="31"/>
  <c r="CF78" i="31"/>
  <c r="CE78" i="31"/>
  <c r="CD78" i="31"/>
  <c r="CC78" i="31"/>
  <c r="CB78" i="31"/>
  <c r="CA78" i="31"/>
  <c r="BZ78" i="31"/>
  <c r="BY78" i="31"/>
  <c r="BX78" i="31"/>
  <c r="BW78" i="31"/>
  <c r="BV78" i="31"/>
  <c r="BU78" i="31"/>
  <c r="BT78" i="31"/>
  <c r="BS78" i="31"/>
  <c r="BR78" i="31"/>
  <c r="BQ78" i="31"/>
  <c r="BP78" i="31"/>
  <c r="BO78" i="31"/>
  <c r="BN78" i="31"/>
  <c r="BM78" i="31"/>
  <c r="BL78" i="31"/>
  <c r="BK78" i="31"/>
  <c r="BJ78" i="31"/>
  <c r="BI78" i="31"/>
  <c r="BH78" i="31"/>
  <c r="BG78" i="31"/>
  <c r="BF78" i="31"/>
  <c r="BE78" i="31"/>
  <c r="BD78" i="31"/>
  <c r="BC78" i="31"/>
  <c r="BB78" i="31"/>
  <c r="BA78" i="31"/>
  <c r="AZ78" i="31"/>
  <c r="AY78" i="31"/>
  <c r="AX78" i="31"/>
  <c r="AW78" i="31"/>
  <c r="AV78" i="31"/>
  <c r="AU78" i="31"/>
  <c r="AT78" i="31"/>
  <c r="AS78" i="31"/>
  <c r="AR78" i="31"/>
  <c r="AQ78" i="31"/>
  <c r="AP78" i="31"/>
  <c r="AO78" i="31"/>
  <c r="AN78" i="31"/>
  <c r="AM78" i="31"/>
  <c r="AL78" i="31"/>
  <c r="AK78" i="31"/>
  <c r="AJ78" i="31"/>
  <c r="AI78" i="31"/>
  <c r="AH78" i="31"/>
  <c r="AG78" i="31"/>
  <c r="AF78" i="31"/>
  <c r="AE78" i="31"/>
  <c r="AD78" i="31"/>
  <c r="AC78" i="31"/>
  <c r="AB78" i="31"/>
  <c r="AA78" i="31"/>
  <c r="Z78" i="31"/>
  <c r="Y78" i="31"/>
  <c r="X78" i="31"/>
  <c r="W78" i="31"/>
  <c r="V78" i="31"/>
  <c r="U78" i="31"/>
  <c r="T78" i="31"/>
  <c r="S78" i="31"/>
  <c r="R78" i="31"/>
  <c r="Q78" i="31"/>
  <c r="P78" i="31"/>
  <c r="O78" i="31"/>
  <c r="N78" i="31"/>
  <c r="M78" i="31"/>
  <c r="L78" i="31"/>
  <c r="K78" i="31"/>
  <c r="J78" i="31"/>
  <c r="I78" i="31"/>
  <c r="HN77" i="31"/>
  <c r="HM77" i="31"/>
  <c r="HL77" i="31"/>
  <c r="HK77" i="31"/>
  <c r="HJ77" i="31"/>
  <c r="HI77" i="31"/>
  <c r="HH77" i="31"/>
  <c r="HG77" i="31"/>
  <c r="HF77" i="31"/>
  <c r="HE77" i="31"/>
  <c r="HD77" i="31"/>
  <c r="HC77" i="31"/>
  <c r="HB77" i="31"/>
  <c r="HA77" i="31"/>
  <c r="GZ77" i="31"/>
  <c r="GY77" i="31"/>
  <c r="GX77" i="31"/>
  <c r="GW77" i="31"/>
  <c r="GV77" i="31"/>
  <c r="GU77" i="31"/>
  <c r="GT77" i="31"/>
  <c r="GS77" i="31"/>
  <c r="GR77" i="31"/>
  <c r="GQ77" i="31"/>
  <c r="GP77" i="31"/>
  <c r="GO77" i="31"/>
  <c r="GN77" i="31"/>
  <c r="GM77" i="31"/>
  <c r="GL77" i="31"/>
  <c r="GK77" i="31"/>
  <c r="GJ77" i="31"/>
  <c r="GI77" i="31"/>
  <c r="GH77" i="31"/>
  <c r="GG77" i="31"/>
  <c r="GF77" i="31"/>
  <c r="GE77" i="31"/>
  <c r="GD77" i="31"/>
  <c r="GC77" i="31"/>
  <c r="GB77" i="31"/>
  <c r="GA77" i="31"/>
  <c r="FZ77" i="31"/>
  <c r="FY77" i="31"/>
  <c r="FX77" i="31"/>
  <c r="FW77" i="31"/>
  <c r="FV77" i="31"/>
  <c r="FU77" i="31"/>
  <c r="FT77" i="31"/>
  <c r="FS77" i="31"/>
  <c r="FR77" i="31"/>
  <c r="FQ77" i="31"/>
  <c r="FP77" i="31"/>
  <c r="FO77" i="31"/>
  <c r="FN77" i="31"/>
  <c r="FM77" i="31"/>
  <c r="FL77" i="31"/>
  <c r="FK77" i="31"/>
  <c r="FJ77" i="31"/>
  <c r="FI77" i="31"/>
  <c r="FH77" i="31"/>
  <c r="FG77" i="31"/>
  <c r="FF77" i="31"/>
  <c r="FE77" i="31"/>
  <c r="FD77" i="31"/>
  <c r="FC77" i="31"/>
  <c r="FB77" i="31"/>
  <c r="FA77" i="31"/>
  <c r="EZ77" i="31"/>
  <c r="EY77" i="31"/>
  <c r="EX77" i="31"/>
  <c r="EW77" i="31"/>
  <c r="EV77" i="31"/>
  <c r="EU77" i="31"/>
  <c r="ET77" i="31"/>
  <c r="ES77" i="31"/>
  <c r="ER77" i="31"/>
  <c r="EQ77" i="31"/>
  <c r="EP77" i="31"/>
  <c r="EO77" i="31"/>
  <c r="EN77" i="31"/>
  <c r="EM77" i="31"/>
  <c r="EL77" i="31"/>
  <c r="EK77" i="31"/>
  <c r="EJ77" i="31"/>
  <c r="EI77" i="31"/>
  <c r="EH77" i="31"/>
  <c r="EG77" i="31"/>
  <c r="EF77" i="31"/>
  <c r="EE77" i="31"/>
  <c r="ED77" i="31"/>
  <c r="EC77" i="31"/>
  <c r="EB77" i="31"/>
  <c r="EA77" i="31"/>
  <c r="DZ77" i="31"/>
  <c r="DY77" i="31"/>
  <c r="DX77" i="31"/>
  <c r="DW77" i="31"/>
  <c r="DV77" i="31"/>
  <c r="DU77" i="31"/>
  <c r="DT77" i="31"/>
  <c r="DS77" i="31"/>
  <c r="DR77" i="31"/>
  <c r="DQ77" i="31"/>
  <c r="DP77" i="31"/>
  <c r="DO77" i="31"/>
  <c r="DN77" i="31"/>
  <c r="DM77" i="31"/>
  <c r="DL77" i="31"/>
  <c r="DK77" i="31"/>
  <c r="DJ77" i="31"/>
  <c r="DI77" i="31"/>
  <c r="DH77" i="31"/>
  <c r="DG77" i="31"/>
  <c r="DF77" i="31"/>
  <c r="DE77" i="31"/>
  <c r="DD77" i="31"/>
  <c r="DC77" i="31"/>
  <c r="DB77" i="31"/>
  <c r="DA77" i="31"/>
  <c r="CZ77" i="31"/>
  <c r="CY77" i="31"/>
  <c r="CX77" i="31"/>
  <c r="CW77" i="31"/>
  <c r="CV77" i="31"/>
  <c r="CU77" i="31"/>
  <c r="CT77" i="31"/>
  <c r="CS77" i="31"/>
  <c r="CR77" i="31"/>
  <c r="CQ77" i="31"/>
  <c r="CP77" i="31"/>
  <c r="CO77" i="31"/>
  <c r="CN77" i="31"/>
  <c r="CM77" i="31"/>
  <c r="CL77" i="31"/>
  <c r="CK77" i="31"/>
  <c r="CJ77" i="31"/>
  <c r="CI77" i="31"/>
  <c r="CH77" i="31"/>
  <c r="CG77" i="31"/>
  <c r="CF77" i="31"/>
  <c r="CE77" i="31"/>
  <c r="CD77" i="31"/>
  <c r="CC77" i="31"/>
  <c r="CB77" i="31"/>
  <c r="CA77" i="31"/>
  <c r="BZ77" i="31"/>
  <c r="BY77" i="31"/>
  <c r="BX77" i="31"/>
  <c r="BW77" i="31"/>
  <c r="BV77" i="31"/>
  <c r="BU77" i="31"/>
  <c r="BT77" i="31"/>
  <c r="BS77" i="31"/>
  <c r="BR77" i="31"/>
  <c r="BQ77" i="31"/>
  <c r="BP77" i="31"/>
  <c r="BO77" i="31"/>
  <c r="BN77" i="31"/>
  <c r="BM77" i="31"/>
  <c r="BL77" i="31"/>
  <c r="BK77" i="31"/>
  <c r="BJ77" i="31"/>
  <c r="BI77" i="31"/>
  <c r="BH77" i="31"/>
  <c r="BG77" i="31"/>
  <c r="BF77" i="31"/>
  <c r="BE77" i="31"/>
  <c r="BD77" i="31"/>
  <c r="BC77" i="31"/>
  <c r="BB77" i="31"/>
  <c r="BA77" i="31"/>
  <c r="AZ77" i="31"/>
  <c r="AY77" i="31"/>
  <c r="AX77" i="31"/>
  <c r="AW77" i="31"/>
  <c r="AV77" i="31"/>
  <c r="AU77" i="31"/>
  <c r="AT77" i="31"/>
  <c r="AS77" i="31"/>
  <c r="AR77" i="31"/>
  <c r="AQ77" i="31"/>
  <c r="AP77" i="31"/>
  <c r="AO77" i="31"/>
  <c r="AN77" i="31"/>
  <c r="AM77" i="31"/>
  <c r="AL77" i="31"/>
  <c r="AK77" i="31"/>
  <c r="AJ77" i="31"/>
  <c r="AI77" i="31"/>
  <c r="AH77" i="31"/>
  <c r="AG77" i="31"/>
  <c r="AF77" i="31"/>
  <c r="AE77" i="31"/>
  <c r="AD77" i="31"/>
  <c r="AC77" i="31"/>
  <c r="AB77" i="31"/>
  <c r="AA77" i="31"/>
  <c r="Z77" i="31"/>
  <c r="Y77" i="31"/>
  <c r="X77" i="31"/>
  <c r="W77" i="31"/>
  <c r="V77" i="31"/>
  <c r="U77" i="31"/>
  <c r="T77" i="31"/>
  <c r="S77" i="31"/>
  <c r="R77" i="31"/>
  <c r="Q77" i="31"/>
  <c r="P77" i="31"/>
  <c r="O77" i="31"/>
  <c r="N77" i="31"/>
  <c r="M77" i="31"/>
  <c r="L77" i="31"/>
  <c r="K77" i="31"/>
  <c r="J77" i="31"/>
  <c r="I77" i="31"/>
  <c r="HN76" i="31"/>
  <c r="HL76" i="31"/>
  <c r="HJ76" i="31"/>
  <c r="HH76" i="31"/>
  <c r="HF76" i="31"/>
  <c r="HD76" i="31"/>
  <c r="HB76" i="31"/>
  <c r="GZ76" i="31"/>
  <c r="GX76" i="31"/>
  <c r="GV76" i="31"/>
  <c r="GT76" i="31"/>
  <c r="GR76" i="31"/>
  <c r="GP76" i="31"/>
  <c r="GN76" i="31"/>
  <c r="GL76" i="31"/>
  <c r="GJ76" i="31"/>
  <c r="GH76" i="31"/>
  <c r="GF76" i="31"/>
  <c r="GD76" i="31"/>
  <c r="GB76" i="31"/>
  <c r="FZ76" i="31"/>
  <c r="FX76" i="31"/>
  <c r="FV76" i="31"/>
  <c r="FT76" i="31"/>
  <c r="FR76" i="31"/>
  <c r="FP76" i="31"/>
  <c r="FN76" i="31"/>
  <c r="FL76" i="31"/>
  <c r="FJ76" i="31"/>
  <c r="FH76" i="31"/>
  <c r="FF76" i="31"/>
  <c r="FD76" i="31"/>
  <c r="FB76" i="31"/>
  <c r="EZ76" i="31"/>
  <c r="EX76" i="31"/>
  <c r="EV76" i="31"/>
  <c r="ET76" i="31"/>
  <c r="ER76" i="31"/>
  <c r="EP76" i="31"/>
  <c r="EN76" i="31"/>
  <c r="EL76" i="31"/>
  <c r="EJ76" i="31"/>
  <c r="EH76" i="31"/>
  <c r="EF76" i="31"/>
  <c r="ED76" i="31"/>
  <c r="EB76" i="31"/>
  <c r="DZ76" i="31"/>
  <c r="DX76" i="31"/>
  <c r="DV76" i="31"/>
  <c r="DT76" i="31"/>
  <c r="DR76" i="31"/>
  <c r="DP76" i="31"/>
  <c r="DN76" i="31"/>
  <c r="DL76" i="31"/>
  <c r="DJ76" i="31"/>
  <c r="DH76" i="31"/>
  <c r="DF76" i="31"/>
  <c r="DD76" i="31"/>
  <c r="DB76" i="31"/>
  <c r="CZ76" i="31"/>
  <c r="CX76" i="31"/>
  <c r="CV76" i="31"/>
  <c r="CT76" i="31"/>
  <c r="CR76" i="31"/>
  <c r="CP76" i="31"/>
  <c r="CN76" i="31"/>
  <c r="CL76" i="31"/>
  <c r="CJ76" i="31"/>
  <c r="CH76" i="31"/>
  <c r="CF76" i="31"/>
  <c r="CD76" i="31"/>
  <c r="CB76" i="31"/>
  <c r="BZ76" i="31"/>
  <c r="BX76" i="31"/>
  <c r="BV76" i="31"/>
  <c r="BT76" i="31"/>
  <c r="BR76" i="31"/>
  <c r="BP76" i="31"/>
  <c r="BN76" i="31"/>
  <c r="BL76" i="31"/>
  <c r="BJ76" i="31"/>
  <c r="BH76" i="31"/>
  <c r="BF76" i="31"/>
  <c r="BD76" i="31"/>
  <c r="BB76" i="31"/>
  <c r="AZ76" i="31"/>
  <c r="AX76" i="31"/>
  <c r="AV76" i="31"/>
  <c r="AT76" i="31"/>
  <c r="AR76" i="31"/>
  <c r="AP76" i="31"/>
  <c r="AN76" i="31"/>
  <c r="AL76" i="31"/>
  <c r="AJ76" i="31"/>
  <c r="AH76" i="31"/>
  <c r="AF76" i="31"/>
  <c r="AD76" i="31"/>
  <c r="AB76" i="31"/>
  <c r="Z76" i="31"/>
  <c r="X76" i="31"/>
  <c r="V76" i="31"/>
  <c r="T76" i="31"/>
  <c r="R76" i="31"/>
  <c r="P76" i="31"/>
  <c r="N76" i="31"/>
  <c r="L76" i="31"/>
  <c r="J76" i="31"/>
  <c r="HM75" i="31"/>
  <c r="HK75" i="31"/>
  <c r="HI75" i="31"/>
  <c r="HG75" i="31"/>
  <c r="HE75" i="31"/>
  <c r="HC75" i="31"/>
  <c r="HA75" i="31"/>
  <c r="GY75" i="31"/>
  <c r="GW75" i="31"/>
  <c r="GU75" i="31"/>
  <c r="GS75" i="31"/>
  <c r="GQ75" i="31"/>
  <c r="GO75" i="31"/>
  <c r="GM75" i="31"/>
  <c r="GK75" i="31"/>
  <c r="GI75" i="31"/>
  <c r="GG75" i="31"/>
  <c r="GE75" i="31"/>
  <c r="GC75" i="31"/>
  <c r="GA75" i="31"/>
  <c r="FY75" i="31"/>
  <c r="FW75" i="31"/>
  <c r="FU75" i="31"/>
  <c r="FS75" i="31"/>
  <c r="FQ75" i="31"/>
  <c r="FO75" i="31"/>
  <c r="FM75" i="31"/>
  <c r="FK75" i="31"/>
  <c r="FI75" i="31"/>
  <c r="FG75" i="31"/>
  <c r="FE75" i="31"/>
  <c r="FC75" i="31"/>
  <c r="FA75" i="31"/>
  <c r="EY75" i="31"/>
  <c r="EW75" i="31"/>
  <c r="EU75" i="31"/>
  <c r="ES75" i="31"/>
  <c r="EQ75" i="31"/>
  <c r="EO75" i="31"/>
  <c r="EM75" i="31"/>
  <c r="EK75" i="31"/>
  <c r="EI75" i="31"/>
  <c r="EG75" i="31"/>
  <c r="EE75" i="31"/>
  <c r="EC75" i="31"/>
  <c r="EA75" i="31"/>
  <c r="DY75" i="31"/>
  <c r="DW75" i="31"/>
  <c r="DU75" i="31"/>
  <c r="DS75" i="31"/>
  <c r="DQ75" i="31"/>
  <c r="DO75" i="31"/>
  <c r="DM75" i="31"/>
  <c r="DK75" i="31"/>
  <c r="DI75" i="31"/>
  <c r="DG75" i="31"/>
  <c r="DE75" i="31"/>
  <c r="DC75" i="31"/>
  <c r="DA75" i="31"/>
  <c r="CY75" i="31"/>
  <c r="CW75" i="31"/>
  <c r="CU75" i="31"/>
  <c r="CS75" i="31"/>
  <c r="CQ75" i="31"/>
  <c r="CO75" i="31"/>
  <c r="CM75" i="31"/>
  <c r="CK75" i="31"/>
  <c r="CI75" i="31"/>
  <c r="CG75" i="31"/>
  <c r="CE75" i="31"/>
  <c r="CC75" i="31"/>
  <c r="CA75" i="31"/>
  <c r="BY75" i="31"/>
  <c r="BW75" i="31"/>
  <c r="BU75" i="31"/>
  <c r="BS75" i="31"/>
  <c r="BQ75" i="31"/>
  <c r="BO75" i="31"/>
  <c r="BM75" i="31"/>
  <c r="BK75" i="31"/>
  <c r="BI75" i="31"/>
  <c r="BG75" i="31"/>
  <c r="BE75" i="31"/>
  <c r="BC75" i="31"/>
  <c r="BA75" i="31"/>
  <c r="AY75" i="31"/>
  <c r="AW75" i="31"/>
  <c r="AU75" i="31"/>
  <c r="AS75" i="31"/>
  <c r="AQ75" i="31"/>
  <c r="AO75" i="31"/>
  <c r="AM75" i="31"/>
  <c r="AK75" i="31"/>
  <c r="AI75" i="31"/>
  <c r="AG75" i="31"/>
  <c r="AE75" i="31"/>
  <c r="AC75" i="31"/>
  <c r="AA75" i="31"/>
  <c r="Y75" i="31"/>
  <c r="W75" i="31"/>
  <c r="U75" i="31"/>
  <c r="S75" i="31"/>
  <c r="Q75" i="31"/>
  <c r="O75" i="31"/>
  <c r="M75" i="31"/>
  <c r="K75" i="31"/>
  <c r="I75" i="31"/>
  <c r="HM74" i="31"/>
  <c r="HK74" i="31"/>
  <c r="HI74" i="31"/>
  <c r="HG74" i="31"/>
  <c r="HE74" i="31"/>
  <c r="HC74" i="31"/>
  <c r="HA74" i="31"/>
  <c r="GY74" i="31"/>
  <c r="GW74" i="31"/>
  <c r="GU74" i="31"/>
  <c r="GS74" i="31"/>
  <c r="GQ74" i="31"/>
  <c r="GO74" i="31"/>
  <c r="GM74" i="31"/>
  <c r="GK74" i="31"/>
  <c r="GI74" i="31"/>
  <c r="GG74" i="31"/>
  <c r="GE74" i="31"/>
  <c r="GC74" i="31"/>
  <c r="GA74" i="31"/>
  <c r="FY74" i="31"/>
  <c r="FW74" i="31"/>
  <c r="FU74" i="31"/>
  <c r="FS74" i="31"/>
  <c r="FQ74" i="31"/>
  <c r="FO74" i="31"/>
  <c r="FM74" i="31"/>
  <c r="FK74" i="31"/>
  <c r="FI74" i="31"/>
  <c r="FG74" i="31"/>
  <c r="FE74" i="31"/>
  <c r="FC74" i="31"/>
  <c r="FA74" i="31"/>
  <c r="EY74" i="31"/>
  <c r="EW74" i="31"/>
  <c r="EU74" i="31"/>
  <c r="ES74" i="31"/>
  <c r="EQ74" i="31"/>
  <c r="EO74" i="31"/>
  <c r="EM74" i="31"/>
  <c r="EK74" i="31"/>
  <c r="EI74" i="31"/>
  <c r="EG74" i="31"/>
  <c r="EE74" i="31"/>
  <c r="EC74" i="31"/>
  <c r="EA74" i="31"/>
  <c r="DY74" i="31"/>
  <c r="DW74" i="31"/>
  <c r="DU74" i="31"/>
  <c r="DS74" i="31"/>
  <c r="DQ74" i="31"/>
  <c r="DO74" i="31"/>
  <c r="DM74" i="31"/>
  <c r="DK74" i="31"/>
  <c r="DI74" i="31"/>
  <c r="DG74" i="31"/>
  <c r="DE74" i="31"/>
  <c r="DC74" i="31"/>
  <c r="DA74" i="31"/>
  <c r="CY74" i="31"/>
  <c r="CW74" i="31"/>
  <c r="CU74" i="31"/>
  <c r="CS74" i="31"/>
  <c r="CQ74" i="31"/>
  <c r="CO74" i="31"/>
  <c r="CM74" i="31"/>
  <c r="CK74" i="31"/>
  <c r="CI74" i="31"/>
  <c r="CG74" i="31"/>
  <c r="CE74" i="31"/>
  <c r="CC74" i="31"/>
  <c r="CA74" i="31"/>
  <c r="BY74" i="31"/>
  <c r="BW74" i="31"/>
  <c r="BU74" i="31"/>
  <c r="BS74" i="31"/>
  <c r="BQ74" i="31"/>
  <c r="BO74" i="31"/>
  <c r="BM74" i="31"/>
  <c r="BK74" i="31"/>
  <c r="BI74" i="31"/>
  <c r="BG74" i="31"/>
  <c r="BE74" i="31"/>
  <c r="BC74" i="31"/>
  <c r="BA74" i="31"/>
  <c r="AY74" i="31"/>
  <c r="AW74" i="31"/>
  <c r="AU74" i="31"/>
  <c r="AS74" i="31"/>
  <c r="AQ74" i="31"/>
  <c r="AO74" i="31"/>
  <c r="AM74" i="31"/>
  <c r="AK74" i="31"/>
  <c r="AI74" i="31"/>
  <c r="AG74" i="31"/>
  <c r="AE74" i="31"/>
  <c r="AC74" i="31"/>
  <c r="AA74" i="31"/>
  <c r="Y74" i="31"/>
  <c r="W74" i="31"/>
  <c r="U74" i="31"/>
  <c r="S74" i="31"/>
  <c r="Q74" i="31"/>
  <c r="O74" i="31"/>
  <c r="M74" i="31"/>
  <c r="K74" i="31"/>
  <c r="I74" i="31"/>
  <c r="H51" i="31"/>
  <c r="H50" i="31"/>
  <c r="H49" i="31"/>
  <c r="H48" i="31"/>
  <c r="H47" i="31"/>
  <c r="H46" i="31"/>
  <c r="H45" i="31"/>
  <c r="H44" i="31"/>
  <c r="H43" i="31"/>
  <c r="H42" i="31"/>
  <c r="DY36" i="31"/>
  <c r="DW36" i="31"/>
  <c r="DU36" i="31"/>
  <c r="DS36" i="31"/>
  <c r="DQ36" i="31"/>
  <c r="DO36" i="31"/>
  <c r="DM36" i="31"/>
  <c r="DK36" i="31"/>
  <c r="DI36" i="31"/>
  <c r="DG36" i="31"/>
  <c r="DE36" i="31"/>
  <c r="DC36" i="31"/>
  <c r="DA36" i="31"/>
  <c r="CY36" i="31"/>
  <c r="CW36" i="31"/>
  <c r="CU36" i="31"/>
  <c r="CS36" i="31"/>
  <c r="CQ36" i="31"/>
  <c r="CO36" i="31"/>
  <c r="CM36" i="31"/>
  <c r="CK36" i="31"/>
  <c r="CI36" i="31"/>
  <c r="CG36" i="31"/>
  <c r="CE36" i="31"/>
  <c r="CC36" i="31"/>
  <c r="CA36" i="31"/>
  <c r="BY36" i="31"/>
  <c r="BW36" i="31"/>
  <c r="BU36" i="31"/>
  <c r="BS36" i="31"/>
  <c r="BQ36" i="31"/>
  <c r="BO36" i="31"/>
  <c r="BM36" i="31"/>
  <c r="BK36" i="31"/>
  <c r="BI36" i="31"/>
  <c r="BG36" i="31"/>
  <c r="BE36" i="31"/>
  <c r="BC36" i="31"/>
  <c r="DZ34" i="31"/>
  <c r="DX34" i="31"/>
  <c r="DV34" i="31"/>
  <c r="DT34" i="31"/>
  <c r="DR34" i="31"/>
  <c r="DP34" i="31"/>
  <c r="DN34" i="31"/>
  <c r="DL34" i="31"/>
  <c r="DJ34" i="31"/>
  <c r="DH34" i="31"/>
  <c r="DF34" i="31"/>
  <c r="DD34" i="31"/>
  <c r="DB34" i="31"/>
  <c r="CZ34" i="31"/>
  <c r="CX34" i="31"/>
  <c r="CV34" i="31"/>
  <c r="CT34" i="31"/>
  <c r="CR34" i="31"/>
  <c r="CP34" i="31"/>
  <c r="CN34" i="31"/>
  <c r="CL34" i="31"/>
  <c r="CJ34" i="31"/>
  <c r="CH34" i="31"/>
  <c r="CF34" i="31"/>
  <c r="CD34" i="31"/>
  <c r="CB34" i="31"/>
  <c r="BZ34" i="31"/>
  <c r="BX34" i="31"/>
  <c r="BV34" i="31"/>
  <c r="BT34" i="31"/>
  <c r="BR34" i="31"/>
  <c r="BP34" i="31"/>
  <c r="BN34" i="31"/>
  <c r="BL34" i="31"/>
  <c r="BJ34" i="31"/>
  <c r="BH34" i="31"/>
  <c r="BF34" i="31"/>
  <c r="BD34" i="31"/>
  <c r="AO10" i="31"/>
  <c r="AM10" i="31"/>
  <c r="AK10" i="31"/>
  <c r="AI10" i="31"/>
  <c r="AG10" i="31"/>
  <c r="AI8" i="31"/>
  <c r="AC10" i="31"/>
  <c r="AA10" i="31"/>
  <c r="Y10" i="31"/>
  <c r="W10" i="31"/>
  <c r="U10" i="31"/>
  <c r="S10" i="31"/>
  <c r="Q10" i="31"/>
  <c r="O10" i="31"/>
  <c r="M10" i="31"/>
  <c r="K10" i="31"/>
  <c r="AC9" i="31"/>
  <c r="AF9" i="31" s="1"/>
  <c r="F3" i="27" s="1"/>
  <c r="AP8" i="31"/>
  <c r="AN8" i="31"/>
  <c r="AL8" i="31"/>
  <c r="AF8" i="31"/>
  <c r="H3" i="27" s="1"/>
  <c r="F13" i="34" l="1"/>
  <c r="F14" i="34"/>
  <c r="C16" i="34"/>
  <c r="B63" i="34" s="1"/>
  <c r="B61" i="34"/>
  <c r="B60" i="34"/>
  <c r="B57" i="34"/>
  <c r="F10" i="34"/>
  <c r="B58" i="34"/>
  <c r="E14" i="34"/>
  <c r="H22" i="33" s="1"/>
  <c r="E13" i="34"/>
  <c r="H21" i="33" s="1"/>
  <c r="E11" i="34"/>
  <c r="D7" i="2" s="1"/>
  <c r="E15" i="34"/>
  <c r="C15" i="34"/>
  <c r="B62" i="34" s="1"/>
  <c r="E12" i="34"/>
  <c r="C12" i="34"/>
  <c r="F12" i="34" s="1"/>
  <c r="E10" i="34"/>
  <c r="AY140" i="31"/>
  <c r="AY142" i="31" s="1"/>
  <c r="AY145" i="31" s="1"/>
  <c r="C30" i="20"/>
  <c r="AJ8" i="31"/>
  <c r="AG8" i="31"/>
  <c r="S135" i="31"/>
  <c r="AK242" i="31"/>
  <c r="AB140" i="31"/>
  <c r="AB156" i="31" s="1"/>
  <c r="AK214" i="31"/>
  <c r="AK206" i="31"/>
  <c r="Y139" i="31"/>
  <c r="Y154" i="31" s="1"/>
  <c r="R139" i="31"/>
  <c r="R141" i="31" s="1"/>
  <c r="AB139" i="31"/>
  <c r="AB146" i="31" s="1"/>
  <c r="AS139" i="31"/>
  <c r="AS141" i="31" s="1"/>
  <c r="AS155" i="31" s="1"/>
  <c r="AS159" i="31" s="1"/>
  <c r="V139" i="31"/>
  <c r="V141" i="31" s="1"/>
  <c r="V155" i="31" s="1"/>
  <c r="V159" i="31" s="1"/>
  <c r="AS160" i="31"/>
  <c r="AK160" i="31"/>
  <c r="M139" i="31"/>
  <c r="M146" i="31" s="1"/>
  <c r="O139" i="31"/>
  <c r="O146" i="31" s="1"/>
  <c r="T139" i="31"/>
  <c r="T141" i="31" s="1"/>
  <c r="AY139" i="31"/>
  <c r="AY146" i="31" s="1"/>
  <c r="BC139" i="31"/>
  <c r="BC148" i="31" s="1"/>
  <c r="AP141" i="31"/>
  <c r="AP155" i="31" s="1"/>
  <c r="AP159" i="31" s="1"/>
  <c r="O160" i="31"/>
  <c r="T160" i="31"/>
  <c r="AS152" i="31"/>
  <c r="AN12" i="31" s="1"/>
  <c r="AP152" i="31"/>
  <c r="AL12" i="31" s="1"/>
  <c r="AK152" i="31"/>
  <c r="AD12" i="31" s="1"/>
  <c r="AU140" i="31"/>
  <c r="V140" i="31"/>
  <c r="AS140" i="31"/>
  <c r="T140" i="31"/>
  <c r="AP140" i="31"/>
  <c r="R140" i="31"/>
  <c r="AK140" i="31"/>
  <c r="O140" i="31"/>
  <c r="AH140" i="31"/>
  <c r="AH142" i="31" s="1"/>
  <c r="AH145" i="31" s="1"/>
  <c r="AH149" i="31" s="1"/>
  <c r="AH150" i="31" s="1"/>
  <c r="AH151" i="31" s="1"/>
  <c r="M140" i="31"/>
  <c r="AD140" i="31"/>
  <c r="J140" i="31"/>
  <c r="Y140" i="31"/>
  <c r="AU152" i="31"/>
  <c r="AP12" i="31" s="1"/>
  <c r="J160" i="31"/>
  <c r="J139" i="31"/>
  <c r="AD160" i="31"/>
  <c r="AU139" i="31"/>
  <c r="AD139" i="31"/>
  <c r="BC140" i="31"/>
  <c r="AH141" i="31"/>
  <c r="AP154" i="31"/>
  <c r="AH159" i="31"/>
  <c r="AK146" i="31"/>
  <c r="AK148" i="31"/>
  <c r="Y160" i="31"/>
  <c r="R160" i="31"/>
  <c r="AP160" i="31"/>
  <c r="V160" i="31"/>
  <c r="AU160" i="31"/>
  <c r="AK193" i="31"/>
  <c r="AH198" i="31"/>
  <c r="AK202" i="31"/>
  <c r="AK234" i="31"/>
  <c r="AH197" i="31"/>
  <c r="AK198" i="31"/>
  <c r="AK230" i="31"/>
  <c r="AK190" i="31"/>
  <c r="AK210" i="31"/>
  <c r="AK226" i="31"/>
  <c r="AK222" i="31"/>
  <c r="AI194" i="31"/>
  <c r="AK218" i="31"/>
  <c r="H20" i="33" l="1"/>
  <c r="B7" i="34"/>
  <c r="B59" i="34"/>
  <c r="H17" i="33"/>
  <c r="AH158" i="31"/>
  <c r="AH161" i="31" s="1"/>
  <c r="AH162" i="31" s="1"/>
  <c r="AH8" i="31"/>
  <c r="AA13" i="31"/>
  <c r="R146" i="31"/>
  <c r="AY158" i="31"/>
  <c r="AY161" i="31" s="1"/>
  <c r="AS142" i="31"/>
  <c r="AS143" i="31" s="1"/>
  <c r="AS144" i="31" s="1"/>
  <c r="AS147" i="31" s="1"/>
  <c r="AS146" i="31"/>
  <c r="AB201" i="31"/>
  <c r="AB169" i="31" s="1"/>
  <c r="R154" i="31"/>
  <c r="AB154" i="31"/>
  <c r="AB171" i="31" s="1"/>
  <c r="AY233" i="31"/>
  <c r="AY181" i="31" s="1"/>
  <c r="AS154" i="31"/>
  <c r="Y141" i="31"/>
  <c r="Y142" i="31" s="1"/>
  <c r="T154" i="31"/>
  <c r="Y146" i="31"/>
  <c r="M154" i="31"/>
  <c r="M141" i="31"/>
  <c r="M142" i="31" s="1"/>
  <c r="V146" i="31"/>
  <c r="V154" i="31"/>
  <c r="AB141" i="31"/>
  <c r="AB142" i="31" s="1"/>
  <c r="AB197" i="31"/>
  <c r="AB168" i="31" s="1"/>
  <c r="AY205" i="31"/>
  <c r="T146" i="31"/>
  <c r="AY241" i="31"/>
  <c r="AY183" i="31" s="1"/>
  <c r="AY197" i="31"/>
  <c r="AK147" i="31"/>
  <c r="AK191" i="31" s="1"/>
  <c r="AK192" i="31" s="1"/>
  <c r="AY237" i="31"/>
  <c r="AY182" i="31" s="1"/>
  <c r="AY201" i="31"/>
  <c r="AY225" i="31"/>
  <c r="AY213" i="31"/>
  <c r="AY221" i="31"/>
  <c r="BC146" i="31"/>
  <c r="BC147" i="31" s="1"/>
  <c r="AY217" i="31"/>
  <c r="O154" i="31"/>
  <c r="AY229" i="31"/>
  <c r="AY245" i="31"/>
  <c r="AY184" i="31" s="1"/>
  <c r="AY209" i="31"/>
  <c r="O141" i="31"/>
  <c r="O155" i="31" s="1"/>
  <c r="O159" i="31" s="1"/>
  <c r="AP142" i="31"/>
  <c r="AP143" i="31" s="1"/>
  <c r="AY148" i="31"/>
  <c r="R201" i="31"/>
  <c r="R169" i="31" s="1"/>
  <c r="R197" i="31"/>
  <c r="R168" i="31" s="1"/>
  <c r="R156" i="31"/>
  <c r="AI195" i="31"/>
  <c r="AH152" i="31" s="1"/>
  <c r="AB12" i="31" s="1"/>
  <c r="AP201" i="31"/>
  <c r="AP169" i="31" s="1"/>
  <c r="AK16" i="31" s="1"/>
  <c r="AP197" i="31"/>
  <c r="AP168" i="31" s="1"/>
  <c r="AK15" i="31" s="1"/>
  <c r="AP156" i="31"/>
  <c r="BC241" i="31"/>
  <c r="BC183" i="31" s="1"/>
  <c r="BC245" i="31"/>
  <c r="BC184" i="31" s="1"/>
  <c r="BC217" i="31"/>
  <c r="BC173" i="31" s="1"/>
  <c r="AI23" i="31" s="1"/>
  <c r="BC213" i="31"/>
  <c r="BC172" i="31" s="1"/>
  <c r="AI22" i="31" s="1"/>
  <c r="BC221" i="31"/>
  <c r="BC177" i="31" s="1"/>
  <c r="BC225" i="31"/>
  <c r="BC178" i="31" s="1"/>
  <c r="BC142" i="31"/>
  <c r="BC145" i="31" s="1"/>
  <c r="BC149" i="31" s="1"/>
  <c r="BC150" i="31" s="1"/>
  <c r="BC151" i="31" s="1"/>
  <c r="AI13" i="31" s="1"/>
  <c r="BC229" i="31"/>
  <c r="BC180" i="31" s="1"/>
  <c r="BC209" i="31"/>
  <c r="BC171" i="31" s="1"/>
  <c r="AI21" i="31" s="1"/>
  <c r="BC237" i="31"/>
  <c r="BC182" i="31" s="1"/>
  <c r="BC205" i="31"/>
  <c r="BC170" i="31" s="1"/>
  <c r="AI20" i="31" s="1"/>
  <c r="BC233" i="31"/>
  <c r="BC181" i="31" s="1"/>
  <c r="BC201" i="31"/>
  <c r="BC169" i="31" s="1"/>
  <c r="AI16" i="31" s="1"/>
  <c r="BC197" i="31"/>
  <c r="BC168" i="31" s="1"/>
  <c r="AI15" i="31" s="1"/>
  <c r="T197" i="31"/>
  <c r="T168" i="31" s="1"/>
  <c r="T156" i="31"/>
  <c r="T201" i="31"/>
  <c r="T169" i="31" s="1"/>
  <c r="AD201" i="31"/>
  <c r="AD169" i="31" s="1"/>
  <c r="AD197" i="31"/>
  <c r="AD168" i="31" s="1"/>
  <c r="AD156" i="31"/>
  <c r="M201" i="31"/>
  <c r="M169" i="31" s="1"/>
  <c r="M197" i="31"/>
  <c r="M168" i="31" s="1"/>
  <c r="M156" i="31"/>
  <c r="AS201" i="31"/>
  <c r="AS169" i="31" s="1"/>
  <c r="AM16" i="31" s="1"/>
  <c r="AS197" i="31"/>
  <c r="AS168" i="31" s="1"/>
  <c r="AM15" i="31" s="1"/>
  <c r="AS156" i="31"/>
  <c r="AS157" i="31" s="1"/>
  <c r="AS158" i="31" s="1"/>
  <c r="AS161" i="31" s="1"/>
  <c r="AS162" i="31" s="1"/>
  <c r="R155" i="31"/>
  <c r="R159" i="31" s="1"/>
  <c r="R142" i="31"/>
  <c r="AI173" i="31"/>
  <c r="AA23" i="31" s="1"/>
  <c r="AI172" i="31"/>
  <c r="AA22" i="31" s="1"/>
  <c r="AI171" i="31"/>
  <c r="AA21" i="31" s="1"/>
  <c r="AI170" i="31"/>
  <c r="AA20" i="31" s="1"/>
  <c r="AI169" i="31"/>
  <c r="AA16" i="31" s="1"/>
  <c r="AI168" i="31"/>
  <c r="AA15" i="31" s="1"/>
  <c r="V156" i="31"/>
  <c r="V157" i="31" s="1"/>
  <c r="V158" i="31" s="1"/>
  <c r="V161" i="31" s="1"/>
  <c r="V162" i="31" s="1"/>
  <c r="V201" i="31"/>
  <c r="V169" i="31" s="1"/>
  <c r="V197" i="31"/>
  <c r="V168" i="31" s="1"/>
  <c r="V142" i="31"/>
  <c r="J146" i="31"/>
  <c r="J154" i="31"/>
  <c r="J141" i="31"/>
  <c r="K201" i="31"/>
  <c r="K169" i="31" s="1"/>
  <c r="K197" i="31"/>
  <c r="K168" i="31" s="1"/>
  <c r="J156" i="31"/>
  <c r="T155" i="31"/>
  <c r="T159" i="31" s="1"/>
  <c r="T142" i="31"/>
  <c r="AD146" i="31"/>
  <c r="AD154" i="31"/>
  <c r="AD141" i="31"/>
  <c r="Y156" i="31"/>
  <c r="Z197" i="31"/>
  <c r="Z168" i="31" s="1"/>
  <c r="Z201" i="31"/>
  <c r="Z169" i="31" s="1"/>
  <c r="O201" i="31"/>
  <c r="O169" i="31" s="1"/>
  <c r="O197" i="31"/>
  <c r="O168" i="31" s="1"/>
  <c r="O156" i="31"/>
  <c r="AU156" i="31"/>
  <c r="AU201" i="31"/>
  <c r="AU169" i="31" s="1"/>
  <c r="AO16" i="31" s="1"/>
  <c r="AU197" i="31"/>
  <c r="AU168" i="31" s="1"/>
  <c r="AO15" i="31" s="1"/>
  <c r="AU154" i="31"/>
  <c r="AU141" i="31"/>
  <c r="AU146" i="31"/>
  <c r="AK237" i="31"/>
  <c r="AK205" i="31"/>
  <c r="AK170" i="31" s="1"/>
  <c r="AC20" i="31" s="1"/>
  <c r="AK241" i="31"/>
  <c r="AK201" i="31"/>
  <c r="AK169" i="31" s="1"/>
  <c r="AC16" i="31" s="1"/>
  <c r="AK197" i="31"/>
  <c r="AK168" i="31" s="1"/>
  <c r="AC15" i="31" s="1"/>
  <c r="AK245" i="31"/>
  <c r="AK217" i="31"/>
  <c r="AK173" i="31" s="1"/>
  <c r="AC23" i="31" s="1"/>
  <c r="AK213" i="31"/>
  <c r="AK172" i="31" s="1"/>
  <c r="AC22" i="31" s="1"/>
  <c r="AK221" i="31"/>
  <c r="AK158" i="31"/>
  <c r="AK161" i="31" s="1"/>
  <c r="AK162" i="31" s="1"/>
  <c r="AK229" i="31"/>
  <c r="AK209" i="31"/>
  <c r="AK171" i="31" s="1"/>
  <c r="AC21" i="31" s="1"/>
  <c r="AK142" i="31"/>
  <c r="AK145" i="31" s="1"/>
  <c r="AK233" i="31"/>
  <c r="AK225" i="31"/>
  <c r="O157" i="31" l="1"/>
  <c r="O158" i="31" s="1"/>
  <c r="O161" i="31" s="1"/>
  <c r="O162" i="31" s="1"/>
  <c r="R157" i="31"/>
  <c r="R158" i="31" s="1"/>
  <c r="R161" i="31" s="1"/>
  <c r="R162" i="31" s="1"/>
  <c r="AS148" i="31"/>
  <c r="AB155" i="31"/>
  <c r="AB181" i="31"/>
  <c r="Y155" i="31"/>
  <c r="AB173" i="31"/>
  <c r="AB180" i="31"/>
  <c r="AB182" i="31"/>
  <c r="AB178" i="31"/>
  <c r="AB170" i="31"/>
  <c r="AB172" i="31"/>
  <c r="AB184" i="31"/>
  <c r="AB183" i="31"/>
  <c r="AB177" i="31"/>
  <c r="M155" i="31"/>
  <c r="O142" i="31"/>
  <c r="O143" i="31" s="1"/>
  <c r="O144" i="31" s="1"/>
  <c r="O147" i="31" s="1"/>
  <c r="O148" i="31" s="1"/>
  <c r="AS145" i="31"/>
  <c r="AY147" i="31"/>
  <c r="AK149" i="31"/>
  <c r="AK150" i="31" s="1"/>
  <c r="AK151" i="31" s="1"/>
  <c r="AC13" i="31" s="1"/>
  <c r="AU142" i="31"/>
  <c r="AU155" i="31"/>
  <c r="M15" i="31"/>
  <c r="I15" i="31"/>
  <c r="K15" i="31"/>
  <c r="AD155" i="31"/>
  <c r="AD142" i="31"/>
  <c r="AK180" i="31"/>
  <c r="AI180" i="31"/>
  <c r="AP184" i="31"/>
  <c r="AP183" i="31"/>
  <c r="AP182" i="31"/>
  <c r="AP181" i="31"/>
  <c r="AP180" i="31"/>
  <c r="AP178" i="31"/>
  <c r="AP177" i="31"/>
  <c r="AP173" i="31"/>
  <c r="AK23" i="31" s="1"/>
  <c r="AP172" i="31"/>
  <c r="AK22" i="31" s="1"/>
  <c r="AP171" i="31"/>
  <c r="AK21" i="31" s="1"/>
  <c r="AP170" i="31"/>
  <c r="AK20" i="31" s="1"/>
  <c r="AP157" i="31"/>
  <c r="AP158" i="31" s="1"/>
  <c r="AP161" i="31" s="1"/>
  <c r="AP162" i="31" s="1"/>
  <c r="W15" i="31"/>
  <c r="U15" i="31"/>
  <c r="Y15" i="31"/>
  <c r="R143" i="31"/>
  <c r="R144" i="31" s="1"/>
  <c r="R147" i="31" s="1"/>
  <c r="R148" i="31" s="1"/>
  <c r="AD184" i="31"/>
  <c r="AD183" i="31"/>
  <c r="AD182" i="31"/>
  <c r="AD181" i="31"/>
  <c r="AD180" i="31"/>
  <c r="AD178" i="31"/>
  <c r="AD177" i="31"/>
  <c r="AD173" i="31"/>
  <c r="AD172" i="31"/>
  <c r="AD171" i="31"/>
  <c r="AD170" i="31"/>
  <c r="R184" i="31"/>
  <c r="R183" i="31"/>
  <c r="R182" i="31"/>
  <c r="R181" i="31"/>
  <c r="R180" i="31"/>
  <c r="R178" i="31"/>
  <c r="R177" i="31"/>
  <c r="R173" i="31"/>
  <c r="R172" i="31"/>
  <c r="R171" i="31"/>
  <c r="R170" i="31"/>
  <c r="M16" i="31"/>
  <c r="K16" i="31"/>
  <c r="I16" i="31"/>
  <c r="AI183" i="31"/>
  <c r="AK183" i="31"/>
  <c r="U16" i="31"/>
  <c r="W16" i="31"/>
  <c r="Y16" i="31"/>
  <c r="J155" i="31"/>
  <c r="J142" i="31"/>
  <c r="M143" i="31"/>
  <c r="M144" i="31" s="1"/>
  <c r="M147" i="31" s="1"/>
  <c r="M148" i="31" s="1"/>
  <c r="AK177" i="31"/>
  <c r="AI177" i="31"/>
  <c r="AK182" i="31"/>
  <c r="AI182" i="31"/>
  <c r="AU184" i="31"/>
  <c r="AU182" i="31"/>
  <c r="AU180" i="31"/>
  <c r="AU178" i="31"/>
  <c r="AU173" i="31"/>
  <c r="AO23" i="31" s="1"/>
  <c r="AU171" i="31"/>
  <c r="AO21" i="31" s="1"/>
  <c r="AU183" i="31"/>
  <c r="AU181" i="31"/>
  <c r="AU177" i="31"/>
  <c r="AU172" i="31"/>
  <c r="AO22" i="31" s="1"/>
  <c r="AU170" i="31"/>
  <c r="AO20" i="31" s="1"/>
  <c r="Z184" i="31"/>
  <c r="Z183" i="31"/>
  <c r="Z182" i="31"/>
  <c r="Z181" i="31"/>
  <c r="Z180" i="31"/>
  <c r="Z178" i="31"/>
  <c r="Z177" i="31"/>
  <c r="Z173" i="31"/>
  <c r="Z172" i="31"/>
  <c r="Z171" i="31"/>
  <c r="Z170" i="31"/>
  <c r="AB143" i="31"/>
  <c r="AB144" i="31" s="1"/>
  <c r="AB147" i="31" s="1"/>
  <c r="AB148" i="31" s="1"/>
  <c r="T143" i="31"/>
  <c r="T144" i="31" s="1"/>
  <c r="T147" i="31" s="1"/>
  <c r="T148" i="31" s="1"/>
  <c r="AP144" i="31"/>
  <c r="AQ143" i="31"/>
  <c r="O15" i="31"/>
  <c r="Q15" i="31"/>
  <c r="S15" i="31"/>
  <c r="BC158" i="31"/>
  <c r="BC161" i="31" s="1"/>
  <c r="BC162" i="31" s="1"/>
  <c r="S16" i="31"/>
  <c r="O16" i="31"/>
  <c r="Q16" i="31"/>
  <c r="Y143" i="31"/>
  <c r="T157" i="31"/>
  <c r="T158" i="31" s="1"/>
  <c r="T161" i="31" s="1"/>
  <c r="T162" i="31" s="1"/>
  <c r="AS184" i="31"/>
  <c r="AS183" i="31"/>
  <c r="AS182" i="31"/>
  <c r="AS181" i="31"/>
  <c r="AS180" i="31"/>
  <c r="AS178" i="31"/>
  <c r="AS177" i="31"/>
  <c r="AS173" i="31"/>
  <c r="AM23" i="31" s="1"/>
  <c r="AS172" i="31"/>
  <c r="AM22" i="31" s="1"/>
  <c r="AS171" i="31"/>
  <c r="AM21" i="31" s="1"/>
  <c r="AS170" i="31"/>
  <c r="AM20" i="31" s="1"/>
  <c r="AK178" i="31"/>
  <c r="AI178" i="31"/>
  <c r="O184" i="31"/>
  <c r="O183" i="31"/>
  <c r="O182" i="31"/>
  <c r="O181" i="31"/>
  <c r="O180" i="31"/>
  <c r="O178" i="31"/>
  <c r="O177" i="31"/>
  <c r="O173" i="31"/>
  <c r="O172" i="31"/>
  <c r="O171" i="31"/>
  <c r="O170" i="31"/>
  <c r="K184" i="31"/>
  <c r="K183" i="31"/>
  <c r="K182" i="31"/>
  <c r="K181" i="31"/>
  <c r="K180" i="31"/>
  <c r="K178" i="31"/>
  <c r="K177" i="31"/>
  <c r="K173" i="31"/>
  <c r="K172" i="31"/>
  <c r="K171" i="31"/>
  <c r="K170" i="31"/>
  <c r="V143" i="31"/>
  <c r="V144" i="31" s="1"/>
  <c r="V147" i="31" s="1"/>
  <c r="V148" i="31" s="1"/>
  <c r="M184" i="31"/>
  <c r="M183" i="31"/>
  <c r="M182" i="31"/>
  <c r="M181" i="31"/>
  <c r="M180" i="31"/>
  <c r="M178" i="31"/>
  <c r="M177" i="31"/>
  <c r="M173" i="31"/>
  <c r="M172" i="31"/>
  <c r="M171" i="31"/>
  <c r="M170" i="31"/>
  <c r="AK181" i="31"/>
  <c r="AI181" i="31"/>
  <c r="AK184" i="31"/>
  <c r="AI184" i="31"/>
  <c r="AM151" i="31"/>
  <c r="T184" i="31"/>
  <c r="T182" i="31"/>
  <c r="T180" i="31"/>
  <c r="T178" i="31"/>
  <c r="T173" i="31"/>
  <c r="T171" i="31"/>
  <c r="T177" i="31"/>
  <c r="T183" i="31"/>
  <c r="T172" i="31"/>
  <c r="T181" i="31"/>
  <c r="T170" i="31"/>
  <c r="AB157" i="31" l="1"/>
  <c r="AB158" i="31" s="1"/>
  <c r="AB159" i="31"/>
  <c r="AU157" i="31"/>
  <c r="AU158" i="31" s="1"/>
  <c r="AU159" i="31"/>
  <c r="AD157" i="31"/>
  <c r="AD158" i="31" s="1"/>
  <c r="AD159" i="31"/>
  <c r="Y157" i="31"/>
  <c r="Y158" i="31" s="1"/>
  <c r="Y159" i="31"/>
  <c r="J157" i="31"/>
  <c r="J158" i="31" s="1"/>
  <c r="J159" i="31"/>
  <c r="M157" i="31"/>
  <c r="M158" i="31" s="1"/>
  <c r="M159" i="31"/>
  <c r="AS149" i="31"/>
  <c r="T145" i="31"/>
  <c r="T149" i="31" s="1"/>
  <c r="AB145" i="31"/>
  <c r="AB149" i="31" s="1"/>
  <c r="Y144" i="31"/>
  <c r="Z143" i="31"/>
  <c r="Y20" i="31"/>
  <c r="W20" i="31"/>
  <c r="U20" i="31"/>
  <c r="Y21" i="31"/>
  <c r="W21" i="31"/>
  <c r="U21" i="31"/>
  <c r="V145" i="31"/>
  <c r="V149" i="31" s="1"/>
  <c r="AP147" i="31"/>
  <c r="AP148" i="31" s="1"/>
  <c r="AP145" i="31"/>
  <c r="U22" i="31"/>
  <c r="Y22" i="31"/>
  <c r="W22" i="31"/>
  <c r="R145" i="31"/>
  <c r="R149" i="31" s="1"/>
  <c r="S20" i="31"/>
  <c r="Q20" i="31"/>
  <c r="M20" i="31"/>
  <c r="O20" i="31"/>
  <c r="K20" i="31"/>
  <c r="I20" i="31"/>
  <c r="U23" i="31"/>
  <c r="Y23" i="31"/>
  <c r="W23" i="31"/>
  <c r="M145" i="31"/>
  <c r="M149" i="31" s="1"/>
  <c r="J143" i="31"/>
  <c r="O145" i="31"/>
  <c r="O149" i="31" s="1"/>
  <c r="AU143" i="31"/>
  <c r="AU144" i="31" s="1"/>
  <c r="AU147" i="31" s="1"/>
  <c r="AU148" i="31" s="1"/>
  <c r="K21" i="31"/>
  <c r="I21" i="31"/>
  <c r="S21" i="31"/>
  <c r="O21" i="31"/>
  <c r="M21" i="31"/>
  <c r="Q21" i="31"/>
  <c r="O22" i="31"/>
  <c r="M22" i="31"/>
  <c r="I22" i="31"/>
  <c r="K22" i="31"/>
  <c r="S22" i="31"/>
  <c r="Q22" i="31"/>
  <c r="AD143" i="31"/>
  <c r="AD144" i="31" s="1"/>
  <c r="AD147" i="31" s="1"/>
  <c r="AD148" i="31" s="1"/>
  <c r="M23" i="31"/>
  <c r="Q23" i="31"/>
  <c r="I23" i="31"/>
  <c r="K23" i="31"/>
  <c r="S23" i="31"/>
  <c r="O23" i="31"/>
  <c r="J161" i="31" l="1"/>
  <c r="J162" i="31" s="1"/>
  <c r="M161" i="31"/>
  <c r="M162" i="31" s="1"/>
  <c r="AU161" i="31"/>
  <c r="AU162" i="31" s="1"/>
  <c r="AB161" i="31"/>
  <c r="AB162" i="31" s="1"/>
  <c r="Y161" i="31"/>
  <c r="Y162" i="31" s="1"/>
  <c r="AD161" i="31"/>
  <c r="AD162" i="31" s="1"/>
  <c r="AU145" i="31"/>
  <c r="AU149" i="31" s="1"/>
  <c r="AP149" i="31"/>
  <c r="Y147" i="31"/>
  <c r="Y148" i="31" s="1"/>
  <c r="Y145" i="31"/>
  <c r="AD145" i="31"/>
  <c r="AD149" i="31" s="1"/>
  <c r="J144" i="31"/>
  <c r="K143" i="31"/>
  <c r="Y149" i="31" l="1"/>
  <c r="J147" i="31"/>
  <c r="J148" i="31" s="1"/>
  <c r="J145" i="31"/>
  <c r="J149" i="31" l="1"/>
  <c r="BG6" i="4"/>
  <c r="BH6" i="4"/>
  <c r="BI6" i="4"/>
  <c r="BJ6" i="4"/>
  <c r="BK6" i="4"/>
  <c r="BL6" i="4"/>
  <c r="BM6" i="4"/>
  <c r="BN6" i="4"/>
  <c r="BO6" i="4"/>
  <c r="BP6" i="4"/>
  <c r="BQ6" i="4"/>
  <c r="BR6" i="4"/>
  <c r="BS6" i="4"/>
  <c r="BT6" i="4"/>
  <c r="BU6" i="4"/>
  <c r="BV6" i="4"/>
  <c r="BW6" i="4"/>
  <c r="BX6" i="4"/>
  <c r="BY6" i="4"/>
  <c r="BZ6" i="4"/>
  <c r="CA6" i="4"/>
  <c r="CB6" i="4"/>
  <c r="CC6" i="4"/>
  <c r="CD6" i="4"/>
  <c r="CE6" i="4"/>
  <c r="CF6" i="4"/>
  <c r="CG6" i="4"/>
  <c r="CH6" i="4"/>
  <c r="CI6" i="4"/>
  <c r="CJ6" i="4"/>
  <c r="CK6" i="4"/>
  <c r="CL6" i="4"/>
  <c r="CM6" i="4"/>
  <c r="CN6" i="4"/>
  <c r="CO6" i="4"/>
  <c r="CP6" i="4"/>
  <c r="CQ6" i="4"/>
  <c r="CR6" i="4"/>
  <c r="CS6" i="4"/>
  <c r="CT6" i="4"/>
  <c r="CU6" i="4"/>
  <c r="CV6" i="4"/>
  <c r="CW6" i="4"/>
  <c r="CX6" i="4"/>
  <c r="BG7" i="4"/>
  <c r="BH7" i="4"/>
  <c r="BI7" i="4"/>
  <c r="BJ7" i="4"/>
  <c r="BK7" i="4"/>
  <c r="BL7" i="4"/>
  <c r="BM7" i="4"/>
  <c r="BN7" i="4"/>
  <c r="BO7" i="4"/>
  <c r="BP7" i="4"/>
  <c r="BQ7" i="4"/>
  <c r="BR7" i="4"/>
  <c r="BS7" i="4"/>
  <c r="BT7" i="4"/>
  <c r="BU7" i="4"/>
  <c r="BV7" i="4"/>
  <c r="BW7" i="4"/>
  <c r="BX7" i="4"/>
  <c r="BY7" i="4"/>
  <c r="BZ7" i="4"/>
  <c r="CA7" i="4"/>
  <c r="CB7" i="4"/>
  <c r="CC7" i="4"/>
  <c r="CD7" i="4"/>
  <c r="CE7" i="4"/>
  <c r="CF7" i="4"/>
  <c r="CG7" i="4"/>
  <c r="CH7" i="4"/>
  <c r="CI7" i="4"/>
  <c r="CJ7" i="4"/>
  <c r="CK7" i="4"/>
  <c r="CL7" i="4"/>
  <c r="CM7" i="4"/>
  <c r="CN7" i="4"/>
  <c r="CO7" i="4"/>
  <c r="CP7" i="4"/>
  <c r="CQ7" i="4"/>
  <c r="CR7" i="4"/>
  <c r="CS7" i="4"/>
  <c r="CT7" i="4"/>
  <c r="CU7" i="4"/>
  <c r="CV7" i="4"/>
  <c r="CW7" i="4"/>
  <c r="CX7" i="4"/>
  <c r="BG8" i="4"/>
  <c r="BH8" i="4"/>
  <c r="BI8" i="4"/>
  <c r="BJ8" i="4"/>
  <c r="BK8" i="4"/>
  <c r="BL8" i="4"/>
  <c r="BM8" i="4"/>
  <c r="BN8" i="4"/>
  <c r="BO8" i="4"/>
  <c r="BP8" i="4"/>
  <c r="BQ8" i="4"/>
  <c r="BR8" i="4"/>
  <c r="BS8" i="4"/>
  <c r="BT8" i="4"/>
  <c r="BU8" i="4"/>
  <c r="BV8" i="4"/>
  <c r="BW8" i="4"/>
  <c r="BX8" i="4"/>
  <c r="BY8" i="4"/>
  <c r="BZ8" i="4"/>
  <c r="CA8" i="4"/>
  <c r="CB8" i="4"/>
  <c r="CC8" i="4"/>
  <c r="CD8" i="4"/>
  <c r="CE8" i="4"/>
  <c r="CF8" i="4"/>
  <c r="CG8" i="4"/>
  <c r="CH8" i="4"/>
  <c r="CI8" i="4"/>
  <c r="CJ8" i="4"/>
  <c r="CK8" i="4"/>
  <c r="CL8" i="4"/>
  <c r="CM8" i="4"/>
  <c r="CN8" i="4"/>
  <c r="CO8" i="4"/>
  <c r="CP8" i="4"/>
  <c r="CQ8" i="4"/>
  <c r="CR8" i="4"/>
  <c r="CS8" i="4"/>
  <c r="CT8" i="4"/>
  <c r="CU8" i="4"/>
  <c r="CV8" i="4"/>
  <c r="CW8" i="4"/>
  <c r="CX8" i="4"/>
  <c r="BG9" i="4"/>
  <c r="BH9" i="4"/>
  <c r="BI9" i="4"/>
  <c r="BJ9" i="4"/>
  <c r="BK9" i="4"/>
  <c r="BL9" i="4"/>
  <c r="BM9" i="4"/>
  <c r="BN9" i="4"/>
  <c r="BO9" i="4"/>
  <c r="BP9" i="4"/>
  <c r="BQ9" i="4"/>
  <c r="BR9" i="4"/>
  <c r="BS9" i="4"/>
  <c r="BT9" i="4"/>
  <c r="BU9" i="4"/>
  <c r="BV9" i="4"/>
  <c r="BW9" i="4"/>
  <c r="BX9" i="4"/>
  <c r="BY9" i="4"/>
  <c r="BZ9" i="4"/>
  <c r="CA9" i="4"/>
  <c r="CB9" i="4"/>
  <c r="CC9" i="4"/>
  <c r="CD9" i="4"/>
  <c r="CE9" i="4"/>
  <c r="CF9" i="4"/>
  <c r="CG9" i="4"/>
  <c r="CH9" i="4"/>
  <c r="CI9" i="4"/>
  <c r="CJ9" i="4"/>
  <c r="CK9" i="4"/>
  <c r="CL9" i="4"/>
  <c r="CM9" i="4"/>
  <c r="CN9" i="4"/>
  <c r="CO9" i="4"/>
  <c r="CP9" i="4"/>
  <c r="CQ9" i="4"/>
  <c r="CR9" i="4"/>
  <c r="CS9" i="4"/>
  <c r="CT9" i="4"/>
  <c r="CU9" i="4"/>
  <c r="CV9" i="4"/>
  <c r="CW9" i="4"/>
  <c r="CX9" i="4"/>
  <c r="BG10" i="4"/>
  <c r="BH10" i="4"/>
  <c r="BI10" i="4"/>
  <c r="BJ10" i="4"/>
  <c r="BK10" i="4"/>
  <c r="BL10" i="4"/>
  <c r="BM10" i="4"/>
  <c r="BN10" i="4"/>
  <c r="BO10" i="4"/>
  <c r="BP10" i="4"/>
  <c r="BQ10" i="4"/>
  <c r="BR10" i="4"/>
  <c r="BS10" i="4"/>
  <c r="BT10" i="4"/>
  <c r="BU10" i="4"/>
  <c r="BV10" i="4"/>
  <c r="BW10" i="4"/>
  <c r="BX10" i="4"/>
  <c r="BY10" i="4"/>
  <c r="BZ10" i="4"/>
  <c r="CA10" i="4"/>
  <c r="CB10" i="4"/>
  <c r="CC10" i="4"/>
  <c r="CD10" i="4"/>
  <c r="CE10" i="4"/>
  <c r="CF10" i="4"/>
  <c r="CG10" i="4"/>
  <c r="CH10" i="4"/>
  <c r="CI10" i="4"/>
  <c r="CJ10" i="4"/>
  <c r="CK10" i="4"/>
  <c r="CL10" i="4"/>
  <c r="CM10" i="4"/>
  <c r="CN10" i="4"/>
  <c r="CO10" i="4"/>
  <c r="CP10" i="4"/>
  <c r="CQ10" i="4"/>
  <c r="CR10" i="4"/>
  <c r="CS10" i="4"/>
  <c r="CT10" i="4"/>
  <c r="CU10" i="4"/>
  <c r="CV10" i="4"/>
  <c r="CW10" i="4"/>
  <c r="CX10" i="4"/>
  <c r="BG11" i="4"/>
  <c r="BH11" i="4"/>
  <c r="BI11" i="4"/>
  <c r="BJ11" i="4"/>
  <c r="BK11" i="4"/>
  <c r="BL11" i="4"/>
  <c r="BM11" i="4"/>
  <c r="BN11" i="4"/>
  <c r="BO11" i="4"/>
  <c r="BP11" i="4"/>
  <c r="BQ11" i="4"/>
  <c r="BR11" i="4"/>
  <c r="BS11" i="4"/>
  <c r="BT11" i="4"/>
  <c r="BU11" i="4"/>
  <c r="BV11" i="4"/>
  <c r="BW11" i="4"/>
  <c r="BX11" i="4"/>
  <c r="BY11" i="4"/>
  <c r="BZ11" i="4"/>
  <c r="CA11" i="4"/>
  <c r="CB11" i="4"/>
  <c r="CC11" i="4"/>
  <c r="CD11" i="4"/>
  <c r="CE11" i="4"/>
  <c r="CF11" i="4"/>
  <c r="CG11" i="4"/>
  <c r="CH11" i="4"/>
  <c r="CI11" i="4"/>
  <c r="CJ11" i="4"/>
  <c r="CK11" i="4"/>
  <c r="CL11" i="4"/>
  <c r="CM11" i="4"/>
  <c r="CN11" i="4"/>
  <c r="CO11" i="4"/>
  <c r="CP11" i="4"/>
  <c r="CQ11" i="4"/>
  <c r="CR11" i="4"/>
  <c r="CS11" i="4"/>
  <c r="CT11" i="4"/>
  <c r="CU11" i="4"/>
  <c r="CV11" i="4"/>
  <c r="CW11" i="4"/>
  <c r="CX11" i="4"/>
  <c r="BG12" i="4"/>
  <c r="BH12" i="4"/>
  <c r="BI12" i="4"/>
  <c r="BJ12" i="4"/>
  <c r="BK12" i="4"/>
  <c r="BL12" i="4"/>
  <c r="BM12" i="4"/>
  <c r="BN12" i="4"/>
  <c r="BO12" i="4"/>
  <c r="BP12" i="4"/>
  <c r="BQ12" i="4"/>
  <c r="BR12" i="4"/>
  <c r="BS12" i="4"/>
  <c r="BT12" i="4"/>
  <c r="BU12" i="4"/>
  <c r="BV12" i="4"/>
  <c r="BW12" i="4"/>
  <c r="BX12" i="4"/>
  <c r="BY12" i="4"/>
  <c r="BZ12" i="4"/>
  <c r="CA12" i="4"/>
  <c r="CB12" i="4"/>
  <c r="CC12" i="4"/>
  <c r="CD12" i="4"/>
  <c r="CE12" i="4"/>
  <c r="CF12" i="4"/>
  <c r="CG12" i="4"/>
  <c r="CH12" i="4"/>
  <c r="CI12" i="4"/>
  <c r="CJ12" i="4"/>
  <c r="CK12" i="4"/>
  <c r="CL12" i="4"/>
  <c r="CM12" i="4"/>
  <c r="CN12" i="4"/>
  <c r="CO12" i="4"/>
  <c r="CP12" i="4"/>
  <c r="CQ12" i="4"/>
  <c r="CR12" i="4"/>
  <c r="CS12" i="4"/>
  <c r="CT12" i="4"/>
  <c r="CU12" i="4"/>
  <c r="CV12" i="4"/>
  <c r="CW12" i="4"/>
  <c r="CX12" i="4"/>
  <c r="BG13" i="4"/>
  <c r="BH13" i="4"/>
  <c r="BI13" i="4"/>
  <c r="BJ13" i="4"/>
  <c r="BK13" i="4"/>
  <c r="BL13" i="4"/>
  <c r="BM13" i="4"/>
  <c r="BN13" i="4"/>
  <c r="BO13" i="4"/>
  <c r="BP13" i="4"/>
  <c r="BQ13" i="4"/>
  <c r="BR13" i="4"/>
  <c r="BS13" i="4"/>
  <c r="BT13" i="4"/>
  <c r="BU13" i="4"/>
  <c r="BV13" i="4"/>
  <c r="BW13" i="4"/>
  <c r="BX13" i="4"/>
  <c r="BY13" i="4"/>
  <c r="BZ13" i="4"/>
  <c r="CA13" i="4"/>
  <c r="CB13" i="4"/>
  <c r="CC13" i="4"/>
  <c r="CD13" i="4"/>
  <c r="CE13" i="4"/>
  <c r="CF13" i="4"/>
  <c r="CG13" i="4"/>
  <c r="CH13" i="4"/>
  <c r="CI13" i="4"/>
  <c r="CJ13" i="4"/>
  <c r="CK13" i="4"/>
  <c r="CL13" i="4"/>
  <c r="CM13" i="4"/>
  <c r="CN13" i="4"/>
  <c r="CO13" i="4"/>
  <c r="CP13" i="4"/>
  <c r="CQ13" i="4"/>
  <c r="CR13" i="4"/>
  <c r="CS13" i="4"/>
  <c r="CT13" i="4"/>
  <c r="CU13" i="4"/>
  <c r="CV13" i="4"/>
  <c r="CW13" i="4"/>
  <c r="CX13" i="4"/>
  <c r="BG14" i="4"/>
  <c r="BH14" i="4"/>
  <c r="BI14" i="4"/>
  <c r="BJ14" i="4"/>
  <c r="BK14" i="4"/>
  <c r="BL14" i="4"/>
  <c r="BM14" i="4"/>
  <c r="BN14" i="4"/>
  <c r="BO14" i="4"/>
  <c r="BP14" i="4"/>
  <c r="BQ14" i="4"/>
  <c r="BR14" i="4"/>
  <c r="BS14" i="4"/>
  <c r="BT14" i="4"/>
  <c r="BU14" i="4"/>
  <c r="BV14" i="4"/>
  <c r="BW14" i="4"/>
  <c r="BX14" i="4"/>
  <c r="BY14" i="4"/>
  <c r="BZ14" i="4"/>
  <c r="CA14" i="4"/>
  <c r="CB14" i="4"/>
  <c r="CC14" i="4"/>
  <c r="CD14" i="4"/>
  <c r="CE14" i="4"/>
  <c r="CF14" i="4"/>
  <c r="CG14" i="4"/>
  <c r="CH14" i="4"/>
  <c r="CI14" i="4"/>
  <c r="CJ14" i="4"/>
  <c r="CK14" i="4"/>
  <c r="CL14" i="4"/>
  <c r="CM14" i="4"/>
  <c r="CN14" i="4"/>
  <c r="CO14" i="4"/>
  <c r="CP14" i="4"/>
  <c r="CQ14" i="4"/>
  <c r="CR14" i="4"/>
  <c r="CS14" i="4"/>
  <c r="CT14" i="4"/>
  <c r="CU14" i="4"/>
  <c r="CV14" i="4"/>
  <c r="CW14" i="4"/>
  <c r="CX14" i="4"/>
  <c r="BG15" i="4"/>
  <c r="BH15" i="4"/>
  <c r="BI15" i="4"/>
  <c r="BJ15" i="4"/>
  <c r="BK15" i="4"/>
  <c r="BL15" i="4"/>
  <c r="BM15" i="4"/>
  <c r="BN15" i="4"/>
  <c r="BO15" i="4"/>
  <c r="BP15" i="4"/>
  <c r="BQ15" i="4"/>
  <c r="BR15" i="4"/>
  <c r="BS15" i="4"/>
  <c r="BT15" i="4"/>
  <c r="BU15" i="4"/>
  <c r="BV15" i="4"/>
  <c r="BW15" i="4"/>
  <c r="BX15" i="4"/>
  <c r="BY15" i="4"/>
  <c r="BZ15" i="4"/>
  <c r="CA15" i="4"/>
  <c r="CB15" i="4"/>
  <c r="CC15" i="4"/>
  <c r="CD15" i="4"/>
  <c r="CE15" i="4"/>
  <c r="CF15" i="4"/>
  <c r="CG15" i="4"/>
  <c r="CH15" i="4"/>
  <c r="CI15" i="4"/>
  <c r="CJ15" i="4"/>
  <c r="CK15" i="4"/>
  <c r="CL15" i="4"/>
  <c r="CM15" i="4"/>
  <c r="CN15" i="4"/>
  <c r="CO15" i="4"/>
  <c r="CP15" i="4"/>
  <c r="CQ15" i="4"/>
  <c r="CR15" i="4"/>
  <c r="CS15" i="4"/>
  <c r="CT15" i="4"/>
  <c r="CU15" i="4"/>
  <c r="CV15" i="4"/>
  <c r="CW15" i="4"/>
  <c r="CX15" i="4"/>
  <c r="BG16" i="4"/>
  <c r="BH16" i="4"/>
  <c r="BI16" i="4"/>
  <c r="BJ16" i="4"/>
  <c r="BK16" i="4"/>
  <c r="BL16" i="4"/>
  <c r="BM16" i="4"/>
  <c r="BN16" i="4"/>
  <c r="BO16" i="4"/>
  <c r="BP16" i="4"/>
  <c r="BQ16" i="4"/>
  <c r="BR16" i="4"/>
  <c r="BS16" i="4"/>
  <c r="BT16" i="4"/>
  <c r="BU16" i="4"/>
  <c r="BV16" i="4"/>
  <c r="BW16" i="4"/>
  <c r="BX16" i="4"/>
  <c r="BY16" i="4"/>
  <c r="BZ16" i="4"/>
  <c r="CA16" i="4"/>
  <c r="CB16" i="4"/>
  <c r="CC16" i="4"/>
  <c r="CD16" i="4"/>
  <c r="CE16" i="4"/>
  <c r="CF16" i="4"/>
  <c r="CG16" i="4"/>
  <c r="CH16" i="4"/>
  <c r="CI16" i="4"/>
  <c r="CJ16" i="4"/>
  <c r="CK16" i="4"/>
  <c r="CL16" i="4"/>
  <c r="CM16" i="4"/>
  <c r="CN16" i="4"/>
  <c r="CO16" i="4"/>
  <c r="CP16" i="4"/>
  <c r="CQ16" i="4"/>
  <c r="CR16" i="4"/>
  <c r="CS16" i="4"/>
  <c r="CT16" i="4"/>
  <c r="CU16" i="4"/>
  <c r="CV16" i="4"/>
  <c r="CW16" i="4"/>
  <c r="CX16" i="4"/>
  <c r="BG17" i="4"/>
  <c r="BH17" i="4"/>
  <c r="BI17" i="4"/>
  <c r="BJ17" i="4"/>
  <c r="BK17" i="4"/>
  <c r="BL17" i="4"/>
  <c r="BM17" i="4"/>
  <c r="BN17" i="4"/>
  <c r="BO17" i="4"/>
  <c r="BP17" i="4"/>
  <c r="BQ17" i="4"/>
  <c r="BR17" i="4"/>
  <c r="BS17" i="4"/>
  <c r="BT17" i="4"/>
  <c r="BU17" i="4"/>
  <c r="BV17" i="4"/>
  <c r="BW17" i="4"/>
  <c r="BX17" i="4"/>
  <c r="BY17" i="4"/>
  <c r="BZ17" i="4"/>
  <c r="CA17" i="4"/>
  <c r="CB17" i="4"/>
  <c r="CC17" i="4"/>
  <c r="CD17" i="4"/>
  <c r="CE17" i="4"/>
  <c r="CF17" i="4"/>
  <c r="CG17" i="4"/>
  <c r="CH17" i="4"/>
  <c r="CI17" i="4"/>
  <c r="CJ17" i="4"/>
  <c r="CK17" i="4"/>
  <c r="CL17" i="4"/>
  <c r="CM17" i="4"/>
  <c r="CN17" i="4"/>
  <c r="CO17" i="4"/>
  <c r="CP17" i="4"/>
  <c r="CQ17" i="4"/>
  <c r="CR17" i="4"/>
  <c r="CS17" i="4"/>
  <c r="CT17" i="4"/>
  <c r="CU17" i="4"/>
  <c r="CV17" i="4"/>
  <c r="CW17" i="4"/>
  <c r="CX17" i="4"/>
  <c r="BG18" i="4"/>
  <c r="BH18" i="4"/>
  <c r="BI18" i="4"/>
  <c r="BJ18" i="4"/>
  <c r="BK18" i="4"/>
  <c r="BL18" i="4"/>
  <c r="BM18" i="4"/>
  <c r="BN18" i="4"/>
  <c r="BO18" i="4"/>
  <c r="BP18" i="4"/>
  <c r="BQ18" i="4"/>
  <c r="BR18" i="4"/>
  <c r="BS18" i="4"/>
  <c r="BT18" i="4"/>
  <c r="BU18" i="4"/>
  <c r="BV18" i="4"/>
  <c r="BW18" i="4"/>
  <c r="BX18" i="4"/>
  <c r="BY18" i="4"/>
  <c r="BZ18" i="4"/>
  <c r="CA18" i="4"/>
  <c r="CB18" i="4"/>
  <c r="CC18" i="4"/>
  <c r="CD18" i="4"/>
  <c r="CE18" i="4"/>
  <c r="CF18" i="4"/>
  <c r="CG18" i="4"/>
  <c r="CH18" i="4"/>
  <c r="CI18" i="4"/>
  <c r="CJ18" i="4"/>
  <c r="CK18" i="4"/>
  <c r="CL18" i="4"/>
  <c r="CM18" i="4"/>
  <c r="CN18" i="4"/>
  <c r="CO18" i="4"/>
  <c r="CP18" i="4"/>
  <c r="CQ18" i="4"/>
  <c r="CR18" i="4"/>
  <c r="CS18" i="4"/>
  <c r="CT18" i="4"/>
  <c r="CU18" i="4"/>
  <c r="CV18" i="4"/>
  <c r="CW18" i="4"/>
  <c r="CX18" i="4"/>
  <c r="BG19" i="4"/>
  <c r="BH19" i="4"/>
  <c r="BI19" i="4"/>
  <c r="BJ19" i="4"/>
  <c r="BK19" i="4"/>
  <c r="BL19" i="4"/>
  <c r="BM19" i="4"/>
  <c r="BN19" i="4"/>
  <c r="BO19" i="4"/>
  <c r="BP19" i="4"/>
  <c r="BQ19" i="4"/>
  <c r="BR19" i="4"/>
  <c r="BS19" i="4"/>
  <c r="BT19" i="4"/>
  <c r="BU19" i="4"/>
  <c r="BV19" i="4"/>
  <c r="BW19" i="4"/>
  <c r="BX19" i="4"/>
  <c r="BY19" i="4"/>
  <c r="BZ19" i="4"/>
  <c r="CA19" i="4"/>
  <c r="CB19" i="4"/>
  <c r="CC19" i="4"/>
  <c r="CD19" i="4"/>
  <c r="CE19" i="4"/>
  <c r="CF19" i="4"/>
  <c r="CG19" i="4"/>
  <c r="CH19" i="4"/>
  <c r="CI19" i="4"/>
  <c r="CJ19" i="4"/>
  <c r="CK19" i="4"/>
  <c r="CL19" i="4"/>
  <c r="CM19" i="4"/>
  <c r="CN19" i="4"/>
  <c r="CO19" i="4"/>
  <c r="CP19" i="4"/>
  <c r="CQ19" i="4"/>
  <c r="CR19" i="4"/>
  <c r="CS19" i="4"/>
  <c r="CT19" i="4"/>
  <c r="CU19" i="4"/>
  <c r="CV19" i="4"/>
  <c r="CW19" i="4"/>
  <c r="CX19" i="4"/>
  <c r="BG20" i="4"/>
  <c r="BH20" i="4"/>
  <c r="BI20" i="4"/>
  <c r="BJ20" i="4"/>
  <c r="BK20" i="4"/>
  <c r="BL20" i="4"/>
  <c r="BM20" i="4"/>
  <c r="BN20" i="4"/>
  <c r="BO20" i="4"/>
  <c r="BP20" i="4"/>
  <c r="BQ20" i="4"/>
  <c r="BR20" i="4"/>
  <c r="BS20" i="4"/>
  <c r="BT20" i="4"/>
  <c r="BU20" i="4"/>
  <c r="BV20" i="4"/>
  <c r="BW20" i="4"/>
  <c r="BX20" i="4"/>
  <c r="BY20" i="4"/>
  <c r="BZ20" i="4"/>
  <c r="CA20" i="4"/>
  <c r="CB20" i="4"/>
  <c r="CC20" i="4"/>
  <c r="CD20" i="4"/>
  <c r="CE20" i="4"/>
  <c r="CF20" i="4"/>
  <c r="CG20" i="4"/>
  <c r="CH20" i="4"/>
  <c r="CI20" i="4"/>
  <c r="CJ20" i="4"/>
  <c r="CK20" i="4"/>
  <c r="CL20" i="4"/>
  <c r="CM20" i="4"/>
  <c r="CN20" i="4"/>
  <c r="CO20" i="4"/>
  <c r="CP20" i="4"/>
  <c r="CQ20" i="4"/>
  <c r="CR20" i="4"/>
  <c r="CS20" i="4"/>
  <c r="CT20" i="4"/>
  <c r="CU20" i="4"/>
  <c r="CV20" i="4"/>
  <c r="CW20" i="4"/>
  <c r="CX20" i="4"/>
  <c r="BG21" i="4"/>
  <c r="BH21" i="4"/>
  <c r="BI21" i="4"/>
  <c r="BJ21" i="4"/>
  <c r="BK21" i="4"/>
  <c r="BL21" i="4"/>
  <c r="BM21" i="4"/>
  <c r="BN21" i="4"/>
  <c r="BO21" i="4"/>
  <c r="BP21" i="4"/>
  <c r="BQ21" i="4"/>
  <c r="BR21" i="4"/>
  <c r="BS21" i="4"/>
  <c r="BT21" i="4"/>
  <c r="BU21" i="4"/>
  <c r="BV21" i="4"/>
  <c r="BW21" i="4"/>
  <c r="BX21" i="4"/>
  <c r="BY21" i="4"/>
  <c r="BZ21" i="4"/>
  <c r="CA21" i="4"/>
  <c r="CB21" i="4"/>
  <c r="CC21" i="4"/>
  <c r="CD21" i="4"/>
  <c r="CE21" i="4"/>
  <c r="CF21" i="4"/>
  <c r="CG21" i="4"/>
  <c r="CH21" i="4"/>
  <c r="CI21" i="4"/>
  <c r="CJ21" i="4"/>
  <c r="CK21" i="4"/>
  <c r="CL21" i="4"/>
  <c r="CM21" i="4"/>
  <c r="CN21" i="4"/>
  <c r="CO21" i="4"/>
  <c r="CP21" i="4"/>
  <c r="CQ21" i="4"/>
  <c r="CR21" i="4"/>
  <c r="CS21" i="4"/>
  <c r="CT21" i="4"/>
  <c r="CU21" i="4"/>
  <c r="CV21" i="4"/>
  <c r="CW21" i="4"/>
  <c r="CX21" i="4"/>
  <c r="BG22" i="4"/>
  <c r="BH22" i="4"/>
  <c r="BI22" i="4"/>
  <c r="BJ22" i="4"/>
  <c r="BK22" i="4"/>
  <c r="BL22" i="4"/>
  <c r="BM22" i="4"/>
  <c r="BN22" i="4"/>
  <c r="BO22" i="4"/>
  <c r="BP22" i="4"/>
  <c r="BQ22" i="4"/>
  <c r="BR22" i="4"/>
  <c r="BS22" i="4"/>
  <c r="BT22" i="4"/>
  <c r="BU22" i="4"/>
  <c r="BV22" i="4"/>
  <c r="BW22" i="4"/>
  <c r="BX22" i="4"/>
  <c r="BY22" i="4"/>
  <c r="BZ22" i="4"/>
  <c r="CA22" i="4"/>
  <c r="CB22" i="4"/>
  <c r="CC22" i="4"/>
  <c r="CD22" i="4"/>
  <c r="CE22" i="4"/>
  <c r="CF22" i="4"/>
  <c r="CG22" i="4"/>
  <c r="CH22" i="4"/>
  <c r="CI22" i="4"/>
  <c r="CJ22" i="4"/>
  <c r="CK22" i="4"/>
  <c r="CL22" i="4"/>
  <c r="CM22" i="4"/>
  <c r="CN22" i="4"/>
  <c r="CO22" i="4"/>
  <c r="CP22" i="4"/>
  <c r="CQ22" i="4"/>
  <c r="CR22" i="4"/>
  <c r="CS22" i="4"/>
  <c r="CT22" i="4"/>
  <c r="CU22" i="4"/>
  <c r="CV22" i="4"/>
  <c r="CW22" i="4"/>
  <c r="CX22" i="4"/>
  <c r="BG23" i="4"/>
  <c r="BH23" i="4"/>
  <c r="BI23" i="4"/>
  <c r="BJ23" i="4"/>
  <c r="BK23" i="4"/>
  <c r="BL23" i="4"/>
  <c r="BM23" i="4"/>
  <c r="BN23" i="4"/>
  <c r="BO23" i="4"/>
  <c r="BP23" i="4"/>
  <c r="BQ23" i="4"/>
  <c r="BR23" i="4"/>
  <c r="BS23" i="4"/>
  <c r="BT23" i="4"/>
  <c r="BU23" i="4"/>
  <c r="BV23" i="4"/>
  <c r="BW23" i="4"/>
  <c r="BX23" i="4"/>
  <c r="BY23" i="4"/>
  <c r="BZ23" i="4"/>
  <c r="CA23" i="4"/>
  <c r="CB23" i="4"/>
  <c r="CC23" i="4"/>
  <c r="CD23" i="4"/>
  <c r="CE23" i="4"/>
  <c r="CF23" i="4"/>
  <c r="CG23" i="4"/>
  <c r="CH23" i="4"/>
  <c r="CI23" i="4"/>
  <c r="CJ23" i="4"/>
  <c r="CK23" i="4"/>
  <c r="CL23" i="4"/>
  <c r="CM23" i="4"/>
  <c r="CN23" i="4"/>
  <c r="CO23" i="4"/>
  <c r="CP23" i="4"/>
  <c r="CQ23" i="4"/>
  <c r="CR23" i="4"/>
  <c r="CS23" i="4"/>
  <c r="CT23" i="4"/>
  <c r="CU23" i="4"/>
  <c r="CV23" i="4"/>
  <c r="CW23" i="4"/>
  <c r="CX23" i="4"/>
  <c r="BG24" i="4"/>
  <c r="BH24" i="4"/>
  <c r="BI24" i="4"/>
  <c r="BJ24" i="4"/>
  <c r="BK24" i="4"/>
  <c r="BL24" i="4"/>
  <c r="BM24" i="4"/>
  <c r="BN24" i="4"/>
  <c r="BO24" i="4"/>
  <c r="BP24" i="4"/>
  <c r="BQ24" i="4"/>
  <c r="BR24" i="4"/>
  <c r="BS24" i="4"/>
  <c r="BT24" i="4"/>
  <c r="BU24" i="4"/>
  <c r="BV24" i="4"/>
  <c r="BW24" i="4"/>
  <c r="BX24" i="4"/>
  <c r="BY24" i="4"/>
  <c r="BZ24" i="4"/>
  <c r="CA24" i="4"/>
  <c r="CB24" i="4"/>
  <c r="CC24" i="4"/>
  <c r="CD24" i="4"/>
  <c r="CE24" i="4"/>
  <c r="CF24" i="4"/>
  <c r="CG24" i="4"/>
  <c r="CH24" i="4"/>
  <c r="CI24" i="4"/>
  <c r="CJ24" i="4"/>
  <c r="CK24" i="4"/>
  <c r="CL24" i="4"/>
  <c r="CM24" i="4"/>
  <c r="CN24" i="4"/>
  <c r="CO24" i="4"/>
  <c r="CP24" i="4"/>
  <c r="CQ24" i="4"/>
  <c r="CR24" i="4"/>
  <c r="CS24" i="4"/>
  <c r="CT24" i="4"/>
  <c r="CU24" i="4"/>
  <c r="CV24" i="4"/>
  <c r="CW24" i="4"/>
  <c r="CX24" i="4"/>
  <c r="BG25" i="4"/>
  <c r="BH25" i="4"/>
  <c r="BI25" i="4"/>
  <c r="BJ25" i="4"/>
  <c r="BK25" i="4"/>
  <c r="BL25" i="4"/>
  <c r="BM25" i="4"/>
  <c r="BN25" i="4"/>
  <c r="BO25" i="4"/>
  <c r="BP25" i="4"/>
  <c r="BQ25" i="4"/>
  <c r="BR25" i="4"/>
  <c r="BS25" i="4"/>
  <c r="BT25" i="4"/>
  <c r="BU25" i="4"/>
  <c r="BV25" i="4"/>
  <c r="BW25" i="4"/>
  <c r="BX25" i="4"/>
  <c r="BY25" i="4"/>
  <c r="BZ25" i="4"/>
  <c r="CA25" i="4"/>
  <c r="CB25" i="4"/>
  <c r="CC25" i="4"/>
  <c r="CD25" i="4"/>
  <c r="CE25" i="4"/>
  <c r="CF25" i="4"/>
  <c r="CG25" i="4"/>
  <c r="CH25" i="4"/>
  <c r="CI25" i="4"/>
  <c r="CJ25" i="4"/>
  <c r="CK25" i="4"/>
  <c r="CL25" i="4"/>
  <c r="CM25" i="4"/>
  <c r="CN25" i="4"/>
  <c r="CO25" i="4"/>
  <c r="CP25" i="4"/>
  <c r="CQ25" i="4"/>
  <c r="CR25" i="4"/>
  <c r="CS25" i="4"/>
  <c r="CT25" i="4"/>
  <c r="CU25" i="4"/>
  <c r="CV25" i="4"/>
  <c r="CW25" i="4"/>
  <c r="CX25" i="4"/>
  <c r="BG26" i="4"/>
  <c r="BH26" i="4"/>
  <c r="BI26" i="4"/>
  <c r="BJ26" i="4"/>
  <c r="BK26" i="4"/>
  <c r="BL26" i="4"/>
  <c r="BM26" i="4"/>
  <c r="BN26" i="4"/>
  <c r="BO26" i="4"/>
  <c r="BP26" i="4"/>
  <c r="BQ26" i="4"/>
  <c r="BR26" i="4"/>
  <c r="BS26" i="4"/>
  <c r="BT26" i="4"/>
  <c r="BU26" i="4"/>
  <c r="BV26" i="4"/>
  <c r="BW26" i="4"/>
  <c r="BX26" i="4"/>
  <c r="BY26" i="4"/>
  <c r="BZ26" i="4"/>
  <c r="CA26" i="4"/>
  <c r="CB26" i="4"/>
  <c r="CC26" i="4"/>
  <c r="CD26" i="4"/>
  <c r="CE26" i="4"/>
  <c r="CF26" i="4"/>
  <c r="CG26" i="4"/>
  <c r="CH26" i="4"/>
  <c r="CI26" i="4"/>
  <c r="CJ26" i="4"/>
  <c r="CK26" i="4"/>
  <c r="CL26" i="4"/>
  <c r="CM26" i="4"/>
  <c r="CN26" i="4"/>
  <c r="CO26" i="4"/>
  <c r="CP26" i="4"/>
  <c r="CQ26" i="4"/>
  <c r="CR26" i="4"/>
  <c r="CS26" i="4"/>
  <c r="CT26" i="4"/>
  <c r="CU26" i="4"/>
  <c r="CV26" i="4"/>
  <c r="CW26" i="4"/>
  <c r="CX26" i="4"/>
  <c r="BG27" i="4"/>
  <c r="BH27" i="4"/>
  <c r="BI27" i="4"/>
  <c r="BJ27" i="4"/>
  <c r="BK27" i="4"/>
  <c r="BL27" i="4"/>
  <c r="BM27" i="4"/>
  <c r="BN27" i="4"/>
  <c r="BO27" i="4"/>
  <c r="BP27" i="4"/>
  <c r="BQ27" i="4"/>
  <c r="BR27" i="4"/>
  <c r="BS27" i="4"/>
  <c r="BT27" i="4"/>
  <c r="BU27" i="4"/>
  <c r="BV27" i="4"/>
  <c r="BW27" i="4"/>
  <c r="BX27" i="4"/>
  <c r="BY27" i="4"/>
  <c r="BZ27" i="4"/>
  <c r="CA27" i="4"/>
  <c r="CB27" i="4"/>
  <c r="CC27" i="4"/>
  <c r="CD27" i="4"/>
  <c r="CE27" i="4"/>
  <c r="CF27" i="4"/>
  <c r="CG27" i="4"/>
  <c r="CH27" i="4"/>
  <c r="CI27" i="4"/>
  <c r="CJ27" i="4"/>
  <c r="CK27" i="4"/>
  <c r="CL27" i="4"/>
  <c r="CM27" i="4"/>
  <c r="CN27" i="4"/>
  <c r="CO27" i="4"/>
  <c r="CP27" i="4"/>
  <c r="CQ27" i="4"/>
  <c r="CR27" i="4"/>
  <c r="CS27" i="4"/>
  <c r="CT27" i="4"/>
  <c r="CU27" i="4"/>
  <c r="CV27" i="4"/>
  <c r="CW27" i="4"/>
  <c r="CX27" i="4"/>
  <c r="BG28" i="4"/>
  <c r="BH28" i="4"/>
  <c r="BI28" i="4"/>
  <c r="BJ28" i="4"/>
  <c r="BK28" i="4"/>
  <c r="BL28" i="4"/>
  <c r="BM28" i="4"/>
  <c r="BN28" i="4"/>
  <c r="BO28" i="4"/>
  <c r="BP28" i="4"/>
  <c r="BQ28" i="4"/>
  <c r="BR28" i="4"/>
  <c r="BS28" i="4"/>
  <c r="BT28" i="4"/>
  <c r="BU28" i="4"/>
  <c r="BV28" i="4"/>
  <c r="BW28" i="4"/>
  <c r="BX28" i="4"/>
  <c r="BY28" i="4"/>
  <c r="BZ28" i="4"/>
  <c r="CA28" i="4"/>
  <c r="CB28" i="4"/>
  <c r="CC28" i="4"/>
  <c r="CD28" i="4"/>
  <c r="CE28" i="4"/>
  <c r="CF28" i="4"/>
  <c r="CG28" i="4"/>
  <c r="CH28" i="4"/>
  <c r="CI28" i="4"/>
  <c r="CJ28" i="4"/>
  <c r="CK28" i="4"/>
  <c r="CL28" i="4"/>
  <c r="CM28" i="4"/>
  <c r="CN28" i="4"/>
  <c r="CO28" i="4"/>
  <c r="CP28" i="4"/>
  <c r="CQ28" i="4"/>
  <c r="CR28" i="4"/>
  <c r="CS28" i="4"/>
  <c r="CT28" i="4"/>
  <c r="CU28" i="4"/>
  <c r="CV28" i="4"/>
  <c r="CW28" i="4"/>
  <c r="CX28" i="4"/>
  <c r="BG29" i="4"/>
  <c r="BH29" i="4"/>
  <c r="BI29" i="4"/>
  <c r="BJ29" i="4"/>
  <c r="BK29" i="4"/>
  <c r="BL29" i="4"/>
  <c r="BM29" i="4"/>
  <c r="BN29" i="4"/>
  <c r="BO29" i="4"/>
  <c r="BP29" i="4"/>
  <c r="BQ29" i="4"/>
  <c r="BR29" i="4"/>
  <c r="BS29" i="4"/>
  <c r="BT29" i="4"/>
  <c r="BU29" i="4"/>
  <c r="BV29" i="4"/>
  <c r="BW29" i="4"/>
  <c r="BX29" i="4"/>
  <c r="BY29" i="4"/>
  <c r="BZ29" i="4"/>
  <c r="CA29" i="4"/>
  <c r="CB29" i="4"/>
  <c r="CC29" i="4"/>
  <c r="CD29" i="4"/>
  <c r="CE29" i="4"/>
  <c r="CF29" i="4"/>
  <c r="CG29" i="4"/>
  <c r="CH29" i="4"/>
  <c r="CI29" i="4"/>
  <c r="CJ29" i="4"/>
  <c r="CK29" i="4"/>
  <c r="CL29" i="4"/>
  <c r="CM29" i="4"/>
  <c r="CN29" i="4"/>
  <c r="CO29" i="4"/>
  <c r="CP29" i="4"/>
  <c r="CQ29" i="4"/>
  <c r="CR29" i="4"/>
  <c r="CS29" i="4"/>
  <c r="CT29" i="4"/>
  <c r="CU29" i="4"/>
  <c r="CV29" i="4"/>
  <c r="CW29" i="4"/>
  <c r="CX29" i="4"/>
  <c r="BG30" i="4"/>
  <c r="BH30" i="4"/>
  <c r="BI30" i="4"/>
  <c r="BJ30" i="4"/>
  <c r="BK30" i="4"/>
  <c r="BL30" i="4"/>
  <c r="BM30" i="4"/>
  <c r="BN30" i="4"/>
  <c r="BO30" i="4"/>
  <c r="BP30" i="4"/>
  <c r="BQ30" i="4"/>
  <c r="BR30" i="4"/>
  <c r="BS30" i="4"/>
  <c r="BT30" i="4"/>
  <c r="BU30" i="4"/>
  <c r="BV30" i="4"/>
  <c r="BW30" i="4"/>
  <c r="BX30" i="4"/>
  <c r="BY30" i="4"/>
  <c r="BZ30" i="4"/>
  <c r="CA30" i="4"/>
  <c r="CB30" i="4"/>
  <c r="CC30" i="4"/>
  <c r="CD30" i="4"/>
  <c r="CE30" i="4"/>
  <c r="CF30" i="4"/>
  <c r="CG30" i="4"/>
  <c r="CH30" i="4"/>
  <c r="CI30" i="4"/>
  <c r="CJ30" i="4"/>
  <c r="CK30" i="4"/>
  <c r="CL30" i="4"/>
  <c r="CM30" i="4"/>
  <c r="CN30" i="4"/>
  <c r="CO30" i="4"/>
  <c r="CP30" i="4"/>
  <c r="CQ30" i="4"/>
  <c r="CR30" i="4"/>
  <c r="CS30" i="4"/>
  <c r="CT30" i="4"/>
  <c r="CU30" i="4"/>
  <c r="CV30" i="4"/>
  <c r="CW30" i="4"/>
  <c r="CX30" i="4"/>
  <c r="BG31" i="4"/>
  <c r="BH31" i="4"/>
  <c r="BI31" i="4"/>
  <c r="BJ31" i="4"/>
  <c r="BK31" i="4"/>
  <c r="BL31" i="4"/>
  <c r="BM31" i="4"/>
  <c r="BN31" i="4"/>
  <c r="BO31" i="4"/>
  <c r="BP31" i="4"/>
  <c r="BQ31" i="4"/>
  <c r="BR31" i="4"/>
  <c r="BS31" i="4"/>
  <c r="BT31" i="4"/>
  <c r="BU31" i="4"/>
  <c r="BV31" i="4"/>
  <c r="BW31" i="4"/>
  <c r="BX31" i="4"/>
  <c r="BY31" i="4"/>
  <c r="BZ31" i="4"/>
  <c r="CA31" i="4"/>
  <c r="CB31" i="4"/>
  <c r="CC31" i="4"/>
  <c r="CD31" i="4"/>
  <c r="CE31" i="4"/>
  <c r="CF31" i="4"/>
  <c r="CG31" i="4"/>
  <c r="CH31" i="4"/>
  <c r="CI31" i="4"/>
  <c r="CJ31" i="4"/>
  <c r="CK31" i="4"/>
  <c r="CL31" i="4"/>
  <c r="CM31" i="4"/>
  <c r="CN31" i="4"/>
  <c r="CO31" i="4"/>
  <c r="CP31" i="4"/>
  <c r="CQ31" i="4"/>
  <c r="CR31" i="4"/>
  <c r="CS31" i="4"/>
  <c r="CT31" i="4"/>
  <c r="CU31" i="4"/>
  <c r="CV31" i="4"/>
  <c r="CW31" i="4"/>
  <c r="CX31" i="4"/>
  <c r="BG32" i="4"/>
  <c r="BH32" i="4"/>
  <c r="BI32" i="4"/>
  <c r="BJ32" i="4"/>
  <c r="BK32" i="4"/>
  <c r="BL32" i="4"/>
  <c r="BM32" i="4"/>
  <c r="BN32" i="4"/>
  <c r="BO32" i="4"/>
  <c r="BP32" i="4"/>
  <c r="BQ32" i="4"/>
  <c r="BR32" i="4"/>
  <c r="BS32" i="4"/>
  <c r="BT32" i="4"/>
  <c r="BU32" i="4"/>
  <c r="BV32" i="4"/>
  <c r="BW32" i="4"/>
  <c r="BX32" i="4"/>
  <c r="BY32" i="4"/>
  <c r="BZ32" i="4"/>
  <c r="CA32" i="4"/>
  <c r="CB32" i="4"/>
  <c r="CC32" i="4"/>
  <c r="CD32" i="4"/>
  <c r="CE32" i="4"/>
  <c r="CF32" i="4"/>
  <c r="CG32" i="4"/>
  <c r="CH32" i="4"/>
  <c r="CI32" i="4"/>
  <c r="CJ32" i="4"/>
  <c r="CK32" i="4"/>
  <c r="CL32" i="4"/>
  <c r="CM32" i="4"/>
  <c r="CN32" i="4"/>
  <c r="CO32" i="4"/>
  <c r="CP32" i="4"/>
  <c r="CQ32" i="4"/>
  <c r="CR32" i="4"/>
  <c r="CS32" i="4"/>
  <c r="CT32" i="4"/>
  <c r="CU32" i="4"/>
  <c r="CV32" i="4"/>
  <c r="CW32" i="4"/>
  <c r="CX32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BS33" i="4"/>
  <c r="BT33" i="4"/>
  <c r="BU33" i="4"/>
  <c r="BV33" i="4"/>
  <c r="BW33" i="4"/>
  <c r="BX33" i="4"/>
  <c r="BY33" i="4"/>
  <c r="BZ33" i="4"/>
  <c r="CA33" i="4"/>
  <c r="CB33" i="4"/>
  <c r="CC33" i="4"/>
  <c r="CD33" i="4"/>
  <c r="CE33" i="4"/>
  <c r="CF33" i="4"/>
  <c r="CG33" i="4"/>
  <c r="CH33" i="4"/>
  <c r="CI33" i="4"/>
  <c r="CJ33" i="4"/>
  <c r="CK33" i="4"/>
  <c r="CL33" i="4"/>
  <c r="CM33" i="4"/>
  <c r="CN33" i="4"/>
  <c r="CO33" i="4"/>
  <c r="CP33" i="4"/>
  <c r="CQ33" i="4"/>
  <c r="CR33" i="4"/>
  <c r="CS33" i="4"/>
  <c r="CT33" i="4"/>
  <c r="CU33" i="4"/>
  <c r="CV33" i="4"/>
  <c r="CW33" i="4"/>
  <c r="CX33" i="4"/>
  <c r="BG34" i="4"/>
  <c r="BH34" i="4"/>
  <c r="BI34" i="4"/>
  <c r="BJ34" i="4"/>
  <c r="BK34" i="4"/>
  <c r="BL34" i="4"/>
  <c r="BM34" i="4"/>
  <c r="BN34" i="4"/>
  <c r="BO34" i="4"/>
  <c r="BP34" i="4"/>
  <c r="BQ34" i="4"/>
  <c r="BR34" i="4"/>
  <c r="BS34" i="4"/>
  <c r="BT34" i="4"/>
  <c r="BU34" i="4"/>
  <c r="BV34" i="4"/>
  <c r="BW34" i="4"/>
  <c r="BX34" i="4"/>
  <c r="BY34" i="4"/>
  <c r="BZ34" i="4"/>
  <c r="CA34" i="4"/>
  <c r="CB34" i="4"/>
  <c r="CC34" i="4"/>
  <c r="CD34" i="4"/>
  <c r="CE34" i="4"/>
  <c r="CF34" i="4"/>
  <c r="CG34" i="4"/>
  <c r="CH34" i="4"/>
  <c r="CI34" i="4"/>
  <c r="CJ34" i="4"/>
  <c r="CK34" i="4"/>
  <c r="CL34" i="4"/>
  <c r="CM34" i="4"/>
  <c r="CN34" i="4"/>
  <c r="CO34" i="4"/>
  <c r="CP34" i="4"/>
  <c r="CQ34" i="4"/>
  <c r="CR34" i="4"/>
  <c r="CS34" i="4"/>
  <c r="CT34" i="4"/>
  <c r="CU34" i="4"/>
  <c r="CV34" i="4"/>
  <c r="CW34" i="4"/>
  <c r="CX34" i="4"/>
  <c r="BG35" i="4"/>
  <c r="BH35" i="4"/>
  <c r="BI35" i="4"/>
  <c r="BJ35" i="4"/>
  <c r="BK35" i="4"/>
  <c r="BL35" i="4"/>
  <c r="BM35" i="4"/>
  <c r="BN35" i="4"/>
  <c r="BO35" i="4"/>
  <c r="BP35" i="4"/>
  <c r="BQ35" i="4"/>
  <c r="BR35" i="4"/>
  <c r="BS35" i="4"/>
  <c r="BT35" i="4"/>
  <c r="BU35" i="4"/>
  <c r="BV35" i="4"/>
  <c r="BW35" i="4"/>
  <c r="BX35" i="4"/>
  <c r="BY35" i="4"/>
  <c r="BZ35" i="4"/>
  <c r="CA35" i="4"/>
  <c r="CB35" i="4"/>
  <c r="CC35" i="4"/>
  <c r="CD35" i="4"/>
  <c r="CE35" i="4"/>
  <c r="CF35" i="4"/>
  <c r="CG35" i="4"/>
  <c r="CH35" i="4"/>
  <c r="CI35" i="4"/>
  <c r="CJ35" i="4"/>
  <c r="CK35" i="4"/>
  <c r="CL35" i="4"/>
  <c r="CM35" i="4"/>
  <c r="CN35" i="4"/>
  <c r="CO35" i="4"/>
  <c r="CP35" i="4"/>
  <c r="CQ35" i="4"/>
  <c r="CR35" i="4"/>
  <c r="CS35" i="4"/>
  <c r="CT35" i="4"/>
  <c r="CU35" i="4"/>
  <c r="CV35" i="4"/>
  <c r="CW35" i="4"/>
  <c r="CX35" i="4"/>
  <c r="BG36" i="4"/>
  <c r="BH36" i="4"/>
  <c r="BI36" i="4"/>
  <c r="BJ36" i="4"/>
  <c r="BK36" i="4"/>
  <c r="BL36" i="4"/>
  <c r="BM36" i="4"/>
  <c r="BN36" i="4"/>
  <c r="BO36" i="4"/>
  <c r="BP36" i="4"/>
  <c r="BQ36" i="4"/>
  <c r="BR36" i="4"/>
  <c r="BS36" i="4"/>
  <c r="BT36" i="4"/>
  <c r="BU36" i="4"/>
  <c r="BV36" i="4"/>
  <c r="BW36" i="4"/>
  <c r="BX36" i="4"/>
  <c r="BY36" i="4"/>
  <c r="BZ36" i="4"/>
  <c r="CA36" i="4"/>
  <c r="CB36" i="4"/>
  <c r="CC36" i="4"/>
  <c r="CD36" i="4"/>
  <c r="CE36" i="4"/>
  <c r="CF36" i="4"/>
  <c r="CG36" i="4"/>
  <c r="CH36" i="4"/>
  <c r="CI36" i="4"/>
  <c r="CJ36" i="4"/>
  <c r="CK36" i="4"/>
  <c r="CL36" i="4"/>
  <c r="CM36" i="4"/>
  <c r="CN36" i="4"/>
  <c r="CO36" i="4"/>
  <c r="CP36" i="4"/>
  <c r="CQ36" i="4"/>
  <c r="CR36" i="4"/>
  <c r="CS36" i="4"/>
  <c r="CT36" i="4"/>
  <c r="CU36" i="4"/>
  <c r="CV36" i="4"/>
  <c r="CW36" i="4"/>
  <c r="CX36" i="4"/>
  <c r="BG37" i="4"/>
  <c r="BH37" i="4"/>
  <c r="BI37" i="4"/>
  <c r="BJ37" i="4"/>
  <c r="BK37" i="4"/>
  <c r="BL37" i="4"/>
  <c r="BM37" i="4"/>
  <c r="BN37" i="4"/>
  <c r="BO37" i="4"/>
  <c r="BP37" i="4"/>
  <c r="BQ37" i="4"/>
  <c r="BR37" i="4"/>
  <c r="BS37" i="4"/>
  <c r="BT37" i="4"/>
  <c r="BU37" i="4"/>
  <c r="BV37" i="4"/>
  <c r="BW37" i="4"/>
  <c r="BX37" i="4"/>
  <c r="BY37" i="4"/>
  <c r="BZ37" i="4"/>
  <c r="CA37" i="4"/>
  <c r="CB37" i="4"/>
  <c r="CC37" i="4"/>
  <c r="CD37" i="4"/>
  <c r="CE37" i="4"/>
  <c r="CF37" i="4"/>
  <c r="CG37" i="4"/>
  <c r="CH37" i="4"/>
  <c r="CI37" i="4"/>
  <c r="CJ37" i="4"/>
  <c r="CK37" i="4"/>
  <c r="CL37" i="4"/>
  <c r="CM37" i="4"/>
  <c r="CN37" i="4"/>
  <c r="CO37" i="4"/>
  <c r="CP37" i="4"/>
  <c r="CQ37" i="4"/>
  <c r="CR37" i="4"/>
  <c r="CS37" i="4"/>
  <c r="CT37" i="4"/>
  <c r="CU37" i="4"/>
  <c r="CV37" i="4"/>
  <c r="CW37" i="4"/>
  <c r="CX37" i="4"/>
  <c r="BG38" i="4"/>
  <c r="BH38" i="4"/>
  <c r="BI38" i="4"/>
  <c r="BJ38" i="4"/>
  <c r="BK38" i="4"/>
  <c r="BL38" i="4"/>
  <c r="BM38" i="4"/>
  <c r="BN38" i="4"/>
  <c r="BO38" i="4"/>
  <c r="BP38" i="4"/>
  <c r="BQ38" i="4"/>
  <c r="BR38" i="4"/>
  <c r="BS38" i="4"/>
  <c r="BT38" i="4"/>
  <c r="BU38" i="4"/>
  <c r="BV38" i="4"/>
  <c r="BW38" i="4"/>
  <c r="BX38" i="4"/>
  <c r="BY38" i="4"/>
  <c r="BZ38" i="4"/>
  <c r="CA38" i="4"/>
  <c r="CB38" i="4"/>
  <c r="CC38" i="4"/>
  <c r="CD38" i="4"/>
  <c r="CE38" i="4"/>
  <c r="CF38" i="4"/>
  <c r="CG38" i="4"/>
  <c r="CH38" i="4"/>
  <c r="CI38" i="4"/>
  <c r="CJ38" i="4"/>
  <c r="CK38" i="4"/>
  <c r="CL38" i="4"/>
  <c r="CM38" i="4"/>
  <c r="CN38" i="4"/>
  <c r="CO38" i="4"/>
  <c r="CP38" i="4"/>
  <c r="CQ38" i="4"/>
  <c r="CR38" i="4"/>
  <c r="CS38" i="4"/>
  <c r="CT38" i="4"/>
  <c r="CU38" i="4"/>
  <c r="CV38" i="4"/>
  <c r="CW38" i="4"/>
  <c r="CX38" i="4"/>
  <c r="BG39" i="4"/>
  <c r="BH39" i="4"/>
  <c r="BI39" i="4"/>
  <c r="BJ39" i="4"/>
  <c r="BK39" i="4"/>
  <c r="BL39" i="4"/>
  <c r="BM39" i="4"/>
  <c r="BN39" i="4"/>
  <c r="BO39" i="4"/>
  <c r="BP39" i="4"/>
  <c r="BQ39" i="4"/>
  <c r="BR39" i="4"/>
  <c r="BS39" i="4"/>
  <c r="BT39" i="4"/>
  <c r="BU39" i="4"/>
  <c r="BV39" i="4"/>
  <c r="BW39" i="4"/>
  <c r="BX39" i="4"/>
  <c r="BY39" i="4"/>
  <c r="BZ39" i="4"/>
  <c r="CA39" i="4"/>
  <c r="CB39" i="4"/>
  <c r="CC39" i="4"/>
  <c r="CD39" i="4"/>
  <c r="CE39" i="4"/>
  <c r="CF39" i="4"/>
  <c r="CG39" i="4"/>
  <c r="CH39" i="4"/>
  <c r="CI39" i="4"/>
  <c r="CJ39" i="4"/>
  <c r="CK39" i="4"/>
  <c r="CL39" i="4"/>
  <c r="CM39" i="4"/>
  <c r="CN39" i="4"/>
  <c r="CO39" i="4"/>
  <c r="CP39" i="4"/>
  <c r="CQ39" i="4"/>
  <c r="CR39" i="4"/>
  <c r="CS39" i="4"/>
  <c r="CT39" i="4"/>
  <c r="CU39" i="4"/>
  <c r="CV39" i="4"/>
  <c r="CW39" i="4"/>
  <c r="CX39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BS40" i="4"/>
  <c r="BT40" i="4"/>
  <c r="BU40" i="4"/>
  <c r="BV40" i="4"/>
  <c r="BW40" i="4"/>
  <c r="BX40" i="4"/>
  <c r="BY40" i="4"/>
  <c r="BZ40" i="4"/>
  <c r="CA40" i="4"/>
  <c r="CB40" i="4"/>
  <c r="CC40" i="4"/>
  <c r="CD40" i="4"/>
  <c r="CE40" i="4"/>
  <c r="CF40" i="4"/>
  <c r="CG40" i="4"/>
  <c r="CH40" i="4"/>
  <c r="CI40" i="4"/>
  <c r="CJ40" i="4"/>
  <c r="CK40" i="4"/>
  <c r="CL40" i="4"/>
  <c r="CM40" i="4"/>
  <c r="CN40" i="4"/>
  <c r="CO40" i="4"/>
  <c r="CP40" i="4"/>
  <c r="CQ40" i="4"/>
  <c r="CR40" i="4"/>
  <c r="CS40" i="4"/>
  <c r="CT40" i="4"/>
  <c r="CU40" i="4"/>
  <c r="CV40" i="4"/>
  <c r="CW40" i="4"/>
  <c r="CX40" i="4"/>
  <c r="BG41" i="4"/>
  <c r="BH41" i="4"/>
  <c r="BI41" i="4"/>
  <c r="BJ41" i="4"/>
  <c r="BK41" i="4"/>
  <c r="BL41" i="4"/>
  <c r="BM41" i="4"/>
  <c r="BN41" i="4"/>
  <c r="BO41" i="4"/>
  <c r="BP41" i="4"/>
  <c r="BQ41" i="4"/>
  <c r="BR41" i="4"/>
  <c r="BS41" i="4"/>
  <c r="BT41" i="4"/>
  <c r="BU41" i="4"/>
  <c r="BV41" i="4"/>
  <c r="BW41" i="4"/>
  <c r="BX41" i="4"/>
  <c r="BY41" i="4"/>
  <c r="BZ41" i="4"/>
  <c r="CA41" i="4"/>
  <c r="CB41" i="4"/>
  <c r="CC41" i="4"/>
  <c r="CD41" i="4"/>
  <c r="CE41" i="4"/>
  <c r="CF41" i="4"/>
  <c r="CG41" i="4"/>
  <c r="CH41" i="4"/>
  <c r="CI41" i="4"/>
  <c r="CJ41" i="4"/>
  <c r="CK41" i="4"/>
  <c r="CL41" i="4"/>
  <c r="CM41" i="4"/>
  <c r="CN41" i="4"/>
  <c r="CO41" i="4"/>
  <c r="CP41" i="4"/>
  <c r="CQ41" i="4"/>
  <c r="CR41" i="4"/>
  <c r="CS41" i="4"/>
  <c r="CT41" i="4"/>
  <c r="CU41" i="4"/>
  <c r="CV41" i="4"/>
  <c r="CW41" i="4"/>
  <c r="CX41" i="4"/>
  <c r="BG42" i="4"/>
  <c r="BH42" i="4"/>
  <c r="BI42" i="4"/>
  <c r="BJ42" i="4"/>
  <c r="BK42" i="4"/>
  <c r="BL42" i="4"/>
  <c r="BM42" i="4"/>
  <c r="BN42" i="4"/>
  <c r="BO42" i="4"/>
  <c r="BP42" i="4"/>
  <c r="BQ42" i="4"/>
  <c r="BR42" i="4"/>
  <c r="BS42" i="4"/>
  <c r="BT42" i="4"/>
  <c r="BU42" i="4"/>
  <c r="BV42" i="4"/>
  <c r="BW42" i="4"/>
  <c r="BX42" i="4"/>
  <c r="BY42" i="4"/>
  <c r="BZ42" i="4"/>
  <c r="CA42" i="4"/>
  <c r="CB42" i="4"/>
  <c r="CC42" i="4"/>
  <c r="CD42" i="4"/>
  <c r="CE42" i="4"/>
  <c r="CF42" i="4"/>
  <c r="CG42" i="4"/>
  <c r="CH42" i="4"/>
  <c r="CI42" i="4"/>
  <c r="CJ42" i="4"/>
  <c r="CK42" i="4"/>
  <c r="CL42" i="4"/>
  <c r="CM42" i="4"/>
  <c r="CN42" i="4"/>
  <c r="CO42" i="4"/>
  <c r="CP42" i="4"/>
  <c r="CQ42" i="4"/>
  <c r="CR42" i="4"/>
  <c r="CS42" i="4"/>
  <c r="CT42" i="4"/>
  <c r="CU42" i="4"/>
  <c r="CV42" i="4"/>
  <c r="CW42" i="4"/>
  <c r="CX42" i="4"/>
  <c r="BG43" i="4"/>
  <c r="BH43" i="4"/>
  <c r="BI43" i="4"/>
  <c r="BJ43" i="4"/>
  <c r="BK43" i="4"/>
  <c r="BL43" i="4"/>
  <c r="BM43" i="4"/>
  <c r="BN43" i="4"/>
  <c r="BO43" i="4"/>
  <c r="BP43" i="4"/>
  <c r="BQ43" i="4"/>
  <c r="BR43" i="4"/>
  <c r="BS43" i="4"/>
  <c r="BT43" i="4"/>
  <c r="BU43" i="4"/>
  <c r="BV43" i="4"/>
  <c r="BW43" i="4"/>
  <c r="BX43" i="4"/>
  <c r="BY43" i="4"/>
  <c r="BZ43" i="4"/>
  <c r="CA43" i="4"/>
  <c r="CB43" i="4"/>
  <c r="CC43" i="4"/>
  <c r="CD43" i="4"/>
  <c r="CE43" i="4"/>
  <c r="CF43" i="4"/>
  <c r="CG43" i="4"/>
  <c r="CH43" i="4"/>
  <c r="CI43" i="4"/>
  <c r="CJ43" i="4"/>
  <c r="CK43" i="4"/>
  <c r="CL43" i="4"/>
  <c r="CM43" i="4"/>
  <c r="CN43" i="4"/>
  <c r="CO43" i="4"/>
  <c r="CP43" i="4"/>
  <c r="CQ43" i="4"/>
  <c r="CR43" i="4"/>
  <c r="CS43" i="4"/>
  <c r="CT43" i="4"/>
  <c r="CU43" i="4"/>
  <c r="CV43" i="4"/>
  <c r="CW43" i="4"/>
  <c r="CX43" i="4"/>
  <c r="BG44" i="4"/>
  <c r="BH44" i="4"/>
  <c r="BI44" i="4"/>
  <c r="BJ44" i="4"/>
  <c r="BK44" i="4"/>
  <c r="BL44" i="4"/>
  <c r="BM44" i="4"/>
  <c r="BN44" i="4"/>
  <c r="BO44" i="4"/>
  <c r="BP44" i="4"/>
  <c r="BQ44" i="4"/>
  <c r="BR44" i="4"/>
  <c r="BS44" i="4"/>
  <c r="BT44" i="4"/>
  <c r="BU44" i="4"/>
  <c r="BV44" i="4"/>
  <c r="BW44" i="4"/>
  <c r="BX44" i="4"/>
  <c r="BY44" i="4"/>
  <c r="BZ44" i="4"/>
  <c r="CA44" i="4"/>
  <c r="CB44" i="4"/>
  <c r="CC44" i="4"/>
  <c r="CD44" i="4"/>
  <c r="CE44" i="4"/>
  <c r="CF44" i="4"/>
  <c r="CG44" i="4"/>
  <c r="CH44" i="4"/>
  <c r="CI44" i="4"/>
  <c r="CJ44" i="4"/>
  <c r="CK44" i="4"/>
  <c r="CL44" i="4"/>
  <c r="CM44" i="4"/>
  <c r="CN44" i="4"/>
  <c r="CO44" i="4"/>
  <c r="CP44" i="4"/>
  <c r="CQ44" i="4"/>
  <c r="CR44" i="4"/>
  <c r="CS44" i="4"/>
  <c r="CT44" i="4"/>
  <c r="CU44" i="4"/>
  <c r="CV44" i="4"/>
  <c r="CW44" i="4"/>
  <c r="CX44" i="4"/>
  <c r="BG45" i="4"/>
  <c r="BH45" i="4"/>
  <c r="BI45" i="4"/>
  <c r="BJ45" i="4"/>
  <c r="BK45" i="4"/>
  <c r="BL45" i="4"/>
  <c r="BM45" i="4"/>
  <c r="BN45" i="4"/>
  <c r="BO45" i="4"/>
  <c r="BP45" i="4"/>
  <c r="BQ45" i="4"/>
  <c r="BR45" i="4"/>
  <c r="BS45" i="4"/>
  <c r="BT45" i="4"/>
  <c r="BU45" i="4"/>
  <c r="BV45" i="4"/>
  <c r="BW45" i="4"/>
  <c r="BX45" i="4"/>
  <c r="BY45" i="4"/>
  <c r="BZ45" i="4"/>
  <c r="CA45" i="4"/>
  <c r="CB45" i="4"/>
  <c r="CC45" i="4"/>
  <c r="CD45" i="4"/>
  <c r="CE45" i="4"/>
  <c r="CF45" i="4"/>
  <c r="CG45" i="4"/>
  <c r="CH45" i="4"/>
  <c r="CI45" i="4"/>
  <c r="CJ45" i="4"/>
  <c r="CK45" i="4"/>
  <c r="CL45" i="4"/>
  <c r="CM45" i="4"/>
  <c r="CN45" i="4"/>
  <c r="CO45" i="4"/>
  <c r="CP45" i="4"/>
  <c r="CQ45" i="4"/>
  <c r="CR45" i="4"/>
  <c r="CS45" i="4"/>
  <c r="CT45" i="4"/>
  <c r="CU45" i="4"/>
  <c r="CV45" i="4"/>
  <c r="CW45" i="4"/>
  <c r="CX45" i="4"/>
  <c r="BG46" i="4"/>
  <c r="BH46" i="4"/>
  <c r="BI46" i="4"/>
  <c r="BJ46" i="4"/>
  <c r="BK46" i="4"/>
  <c r="BL46" i="4"/>
  <c r="BM46" i="4"/>
  <c r="BN46" i="4"/>
  <c r="BO46" i="4"/>
  <c r="BP46" i="4"/>
  <c r="BQ46" i="4"/>
  <c r="BR46" i="4"/>
  <c r="BS46" i="4"/>
  <c r="BT46" i="4"/>
  <c r="BU46" i="4"/>
  <c r="BV46" i="4"/>
  <c r="BW46" i="4"/>
  <c r="BX46" i="4"/>
  <c r="BY46" i="4"/>
  <c r="BZ46" i="4"/>
  <c r="CA46" i="4"/>
  <c r="CB46" i="4"/>
  <c r="CC46" i="4"/>
  <c r="CD46" i="4"/>
  <c r="CE46" i="4"/>
  <c r="CF46" i="4"/>
  <c r="CG46" i="4"/>
  <c r="CH46" i="4"/>
  <c r="CI46" i="4"/>
  <c r="CJ46" i="4"/>
  <c r="CK46" i="4"/>
  <c r="CL46" i="4"/>
  <c r="CM46" i="4"/>
  <c r="CN46" i="4"/>
  <c r="CO46" i="4"/>
  <c r="CP46" i="4"/>
  <c r="CQ46" i="4"/>
  <c r="CR46" i="4"/>
  <c r="CS46" i="4"/>
  <c r="CT46" i="4"/>
  <c r="CU46" i="4"/>
  <c r="CV46" i="4"/>
  <c r="CW46" i="4"/>
  <c r="CX46" i="4"/>
  <c r="BG47" i="4"/>
  <c r="BH47" i="4"/>
  <c r="BI47" i="4"/>
  <c r="BJ47" i="4"/>
  <c r="BK47" i="4"/>
  <c r="BL47" i="4"/>
  <c r="BM47" i="4"/>
  <c r="BN47" i="4"/>
  <c r="BO47" i="4"/>
  <c r="BP47" i="4"/>
  <c r="BQ47" i="4"/>
  <c r="BR47" i="4"/>
  <c r="BS47" i="4"/>
  <c r="BT47" i="4"/>
  <c r="BU47" i="4"/>
  <c r="BV47" i="4"/>
  <c r="BW47" i="4"/>
  <c r="BX47" i="4"/>
  <c r="BY47" i="4"/>
  <c r="BZ47" i="4"/>
  <c r="CA47" i="4"/>
  <c r="CB47" i="4"/>
  <c r="CC47" i="4"/>
  <c r="CD47" i="4"/>
  <c r="CE47" i="4"/>
  <c r="CF47" i="4"/>
  <c r="CG47" i="4"/>
  <c r="CH47" i="4"/>
  <c r="CI47" i="4"/>
  <c r="CJ47" i="4"/>
  <c r="CK47" i="4"/>
  <c r="CL47" i="4"/>
  <c r="CM47" i="4"/>
  <c r="CN47" i="4"/>
  <c r="CO47" i="4"/>
  <c r="CP47" i="4"/>
  <c r="CQ47" i="4"/>
  <c r="CR47" i="4"/>
  <c r="CS47" i="4"/>
  <c r="CT47" i="4"/>
  <c r="CU47" i="4"/>
  <c r="CV47" i="4"/>
  <c r="CW47" i="4"/>
  <c r="CX47" i="4"/>
  <c r="BG48" i="4"/>
  <c r="BH48" i="4"/>
  <c r="BI48" i="4"/>
  <c r="BJ48" i="4"/>
  <c r="BK48" i="4"/>
  <c r="BL48" i="4"/>
  <c r="BM48" i="4"/>
  <c r="BN48" i="4"/>
  <c r="BO48" i="4"/>
  <c r="BP48" i="4"/>
  <c r="BQ48" i="4"/>
  <c r="BR48" i="4"/>
  <c r="BS48" i="4"/>
  <c r="BT48" i="4"/>
  <c r="BU48" i="4"/>
  <c r="BV48" i="4"/>
  <c r="BW48" i="4"/>
  <c r="BX48" i="4"/>
  <c r="BY48" i="4"/>
  <c r="BZ48" i="4"/>
  <c r="CA48" i="4"/>
  <c r="CB48" i="4"/>
  <c r="CC48" i="4"/>
  <c r="CD48" i="4"/>
  <c r="CE48" i="4"/>
  <c r="CF48" i="4"/>
  <c r="CG48" i="4"/>
  <c r="CH48" i="4"/>
  <c r="CI48" i="4"/>
  <c r="CJ48" i="4"/>
  <c r="CK48" i="4"/>
  <c r="CL48" i="4"/>
  <c r="CM48" i="4"/>
  <c r="CN48" i="4"/>
  <c r="CO48" i="4"/>
  <c r="CP48" i="4"/>
  <c r="CQ48" i="4"/>
  <c r="CR48" i="4"/>
  <c r="CS48" i="4"/>
  <c r="CT48" i="4"/>
  <c r="CU48" i="4"/>
  <c r="CV48" i="4"/>
  <c r="CW48" i="4"/>
  <c r="CX48" i="4"/>
  <c r="BG49" i="4"/>
  <c r="BH49" i="4"/>
  <c r="BI49" i="4"/>
  <c r="BJ49" i="4"/>
  <c r="BK49" i="4"/>
  <c r="BL49" i="4"/>
  <c r="BM49" i="4"/>
  <c r="BN49" i="4"/>
  <c r="BO49" i="4"/>
  <c r="BP49" i="4"/>
  <c r="BQ49" i="4"/>
  <c r="BR49" i="4"/>
  <c r="BS49" i="4"/>
  <c r="BT49" i="4"/>
  <c r="BU49" i="4"/>
  <c r="BV49" i="4"/>
  <c r="BW49" i="4"/>
  <c r="BX49" i="4"/>
  <c r="BY49" i="4"/>
  <c r="BZ49" i="4"/>
  <c r="CA49" i="4"/>
  <c r="CB49" i="4"/>
  <c r="CC49" i="4"/>
  <c r="CD49" i="4"/>
  <c r="CE49" i="4"/>
  <c r="CF49" i="4"/>
  <c r="CG49" i="4"/>
  <c r="CH49" i="4"/>
  <c r="CI49" i="4"/>
  <c r="CJ49" i="4"/>
  <c r="CK49" i="4"/>
  <c r="CL49" i="4"/>
  <c r="CM49" i="4"/>
  <c r="CN49" i="4"/>
  <c r="CO49" i="4"/>
  <c r="CP49" i="4"/>
  <c r="CQ49" i="4"/>
  <c r="CR49" i="4"/>
  <c r="CS49" i="4"/>
  <c r="CT49" i="4"/>
  <c r="CU49" i="4"/>
  <c r="CV49" i="4"/>
  <c r="CW49" i="4"/>
  <c r="CX49" i="4"/>
  <c r="BG50" i="4"/>
  <c r="BH50" i="4"/>
  <c r="BI50" i="4"/>
  <c r="BJ50" i="4"/>
  <c r="BK50" i="4"/>
  <c r="BL50" i="4"/>
  <c r="BM50" i="4"/>
  <c r="BN50" i="4"/>
  <c r="BO50" i="4"/>
  <c r="BP50" i="4"/>
  <c r="BQ50" i="4"/>
  <c r="BR50" i="4"/>
  <c r="BS50" i="4"/>
  <c r="BT50" i="4"/>
  <c r="BU50" i="4"/>
  <c r="BV50" i="4"/>
  <c r="BW50" i="4"/>
  <c r="BX50" i="4"/>
  <c r="BY50" i="4"/>
  <c r="BZ50" i="4"/>
  <c r="CA50" i="4"/>
  <c r="CB50" i="4"/>
  <c r="CC50" i="4"/>
  <c r="CD50" i="4"/>
  <c r="CE50" i="4"/>
  <c r="CF50" i="4"/>
  <c r="CG50" i="4"/>
  <c r="CH50" i="4"/>
  <c r="CI50" i="4"/>
  <c r="CJ50" i="4"/>
  <c r="CK50" i="4"/>
  <c r="CL50" i="4"/>
  <c r="CM50" i="4"/>
  <c r="CN50" i="4"/>
  <c r="CO50" i="4"/>
  <c r="CP50" i="4"/>
  <c r="CQ50" i="4"/>
  <c r="CR50" i="4"/>
  <c r="CS50" i="4"/>
  <c r="CT50" i="4"/>
  <c r="CU50" i="4"/>
  <c r="CV50" i="4"/>
  <c r="CW50" i="4"/>
  <c r="CX50" i="4"/>
  <c r="BG51" i="4"/>
  <c r="BH51" i="4"/>
  <c r="BI51" i="4"/>
  <c r="BJ51" i="4"/>
  <c r="BK51" i="4"/>
  <c r="BL51" i="4"/>
  <c r="BM51" i="4"/>
  <c r="BN51" i="4"/>
  <c r="BO51" i="4"/>
  <c r="BP51" i="4"/>
  <c r="BQ51" i="4"/>
  <c r="BR51" i="4"/>
  <c r="BS51" i="4"/>
  <c r="BT51" i="4"/>
  <c r="BU51" i="4"/>
  <c r="BV51" i="4"/>
  <c r="BW51" i="4"/>
  <c r="BX51" i="4"/>
  <c r="BY51" i="4"/>
  <c r="BZ51" i="4"/>
  <c r="CA51" i="4"/>
  <c r="CB51" i="4"/>
  <c r="CC51" i="4"/>
  <c r="CD51" i="4"/>
  <c r="CE51" i="4"/>
  <c r="CF51" i="4"/>
  <c r="CG51" i="4"/>
  <c r="CH51" i="4"/>
  <c r="CI51" i="4"/>
  <c r="CJ51" i="4"/>
  <c r="CK51" i="4"/>
  <c r="CL51" i="4"/>
  <c r="CM51" i="4"/>
  <c r="CN51" i="4"/>
  <c r="CO51" i="4"/>
  <c r="CP51" i="4"/>
  <c r="CQ51" i="4"/>
  <c r="CR51" i="4"/>
  <c r="CS51" i="4"/>
  <c r="CT51" i="4"/>
  <c r="CU51" i="4"/>
  <c r="CV51" i="4"/>
  <c r="CW51" i="4"/>
  <c r="CX51" i="4"/>
  <c r="BG52" i="4"/>
  <c r="BH52" i="4"/>
  <c r="BI52" i="4"/>
  <c r="BJ52" i="4"/>
  <c r="BK52" i="4"/>
  <c r="BL52" i="4"/>
  <c r="BM52" i="4"/>
  <c r="BN52" i="4"/>
  <c r="BO52" i="4"/>
  <c r="BP52" i="4"/>
  <c r="BQ52" i="4"/>
  <c r="BR52" i="4"/>
  <c r="BS52" i="4"/>
  <c r="BT52" i="4"/>
  <c r="BU52" i="4"/>
  <c r="BV52" i="4"/>
  <c r="BW52" i="4"/>
  <c r="BX52" i="4"/>
  <c r="BY52" i="4"/>
  <c r="BZ52" i="4"/>
  <c r="CA52" i="4"/>
  <c r="CB52" i="4"/>
  <c r="CC52" i="4"/>
  <c r="CD52" i="4"/>
  <c r="CE52" i="4"/>
  <c r="CF52" i="4"/>
  <c r="CG52" i="4"/>
  <c r="CH52" i="4"/>
  <c r="CI52" i="4"/>
  <c r="CJ52" i="4"/>
  <c r="CK52" i="4"/>
  <c r="CL52" i="4"/>
  <c r="CM52" i="4"/>
  <c r="CN52" i="4"/>
  <c r="CO52" i="4"/>
  <c r="CP52" i="4"/>
  <c r="CQ52" i="4"/>
  <c r="CR52" i="4"/>
  <c r="CS52" i="4"/>
  <c r="CT52" i="4"/>
  <c r="CU52" i="4"/>
  <c r="CV52" i="4"/>
  <c r="CW52" i="4"/>
  <c r="CX52" i="4"/>
  <c r="BG53" i="4"/>
  <c r="BH53" i="4"/>
  <c r="BI53" i="4"/>
  <c r="BJ53" i="4"/>
  <c r="BK53" i="4"/>
  <c r="BL53" i="4"/>
  <c r="BM53" i="4"/>
  <c r="BN53" i="4"/>
  <c r="BO53" i="4"/>
  <c r="BP53" i="4"/>
  <c r="BQ53" i="4"/>
  <c r="BR53" i="4"/>
  <c r="BS53" i="4"/>
  <c r="BT53" i="4"/>
  <c r="BU53" i="4"/>
  <c r="BV53" i="4"/>
  <c r="BW53" i="4"/>
  <c r="BX53" i="4"/>
  <c r="BY53" i="4"/>
  <c r="BZ53" i="4"/>
  <c r="CA53" i="4"/>
  <c r="CB53" i="4"/>
  <c r="CC53" i="4"/>
  <c r="CD53" i="4"/>
  <c r="CE53" i="4"/>
  <c r="CF53" i="4"/>
  <c r="CG53" i="4"/>
  <c r="CH53" i="4"/>
  <c r="CI53" i="4"/>
  <c r="CJ53" i="4"/>
  <c r="CK53" i="4"/>
  <c r="CL53" i="4"/>
  <c r="CM53" i="4"/>
  <c r="CN53" i="4"/>
  <c r="CO53" i="4"/>
  <c r="CP53" i="4"/>
  <c r="CQ53" i="4"/>
  <c r="CR53" i="4"/>
  <c r="CS53" i="4"/>
  <c r="CT53" i="4"/>
  <c r="CU53" i="4"/>
  <c r="CV53" i="4"/>
  <c r="CW53" i="4"/>
  <c r="CX53" i="4"/>
  <c r="BG54" i="4"/>
  <c r="BH54" i="4"/>
  <c r="BI54" i="4"/>
  <c r="BJ54" i="4"/>
  <c r="BK54" i="4"/>
  <c r="BL54" i="4"/>
  <c r="BM54" i="4"/>
  <c r="BN54" i="4"/>
  <c r="BO54" i="4"/>
  <c r="BP54" i="4"/>
  <c r="BQ54" i="4"/>
  <c r="BR54" i="4"/>
  <c r="BS54" i="4"/>
  <c r="BT54" i="4"/>
  <c r="BU54" i="4"/>
  <c r="BV54" i="4"/>
  <c r="BW54" i="4"/>
  <c r="BX54" i="4"/>
  <c r="BY54" i="4"/>
  <c r="BZ54" i="4"/>
  <c r="CA54" i="4"/>
  <c r="CB54" i="4"/>
  <c r="CC54" i="4"/>
  <c r="CD54" i="4"/>
  <c r="CE54" i="4"/>
  <c r="CF54" i="4"/>
  <c r="CG54" i="4"/>
  <c r="CH54" i="4"/>
  <c r="CI54" i="4"/>
  <c r="CJ54" i="4"/>
  <c r="CK54" i="4"/>
  <c r="CL54" i="4"/>
  <c r="CM54" i="4"/>
  <c r="CN54" i="4"/>
  <c r="CO54" i="4"/>
  <c r="CP54" i="4"/>
  <c r="CQ54" i="4"/>
  <c r="CR54" i="4"/>
  <c r="CS54" i="4"/>
  <c r="CT54" i="4"/>
  <c r="CU54" i="4"/>
  <c r="CV54" i="4"/>
  <c r="CW54" i="4"/>
  <c r="CX54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BG56" i="4"/>
  <c r="BH56" i="4"/>
  <c r="BI56" i="4"/>
  <c r="BJ56" i="4"/>
  <c r="BK56" i="4"/>
  <c r="BL56" i="4"/>
  <c r="BM56" i="4"/>
  <c r="BN56" i="4"/>
  <c r="BO56" i="4"/>
  <c r="BP56" i="4"/>
  <c r="BQ56" i="4"/>
  <c r="BR56" i="4"/>
  <c r="BS56" i="4"/>
  <c r="BT56" i="4"/>
  <c r="BU56" i="4"/>
  <c r="BV56" i="4"/>
  <c r="BW56" i="4"/>
  <c r="BX56" i="4"/>
  <c r="BY56" i="4"/>
  <c r="BZ56" i="4"/>
  <c r="CA56" i="4"/>
  <c r="CB56" i="4"/>
  <c r="CC56" i="4"/>
  <c r="CD56" i="4"/>
  <c r="CE56" i="4"/>
  <c r="CF56" i="4"/>
  <c r="CG56" i="4"/>
  <c r="CH56" i="4"/>
  <c r="CI56" i="4"/>
  <c r="CJ56" i="4"/>
  <c r="CK56" i="4"/>
  <c r="CL56" i="4"/>
  <c r="CM56" i="4"/>
  <c r="CN56" i="4"/>
  <c r="CO56" i="4"/>
  <c r="CP56" i="4"/>
  <c r="CQ56" i="4"/>
  <c r="CR56" i="4"/>
  <c r="CS56" i="4"/>
  <c r="CT56" i="4"/>
  <c r="CU56" i="4"/>
  <c r="CV56" i="4"/>
  <c r="CW56" i="4"/>
  <c r="CX56" i="4"/>
  <c r="BG57" i="4"/>
  <c r="BH57" i="4"/>
  <c r="BI57" i="4"/>
  <c r="BJ57" i="4"/>
  <c r="BK57" i="4"/>
  <c r="BL57" i="4"/>
  <c r="BM57" i="4"/>
  <c r="BN57" i="4"/>
  <c r="BO57" i="4"/>
  <c r="BP57" i="4"/>
  <c r="BQ57" i="4"/>
  <c r="BR57" i="4"/>
  <c r="BS57" i="4"/>
  <c r="BT57" i="4"/>
  <c r="BU57" i="4"/>
  <c r="BV57" i="4"/>
  <c r="BW57" i="4"/>
  <c r="BX57" i="4"/>
  <c r="BY57" i="4"/>
  <c r="BZ57" i="4"/>
  <c r="CA57" i="4"/>
  <c r="CB57" i="4"/>
  <c r="CC57" i="4"/>
  <c r="CD57" i="4"/>
  <c r="CE57" i="4"/>
  <c r="CF57" i="4"/>
  <c r="CG57" i="4"/>
  <c r="CH57" i="4"/>
  <c r="CI57" i="4"/>
  <c r="CJ57" i="4"/>
  <c r="CK57" i="4"/>
  <c r="CL57" i="4"/>
  <c r="CM57" i="4"/>
  <c r="CN57" i="4"/>
  <c r="CO57" i="4"/>
  <c r="CP57" i="4"/>
  <c r="CQ57" i="4"/>
  <c r="CR57" i="4"/>
  <c r="CS57" i="4"/>
  <c r="CT57" i="4"/>
  <c r="CU57" i="4"/>
  <c r="CV57" i="4"/>
  <c r="CW57" i="4"/>
  <c r="CX57" i="4"/>
  <c r="BG58" i="4"/>
  <c r="BH58" i="4"/>
  <c r="BI58" i="4"/>
  <c r="BJ58" i="4"/>
  <c r="BK58" i="4"/>
  <c r="BL58" i="4"/>
  <c r="BM58" i="4"/>
  <c r="BN58" i="4"/>
  <c r="BO58" i="4"/>
  <c r="BP58" i="4"/>
  <c r="BQ58" i="4"/>
  <c r="BR58" i="4"/>
  <c r="BS58" i="4"/>
  <c r="BT58" i="4"/>
  <c r="BU58" i="4"/>
  <c r="BV58" i="4"/>
  <c r="BW58" i="4"/>
  <c r="BX58" i="4"/>
  <c r="BY58" i="4"/>
  <c r="BZ58" i="4"/>
  <c r="CA58" i="4"/>
  <c r="CB58" i="4"/>
  <c r="CC58" i="4"/>
  <c r="CD58" i="4"/>
  <c r="CE58" i="4"/>
  <c r="CF58" i="4"/>
  <c r="CG58" i="4"/>
  <c r="CH58" i="4"/>
  <c r="CI58" i="4"/>
  <c r="CJ58" i="4"/>
  <c r="CK58" i="4"/>
  <c r="CL58" i="4"/>
  <c r="CM58" i="4"/>
  <c r="CN58" i="4"/>
  <c r="CO58" i="4"/>
  <c r="CP58" i="4"/>
  <c r="CQ58" i="4"/>
  <c r="CR58" i="4"/>
  <c r="CS58" i="4"/>
  <c r="CT58" i="4"/>
  <c r="CU58" i="4"/>
  <c r="CV58" i="4"/>
  <c r="CW58" i="4"/>
  <c r="CX58" i="4"/>
  <c r="BG59" i="4"/>
  <c r="BH59" i="4"/>
  <c r="BI59" i="4"/>
  <c r="BJ59" i="4"/>
  <c r="BK59" i="4"/>
  <c r="BL59" i="4"/>
  <c r="BM59" i="4"/>
  <c r="BN59" i="4"/>
  <c r="BO59" i="4"/>
  <c r="BP59" i="4"/>
  <c r="BQ59" i="4"/>
  <c r="BR59" i="4"/>
  <c r="BS59" i="4"/>
  <c r="BT59" i="4"/>
  <c r="BU59" i="4"/>
  <c r="BV59" i="4"/>
  <c r="BW59" i="4"/>
  <c r="BX59" i="4"/>
  <c r="BY59" i="4"/>
  <c r="BZ59" i="4"/>
  <c r="CA59" i="4"/>
  <c r="CB59" i="4"/>
  <c r="CC59" i="4"/>
  <c r="CD59" i="4"/>
  <c r="CE59" i="4"/>
  <c r="CF59" i="4"/>
  <c r="CG59" i="4"/>
  <c r="CH59" i="4"/>
  <c r="CI59" i="4"/>
  <c r="CJ59" i="4"/>
  <c r="CK59" i="4"/>
  <c r="CL59" i="4"/>
  <c r="CM59" i="4"/>
  <c r="CN59" i="4"/>
  <c r="CO59" i="4"/>
  <c r="CP59" i="4"/>
  <c r="CQ59" i="4"/>
  <c r="CR59" i="4"/>
  <c r="CS59" i="4"/>
  <c r="CT59" i="4"/>
  <c r="CU59" i="4"/>
  <c r="CV59" i="4"/>
  <c r="CW59" i="4"/>
  <c r="CX59" i="4"/>
  <c r="BG60" i="4"/>
  <c r="BH60" i="4"/>
  <c r="BI60" i="4"/>
  <c r="BJ60" i="4"/>
  <c r="BK60" i="4"/>
  <c r="BL60" i="4"/>
  <c r="BM60" i="4"/>
  <c r="BN60" i="4"/>
  <c r="BO60" i="4"/>
  <c r="BP60" i="4"/>
  <c r="BQ60" i="4"/>
  <c r="BR60" i="4"/>
  <c r="BS60" i="4"/>
  <c r="BT60" i="4"/>
  <c r="BU60" i="4"/>
  <c r="BV60" i="4"/>
  <c r="BW60" i="4"/>
  <c r="BX60" i="4"/>
  <c r="BY60" i="4"/>
  <c r="BZ60" i="4"/>
  <c r="CA60" i="4"/>
  <c r="CB60" i="4"/>
  <c r="CC60" i="4"/>
  <c r="CD60" i="4"/>
  <c r="CE60" i="4"/>
  <c r="CF60" i="4"/>
  <c r="CG60" i="4"/>
  <c r="CH60" i="4"/>
  <c r="CI60" i="4"/>
  <c r="CJ60" i="4"/>
  <c r="CK60" i="4"/>
  <c r="CL60" i="4"/>
  <c r="CM60" i="4"/>
  <c r="CN60" i="4"/>
  <c r="CO60" i="4"/>
  <c r="CP60" i="4"/>
  <c r="CQ60" i="4"/>
  <c r="CR60" i="4"/>
  <c r="CS60" i="4"/>
  <c r="CT60" i="4"/>
  <c r="CU60" i="4"/>
  <c r="CV60" i="4"/>
  <c r="CW60" i="4"/>
  <c r="CX60" i="4"/>
  <c r="BG61" i="4"/>
  <c r="BH61" i="4"/>
  <c r="BI61" i="4"/>
  <c r="BJ61" i="4"/>
  <c r="BK61" i="4"/>
  <c r="BL61" i="4"/>
  <c r="BM61" i="4"/>
  <c r="BN61" i="4"/>
  <c r="BO61" i="4"/>
  <c r="BP61" i="4"/>
  <c r="BQ61" i="4"/>
  <c r="BR61" i="4"/>
  <c r="BS61" i="4"/>
  <c r="BT61" i="4"/>
  <c r="BU61" i="4"/>
  <c r="BV61" i="4"/>
  <c r="BW61" i="4"/>
  <c r="BX61" i="4"/>
  <c r="BY61" i="4"/>
  <c r="BZ61" i="4"/>
  <c r="CA61" i="4"/>
  <c r="CB61" i="4"/>
  <c r="CC61" i="4"/>
  <c r="CD61" i="4"/>
  <c r="CE61" i="4"/>
  <c r="CF61" i="4"/>
  <c r="CG61" i="4"/>
  <c r="CH61" i="4"/>
  <c r="CI61" i="4"/>
  <c r="CJ61" i="4"/>
  <c r="CK61" i="4"/>
  <c r="CL61" i="4"/>
  <c r="CM61" i="4"/>
  <c r="CN61" i="4"/>
  <c r="CO61" i="4"/>
  <c r="CP61" i="4"/>
  <c r="CQ61" i="4"/>
  <c r="CR61" i="4"/>
  <c r="CS61" i="4"/>
  <c r="CT61" i="4"/>
  <c r="CU61" i="4"/>
  <c r="CV61" i="4"/>
  <c r="CW61" i="4"/>
  <c r="CX61" i="4"/>
  <c r="BG62" i="4"/>
  <c r="BH62" i="4"/>
  <c r="BI62" i="4"/>
  <c r="BJ62" i="4"/>
  <c r="BK62" i="4"/>
  <c r="BL62" i="4"/>
  <c r="BM62" i="4"/>
  <c r="BN62" i="4"/>
  <c r="BO62" i="4"/>
  <c r="BP62" i="4"/>
  <c r="BQ62" i="4"/>
  <c r="BR62" i="4"/>
  <c r="BS62" i="4"/>
  <c r="BT62" i="4"/>
  <c r="BU62" i="4"/>
  <c r="BV62" i="4"/>
  <c r="BW62" i="4"/>
  <c r="BX62" i="4"/>
  <c r="BY62" i="4"/>
  <c r="BZ62" i="4"/>
  <c r="CA62" i="4"/>
  <c r="CB62" i="4"/>
  <c r="CC62" i="4"/>
  <c r="CD62" i="4"/>
  <c r="CE62" i="4"/>
  <c r="CF62" i="4"/>
  <c r="CG62" i="4"/>
  <c r="CH62" i="4"/>
  <c r="CI62" i="4"/>
  <c r="CJ62" i="4"/>
  <c r="CK62" i="4"/>
  <c r="CL62" i="4"/>
  <c r="CM62" i="4"/>
  <c r="CN62" i="4"/>
  <c r="CO62" i="4"/>
  <c r="CP62" i="4"/>
  <c r="CQ62" i="4"/>
  <c r="CR62" i="4"/>
  <c r="CS62" i="4"/>
  <c r="CT62" i="4"/>
  <c r="CU62" i="4"/>
  <c r="CV62" i="4"/>
  <c r="CW62" i="4"/>
  <c r="CX62" i="4"/>
  <c r="BG63" i="4"/>
  <c r="BH63" i="4"/>
  <c r="BI63" i="4"/>
  <c r="BJ63" i="4"/>
  <c r="BK63" i="4"/>
  <c r="BL63" i="4"/>
  <c r="BM63" i="4"/>
  <c r="BN63" i="4"/>
  <c r="BO63" i="4"/>
  <c r="BP63" i="4"/>
  <c r="BQ63" i="4"/>
  <c r="BR63" i="4"/>
  <c r="BS63" i="4"/>
  <c r="BT63" i="4"/>
  <c r="BU63" i="4"/>
  <c r="BV63" i="4"/>
  <c r="BW63" i="4"/>
  <c r="BX63" i="4"/>
  <c r="BY63" i="4"/>
  <c r="BZ63" i="4"/>
  <c r="CA63" i="4"/>
  <c r="CB63" i="4"/>
  <c r="CC63" i="4"/>
  <c r="CD63" i="4"/>
  <c r="CE63" i="4"/>
  <c r="CF63" i="4"/>
  <c r="CG63" i="4"/>
  <c r="CH63" i="4"/>
  <c r="CI63" i="4"/>
  <c r="CJ63" i="4"/>
  <c r="CK63" i="4"/>
  <c r="CL63" i="4"/>
  <c r="CM63" i="4"/>
  <c r="CN63" i="4"/>
  <c r="CO63" i="4"/>
  <c r="CP63" i="4"/>
  <c r="CQ63" i="4"/>
  <c r="CR63" i="4"/>
  <c r="CS63" i="4"/>
  <c r="CT63" i="4"/>
  <c r="CU63" i="4"/>
  <c r="CV63" i="4"/>
  <c r="CW63" i="4"/>
  <c r="CX63" i="4"/>
  <c r="BG64" i="4"/>
  <c r="BH64" i="4"/>
  <c r="BI64" i="4"/>
  <c r="BJ64" i="4"/>
  <c r="BK64" i="4"/>
  <c r="BL64" i="4"/>
  <c r="BM64" i="4"/>
  <c r="BN64" i="4"/>
  <c r="BO64" i="4"/>
  <c r="BP64" i="4"/>
  <c r="BQ64" i="4"/>
  <c r="BR64" i="4"/>
  <c r="BS64" i="4"/>
  <c r="BT64" i="4"/>
  <c r="BU64" i="4"/>
  <c r="BV64" i="4"/>
  <c r="BW64" i="4"/>
  <c r="BX64" i="4"/>
  <c r="BY64" i="4"/>
  <c r="BZ64" i="4"/>
  <c r="CA64" i="4"/>
  <c r="CB64" i="4"/>
  <c r="CC64" i="4"/>
  <c r="CD64" i="4"/>
  <c r="CE64" i="4"/>
  <c r="CF64" i="4"/>
  <c r="CG64" i="4"/>
  <c r="CH64" i="4"/>
  <c r="CI64" i="4"/>
  <c r="CJ64" i="4"/>
  <c r="CK64" i="4"/>
  <c r="CL64" i="4"/>
  <c r="CM64" i="4"/>
  <c r="CN64" i="4"/>
  <c r="CO64" i="4"/>
  <c r="CP64" i="4"/>
  <c r="CQ64" i="4"/>
  <c r="CR64" i="4"/>
  <c r="CS64" i="4"/>
  <c r="CT64" i="4"/>
  <c r="CU64" i="4"/>
  <c r="CV64" i="4"/>
  <c r="CW64" i="4"/>
  <c r="CX64" i="4"/>
  <c r="BG65" i="4"/>
  <c r="BH65" i="4"/>
  <c r="BI65" i="4"/>
  <c r="BJ65" i="4"/>
  <c r="BK65" i="4"/>
  <c r="BL65" i="4"/>
  <c r="BM65" i="4"/>
  <c r="BN65" i="4"/>
  <c r="BO65" i="4"/>
  <c r="BP65" i="4"/>
  <c r="BQ65" i="4"/>
  <c r="BR65" i="4"/>
  <c r="BS65" i="4"/>
  <c r="BT65" i="4"/>
  <c r="BU65" i="4"/>
  <c r="BV65" i="4"/>
  <c r="BW65" i="4"/>
  <c r="BX65" i="4"/>
  <c r="BY65" i="4"/>
  <c r="BZ65" i="4"/>
  <c r="CA65" i="4"/>
  <c r="CB65" i="4"/>
  <c r="CC65" i="4"/>
  <c r="CD65" i="4"/>
  <c r="CE65" i="4"/>
  <c r="CF65" i="4"/>
  <c r="CG65" i="4"/>
  <c r="CH65" i="4"/>
  <c r="CI65" i="4"/>
  <c r="CJ65" i="4"/>
  <c r="CK65" i="4"/>
  <c r="CL65" i="4"/>
  <c r="CM65" i="4"/>
  <c r="CN65" i="4"/>
  <c r="CO65" i="4"/>
  <c r="CP65" i="4"/>
  <c r="CQ65" i="4"/>
  <c r="CR65" i="4"/>
  <c r="CS65" i="4"/>
  <c r="CT65" i="4"/>
  <c r="CU65" i="4"/>
  <c r="CV65" i="4"/>
  <c r="CW65" i="4"/>
  <c r="CX65" i="4"/>
  <c r="BG66" i="4"/>
  <c r="BH66" i="4"/>
  <c r="BI66" i="4"/>
  <c r="BJ66" i="4"/>
  <c r="BK66" i="4"/>
  <c r="BL66" i="4"/>
  <c r="BM66" i="4"/>
  <c r="BN66" i="4"/>
  <c r="BO66" i="4"/>
  <c r="BP66" i="4"/>
  <c r="BQ66" i="4"/>
  <c r="BR66" i="4"/>
  <c r="BS66" i="4"/>
  <c r="BT66" i="4"/>
  <c r="BU66" i="4"/>
  <c r="BV66" i="4"/>
  <c r="BW66" i="4"/>
  <c r="BX66" i="4"/>
  <c r="BY66" i="4"/>
  <c r="BZ66" i="4"/>
  <c r="CA66" i="4"/>
  <c r="CB66" i="4"/>
  <c r="CC66" i="4"/>
  <c r="CD66" i="4"/>
  <c r="CE66" i="4"/>
  <c r="CF66" i="4"/>
  <c r="CG66" i="4"/>
  <c r="CH66" i="4"/>
  <c r="CI66" i="4"/>
  <c r="CJ66" i="4"/>
  <c r="CK66" i="4"/>
  <c r="CL66" i="4"/>
  <c r="CM66" i="4"/>
  <c r="CN66" i="4"/>
  <c r="CO66" i="4"/>
  <c r="CP66" i="4"/>
  <c r="CQ66" i="4"/>
  <c r="CR66" i="4"/>
  <c r="CS66" i="4"/>
  <c r="CT66" i="4"/>
  <c r="CU66" i="4"/>
  <c r="CV66" i="4"/>
  <c r="CW66" i="4"/>
  <c r="CX66" i="4"/>
  <c r="BG67" i="4"/>
  <c r="BH67" i="4"/>
  <c r="BI67" i="4"/>
  <c r="BJ67" i="4"/>
  <c r="BK67" i="4"/>
  <c r="BL67" i="4"/>
  <c r="BM67" i="4"/>
  <c r="BN67" i="4"/>
  <c r="BO67" i="4"/>
  <c r="BP67" i="4"/>
  <c r="BQ67" i="4"/>
  <c r="BR67" i="4"/>
  <c r="BS67" i="4"/>
  <c r="BT67" i="4"/>
  <c r="BU67" i="4"/>
  <c r="BV67" i="4"/>
  <c r="BW67" i="4"/>
  <c r="BX67" i="4"/>
  <c r="BY67" i="4"/>
  <c r="BZ67" i="4"/>
  <c r="CA67" i="4"/>
  <c r="CB67" i="4"/>
  <c r="CC67" i="4"/>
  <c r="CD67" i="4"/>
  <c r="CE67" i="4"/>
  <c r="CF67" i="4"/>
  <c r="CG67" i="4"/>
  <c r="CH67" i="4"/>
  <c r="CI67" i="4"/>
  <c r="CJ67" i="4"/>
  <c r="CK67" i="4"/>
  <c r="CL67" i="4"/>
  <c r="CM67" i="4"/>
  <c r="CN67" i="4"/>
  <c r="CO67" i="4"/>
  <c r="CP67" i="4"/>
  <c r="CQ67" i="4"/>
  <c r="CR67" i="4"/>
  <c r="CS67" i="4"/>
  <c r="CT67" i="4"/>
  <c r="CU67" i="4"/>
  <c r="CV67" i="4"/>
  <c r="CW67" i="4"/>
  <c r="CX67" i="4"/>
  <c r="BG68" i="4"/>
  <c r="BH68" i="4"/>
  <c r="BI68" i="4"/>
  <c r="BJ68" i="4"/>
  <c r="BK68" i="4"/>
  <c r="BL68" i="4"/>
  <c r="BM68" i="4"/>
  <c r="BN68" i="4"/>
  <c r="BO68" i="4"/>
  <c r="BP68" i="4"/>
  <c r="BQ68" i="4"/>
  <c r="BR68" i="4"/>
  <c r="BS68" i="4"/>
  <c r="BT68" i="4"/>
  <c r="BU68" i="4"/>
  <c r="BV68" i="4"/>
  <c r="BW68" i="4"/>
  <c r="BX68" i="4"/>
  <c r="BY68" i="4"/>
  <c r="BZ68" i="4"/>
  <c r="CA68" i="4"/>
  <c r="CB68" i="4"/>
  <c r="CC68" i="4"/>
  <c r="CD68" i="4"/>
  <c r="CE68" i="4"/>
  <c r="CF68" i="4"/>
  <c r="CG68" i="4"/>
  <c r="CH68" i="4"/>
  <c r="CI68" i="4"/>
  <c r="CJ68" i="4"/>
  <c r="CK68" i="4"/>
  <c r="CL68" i="4"/>
  <c r="CM68" i="4"/>
  <c r="CN68" i="4"/>
  <c r="CO68" i="4"/>
  <c r="CP68" i="4"/>
  <c r="CQ68" i="4"/>
  <c r="CR68" i="4"/>
  <c r="CS68" i="4"/>
  <c r="CT68" i="4"/>
  <c r="CU68" i="4"/>
  <c r="CV68" i="4"/>
  <c r="CW68" i="4"/>
  <c r="CX68" i="4"/>
  <c r="BG69" i="4"/>
  <c r="BH69" i="4"/>
  <c r="BI69" i="4"/>
  <c r="BJ69" i="4"/>
  <c r="BK69" i="4"/>
  <c r="BL69" i="4"/>
  <c r="BM69" i="4"/>
  <c r="BN69" i="4"/>
  <c r="BO69" i="4"/>
  <c r="BP69" i="4"/>
  <c r="BQ69" i="4"/>
  <c r="BR69" i="4"/>
  <c r="BS69" i="4"/>
  <c r="BT69" i="4"/>
  <c r="BU69" i="4"/>
  <c r="BV69" i="4"/>
  <c r="BW69" i="4"/>
  <c r="BX69" i="4"/>
  <c r="BY69" i="4"/>
  <c r="BZ69" i="4"/>
  <c r="CA69" i="4"/>
  <c r="CB69" i="4"/>
  <c r="CC69" i="4"/>
  <c r="CD69" i="4"/>
  <c r="CE69" i="4"/>
  <c r="CF69" i="4"/>
  <c r="CG69" i="4"/>
  <c r="CH69" i="4"/>
  <c r="CI69" i="4"/>
  <c r="CJ69" i="4"/>
  <c r="CK69" i="4"/>
  <c r="CL69" i="4"/>
  <c r="CM69" i="4"/>
  <c r="CN69" i="4"/>
  <c r="CO69" i="4"/>
  <c r="CP69" i="4"/>
  <c r="CQ69" i="4"/>
  <c r="CR69" i="4"/>
  <c r="CS69" i="4"/>
  <c r="CT69" i="4"/>
  <c r="CU69" i="4"/>
  <c r="CV69" i="4"/>
  <c r="CW69" i="4"/>
  <c r="CX69" i="4"/>
  <c r="BG70" i="4"/>
  <c r="BH70" i="4"/>
  <c r="BI70" i="4"/>
  <c r="BJ70" i="4"/>
  <c r="BK70" i="4"/>
  <c r="BL70" i="4"/>
  <c r="BM70" i="4"/>
  <c r="BN70" i="4"/>
  <c r="BO70" i="4"/>
  <c r="BP70" i="4"/>
  <c r="BQ70" i="4"/>
  <c r="BR70" i="4"/>
  <c r="BS70" i="4"/>
  <c r="BT70" i="4"/>
  <c r="BU70" i="4"/>
  <c r="BV70" i="4"/>
  <c r="BW70" i="4"/>
  <c r="BX70" i="4"/>
  <c r="BY70" i="4"/>
  <c r="BZ70" i="4"/>
  <c r="CA70" i="4"/>
  <c r="CB70" i="4"/>
  <c r="CC70" i="4"/>
  <c r="CD70" i="4"/>
  <c r="CE70" i="4"/>
  <c r="CF70" i="4"/>
  <c r="CG70" i="4"/>
  <c r="CH70" i="4"/>
  <c r="CI70" i="4"/>
  <c r="CJ70" i="4"/>
  <c r="CK70" i="4"/>
  <c r="CL70" i="4"/>
  <c r="CM70" i="4"/>
  <c r="CN70" i="4"/>
  <c r="CO70" i="4"/>
  <c r="CP70" i="4"/>
  <c r="CQ70" i="4"/>
  <c r="CR70" i="4"/>
  <c r="CS70" i="4"/>
  <c r="CT70" i="4"/>
  <c r="CU70" i="4"/>
  <c r="CV70" i="4"/>
  <c r="CW70" i="4"/>
  <c r="CX70" i="4"/>
  <c r="BG71" i="4"/>
  <c r="BH71" i="4"/>
  <c r="BI71" i="4"/>
  <c r="BJ71" i="4"/>
  <c r="BK71" i="4"/>
  <c r="BL71" i="4"/>
  <c r="BM71" i="4"/>
  <c r="BN71" i="4"/>
  <c r="BO71" i="4"/>
  <c r="BP71" i="4"/>
  <c r="BQ71" i="4"/>
  <c r="BR71" i="4"/>
  <c r="BS71" i="4"/>
  <c r="BT71" i="4"/>
  <c r="BU71" i="4"/>
  <c r="BV71" i="4"/>
  <c r="BW71" i="4"/>
  <c r="BX71" i="4"/>
  <c r="BY71" i="4"/>
  <c r="BZ71" i="4"/>
  <c r="CA71" i="4"/>
  <c r="CB71" i="4"/>
  <c r="CC71" i="4"/>
  <c r="CD71" i="4"/>
  <c r="CE71" i="4"/>
  <c r="CF71" i="4"/>
  <c r="CG71" i="4"/>
  <c r="CH71" i="4"/>
  <c r="CI71" i="4"/>
  <c r="CJ71" i="4"/>
  <c r="CK71" i="4"/>
  <c r="CL71" i="4"/>
  <c r="CM71" i="4"/>
  <c r="CN71" i="4"/>
  <c r="CO71" i="4"/>
  <c r="CP71" i="4"/>
  <c r="CQ71" i="4"/>
  <c r="CR71" i="4"/>
  <c r="CS71" i="4"/>
  <c r="CT71" i="4"/>
  <c r="CU71" i="4"/>
  <c r="CV71" i="4"/>
  <c r="CW71" i="4"/>
  <c r="CX71" i="4"/>
  <c r="BG72" i="4"/>
  <c r="BH72" i="4"/>
  <c r="BI72" i="4"/>
  <c r="BJ72" i="4"/>
  <c r="BK72" i="4"/>
  <c r="BL72" i="4"/>
  <c r="BM72" i="4"/>
  <c r="BN72" i="4"/>
  <c r="BO72" i="4"/>
  <c r="BP72" i="4"/>
  <c r="BQ72" i="4"/>
  <c r="BR72" i="4"/>
  <c r="BS72" i="4"/>
  <c r="BT72" i="4"/>
  <c r="BU72" i="4"/>
  <c r="BV72" i="4"/>
  <c r="BW72" i="4"/>
  <c r="BX72" i="4"/>
  <c r="BY72" i="4"/>
  <c r="BZ72" i="4"/>
  <c r="CA72" i="4"/>
  <c r="CB72" i="4"/>
  <c r="CC72" i="4"/>
  <c r="CD72" i="4"/>
  <c r="CE72" i="4"/>
  <c r="CF72" i="4"/>
  <c r="CG72" i="4"/>
  <c r="CH72" i="4"/>
  <c r="CI72" i="4"/>
  <c r="CJ72" i="4"/>
  <c r="CK72" i="4"/>
  <c r="CL72" i="4"/>
  <c r="CM72" i="4"/>
  <c r="CN72" i="4"/>
  <c r="CO72" i="4"/>
  <c r="CP72" i="4"/>
  <c r="CQ72" i="4"/>
  <c r="CR72" i="4"/>
  <c r="CS72" i="4"/>
  <c r="CT72" i="4"/>
  <c r="CU72" i="4"/>
  <c r="CV72" i="4"/>
  <c r="CW72" i="4"/>
  <c r="CX72" i="4"/>
  <c r="BG73" i="4"/>
  <c r="BH73" i="4"/>
  <c r="BI73" i="4"/>
  <c r="BJ73" i="4"/>
  <c r="BK73" i="4"/>
  <c r="BL73" i="4"/>
  <c r="BM73" i="4"/>
  <c r="BN73" i="4"/>
  <c r="BO73" i="4"/>
  <c r="BP73" i="4"/>
  <c r="BQ73" i="4"/>
  <c r="BR73" i="4"/>
  <c r="BS73" i="4"/>
  <c r="BT73" i="4"/>
  <c r="BU73" i="4"/>
  <c r="BV73" i="4"/>
  <c r="BW73" i="4"/>
  <c r="BX73" i="4"/>
  <c r="BY73" i="4"/>
  <c r="BZ73" i="4"/>
  <c r="CA73" i="4"/>
  <c r="CB73" i="4"/>
  <c r="CC73" i="4"/>
  <c r="CD73" i="4"/>
  <c r="CE73" i="4"/>
  <c r="CF73" i="4"/>
  <c r="CG73" i="4"/>
  <c r="CH73" i="4"/>
  <c r="CI73" i="4"/>
  <c r="CJ73" i="4"/>
  <c r="CK73" i="4"/>
  <c r="CL73" i="4"/>
  <c r="CM73" i="4"/>
  <c r="CN73" i="4"/>
  <c r="CO73" i="4"/>
  <c r="CP73" i="4"/>
  <c r="CQ73" i="4"/>
  <c r="CR73" i="4"/>
  <c r="CS73" i="4"/>
  <c r="CT73" i="4"/>
  <c r="CU73" i="4"/>
  <c r="CV73" i="4"/>
  <c r="CW73" i="4"/>
  <c r="CX73" i="4"/>
  <c r="BG74" i="4"/>
  <c r="BH74" i="4"/>
  <c r="BI74" i="4"/>
  <c r="BJ74" i="4"/>
  <c r="BK74" i="4"/>
  <c r="BL74" i="4"/>
  <c r="BM74" i="4"/>
  <c r="BN74" i="4"/>
  <c r="BO74" i="4"/>
  <c r="BP74" i="4"/>
  <c r="BQ74" i="4"/>
  <c r="BR74" i="4"/>
  <c r="BS74" i="4"/>
  <c r="BT74" i="4"/>
  <c r="BU74" i="4"/>
  <c r="BV74" i="4"/>
  <c r="BW74" i="4"/>
  <c r="BX74" i="4"/>
  <c r="BY74" i="4"/>
  <c r="BZ74" i="4"/>
  <c r="CA74" i="4"/>
  <c r="CB74" i="4"/>
  <c r="CC74" i="4"/>
  <c r="CD74" i="4"/>
  <c r="CE74" i="4"/>
  <c r="CF74" i="4"/>
  <c r="CG74" i="4"/>
  <c r="CH74" i="4"/>
  <c r="CI74" i="4"/>
  <c r="CJ74" i="4"/>
  <c r="CK74" i="4"/>
  <c r="CL74" i="4"/>
  <c r="CM74" i="4"/>
  <c r="CN74" i="4"/>
  <c r="CO74" i="4"/>
  <c r="CP74" i="4"/>
  <c r="CQ74" i="4"/>
  <c r="CR74" i="4"/>
  <c r="CS74" i="4"/>
  <c r="CT74" i="4"/>
  <c r="CU74" i="4"/>
  <c r="CV74" i="4"/>
  <c r="CW74" i="4"/>
  <c r="CX74" i="4"/>
  <c r="BG75" i="4"/>
  <c r="BH75" i="4"/>
  <c r="BI75" i="4"/>
  <c r="BJ75" i="4"/>
  <c r="BK75" i="4"/>
  <c r="BL75" i="4"/>
  <c r="BM75" i="4"/>
  <c r="BN75" i="4"/>
  <c r="BO75" i="4"/>
  <c r="BP75" i="4"/>
  <c r="BQ75" i="4"/>
  <c r="BR75" i="4"/>
  <c r="BS75" i="4"/>
  <c r="BT75" i="4"/>
  <c r="BU75" i="4"/>
  <c r="BV75" i="4"/>
  <c r="BW75" i="4"/>
  <c r="BX75" i="4"/>
  <c r="BY75" i="4"/>
  <c r="BZ75" i="4"/>
  <c r="CA75" i="4"/>
  <c r="CB75" i="4"/>
  <c r="CC75" i="4"/>
  <c r="CD75" i="4"/>
  <c r="CE75" i="4"/>
  <c r="CF75" i="4"/>
  <c r="CG75" i="4"/>
  <c r="CH75" i="4"/>
  <c r="CI75" i="4"/>
  <c r="CJ75" i="4"/>
  <c r="CK75" i="4"/>
  <c r="CL75" i="4"/>
  <c r="CM75" i="4"/>
  <c r="CN75" i="4"/>
  <c r="CO75" i="4"/>
  <c r="CP75" i="4"/>
  <c r="CQ75" i="4"/>
  <c r="CR75" i="4"/>
  <c r="CS75" i="4"/>
  <c r="CT75" i="4"/>
  <c r="CU75" i="4"/>
  <c r="CV75" i="4"/>
  <c r="CW75" i="4"/>
  <c r="CX75" i="4"/>
  <c r="BG76" i="4"/>
  <c r="BH76" i="4"/>
  <c r="BI76" i="4"/>
  <c r="BJ76" i="4"/>
  <c r="BK76" i="4"/>
  <c r="BL76" i="4"/>
  <c r="BM76" i="4"/>
  <c r="BN76" i="4"/>
  <c r="BO76" i="4"/>
  <c r="BP76" i="4"/>
  <c r="BQ76" i="4"/>
  <c r="BR76" i="4"/>
  <c r="BS76" i="4"/>
  <c r="BT76" i="4"/>
  <c r="BU76" i="4"/>
  <c r="BV76" i="4"/>
  <c r="BW76" i="4"/>
  <c r="BX76" i="4"/>
  <c r="BY76" i="4"/>
  <c r="BZ76" i="4"/>
  <c r="CA76" i="4"/>
  <c r="CB76" i="4"/>
  <c r="CC76" i="4"/>
  <c r="CD76" i="4"/>
  <c r="CE76" i="4"/>
  <c r="CF76" i="4"/>
  <c r="CG76" i="4"/>
  <c r="CH76" i="4"/>
  <c r="CI76" i="4"/>
  <c r="CJ76" i="4"/>
  <c r="CK76" i="4"/>
  <c r="CL76" i="4"/>
  <c r="CM76" i="4"/>
  <c r="CN76" i="4"/>
  <c r="CO76" i="4"/>
  <c r="CP76" i="4"/>
  <c r="CQ76" i="4"/>
  <c r="CR76" i="4"/>
  <c r="CS76" i="4"/>
  <c r="CT76" i="4"/>
  <c r="CU76" i="4"/>
  <c r="CV76" i="4"/>
  <c r="CW76" i="4"/>
  <c r="CX76" i="4"/>
  <c r="BG77" i="4"/>
  <c r="BH77" i="4"/>
  <c r="BI77" i="4"/>
  <c r="BJ77" i="4"/>
  <c r="BK77" i="4"/>
  <c r="BL77" i="4"/>
  <c r="BM77" i="4"/>
  <c r="BN77" i="4"/>
  <c r="BO77" i="4"/>
  <c r="BP77" i="4"/>
  <c r="BQ77" i="4"/>
  <c r="BR77" i="4"/>
  <c r="BS77" i="4"/>
  <c r="BT77" i="4"/>
  <c r="BU77" i="4"/>
  <c r="BV77" i="4"/>
  <c r="BW77" i="4"/>
  <c r="BX77" i="4"/>
  <c r="BY77" i="4"/>
  <c r="BZ77" i="4"/>
  <c r="CA77" i="4"/>
  <c r="CB77" i="4"/>
  <c r="CC77" i="4"/>
  <c r="CD77" i="4"/>
  <c r="CE77" i="4"/>
  <c r="CF77" i="4"/>
  <c r="CG77" i="4"/>
  <c r="CH77" i="4"/>
  <c r="CI77" i="4"/>
  <c r="CJ77" i="4"/>
  <c r="CK77" i="4"/>
  <c r="CL77" i="4"/>
  <c r="CM77" i="4"/>
  <c r="CN77" i="4"/>
  <c r="CO77" i="4"/>
  <c r="CP77" i="4"/>
  <c r="CQ77" i="4"/>
  <c r="CR77" i="4"/>
  <c r="CS77" i="4"/>
  <c r="CT77" i="4"/>
  <c r="CU77" i="4"/>
  <c r="CV77" i="4"/>
  <c r="CW77" i="4"/>
  <c r="CX77" i="4"/>
  <c r="BG78" i="4"/>
  <c r="BH78" i="4"/>
  <c r="BI78" i="4"/>
  <c r="BJ78" i="4"/>
  <c r="BK78" i="4"/>
  <c r="BL78" i="4"/>
  <c r="BM78" i="4"/>
  <c r="BN78" i="4"/>
  <c r="BO78" i="4"/>
  <c r="BP78" i="4"/>
  <c r="BQ78" i="4"/>
  <c r="BR78" i="4"/>
  <c r="BS78" i="4"/>
  <c r="BT78" i="4"/>
  <c r="BU78" i="4"/>
  <c r="BV78" i="4"/>
  <c r="BW78" i="4"/>
  <c r="BX78" i="4"/>
  <c r="BY78" i="4"/>
  <c r="BZ78" i="4"/>
  <c r="CA78" i="4"/>
  <c r="CB78" i="4"/>
  <c r="CC78" i="4"/>
  <c r="CD78" i="4"/>
  <c r="CE78" i="4"/>
  <c r="CF78" i="4"/>
  <c r="CG78" i="4"/>
  <c r="CH78" i="4"/>
  <c r="CI78" i="4"/>
  <c r="CJ78" i="4"/>
  <c r="CK78" i="4"/>
  <c r="CL78" i="4"/>
  <c r="CM78" i="4"/>
  <c r="CN78" i="4"/>
  <c r="CO78" i="4"/>
  <c r="CP78" i="4"/>
  <c r="CQ78" i="4"/>
  <c r="CR78" i="4"/>
  <c r="CS78" i="4"/>
  <c r="CT78" i="4"/>
  <c r="CU78" i="4"/>
  <c r="CV78" i="4"/>
  <c r="CW78" i="4"/>
  <c r="CX78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BS79" i="4"/>
  <c r="BT79" i="4"/>
  <c r="BU79" i="4"/>
  <c r="BV79" i="4"/>
  <c r="BW79" i="4"/>
  <c r="BX79" i="4"/>
  <c r="BY79" i="4"/>
  <c r="BZ79" i="4"/>
  <c r="CA79" i="4"/>
  <c r="CB79" i="4"/>
  <c r="CC79" i="4"/>
  <c r="CD79" i="4"/>
  <c r="CE79" i="4"/>
  <c r="CF79" i="4"/>
  <c r="CG79" i="4"/>
  <c r="CH79" i="4"/>
  <c r="CI79" i="4"/>
  <c r="CJ79" i="4"/>
  <c r="CK79" i="4"/>
  <c r="CL79" i="4"/>
  <c r="CM79" i="4"/>
  <c r="CN79" i="4"/>
  <c r="CO79" i="4"/>
  <c r="CP79" i="4"/>
  <c r="CQ79" i="4"/>
  <c r="CR79" i="4"/>
  <c r="CS79" i="4"/>
  <c r="CT79" i="4"/>
  <c r="CU79" i="4"/>
  <c r="CV79" i="4"/>
  <c r="CW79" i="4"/>
  <c r="CX79" i="4"/>
  <c r="BG80" i="4"/>
  <c r="BH80" i="4"/>
  <c r="BI80" i="4"/>
  <c r="BJ80" i="4"/>
  <c r="BK80" i="4"/>
  <c r="BL80" i="4"/>
  <c r="BM80" i="4"/>
  <c r="BN80" i="4"/>
  <c r="BO80" i="4"/>
  <c r="BP80" i="4"/>
  <c r="BQ80" i="4"/>
  <c r="BR80" i="4"/>
  <c r="BS80" i="4"/>
  <c r="BT80" i="4"/>
  <c r="BU80" i="4"/>
  <c r="BV80" i="4"/>
  <c r="BW80" i="4"/>
  <c r="BX80" i="4"/>
  <c r="BY80" i="4"/>
  <c r="BZ80" i="4"/>
  <c r="CA80" i="4"/>
  <c r="CB80" i="4"/>
  <c r="CC80" i="4"/>
  <c r="CD80" i="4"/>
  <c r="CE80" i="4"/>
  <c r="CF80" i="4"/>
  <c r="CG80" i="4"/>
  <c r="CH80" i="4"/>
  <c r="CI80" i="4"/>
  <c r="CJ80" i="4"/>
  <c r="CK80" i="4"/>
  <c r="CL80" i="4"/>
  <c r="CM80" i="4"/>
  <c r="CN80" i="4"/>
  <c r="CO80" i="4"/>
  <c r="CP80" i="4"/>
  <c r="CQ80" i="4"/>
  <c r="CR80" i="4"/>
  <c r="CS80" i="4"/>
  <c r="CT80" i="4"/>
  <c r="CU80" i="4"/>
  <c r="CV80" i="4"/>
  <c r="CW80" i="4"/>
  <c r="CX80" i="4"/>
  <c r="BG81" i="4"/>
  <c r="BH81" i="4"/>
  <c r="BI81" i="4"/>
  <c r="BJ81" i="4"/>
  <c r="BK81" i="4"/>
  <c r="BL81" i="4"/>
  <c r="BM81" i="4"/>
  <c r="BN81" i="4"/>
  <c r="BO81" i="4"/>
  <c r="BP81" i="4"/>
  <c r="BQ81" i="4"/>
  <c r="BR81" i="4"/>
  <c r="BS81" i="4"/>
  <c r="BT81" i="4"/>
  <c r="BU81" i="4"/>
  <c r="BV81" i="4"/>
  <c r="BW81" i="4"/>
  <c r="BX81" i="4"/>
  <c r="BY81" i="4"/>
  <c r="BZ81" i="4"/>
  <c r="CA81" i="4"/>
  <c r="CB81" i="4"/>
  <c r="CC81" i="4"/>
  <c r="CD81" i="4"/>
  <c r="CE81" i="4"/>
  <c r="CF81" i="4"/>
  <c r="CG81" i="4"/>
  <c r="CH81" i="4"/>
  <c r="CI81" i="4"/>
  <c r="CJ81" i="4"/>
  <c r="CK81" i="4"/>
  <c r="CL81" i="4"/>
  <c r="CM81" i="4"/>
  <c r="CN81" i="4"/>
  <c r="CO81" i="4"/>
  <c r="CP81" i="4"/>
  <c r="CQ81" i="4"/>
  <c r="CR81" i="4"/>
  <c r="CS81" i="4"/>
  <c r="CT81" i="4"/>
  <c r="CU81" i="4"/>
  <c r="CV81" i="4"/>
  <c r="CW81" i="4"/>
  <c r="CX81" i="4"/>
  <c r="BG82" i="4"/>
  <c r="BH82" i="4"/>
  <c r="BI82" i="4"/>
  <c r="BJ82" i="4"/>
  <c r="BK82" i="4"/>
  <c r="BL82" i="4"/>
  <c r="BM82" i="4"/>
  <c r="BN82" i="4"/>
  <c r="BO82" i="4"/>
  <c r="BP82" i="4"/>
  <c r="BQ82" i="4"/>
  <c r="BR82" i="4"/>
  <c r="BS82" i="4"/>
  <c r="BT82" i="4"/>
  <c r="BU82" i="4"/>
  <c r="BV82" i="4"/>
  <c r="BW82" i="4"/>
  <c r="BX82" i="4"/>
  <c r="BY82" i="4"/>
  <c r="BZ82" i="4"/>
  <c r="CA82" i="4"/>
  <c r="CB82" i="4"/>
  <c r="CC82" i="4"/>
  <c r="CD82" i="4"/>
  <c r="CE82" i="4"/>
  <c r="CF82" i="4"/>
  <c r="CG82" i="4"/>
  <c r="CH82" i="4"/>
  <c r="CI82" i="4"/>
  <c r="CJ82" i="4"/>
  <c r="CK82" i="4"/>
  <c r="CL82" i="4"/>
  <c r="CM82" i="4"/>
  <c r="CN82" i="4"/>
  <c r="CO82" i="4"/>
  <c r="CP82" i="4"/>
  <c r="CQ82" i="4"/>
  <c r="CR82" i="4"/>
  <c r="CS82" i="4"/>
  <c r="CT82" i="4"/>
  <c r="CU82" i="4"/>
  <c r="CV82" i="4"/>
  <c r="CW82" i="4"/>
  <c r="CX82" i="4"/>
  <c r="BG83" i="4"/>
  <c r="BH83" i="4"/>
  <c r="BI83" i="4"/>
  <c r="BJ83" i="4"/>
  <c r="BK83" i="4"/>
  <c r="BL83" i="4"/>
  <c r="BM83" i="4"/>
  <c r="BN83" i="4"/>
  <c r="BO83" i="4"/>
  <c r="BP83" i="4"/>
  <c r="BQ83" i="4"/>
  <c r="BR83" i="4"/>
  <c r="BS83" i="4"/>
  <c r="BT83" i="4"/>
  <c r="BU83" i="4"/>
  <c r="BV83" i="4"/>
  <c r="BW83" i="4"/>
  <c r="BX83" i="4"/>
  <c r="BY83" i="4"/>
  <c r="BZ83" i="4"/>
  <c r="CA83" i="4"/>
  <c r="CB83" i="4"/>
  <c r="CC83" i="4"/>
  <c r="CD83" i="4"/>
  <c r="CE83" i="4"/>
  <c r="CF83" i="4"/>
  <c r="CG83" i="4"/>
  <c r="CH83" i="4"/>
  <c r="CI83" i="4"/>
  <c r="CJ83" i="4"/>
  <c r="CK83" i="4"/>
  <c r="CL83" i="4"/>
  <c r="CM83" i="4"/>
  <c r="CN83" i="4"/>
  <c r="CO83" i="4"/>
  <c r="CP83" i="4"/>
  <c r="CQ83" i="4"/>
  <c r="CR83" i="4"/>
  <c r="CS83" i="4"/>
  <c r="CT83" i="4"/>
  <c r="CU83" i="4"/>
  <c r="CV83" i="4"/>
  <c r="CW83" i="4"/>
  <c r="CX83" i="4"/>
  <c r="BG84" i="4"/>
  <c r="BH84" i="4"/>
  <c r="BI84" i="4"/>
  <c r="BJ84" i="4"/>
  <c r="BK84" i="4"/>
  <c r="BL84" i="4"/>
  <c r="BM84" i="4"/>
  <c r="BN84" i="4"/>
  <c r="BO84" i="4"/>
  <c r="BP84" i="4"/>
  <c r="BQ84" i="4"/>
  <c r="BR84" i="4"/>
  <c r="BS84" i="4"/>
  <c r="BT84" i="4"/>
  <c r="BU84" i="4"/>
  <c r="BV84" i="4"/>
  <c r="BW84" i="4"/>
  <c r="BX84" i="4"/>
  <c r="BY84" i="4"/>
  <c r="BZ84" i="4"/>
  <c r="CA84" i="4"/>
  <c r="CB84" i="4"/>
  <c r="CC84" i="4"/>
  <c r="CD84" i="4"/>
  <c r="CE84" i="4"/>
  <c r="CF84" i="4"/>
  <c r="CG84" i="4"/>
  <c r="CH84" i="4"/>
  <c r="CI84" i="4"/>
  <c r="CJ84" i="4"/>
  <c r="CK84" i="4"/>
  <c r="CL84" i="4"/>
  <c r="CM84" i="4"/>
  <c r="CN84" i="4"/>
  <c r="CO84" i="4"/>
  <c r="CP84" i="4"/>
  <c r="CQ84" i="4"/>
  <c r="CR84" i="4"/>
  <c r="CS84" i="4"/>
  <c r="CT84" i="4"/>
  <c r="CU84" i="4"/>
  <c r="CV84" i="4"/>
  <c r="CW84" i="4"/>
  <c r="CX84" i="4"/>
  <c r="BG85" i="4"/>
  <c r="BH85" i="4"/>
  <c r="BI85" i="4"/>
  <c r="BJ85" i="4"/>
  <c r="BK85" i="4"/>
  <c r="BL85" i="4"/>
  <c r="BM85" i="4"/>
  <c r="BN85" i="4"/>
  <c r="BO85" i="4"/>
  <c r="BP85" i="4"/>
  <c r="BQ85" i="4"/>
  <c r="BR85" i="4"/>
  <c r="BS85" i="4"/>
  <c r="BT85" i="4"/>
  <c r="BU85" i="4"/>
  <c r="BV85" i="4"/>
  <c r="BW85" i="4"/>
  <c r="BX85" i="4"/>
  <c r="BY85" i="4"/>
  <c r="BZ85" i="4"/>
  <c r="CA85" i="4"/>
  <c r="CB85" i="4"/>
  <c r="CC85" i="4"/>
  <c r="CD85" i="4"/>
  <c r="CE85" i="4"/>
  <c r="CF85" i="4"/>
  <c r="CG85" i="4"/>
  <c r="CH85" i="4"/>
  <c r="CI85" i="4"/>
  <c r="CJ85" i="4"/>
  <c r="CK85" i="4"/>
  <c r="CL85" i="4"/>
  <c r="CM85" i="4"/>
  <c r="CN85" i="4"/>
  <c r="CO85" i="4"/>
  <c r="CP85" i="4"/>
  <c r="CQ85" i="4"/>
  <c r="CR85" i="4"/>
  <c r="CS85" i="4"/>
  <c r="CT85" i="4"/>
  <c r="CU85" i="4"/>
  <c r="CV85" i="4"/>
  <c r="CW85" i="4"/>
  <c r="CX85" i="4"/>
  <c r="BG86" i="4"/>
  <c r="BH86" i="4"/>
  <c r="BI86" i="4"/>
  <c r="BJ86" i="4"/>
  <c r="BK86" i="4"/>
  <c r="BL86" i="4"/>
  <c r="BM86" i="4"/>
  <c r="BN86" i="4"/>
  <c r="BO86" i="4"/>
  <c r="BP86" i="4"/>
  <c r="BQ86" i="4"/>
  <c r="BR86" i="4"/>
  <c r="BS86" i="4"/>
  <c r="BT86" i="4"/>
  <c r="BU86" i="4"/>
  <c r="BV86" i="4"/>
  <c r="BW86" i="4"/>
  <c r="BX86" i="4"/>
  <c r="BY86" i="4"/>
  <c r="BZ86" i="4"/>
  <c r="CA86" i="4"/>
  <c r="CB86" i="4"/>
  <c r="CC86" i="4"/>
  <c r="CD86" i="4"/>
  <c r="CE86" i="4"/>
  <c r="CF86" i="4"/>
  <c r="CG86" i="4"/>
  <c r="CH86" i="4"/>
  <c r="CI86" i="4"/>
  <c r="CJ86" i="4"/>
  <c r="CK86" i="4"/>
  <c r="CL86" i="4"/>
  <c r="CM86" i="4"/>
  <c r="CN86" i="4"/>
  <c r="CO86" i="4"/>
  <c r="CP86" i="4"/>
  <c r="CQ86" i="4"/>
  <c r="CR86" i="4"/>
  <c r="CS86" i="4"/>
  <c r="CT86" i="4"/>
  <c r="CU86" i="4"/>
  <c r="CV86" i="4"/>
  <c r="CW86" i="4"/>
  <c r="CX86" i="4"/>
  <c r="BG87" i="4"/>
  <c r="BH87" i="4"/>
  <c r="BI87" i="4"/>
  <c r="BJ87" i="4"/>
  <c r="BK87" i="4"/>
  <c r="BL87" i="4"/>
  <c r="BM87" i="4"/>
  <c r="BN87" i="4"/>
  <c r="BO87" i="4"/>
  <c r="BP87" i="4"/>
  <c r="BQ87" i="4"/>
  <c r="BR87" i="4"/>
  <c r="BS87" i="4"/>
  <c r="BT87" i="4"/>
  <c r="BU87" i="4"/>
  <c r="BV87" i="4"/>
  <c r="BW87" i="4"/>
  <c r="BX87" i="4"/>
  <c r="BY87" i="4"/>
  <c r="BZ87" i="4"/>
  <c r="CA87" i="4"/>
  <c r="CB87" i="4"/>
  <c r="CC87" i="4"/>
  <c r="CD87" i="4"/>
  <c r="CE87" i="4"/>
  <c r="CF87" i="4"/>
  <c r="CG87" i="4"/>
  <c r="CH87" i="4"/>
  <c r="CI87" i="4"/>
  <c r="CJ87" i="4"/>
  <c r="CK87" i="4"/>
  <c r="CL87" i="4"/>
  <c r="CM87" i="4"/>
  <c r="CN87" i="4"/>
  <c r="CO87" i="4"/>
  <c r="CP87" i="4"/>
  <c r="CQ87" i="4"/>
  <c r="CR87" i="4"/>
  <c r="CS87" i="4"/>
  <c r="CT87" i="4"/>
  <c r="CU87" i="4"/>
  <c r="CV87" i="4"/>
  <c r="CW87" i="4"/>
  <c r="CX87" i="4"/>
  <c r="BG88" i="4"/>
  <c r="BH88" i="4"/>
  <c r="BI88" i="4"/>
  <c r="BJ88" i="4"/>
  <c r="BK88" i="4"/>
  <c r="BL88" i="4"/>
  <c r="BM88" i="4"/>
  <c r="BN88" i="4"/>
  <c r="BO88" i="4"/>
  <c r="BP88" i="4"/>
  <c r="BQ88" i="4"/>
  <c r="BR88" i="4"/>
  <c r="BS88" i="4"/>
  <c r="BT88" i="4"/>
  <c r="BU88" i="4"/>
  <c r="BV88" i="4"/>
  <c r="BW88" i="4"/>
  <c r="BX88" i="4"/>
  <c r="BY88" i="4"/>
  <c r="BZ88" i="4"/>
  <c r="CA88" i="4"/>
  <c r="CB88" i="4"/>
  <c r="CC88" i="4"/>
  <c r="CD88" i="4"/>
  <c r="CE88" i="4"/>
  <c r="CF88" i="4"/>
  <c r="CG88" i="4"/>
  <c r="CH88" i="4"/>
  <c r="CI88" i="4"/>
  <c r="CJ88" i="4"/>
  <c r="CK88" i="4"/>
  <c r="CL88" i="4"/>
  <c r="CM88" i="4"/>
  <c r="CN88" i="4"/>
  <c r="CO88" i="4"/>
  <c r="CP88" i="4"/>
  <c r="CQ88" i="4"/>
  <c r="CR88" i="4"/>
  <c r="CS88" i="4"/>
  <c r="CT88" i="4"/>
  <c r="CU88" i="4"/>
  <c r="CV88" i="4"/>
  <c r="CW88" i="4"/>
  <c r="CX88" i="4"/>
  <c r="BG89" i="4"/>
  <c r="BH89" i="4"/>
  <c r="BI89" i="4"/>
  <c r="BJ89" i="4"/>
  <c r="BK89" i="4"/>
  <c r="BL89" i="4"/>
  <c r="BM89" i="4"/>
  <c r="BN89" i="4"/>
  <c r="BO89" i="4"/>
  <c r="BP89" i="4"/>
  <c r="BQ89" i="4"/>
  <c r="BR89" i="4"/>
  <c r="BS89" i="4"/>
  <c r="BT89" i="4"/>
  <c r="BU89" i="4"/>
  <c r="BV89" i="4"/>
  <c r="BW89" i="4"/>
  <c r="BX89" i="4"/>
  <c r="BY89" i="4"/>
  <c r="BZ89" i="4"/>
  <c r="CA89" i="4"/>
  <c r="CB89" i="4"/>
  <c r="CC89" i="4"/>
  <c r="CD89" i="4"/>
  <c r="CE89" i="4"/>
  <c r="CF89" i="4"/>
  <c r="CG89" i="4"/>
  <c r="CH89" i="4"/>
  <c r="CI89" i="4"/>
  <c r="CJ89" i="4"/>
  <c r="CK89" i="4"/>
  <c r="CL89" i="4"/>
  <c r="CM89" i="4"/>
  <c r="CN89" i="4"/>
  <c r="CO89" i="4"/>
  <c r="CP89" i="4"/>
  <c r="CQ89" i="4"/>
  <c r="CR89" i="4"/>
  <c r="CS89" i="4"/>
  <c r="CT89" i="4"/>
  <c r="CU89" i="4"/>
  <c r="CV89" i="4"/>
  <c r="CW89" i="4"/>
  <c r="CX89" i="4"/>
  <c r="BG90" i="4"/>
  <c r="BH90" i="4"/>
  <c r="BI90" i="4"/>
  <c r="BJ90" i="4"/>
  <c r="BK90" i="4"/>
  <c r="BL90" i="4"/>
  <c r="BM90" i="4"/>
  <c r="BN90" i="4"/>
  <c r="BO90" i="4"/>
  <c r="BP90" i="4"/>
  <c r="BQ90" i="4"/>
  <c r="BR90" i="4"/>
  <c r="BS90" i="4"/>
  <c r="BT90" i="4"/>
  <c r="BU90" i="4"/>
  <c r="BV90" i="4"/>
  <c r="BW90" i="4"/>
  <c r="BX90" i="4"/>
  <c r="BY90" i="4"/>
  <c r="BZ90" i="4"/>
  <c r="CA90" i="4"/>
  <c r="CB90" i="4"/>
  <c r="CC90" i="4"/>
  <c r="CD90" i="4"/>
  <c r="CE90" i="4"/>
  <c r="CF90" i="4"/>
  <c r="CG90" i="4"/>
  <c r="CH90" i="4"/>
  <c r="CI90" i="4"/>
  <c r="CJ90" i="4"/>
  <c r="CK90" i="4"/>
  <c r="CL90" i="4"/>
  <c r="CM90" i="4"/>
  <c r="CN90" i="4"/>
  <c r="CO90" i="4"/>
  <c r="CP90" i="4"/>
  <c r="CQ90" i="4"/>
  <c r="CR90" i="4"/>
  <c r="CS90" i="4"/>
  <c r="CT90" i="4"/>
  <c r="CU90" i="4"/>
  <c r="CV90" i="4"/>
  <c r="CW90" i="4"/>
  <c r="CX90" i="4"/>
  <c r="BG91" i="4"/>
  <c r="BH91" i="4"/>
  <c r="BI91" i="4"/>
  <c r="BJ91" i="4"/>
  <c r="BK91" i="4"/>
  <c r="BL91" i="4"/>
  <c r="BM91" i="4"/>
  <c r="BN91" i="4"/>
  <c r="BO91" i="4"/>
  <c r="BP91" i="4"/>
  <c r="BQ91" i="4"/>
  <c r="BR91" i="4"/>
  <c r="BS91" i="4"/>
  <c r="BT91" i="4"/>
  <c r="BU91" i="4"/>
  <c r="BV91" i="4"/>
  <c r="BW91" i="4"/>
  <c r="BX91" i="4"/>
  <c r="BY91" i="4"/>
  <c r="BZ91" i="4"/>
  <c r="CA91" i="4"/>
  <c r="CB91" i="4"/>
  <c r="CC91" i="4"/>
  <c r="CD91" i="4"/>
  <c r="CE91" i="4"/>
  <c r="CF91" i="4"/>
  <c r="CG91" i="4"/>
  <c r="CH91" i="4"/>
  <c r="CI91" i="4"/>
  <c r="CJ91" i="4"/>
  <c r="CK91" i="4"/>
  <c r="CL91" i="4"/>
  <c r="CM91" i="4"/>
  <c r="CN91" i="4"/>
  <c r="CO91" i="4"/>
  <c r="CP91" i="4"/>
  <c r="CQ91" i="4"/>
  <c r="CR91" i="4"/>
  <c r="CS91" i="4"/>
  <c r="CT91" i="4"/>
  <c r="CU91" i="4"/>
  <c r="CV91" i="4"/>
  <c r="CW91" i="4"/>
  <c r="CX91" i="4"/>
  <c r="BG92" i="4"/>
  <c r="BH92" i="4"/>
  <c r="BI92" i="4"/>
  <c r="BJ92" i="4"/>
  <c r="BK92" i="4"/>
  <c r="BL92" i="4"/>
  <c r="BM92" i="4"/>
  <c r="BN92" i="4"/>
  <c r="BO92" i="4"/>
  <c r="BP92" i="4"/>
  <c r="BQ92" i="4"/>
  <c r="BR92" i="4"/>
  <c r="BS92" i="4"/>
  <c r="BT92" i="4"/>
  <c r="BU92" i="4"/>
  <c r="BV92" i="4"/>
  <c r="BW92" i="4"/>
  <c r="BX92" i="4"/>
  <c r="BY92" i="4"/>
  <c r="BZ92" i="4"/>
  <c r="CA92" i="4"/>
  <c r="CB92" i="4"/>
  <c r="CC92" i="4"/>
  <c r="CD92" i="4"/>
  <c r="CE92" i="4"/>
  <c r="CF92" i="4"/>
  <c r="CG92" i="4"/>
  <c r="CH92" i="4"/>
  <c r="CI92" i="4"/>
  <c r="CJ92" i="4"/>
  <c r="CK92" i="4"/>
  <c r="CL92" i="4"/>
  <c r="CM92" i="4"/>
  <c r="CN92" i="4"/>
  <c r="CO92" i="4"/>
  <c r="CP92" i="4"/>
  <c r="CQ92" i="4"/>
  <c r="CR92" i="4"/>
  <c r="CS92" i="4"/>
  <c r="CT92" i="4"/>
  <c r="CU92" i="4"/>
  <c r="CV92" i="4"/>
  <c r="CW92" i="4"/>
  <c r="CX92" i="4"/>
  <c r="BG93" i="4"/>
  <c r="BH93" i="4"/>
  <c r="BI93" i="4"/>
  <c r="BJ93" i="4"/>
  <c r="BK93" i="4"/>
  <c r="BL93" i="4"/>
  <c r="BM93" i="4"/>
  <c r="BN93" i="4"/>
  <c r="BO93" i="4"/>
  <c r="BP93" i="4"/>
  <c r="BQ93" i="4"/>
  <c r="BR93" i="4"/>
  <c r="BS93" i="4"/>
  <c r="BT93" i="4"/>
  <c r="BU93" i="4"/>
  <c r="BV93" i="4"/>
  <c r="BW93" i="4"/>
  <c r="BX93" i="4"/>
  <c r="BY93" i="4"/>
  <c r="BZ93" i="4"/>
  <c r="CA93" i="4"/>
  <c r="CB93" i="4"/>
  <c r="CC93" i="4"/>
  <c r="CD93" i="4"/>
  <c r="CE93" i="4"/>
  <c r="CF93" i="4"/>
  <c r="CG93" i="4"/>
  <c r="CH93" i="4"/>
  <c r="CI93" i="4"/>
  <c r="CJ93" i="4"/>
  <c r="CK93" i="4"/>
  <c r="CL93" i="4"/>
  <c r="CM93" i="4"/>
  <c r="CN93" i="4"/>
  <c r="CO93" i="4"/>
  <c r="CP93" i="4"/>
  <c r="CQ93" i="4"/>
  <c r="CR93" i="4"/>
  <c r="CS93" i="4"/>
  <c r="CT93" i="4"/>
  <c r="CU93" i="4"/>
  <c r="CV93" i="4"/>
  <c r="CW93" i="4"/>
  <c r="CX93" i="4"/>
  <c r="BG94" i="4"/>
  <c r="BH94" i="4"/>
  <c r="BI94" i="4"/>
  <c r="BJ94" i="4"/>
  <c r="BK94" i="4"/>
  <c r="BL94" i="4"/>
  <c r="BM94" i="4"/>
  <c r="BN94" i="4"/>
  <c r="BO94" i="4"/>
  <c r="BP94" i="4"/>
  <c r="BQ94" i="4"/>
  <c r="BR94" i="4"/>
  <c r="BS94" i="4"/>
  <c r="BT94" i="4"/>
  <c r="BU94" i="4"/>
  <c r="BV94" i="4"/>
  <c r="BW94" i="4"/>
  <c r="BX94" i="4"/>
  <c r="BY94" i="4"/>
  <c r="BZ94" i="4"/>
  <c r="CA94" i="4"/>
  <c r="CB94" i="4"/>
  <c r="CC94" i="4"/>
  <c r="CD94" i="4"/>
  <c r="CE94" i="4"/>
  <c r="CF94" i="4"/>
  <c r="CG94" i="4"/>
  <c r="CH94" i="4"/>
  <c r="CI94" i="4"/>
  <c r="CJ94" i="4"/>
  <c r="CK94" i="4"/>
  <c r="CL94" i="4"/>
  <c r="CM94" i="4"/>
  <c r="CN94" i="4"/>
  <c r="CO94" i="4"/>
  <c r="CP94" i="4"/>
  <c r="CQ94" i="4"/>
  <c r="CR94" i="4"/>
  <c r="CS94" i="4"/>
  <c r="CT94" i="4"/>
  <c r="CU94" i="4"/>
  <c r="CV94" i="4"/>
  <c r="CW94" i="4"/>
  <c r="CX94" i="4"/>
  <c r="BG95" i="4"/>
  <c r="BH95" i="4"/>
  <c r="BI95" i="4"/>
  <c r="BJ95" i="4"/>
  <c r="BK95" i="4"/>
  <c r="BL95" i="4"/>
  <c r="BM95" i="4"/>
  <c r="BN95" i="4"/>
  <c r="BO95" i="4"/>
  <c r="BP95" i="4"/>
  <c r="BQ95" i="4"/>
  <c r="BR95" i="4"/>
  <c r="BS95" i="4"/>
  <c r="BT95" i="4"/>
  <c r="BU95" i="4"/>
  <c r="BV95" i="4"/>
  <c r="BW95" i="4"/>
  <c r="BX95" i="4"/>
  <c r="BY95" i="4"/>
  <c r="BZ95" i="4"/>
  <c r="CA95" i="4"/>
  <c r="CB95" i="4"/>
  <c r="CC95" i="4"/>
  <c r="CD95" i="4"/>
  <c r="CE95" i="4"/>
  <c r="CF95" i="4"/>
  <c r="CG95" i="4"/>
  <c r="CH95" i="4"/>
  <c r="CI95" i="4"/>
  <c r="CJ95" i="4"/>
  <c r="CK95" i="4"/>
  <c r="CL95" i="4"/>
  <c r="CM95" i="4"/>
  <c r="CN95" i="4"/>
  <c r="CO95" i="4"/>
  <c r="CP95" i="4"/>
  <c r="CQ95" i="4"/>
  <c r="CR95" i="4"/>
  <c r="CS95" i="4"/>
  <c r="CT95" i="4"/>
  <c r="CU95" i="4"/>
  <c r="CV95" i="4"/>
  <c r="CW95" i="4"/>
  <c r="CX95" i="4"/>
  <c r="BG96" i="4"/>
  <c r="BH96" i="4"/>
  <c r="BI96" i="4"/>
  <c r="BJ96" i="4"/>
  <c r="BK96" i="4"/>
  <c r="BL96" i="4"/>
  <c r="BM96" i="4"/>
  <c r="BN96" i="4"/>
  <c r="BO96" i="4"/>
  <c r="BP96" i="4"/>
  <c r="BQ96" i="4"/>
  <c r="BR96" i="4"/>
  <c r="BS96" i="4"/>
  <c r="BT96" i="4"/>
  <c r="BU96" i="4"/>
  <c r="BV96" i="4"/>
  <c r="BW96" i="4"/>
  <c r="BX96" i="4"/>
  <c r="BY96" i="4"/>
  <c r="BZ96" i="4"/>
  <c r="CA96" i="4"/>
  <c r="CB96" i="4"/>
  <c r="CC96" i="4"/>
  <c r="CD96" i="4"/>
  <c r="CE96" i="4"/>
  <c r="CF96" i="4"/>
  <c r="CG96" i="4"/>
  <c r="CH96" i="4"/>
  <c r="CI96" i="4"/>
  <c r="CJ96" i="4"/>
  <c r="CK96" i="4"/>
  <c r="CL96" i="4"/>
  <c r="CM96" i="4"/>
  <c r="CN96" i="4"/>
  <c r="CO96" i="4"/>
  <c r="CP96" i="4"/>
  <c r="CQ96" i="4"/>
  <c r="CR96" i="4"/>
  <c r="CS96" i="4"/>
  <c r="CT96" i="4"/>
  <c r="CU96" i="4"/>
  <c r="CV96" i="4"/>
  <c r="CW96" i="4"/>
  <c r="CX96" i="4"/>
  <c r="BG97" i="4"/>
  <c r="BH97" i="4"/>
  <c r="BI97" i="4"/>
  <c r="BJ97" i="4"/>
  <c r="BK97" i="4"/>
  <c r="BL97" i="4"/>
  <c r="BM97" i="4"/>
  <c r="BN97" i="4"/>
  <c r="BO97" i="4"/>
  <c r="BP97" i="4"/>
  <c r="BQ97" i="4"/>
  <c r="BR97" i="4"/>
  <c r="BS97" i="4"/>
  <c r="BT97" i="4"/>
  <c r="BU97" i="4"/>
  <c r="BV97" i="4"/>
  <c r="BW97" i="4"/>
  <c r="BX97" i="4"/>
  <c r="BY97" i="4"/>
  <c r="BZ97" i="4"/>
  <c r="CA97" i="4"/>
  <c r="CB97" i="4"/>
  <c r="CC97" i="4"/>
  <c r="CD97" i="4"/>
  <c r="CE97" i="4"/>
  <c r="CF97" i="4"/>
  <c r="CG97" i="4"/>
  <c r="CH97" i="4"/>
  <c r="CI97" i="4"/>
  <c r="CJ97" i="4"/>
  <c r="CK97" i="4"/>
  <c r="CL97" i="4"/>
  <c r="CM97" i="4"/>
  <c r="CN97" i="4"/>
  <c r="CO97" i="4"/>
  <c r="CP97" i="4"/>
  <c r="CQ97" i="4"/>
  <c r="CR97" i="4"/>
  <c r="CS97" i="4"/>
  <c r="CT97" i="4"/>
  <c r="CU97" i="4"/>
  <c r="CV97" i="4"/>
  <c r="CW97" i="4"/>
  <c r="CX97" i="4"/>
  <c r="BG98" i="4"/>
  <c r="BH98" i="4"/>
  <c r="BI98" i="4"/>
  <c r="BJ98" i="4"/>
  <c r="BK98" i="4"/>
  <c r="BL98" i="4"/>
  <c r="BM98" i="4"/>
  <c r="BN98" i="4"/>
  <c r="BO98" i="4"/>
  <c r="BP98" i="4"/>
  <c r="BQ98" i="4"/>
  <c r="BR98" i="4"/>
  <c r="BS98" i="4"/>
  <c r="BT98" i="4"/>
  <c r="BU98" i="4"/>
  <c r="BV98" i="4"/>
  <c r="BW98" i="4"/>
  <c r="BX98" i="4"/>
  <c r="BY98" i="4"/>
  <c r="BZ98" i="4"/>
  <c r="CA98" i="4"/>
  <c r="CB98" i="4"/>
  <c r="CC98" i="4"/>
  <c r="CD98" i="4"/>
  <c r="CE98" i="4"/>
  <c r="CF98" i="4"/>
  <c r="CG98" i="4"/>
  <c r="CH98" i="4"/>
  <c r="CI98" i="4"/>
  <c r="CJ98" i="4"/>
  <c r="CK98" i="4"/>
  <c r="CL98" i="4"/>
  <c r="CM98" i="4"/>
  <c r="CN98" i="4"/>
  <c r="CO98" i="4"/>
  <c r="CP98" i="4"/>
  <c r="CQ98" i="4"/>
  <c r="CR98" i="4"/>
  <c r="CS98" i="4"/>
  <c r="CT98" i="4"/>
  <c r="CU98" i="4"/>
  <c r="CV98" i="4"/>
  <c r="CW98" i="4"/>
  <c r="CX98" i="4"/>
  <c r="BG99" i="4"/>
  <c r="BH99" i="4"/>
  <c r="BI99" i="4"/>
  <c r="BJ99" i="4"/>
  <c r="BK99" i="4"/>
  <c r="BL99" i="4"/>
  <c r="BM99" i="4"/>
  <c r="BN99" i="4"/>
  <c r="BO99" i="4"/>
  <c r="BP99" i="4"/>
  <c r="BQ99" i="4"/>
  <c r="BR99" i="4"/>
  <c r="BS99" i="4"/>
  <c r="BT99" i="4"/>
  <c r="BU99" i="4"/>
  <c r="BV99" i="4"/>
  <c r="BW99" i="4"/>
  <c r="BX99" i="4"/>
  <c r="BY99" i="4"/>
  <c r="BZ99" i="4"/>
  <c r="CA99" i="4"/>
  <c r="CB99" i="4"/>
  <c r="CC99" i="4"/>
  <c r="CD99" i="4"/>
  <c r="CE99" i="4"/>
  <c r="CF99" i="4"/>
  <c r="CG99" i="4"/>
  <c r="CH99" i="4"/>
  <c r="CI99" i="4"/>
  <c r="CJ99" i="4"/>
  <c r="CK99" i="4"/>
  <c r="CL99" i="4"/>
  <c r="CM99" i="4"/>
  <c r="CN99" i="4"/>
  <c r="CO99" i="4"/>
  <c r="CP99" i="4"/>
  <c r="CQ99" i="4"/>
  <c r="CR99" i="4"/>
  <c r="CS99" i="4"/>
  <c r="CT99" i="4"/>
  <c r="CU99" i="4"/>
  <c r="CV99" i="4"/>
  <c r="CW99" i="4"/>
  <c r="CX99" i="4"/>
  <c r="BG100" i="4"/>
  <c r="BH100" i="4"/>
  <c r="BI100" i="4"/>
  <c r="BJ100" i="4"/>
  <c r="BK100" i="4"/>
  <c r="BL100" i="4"/>
  <c r="BM100" i="4"/>
  <c r="BN100" i="4"/>
  <c r="BO100" i="4"/>
  <c r="BP100" i="4"/>
  <c r="BQ100" i="4"/>
  <c r="BR100" i="4"/>
  <c r="BS100" i="4"/>
  <c r="BT100" i="4"/>
  <c r="BU100" i="4"/>
  <c r="BV100" i="4"/>
  <c r="BW100" i="4"/>
  <c r="BX100" i="4"/>
  <c r="BY100" i="4"/>
  <c r="BZ100" i="4"/>
  <c r="CA100" i="4"/>
  <c r="CB100" i="4"/>
  <c r="CC100" i="4"/>
  <c r="CD100" i="4"/>
  <c r="CE100" i="4"/>
  <c r="CF100" i="4"/>
  <c r="CG100" i="4"/>
  <c r="CH100" i="4"/>
  <c r="CI100" i="4"/>
  <c r="CJ100" i="4"/>
  <c r="CK100" i="4"/>
  <c r="CL100" i="4"/>
  <c r="CM100" i="4"/>
  <c r="CN100" i="4"/>
  <c r="CO100" i="4"/>
  <c r="CP100" i="4"/>
  <c r="CQ100" i="4"/>
  <c r="CR100" i="4"/>
  <c r="CS100" i="4"/>
  <c r="CT100" i="4"/>
  <c r="CU100" i="4"/>
  <c r="CV100" i="4"/>
  <c r="CW100" i="4"/>
  <c r="CX100" i="4"/>
  <c r="BG101" i="4"/>
  <c r="BH101" i="4"/>
  <c r="BI101" i="4"/>
  <c r="BJ101" i="4"/>
  <c r="BK101" i="4"/>
  <c r="BL101" i="4"/>
  <c r="BM101" i="4"/>
  <c r="BN101" i="4"/>
  <c r="BO101" i="4"/>
  <c r="BP101" i="4"/>
  <c r="BQ101" i="4"/>
  <c r="BR101" i="4"/>
  <c r="BS101" i="4"/>
  <c r="BT101" i="4"/>
  <c r="BU101" i="4"/>
  <c r="BV101" i="4"/>
  <c r="BW101" i="4"/>
  <c r="BX101" i="4"/>
  <c r="BY101" i="4"/>
  <c r="BZ101" i="4"/>
  <c r="CA101" i="4"/>
  <c r="CB101" i="4"/>
  <c r="CC101" i="4"/>
  <c r="CD101" i="4"/>
  <c r="CE101" i="4"/>
  <c r="CF101" i="4"/>
  <c r="CG101" i="4"/>
  <c r="CH101" i="4"/>
  <c r="CI101" i="4"/>
  <c r="CJ101" i="4"/>
  <c r="CK101" i="4"/>
  <c r="CL101" i="4"/>
  <c r="CM101" i="4"/>
  <c r="CN101" i="4"/>
  <c r="CO101" i="4"/>
  <c r="CP101" i="4"/>
  <c r="CQ101" i="4"/>
  <c r="CR101" i="4"/>
  <c r="CS101" i="4"/>
  <c r="CT101" i="4"/>
  <c r="CU101" i="4"/>
  <c r="CV101" i="4"/>
  <c r="CW101" i="4"/>
  <c r="CX101" i="4"/>
  <c r="BG102" i="4"/>
  <c r="BH102" i="4"/>
  <c r="BI102" i="4"/>
  <c r="BJ102" i="4"/>
  <c r="BK102" i="4"/>
  <c r="BL102" i="4"/>
  <c r="BM102" i="4"/>
  <c r="BN102" i="4"/>
  <c r="BO102" i="4"/>
  <c r="BP102" i="4"/>
  <c r="BQ102" i="4"/>
  <c r="BR102" i="4"/>
  <c r="BS102" i="4"/>
  <c r="BT102" i="4"/>
  <c r="BU102" i="4"/>
  <c r="BV102" i="4"/>
  <c r="BW102" i="4"/>
  <c r="BX102" i="4"/>
  <c r="BY102" i="4"/>
  <c r="BZ102" i="4"/>
  <c r="CA102" i="4"/>
  <c r="CB102" i="4"/>
  <c r="CC102" i="4"/>
  <c r="CD102" i="4"/>
  <c r="CE102" i="4"/>
  <c r="CF102" i="4"/>
  <c r="CG102" i="4"/>
  <c r="CH102" i="4"/>
  <c r="CI102" i="4"/>
  <c r="CJ102" i="4"/>
  <c r="CK102" i="4"/>
  <c r="CL102" i="4"/>
  <c r="CM102" i="4"/>
  <c r="CN102" i="4"/>
  <c r="CO102" i="4"/>
  <c r="CP102" i="4"/>
  <c r="CQ102" i="4"/>
  <c r="CR102" i="4"/>
  <c r="CS102" i="4"/>
  <c r="CT102" i="4"/>
  <c r="CU102" i="4"/>
  <c r="CV102" i="4"/>
  <c r="CW102" i="4"/>
  <c r="CX102" i="4"/>
  <c r="BG103" i="4"/>
  <c r="BH103" i="4"/>
  <c r="BI103" i="4"/>
  <c r="BJ103" i="4"/>
  <c r="BK103" i="4"/>
  <c r="BL103" i="4"/>
  <c r="BM103" i="4"/>
  <c r="BN103" i="4"/>
  <c r="BO103" i="4"/>
  <c r="BP103" i="4"/>
  <c r="BQ103" i="4"/>
  <c r="BR103" i="4"/>
  <c r="BS103" i="4"/>
  <c r="BT103" i="4"/>
  <c r="BU103" i="4"/>
  <c r="BV103" i="4"/>
  <c r="BW103" i="4"/>
  <c r="BX103" i="4"/>
  <c r="BY103" i="4"/>
  <c r="BZ103" i="4"/>
  <c r="CA103" i="4"/>
  <c r="CB103" i="4"/>
  <c r="CC103" i="4"/>
  <c r="CD103" i="4"/>
  <c r="CE103" i="4"/>
  <c r="CF103" i="4"/>
  <c r="CG103" i="4"/>
  <c r="CH103" i="4"/>
  <c r="CI103" i="4"/>
  <c r="CJ103" i="4"/>
  <c r="CK103" i="4"/>
  <c r="CL103" i="4"/>
  <c r="CM103" i="4"/>
  <c r="CN103" i="4"/>
  <c r="CO103" i="4"/>
  <c r="CP103" i="4"/>
  <c r="CQ103" i="4"/>
  <c r="CR103" i="4"/>
  <c r="CS103" i="4"/>
  <c r="CT103" i="4"/>
  <c r="CU103" i="4"/>
  <c r="CV103" i="4"/>
  <c r="CW103" i="4"/>
  <c r="CX103" i="4"/>
  <c r="BG104" i="4"/>
  <c r="BH104" i="4"/>
  <c r="BI104" i="4"/>
  <c r="BJ104" i="4"/>
  <c r="BK104" i="4"/>
  <c r="BL104" i="4"/>
  <c r="BM104" i="4"/>
  <c r="BN104" i="4"/>
  <c r="BO104" i="4"/>
  <c r="BP104" i="4"/>
  <c r="BQ104" i="4"/>
  <c r="BR104" i="4"/>
  <c r="BS104" i="4"/>
  <c r="BT104" i="4"/>
  <c r="BU104" i="4"/>
  <c r="BV104" i="4"/>
  <c r="BW104" i="4"/>
  <c r="BX104" i="4"/>
  <c r="BY104" i="4"/>
  <c r="BZ104" i="4"/>
  <c r="CA104" i="4"/>
  <c r="CB104" i="4"/>
  <c r="CC104" i="4"/>
  <c r="CD104" i="4"/>
  <c r="CE104" i="4"/>
  <c r="CF104" i="4"/>
  <c r="CG104" i="4"/>
  <c r="CH104" i="4"/>
  <c r="CI104" i="4"/>
  <c r="CJ104" i="4"/>
  <c r="CK104" i="4"/>
  <c r="CL104" i="4"/>
  <c r="CM104" i="4"/>
  <c r="CN104" i="4"/>
  <c r="CO104" i="4"/>
  <c r="CP104" i="4"/>
  <c r="CQ104" i="4"/>
  <c r="CR104" i="4"/>
  <c r="CS104" i="4"/>
  <c r="CT104" i="4"/>
  <c r="CU104" i="4"/>
  <c r="CV104" i="4"/>
  <c r="CW104" i="4"/>
  <c r="CX104" i="4"/>
  <c r="BG105" i="4"/>
  <c r="BH105" i="4"/>
  <c r="BI105" i="4"/>
  <c r="BJ105" i="4"/>
  <c r="BK105" i="4"/>
  <c r="BL105" i="4"/>
  <c r="BM105" i="4"/>
  <c r="BN105" i="4"/>
  <c r="BO105" i="4"/>
  <c r="BP105" i="4"/>
  <c r="BQ105" i="4"/>
  <c r="BR105" i="4"/>
  <c r="BS105" i="4"/>
  <c r="BT105" i="4"/>
  <c r="BU105" i="4"/>
  <c r="BV105" i="4"/>
  <c r="BW105" i="4"/>
  <c r="BX105" i="4"/>
  <c r="BY105" i="4"/>
  <c r="BZ105" i="4"/>
  <c r="CA105" i="4"/>
  <c r="CB105" i="4"/>
  <c r="CC105" i="4"/>
  <c r="CD105" i="4"/>
  <c r="CE105" i="4"/>
  <c r="CF105" i="4"/>
  <c r="CG105" i="4"/>
  <c r="CH105" i="4"/>
  <c r="CI105" i="4"/>
  <c r="CJ105" i="4"/>
  <c r="CK105" i="4"/>
  <c r="CL105" i="4"/>
  <c r="CM105" i="4"/>
  <c r="CN105" i="4"/>
  <c r="CO105" i="4"/>
  <c r="CP105" i="4"/>
  <c r="CQ105" i="4"/>
  <c r="CR105" i="4"/>
  <c r="CS105" i="4"/>
  <c r="CT105" i="4"/>
  <c r="CU105" i="4"/>
  <c r="CV105" i="4"/>
  <c r="CW105" i="4"/>
  <c r="CX105" i="4"/>
  <c r="BG106" i="4"/>
  <c r="BH106" i="4"/>
  <c r="BI106" i="4"/>
  <c r="BJ106" i="4"/>
  <c r="BK106" i="4"/>
  <c r="BL106" i="4"/>
  <c r="BM106" i="4"/>
  <c r="BN106" i="4"/>
  <c r="BO106" i="4"/>
  <c r="BP106" i="4"/>
  <c r="BQ106" i="4"/>
  <c r="BR106" i="4"/>
  <c r="BS106" i="4"/>
  <c r="BT106" i="4"/>
  <c r="BU106" i="4"/>
  <c r="BV106" i="4"/>
  <c r="BW106" i="4"/>
  <c r="BX106" i="4"/>
  <c r="BY106" i="4"/>
  <c r="BZ106" i="4"/>
  <c r="CA106" i="4"/>
  <c r="CB106" i="4"/>
  <c r="CC106" i="4"/>
  <c r="CD106" i="4"/>
  <c r="CE106" i="4"/>
  <c r="CF106" i="4"/>
  <c r="CG106" i="4"/>
  <c r="CH106" i="4"/>
  <c r="CI106" i="4"/>
  <c r="CJ106" i="4"/>
  <c r="CK106" i="4"/>
  <c r="CL106" i="4"/>
  <c r="CM106" i="4"/>
  <c r="CN106" i="4"/>
  <c r="CO106" i="4"/>
  <c r="CP106" i="4"/>
  <c r="CQ106" i="4"/>
  <c r="CR106" i="4"/>
  <c r="CS106" i="4"/>
  <c r="CT106" i="4"/>
  <c r="CU106" i="4"/>
  <c r="CV106" i="4"/>
  <c r="CW106" i="4"/>
  <c r="CX106" i="4"/>
  <c r="BG107" i="4"/>
  <c r="BH107" i="4"/>
  <c r="BI107" i="4"/>
  <c r="BJ107" i="4"/>
  <c r="BK107" i="4"/>
  <c r="BL107" i="4"/>
  <c r="BM107" i="4"/>
  <c r="BN107" i="4"/>
  <c r="BO107" i="4"/>
  <c r="BP107" i="4"/>
  <c r="BQ107" i="4"/>
  <c r="BR107" i="4"/>
  <c r="BS107" i="4"/>
  <c r="BT107" i="4"/>
  <c r="BU107" i="4"/>
  <c r="BV107" i="4"/>
  <c r="BW107" i="4"/>
  <c r="BX107" i="4"/>
  <c r="BY107" i="4"/>
  <c r="BZ107" i="4"/>
  <c r="CA107" i="4"/>
  <c r="CB107" i="4"/>
  <c r="CC107" i="4"/>
  <c r="CD107" i="4"/>
  <c r="CE107" i="4"/>
  <c r="CF107" i="4"/>
  <c r="CG107" i="4"/>
  <c r="CH107" i="4"/>
  <c r="CI107" i="4"/>
  <c r="CJ107" i="4"/>
  <c r="CK107" i="4"/>
  <c r="CL107" i="4"/>
  <c r="CM107" i="4"/>
  <c r="CN107" i="4"/>
  <c r="CO107" i="4"/>
  <c r="CP107" i="4"/>
  <c r="CQ107" i="4"/>
  <c r="CR107" i="4"/>
  <c r="CS107" i="4"/>
  <c r="CT107" i="4"/>
  <c r="CU107" i="4"/>
  <c r="CV107" i="4"/>
  <c r="CW107" i="4"/>
  <c r="CX107" i="4"/>
  <c r="BG108" i="4"/>
  <c r="BH108" i="4"/>
  <c r="BI108" i="4"/>
  <c r="BJ108" i="4"/>
  <c r="BK108" i="4"/>
  <c r="BL108" i="4"/>
  <c r="BM108" i="4"/>
  <c r="BN108" i="4"/>
  <c r="BO108" i="4"/>
  <c r="BP108" i="4"/>
  <c r="BQ108" i="4"/>
  <c r="BR108" i="4"/>
  <c r="BS108" i="4"/>
  <c r="BT108" i="4"/>
  <c r="BU108" i="4"/>
  <c r="BV108" i="4"/>
  <c r="BW108" i="4"/>
  <c r="BX108" i="4"/>
  <c r="BY108" i="4"/>
  <c r="BZ108" i="4"/>
  <c r="CA108" i="4"/>
  <c r="CB108" i="4"/>
  <c r="CC108" i="4"/>
  <c r="CD108" i="4"/>
  <c r="CE108" i="4"/>
  <c r="CF108" i="4"/>
  <c r="CG108" i="4"/>
  <c r="CH108" i="4"/>
  <c r="CI108" i="4"/>
  <c r="CJ108" i="4"/>
  <c r="CK108" i="4"/>
  <c r="CL108" i="4"/>
  <c r="CM108" i="4"/>
  <c r="CN108" i="4"/>
  <c r="CO108" i="4"/>
  <c r="CP108" i="4"/>
  <c r="CQ108" i="4"/>
  <c r="CR108" i="4"/>
  <c r="CS108" i="4"/>
  <c r="CT108" i="4"/>
  <c r="CU108" i="4"/>
  <c r="CV108" i="4"/>
  <c r="CW108" i="4"/>
  <c r="CX108" i="4"/>
  <c r="BG109" i="4"/>
  <c r="BH109" i="4"/>
  <c r="BI109" i="4"/>
  <c r="BJ109" i="4"/>
  <c r="BK109" i="4"/>
  <c r="BL109" i="4"/>
  <c r="BM109" i="4"/>
  <c r="BN109" i="4"/>
  <c r="BO109" i="4"/>
  <c r="BP109" i="4"/>
  <c r="BQ109" i="4"/>
  <c r="BR109" i="4"/>
  <c r="BS109" i="4"/>
  <c r="BT109" i="4"/>
  <c r="BU109" i="4"/>
  <c r="BV109" i="4"/>
  <c r="BW109" i="4"/>
  <c r="BX109" i="4"/>
  <c r="BY109" i="4"/>
  <c r="BZ109" i="4"/>
  <c r="CA109" i="4"/>
  <c r="CB109" i="4"/>
  <c r="CC109" i="4"/>
  <c r="CD109" i="4"/>
  <c r="CE109" i="4"/>
  <c r="CF109" i="4"/>
  <c r="CG109" i="4"/>
  <c r="CH109" i="4"/>
  <c r="CI109" i="4"/>
  <c r="CJ109" i="4"/>
  <c r="CK109" i="4"/>
  <c r="CL109" i="4"/>
  <c r="CM109" i="4"/>
  <c r="CN109" i="4"/>
  <c r="CO109" i="4"/>
  <c r="CP109" i="4"/>
  <c r="CQ109" i="4"/>
  <c r="CR109" i="4"/>
  <c r="CS109" i="4"/>
  <c r="CT109" i="4"/>
  <c r="CU109" i="4"/>
  <c r="CV109" i="4"/>
  <c r="CW109" i="4"/>
  <c r="CX109" i="4"/>
  <c r="BG110" i="4"/>
  <c r="BH110" i="4"/>
  <c r="BI110" i="4"/>
  <c r="BJ110" i="4"/>
  <c r="BK110" i="4"/>
  <c r="BL110" i="4"/>
  <c r="BM110" i="4"/>
  <c r="BN110" i="4"/>
  <c r="BO110" i="4"/>
  <c r="BP110" i="4"/>
  <c r="BQ110" i="4"/>
  <c r="BR110" i="4"/>
  <c r="BS110" i="4"/>
  <c r="BT110" i="4"/>
  <c r="BU110" i="4"/>
  <c r="BV110" i="4"/>
  <c r="BW110" i="4"/>
  <c r="BX110" i="4"/>
  <c r="BY110" i="4"/>
  <c r="BZ110" i="4"/>
  <c r="CA110" i="4"/>
  <c r="CB110" i="4"/>
  <c r="CC110" i="4"/>
  <c r="CD110" i="4"/>
  <c r="CE110" i="4"/>
  <c r="CF110" i="4"/>
  <c r="CG110" i="4"/>
  <c r="CH110" i="4"/>
  <c r="CI110" i="4"/>
  <c r="CJ110" i="4"/>
  <c r="CK110" i="4"/>
  <c r="CL110" i="4"/>
  <c r="CM110" i="4"/>
  <c r="CN110" i="4"/>
  <c r="CO110" i="4"/>
  <c r="CP110" i="4"/>
  <c r="CQ110" i="4"/>
  <c r="CR110" i="4"/>
  <c r="CS110" i="4"/>
  <c r="CT110" i="4"/>
  <c r="CU110" i="4"/>
  <c r="CV110" i="4"/>
  <c r="CW110" i="4"/>
  <c r="CX110" i="4"/>
  <c r="BG111" i="4"/>
  <c r="BH111" i="4"/>
  <c r="BI111" i="4"/>
  <c r="BJ111" i="4"/>
  <c r="BK111" i="4"/>
  <c r="BL111" i="4"/>
  <c r="BM111" i="4"/>
  <c r="BN111" i="4"/>
  <c r="BO111" i="4"/>
  <c r="BP111" i="4"/>
  <c r="BQ111" i="4"/>
  <c r="BR111" i="4"/>
  <c r="BS111" i="4"/>
  <c r="BT111" i="4"/>
  <c r="BU111" i="4"/>
  <c r="BV111" i="4"/>
  <c r="BW111" i="4"/>
  <c r="BX111" i="4"/>
  <c r="BY111" i="4"/>
  <c r="BZ111" i="4"/>
  <c r="CA111" i="4"/>
  <c r="CB111" i="4"/>
  <c r="CC111" i="4"/>
  <c r="CD111" i="4"/>
  <c r="CE111" i="4"/>
  <c r="CF111" i="4"/>
  <c r="CG111" i="4"/>
  <c r="CH111" i="4"/>
  <c r="CI111" i="4"/>
  <c r="CJ111" i="4"/>
  <c r="CK111" i="4"/>
  <c r="CL111" i="4"/>
  <c r="CM111" i="4"/>
  <c r="CN111" i="4"/>
  <c r="CO111" i="4"/>
  <c r="CP111" i="4"/>
  <c r="CQ111" i="4"/>
  <c r="CR111" i="4"/>
  <c r="CS111" i="4"/>
  <c r="CT111" i="4"/>
  <c r="CU111" i="4"/>
  <c r="CV111" i="4"/>
  <c r="CW111" i="4"/>
  <c r="CX111" i="4"/>
  <c r="BG112" i="4"/>
  <c r="BH112" i="4"/>
  <c r="BI112" i="4"/>
  <c r="BJ112" i="4"/>
  <c r="BK112" i="4"/>
  <c r="BL112" i="4"/>
  <c r="BM112" i="4"/>
  <c r="BN112" i="4"/>
  <c r="BO112" i="4"/>
  <c r="BP112" i="4"/>
  <c r="BQ112" i="4"/>
  <c r="BR112" i="4"/>
  <c r="BS112" i="4"/>
  <c r="BT112" i="4"/>
  <c r="BU112" i="4"/>
  <c r="BV112" i="4"/>
  <c r="BW112" i="4"/>
  <c r="BX112" i="4"/>
  <c r="BY112" i="4"/>
  <c r="BZ112" i="4"/>
  <c r="CA112" i="4"/>
  <c r="CB112" i="4"/>
  <c r="CC112" i="4"/>
  <c r="CD112" i="4"/>
  <c r="CE112" i="4"/>
  <c r="CF112" i="4"/>
  <c r="CG112" i="4"/>
  <c r="CH112" i="4"/>
  <c r="CI112" i="4"/>
  <c r="CJ112" i="4"/>
  <c r="CK112" i="4"/>
  <c r="CL112" i="4"/>
  <c r="CM112" i="4"/>
  <c r="CN112" i="4"/>
  <c r="CO112" i="4"/>
  <c r="CP112" i="4"/>
  <c r="CQ112" i="4"/>
  <c r="CR112" i="4"/>
  <c r="CS112" i="4"/>
  <c r="CT112" i="4"/>
  <c r="CU112" i="4"/>
  <c r="CV112" i="4"/>
  <c r="CW112" i="4"/>
  <c r="CX112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BS113" i="4"/>
  <c r="BT113" i="4"/>
  <c r="BU113" i="4"/>
  <c r="BV113" i="4"/>
  <c r="BW113" i="4"/>
  <c r="BX113" i="4"/>
  <c r="BY113" i="4"/>
  <c r="BZ113" i="4"/>
  <c r="CA113" i="4"/>
  <c r="CB113" i="4"/>
  <c r="CC113" i="4"/>
  <c r="CD113" i="4"/>
  <c r="CE113" i="4"/>
  <c r="CF113" i="4"/>
  <c r="CG113" i="4"/>
  <c r="CH113" i="4"/>
  <c r="CI113" i="4"/>
  <c r="CJ113" i="4"/>
  <c r="CK113" i="4"/>
  <c r="CL113" i="4"/>
  <c r="CM113" i="4"/>
  <c r="CN113" i="4"/>
  <c r="CO113" i="4"/>
  <c r="CP113" i="4"/>
  <c r="CQ113" i="4"/>
  <c r="CR113" i="4"/>
  <c r="CS113" i="4"/>
  <c r="CT113" i="4"/>
  <c r="CU113" i="4"/>
  <c r="CV113" i="4"/>
  <c r="CW113" i="4"/>
  <c r="CX113" i="4"/>
  <c r="BG114" i="4"/>
  <c r="BH114" i="4"/>
  <c r="BI114" i="4"/>
  <c r="BJ114" i="4"/>
  <c r="BK114" i="4"/>
  <c r="BL114" i="4"/>
  <c r="BM114" i="4"/>
  <c r="BN114" i="4"/>
  <c r="BO114" i="4"/>
  <c r="BP114" i="4"/>
  <c r="BQ114" i="4"/>
  <c r="BR114" i="4"/>
  <c r="BS114" i="4"/>
  <c r="BT114" i="4"/>
  <c r="BU114" i="4"/>
  <c r="BV114" i="4"/>
  <c r="BW114" i="4"/>
  <c r="BX114" i="4"/>
  <c r="BY114" i="4"/>
  <c r="BZ114" i="4"/>
  <c r="CA114" i="4"/>
  <c r="CB114" i="4"/>
  <c r="CC114" i="4"/>
  <c r="CD114" i="4"/>
  <c r="CE114" i="4"/>
  <c r="CF114" i="4"/>
  <c r="CG114" i="4"/>
  <c r="CH114" i="4"/>
  <c r="CI114" i="4"/>
  <c r="CJ114" i="4"/>
  <c r="CK114" i="4"/>
  <c r="CL114" i="4"/>
  <c r="CM114" i="4"/>
  <c r="CN114" i="4"/>
  <c r="CO114" i="4"/>
  <c r="CP114" i="4"/>
  <c r="CQ114" i="4"/>
  <c r="CR114" i="4"/>
  <c r="CS114" i="4"/>
  <c r="CT114" i="4"/>
  <c r="CU114" i="4"/>
  <c r="CV114" i="4"/>
  <c r="CW114" i="4"/>
  <c r="CX114" i="4"/>
  <c r="BG115" i="4"/>
  <c r="BH115" i="4"/>
  <c r="BI115" i="4"/>
  <c r="BJ115" i="4"/>
  <c r="BK115" i="4"/>
  <c r="BL115" i="4"/>
  <c r="BM115" i="4"/>
  <c r="BN115" i="4"/>
  <c r="BO115" i="4"/>
  <c r="BP115" i="4"/>
  <c r="BQ115" i="4"/>
  <c r="BR115" i="4"/>
  <c r="BS115" i="4"/>
  <c r="BT115" i="4"/>
  <c r="BU115" i="4"/>
  <c r="BV115" i="4"/>
  <c r="BW115" i="4"/>
  <c r="BX115" i="4"/>
  <c r="BY115" i="4"/>
  <c r="BZ115" i="4"/>
  <c r="CA115" i="4"/>
  <c r="CB115" i="4"/>
  <c r="CC115" i="4"/>
  <c r="CD115" i="4"/>
  <c r="CE115" i="4"/>
  <c r="CF115" i="4"/>
  <c r="CG115" i="4"/>
  <c r="CH115" i="4"/>
  <c r="CI115" i="4"/>
  <c r="CJ115" i="4"/>
  <c r="CK115" i="4"/>
  <c r="CL115" i="4"/>
  <c r="CM115" i="4"/>
  <c r="CN115" i="4"/>
  <c r="CO115" i="4"/>
  <c r="CP115" i="4"/>
  <c r="CQ115" i="4"/>
  <c r="CR115" i="4"/>
  <c r="CS115" i="4"/>
  <c r="CT115" i="4"/>
  <c r="CU115" i="4"/>
  <c r="CV115" i="4"/>
  <c r="CW115" i="4"/>
  <c r="CX115" i="4"/>
  <c r="BG116" i="4"/>
  <c r="BH116" i="4"/>
  <c r="BI116" i="4"/>
  <c r="BJ116" i="4"/>
  <c r="BK116" i="4"/>
  <c r="BL116" i="4"/>
  <c r="BM116" i="4"/>
  <c r="BN116" i="4"/>
  <c r="BO116" i="4"/>
  <c r="BP116" i="4"/>
  <c r="BQ116" i="4"/>
  <c r="BR116" i="4"/>
  <c r="BS116" i="4"/>
  <c r="BT116" i="4"/>
  <c r="BU116" i="4"/>
  <c r="BV116" i="4"/>
  <c r="BW116" i="4"/>
  <c r="BX116" i="4"/>
  <c r="BY116" i="4"/>
  <c r="BZ116" i="4"/>
  <c r="CA116" i="4"/>
  <c r="CB116" i="4"/>
  <c r="CC116" i="4"/>
  <c r="CD116" i="4"/>
  <c r="CE116" i="4"/>
  <c r="CF116" i="4"/>
  <c r="CG116" i="4"/>
  <c r="CH116" i="4"/>
  <c r="CI116" i="4"/>
  <c r="CJ116" i="4"/>
  <c r="CK116" i="4"/>
  <c r="CL116" i="4"/>
  <c r="CM116" i="4"/>
  <c r="CN116" i="4"/>
  <c r="CO116" i="4"/>
  <c r="CP116" i="4"/>
  <c r="CQ116" i="4"/>
  <c r="CR116" i="4"/>
  <c r="CS116" i="4"/>
  <c r="CT116" i="4"/>
  <c r="CU116" i="4"/>
  <c r="CV116" i="4"/>
  <c r="CW116" i="4"/>
  <c r="CX116" i="4"/>
  <c r="BG117" i="4"/>
  <c r="BH117" i="4"/>
  <c r="BI117" i="4"/>
  <c r="BJ117" i="4"/>
  <c r="BK117" i="4"/>
  <c r="BL117" i="4"/>
  <c r="BM117" i="4"/>
  <c r="BN117" i="4"/>
  <c r="BO117" i="4"/>
  <c r="BP117" i="4"/>
  <c r="BQ117" i="4"/>
  <c r="BR117" i="4"/>
  <c r="BS117" i="4"/>
  <c r="BT117" i="4"/>
  <c r="BU117" i="4"/>
  <c r="BV117" i="4"/>
  <c r="BW117" i="4"/>
  <c r="BX117" i="4"/>
  <c r="BY117" i="4"/>
  <c r="BZ117" i="4"/>
  <c r="CA117" i="4"/>
  <c r="CB117" i="4"/>
  <c r="CC117" i="4"/>
  <c r="CD117" i="4"/>
  <c r="CE117" i="4"/>
  <c r="CF117" i="4"/>
  <c r="CG117" i="4"/>
  <c r="CH117" i="4"/>
  <c r="CI117" i="4"/>
  <c r="CJ117" i="4"/>
  <c r="CK117" i="4"/>
  <c r="CL117" i="4"/>
  <c r="CM117" i="4"/>
  <c r="CN117" i="4"/>
  <c r="CO117" i="4"/>
  <c r="CP117" i="4"/>
  <c r="CQ117" i="4"/>
  <c r="CR117" i="4"/>
  <c r="CS117" i="4"/>
  <c r="CT117" i="4"/>
  <c r="CU117" i="4"/>
  <c r="CV117" i="4"/>
  <c r="CW117" i="4"/>
  <c r="CX117" i="4"/>
  <c r="BG118" i="4"/>
  <c r="BH118" i="4"/>
  <c r="BI118" i="4"/>
  <c r="BJ118" i="4"/>
  <c r="BK118" i="4"/>
  <c r="BL118" i="4"/>
  <c r="BM118" i="4"/>
  <c r="BN118" i="4"/>
  <c r="BO118" i="4"/>
  <c r="BP118" i="4"/>
  <c r="BQ118" i="4"/>
  <c r="BR118" i="4"/>
  <c r="BS118" i="4"/>
  <c r="BT118" i="4"/>
  <c r="BU118" i="4"/>
  <c r="BV118" i="4"/>
  <c r="BW118" i="4"/>
  <c r="BX118" i="4"/>
  <c r="BY118" i="4"/>
  <c r="BZ118" i="4"/>
  <c r="CA118" i="4"/>
  <c r="CB118" i="4"/>
  <c r="CC118" i="4"/>
  <c r="CD118" i="4"/>
  <c r="CE118" i="4"/>
  <c r="CF118" i="4"/>
  <c r="CG118" i="4"/>
  <c r="CH118" i="4"/>
  <c r="CI118" i="4"/>
  <c r="CJ118" i="4"/>
  <c r="CK118" i="4"/>
  <c r="CL118" i="4"/>
  <c r="CM118" i="4"/>
  <c r="CN118" i="4"/>
  <c r="CO118" i="4"/>
  <c r="CP118" i="4"/>
  <c r="CQ118" i="4"/>
  <c r="CR118" i="4"/>
  <c r="CS118" i="4"/>
  <c r="CT118" i="4"/>
  <c r="CU118" i="4"/>
  <c r="CV118" i="4"/>
  <c r="CW118" i="4"/>
  <c r="CX118" i="4"/>
  <c r="BG119" i="4"/>
  <c r="BH119" i="4"/>
  <c r="BI119" i="4"/>
  <c r="BJ119" i="4"/>
  <c r="BK119" i="4"/>
  <c r="BL119" i="4"/>
  <c r="BM119" i="4"/>
  <c r="BN119" i="4"/>
  <c r="BO119" i="4"/>
  <c r="BP119" i="4"/>
  <c r="BQ119" i="4"/>
  <c r="BR119" i="4"/>
  <c r="BS119" i="4"/>
  <c r="BT119" i="4"/>
  <c r="BU119" i="4"/>
  <c r="BV119" i="4"/>
  <c r="BW119" i="4"/>
  <c r="BX119" i="4"/>
  <c r="BY119" i="4"/>
  <c r="BZ119" i="4"/>
  <c r="CA119" i="4"/>
  <c r="CB119" i="4"/>
  <c r="CC119" i="4"/>
  <c r="CD119" i="4"/>
  <c r="CE119" i="4"/>
  <c r="CF119" i="4"/>
  <c r="CG119" i="4"/>
  <c r="CH119" i="4"/>
  <c r="CI119" i="4"/>
  <c r="CJ119" i="4"/>
  <c r="CK119" i="4"/>
  <c r="CL119" i="4"/>
  <c r="CM119" i="4"/>
  <c r="CN119" i="4"/>
  <c r="CO119" i="4"/>
  <c r="CP119" i="4"/>
  <c r="CQ119" i="4"/>
  <c r="CR119" i="4"/>
  <c r="CS119" i="4"/>
  <c r="CT119" i="4"/>
  <c r="CU119" i="4"/>
  <c r="CV119" i="4"/>
  <c r="CW119" i="4"/>
  <c r="CX119" i="4"/>
  <c r="BG120" i="4"/>
  <c r="BH120" i="4"/>
  <c r="BI120" i="4"/>
  <c r="BJ120" i="4"/>
  <c r="BK120" i="4"/>
  <c r="BL120" i="4"/>
  <c r="BM120" i="4"/>
  <c r="BN120" i="4"/>
  <c r="BO120" i="4"/>
  <c r="BP120" i="4"/>
  <c r="BQ120" i="4"/>
  <c r="BR120" i="4"/>
  <c r="BS120" i="4"/>
  <c r="BT120" i="4"/>
  <c r="BU120" i="4"/>
  <c r="BV120" i="4"/>
  <c r="BW120" i="4"/>
  <c r="BX120" i="4"/>
  <c r="BY120" i="4"/>
  <c r="BZ120" i="4"/>
  <c r="CA120" i="4"/>
  <c r="CB120" i="4"/>
  <c r="CC120" i="4"/>
  <c r="CD120" i="4"/>
  <c r="CE120" i="4"/>
  <c r="CF120" i="4"/>
  <c r="CG120" i="4"/>
  <c r="CH120" i="4"/>
  <c r="CI120" i="4"/>
  <c r="CJ120" i="4"/>
  <c r="CK120" i="4"/>
  <c r="CL120" i="4"/>
  <c r="CM120" i="4"/>
  <c r="CN120" i="4"/>
  <c r="CO120" i="4"/>
  <c r="CP120" i="4"/>
  <c r="CQ120" i="4"/>
  <c r="CR120" i="4"/>
  <c r="CS120" i="4"/>
  <c r="CT120" i="4"/>
  <c r="CU120" i="4"/>
  <c r="CV120" i="4"/>
  <c r="CW120" i="4"/>
  <c r="CX120" i="4"/>
  <c r="BG121" i="4"/>
  <c r="BH121" i="4"/>
  <c r="BI121" i="4"/>
  <c r="BJ121" i="4"/>
  <c r="BK121" i="4"/>
  <c r="BL121" i="4"/>
  <c r="BM121" i="4"/>
  <c r="BN121" i="4"/>
  <c r="BO121" i="4"/>
  <c r="BP121" i="4"/>
  <c r="BQ121" i="4"/>
  <c r="BR121" i="4"/>
  <c r="BS121" i="4"/>
  <c r="BT121" i="4"/>
  <c r="BU121" i="4"/>
  <c r="BV121" i="4"/>
  <c r="BW121" i="4"/>
  <c r="BX121" i="4"/>
  <c r="BY121" i="4"/>
  <c r="BZ121" i="4"/>
  <c r="CA121" i="4"/>
  <c r="CB121" i="4"/>
  <c r="CC121" i="4"/>
  <c r="CD121" i="4"/>
  <c r="CE121" i="4"/>
  <c r="CF121" i="4"/>
  <c r="CG121" i="4"/>
  <c r="CH121" i="4"/>
  <c r="CI121" i="4"/>
  <c r="CJ121" i="4"/>
  <c r="CK121" i="4"/>
  <c r="CL121" i="4"/>
  <c r="CM121" i="4"/>
  <c r="CN121" i="4"/>
  <c r="CO121" i="4"/>
  <c r="CP121" i="4"/>
  <c r="CQ121" i="4"/>
  <c r="CR121" i="4"/>
  <c r="CS121" i="4"/>
  <c r="CT121" i="4"/>
  <c r="CU121" i="4"/>
  <c r="CV121" i="4"/>
  <c r="CW121" i="4"/>
  <c r="CX121" i="4"/>
  <c r="BG122" i="4"/>
  <c r="BH122" i="4"/>
  <c r="BI122" i="4"/>
  <c r="BJ122" i="4"/>
  <c r="BK122" i="4"/>
  <c r="BL122" i="4"/>
  <c r="BM122" i="4"/>
  <c r="BN122" i="4"/>
  <c r="BO122" i="4"/>
  <c r="BP122" i="4"/>
  <c r="BQ122" i="4"/>
  <c r="BR122" i="4"/>
  <c r="BS122" i="4"/>
  <c r="BT122" i="4"/>
  <c r="BU122" i="4"/>
  <c r="BV122" i="4"/>
  <c r="BW122" i="4"/>
  <c r="BX122" i="4"/>
  <c r="BY122" i="4"/>
  <c r="BZ122" i="4"/>
  <c r="CA122" i="4"/>
  <c r="CB122" i="4"/>
  <c r="CC122" i="4"/>
  <c r="CD122" i="4"/>
  <c r="CE122" i="4"/>
  <c r="CF122" i="4"/>
  <c r="CG122" i="4"/>
  <c r="CH122" i="4"/>
  <c r="CI122" i="4"/>
  <c r="CJ122" i="4"/>
  <c r="CK122" i="4"/>
  <c r="CL122" i="4"/>
  <c r="CM122" i="4"/>
  <c r="CN122" i="4"/>
  <c r="CO122" i="4"/>
  <c r="CP122" i="4"/>
  <c r="CQ122" i="4"/>
  <c r="CR122" i="4"/>
  <c r="CS122" i="4"/>
  <c r="CT122" i="4"/>
  <c r="CU122" i="4"/>
  <c r="CV122" i="4"/>
  <c r="CW122" i="4"/>
  <c r="CX122" i="4"/>
  <c r="BG123" i="4"/>
  <c r="BH123" i="4"/>
  <c r="BI123" i="4"/>
  <c r="BJ123" i="4"/>
  <c r="BK123" i="4"/>
  <c r="BL123" i="4"/>
  <c r="BM123" i="4"/>
  <c r="BN123" i="4"/>
  <c r="BO123" i="4"/>
  <c r="BP123" i="4"/>
  <c r="BQ123" i="4"/>
  <c r="BR123" i="4"/>
  <c r="BS123" i="4"/>
  <c r="BT123" i="4"/>
  <c r="BU123" i="4"/>
  <c r="BV123" i="4"/>
  <c r="BW123" i="4"/>
  <c r="BX123" i="4"/>
  <c r="BY123" i="4"/>
  <c r="BZ123" i="4"/>
  <c r="CA123" i="4"/>
  <c r="CB123" i="4"/>
  <c r="CC123" i="4"/>
  <c r="CD123" i="4"/>
  <c r="CE123" i="4"/>
  <c r="CF123" i="4"/>
  <c r="CG123" i="4"/>
  <c r="CH123" i="4"/>
  <c r="CI123" i="4"/>
  <c r="CJ123" i="4"/>
  <c r="CK123" i="4"/>
  <c r="CL123" i="4"/>
  <c r="CM123" i="4"/>
  <c r="CN123" i="4"/>
  <c r="CO123" i="4"/>
  <c r="CP123" i="4"/>
  <c r="CQ123" i="4"/>
  <c r="CR123" i="4"/>
  <c r="CS123" i="4"/>
  <c r="CT123" i="4"/>
  <c r="CU123" i="4"/>
  <c r="CV123" i="4"/>
  <c r="CW123" i="4"/>
  <c r="CX123" i="4"/>
  <c r="BG124" i="4"/>
  <c r="BH124" i="4"/>
  <c r="BI124" i="4"/>
  <c r="BJ124" i="4"/>
  <c r="BK124" i="4"/>
  <c r="BL124" i="4"/>
  <c r="BM124" i="4"/>
  <c r="BN124" i="4"/>
  <c r="BO124" i="4"/>
  <c r="BP124" i="4"/>
  <c r="BQ124" i="4"/>
  <c r="BR124" i="4"/>
  <c r="BS124" i="4"/>
  <c r="BT124" i="4"/>
  <c r="BU124" i="4"/>
  <c r="BV124" i="4"/>
  <c r="BW124" i="4"/>
  <c r="BX124" i="4"/>
  <c r="BY124" i="4"/>
  <c r="BZ124" i="4"/>
  <c r="CA124" i="4"/>
  <c r="CB124" i="4"/>
  <c r="CC124" i="4"/>
  <c r="CD124" i="4"/>
  <c r="CE124" i="4"/>
  <c r="CF124" i="4"/>
  <c r="CG124" i="4"/>
  <c r="CH124" i="4"/>
  <c r="CI124" i="4"/>
  <c r="CJ124" i="4"/>
  <c r="CK124" i="4"/>
  <c r="CL124" i="4"/>
  <c r="CM124" i="4"/>
  <c r="CN124" i="4"/>
  <c r="CO124" i="4"/>
  <c r="CP124" i="4"/>
  <c r="CQ124" i="4"/>
  <c r="CR124" i="4"/>
  <c r="CS124" i="4"/>
  <c r="CT124" i="4"/>
  <c r="CU124" i="4"/>
  <c r="CV124" i="4"/>
  <c r="CW124" i="4"/>
  <c r="CX124" i="4"/>
  <c r="BG125" i="4"/>
  <c r="BH125" i="4"/>
  <c r="BI125" i="4"/>
  <c r="BJ125" i="4"/>
  <c r="BK125" i="4"/>
  <c r="BL125" i="4"/>
  <c r="BM125" i="4"/>
  <c r="BN125" i="4"/>
  <c r="BO125" i="4"/>
  <c r="BP125" i="4"/>
  <c r="BQ125" i="4"/>
  <c r="BR125" i="4"/>
  <c r="BS125" i="4"/>
  <c r="BT125" i="4"/>
  <c r="BU125" i="4"/>
  <c r="BV125" i="4"/>
  <c r="BW125" i="4"/>
  <c r="BX125" i="4"/>
  <c r="BY125" i="4"/>
  <c r="BZ125" i="4"/>
  <c r="CA125" i="4"/>
  <c r="CB125" i="4"/>
  <c r="CC125" i="4"/>
  <c r="CD125" i="4"/>
  <c r="CE125" i="4"/>
  <c r="CF125" i="4"/>
  <c r="CG125" i="4"/>
  <c r="CH125" i="4"/>
  <c r="CI125" i="4"/>
  <c r="CJ125" i="4"/>
  <c r="CK125" i="4"/>
  <c r="CL125" i="4"/>
  <c r="CM125" i="4"/>
  <c r="CN125" i="4"/>
  <c r="CO125" i="4"/>
  <c r="CP125" i="4"/>
  <c r="CQ125" i="4"/>
  <c r="CR125" i="4"/>
  <c r="CS125" i="4"/>
  <c r="CT125" i="4"/>
  <c r="CU125" i="4"/>
  <c r="CV125" i="4"/>
  <c r="CW125" i="4"/>
  <c r="CX125" i="4"/>
  <c r="BG126" i="4"/>
  <c r="BH126" i="4"/>
  <c r="BI126" i="4"/>
  <c r="BJ126" i="4"/>
  <c r="BK126" i="4"/>
  <c r="BL126" i="4"/>
  <c r="BM126" i="4"/>
  <c r="BN126" i="4"/>
  <c r="BO126" i="4"/>
  <c r="BP126" i="4"/>
  <c r="BQ126" i="4"/>
  <c r="BR126" i="4"/>
  <c r="BS126" i="4"/>
  <c r="BT126" i="4"/>
  <c r="BU126" i="4"/>
  <c r="BV126" i="4"/>
  <c r="BW126" i="4"/>
  <c r="BX126" i="4"/>
  <c r="BY126" i="4"/>
  <c r="BZ126" i="4"/>
  <c r="CA126" i="4"/>
  <c r="CB126" i="4"/>
  <c r="CC126" i="4"/>
  <c r="CD126" i="4"/>
  <c r="CE126" i="4"/>
  <c r="CF126" i="4"/>
  <c r="CG126" i="4"/>
  <c r="CH126" i="4"/>
  <c r="CI126" i="4"/>
  <c r="CJ126" i="4"/>
  <c r="CK126" i="4"/>
  <c r="CL126" i="4"/>
  <c r="CM126" i="4"/>
  <c r="CN126" i="4"/>
  <c r="CO126" i="4"/>
  <c r="CP126" i="4"/>
  <c r="CQ126" i="4"/>
  <c r="CR126" i="4"/>
  <c r="CS126" i="4"/>
  <c r="CT126" i="4"/>
  <c r="CU126" i="4"/>
  <c r="CV126" i="4"/>
  <c r="CW126" i="4"/>
  <c r="CX126" i="4"/>
  <c r="BG127" i="4"/>
  <c r="BH127" i="4"/>
  <c r="BI127" i="4"/>
  <c r="BJ127" i="4"/>
  <c r="BK127" i="4"/>
  <c r="BL127" i="4"/>
  <c r="BM127" i="4"/>
  <c r="BN127" i="4"/>
  <c r="BO127" i="4"/>
  <c r="BP127" i="4"/>
  <c r="BQ127" i="4"/>
  <c r="BR127" i="4"/>
  <c r="BS127" i="4"/>
  <c r="BT127" i="4"/>
  <c r="BU127" i="4"/>
  <c r="BV127" i="4"/>
  <c r="BW127" i="4"/>
  <c r="BX127" i="4"/>
  <c r="BY127" i="4"/>
  <c r="BZ127" i="4"/>
  <c r="CA127" i="4"/>
  <c r="CB127" i="4"/>
  <c r="CC127" i="4"/>
  <c r="CD127" i="4"/>
  <c r="CE127" i="4"/>
  <c r="CF127" i="4"/>
  <c r="CG127" i="4"/>
  <c r="CH127" i="4"/>
  <c r="CI127" i="4"/>
  <c r="CJ127" i="4"/>
  <c r="CK127" i="4"/>
  <c r="CL127" i="4"/>
  <c r="CM127" i="4"/>
  <c r="CN127" i="4"/>
  <c r="CO127" i="4"/>
  <c r="CP127" i="4"/>
  <c r="CQ127" i="4"/>
  <c r="CR127" i="4"/>
  <c r="CS127" i="4"/>
  <c r="CT127" i="4"/>
  <c r="CU127" i="4"/>
  <c r="CV127" i="4"/>
  <c r="CW127" i="4"/>
  <c r="CX127" i="4"/>
  <c r="BG128" i="4"/>
  <c r="BH128" i="4"/>
  <c r="BI128" i="4"/>
  <c r="BJ128" i="4"/>
  <c r="BK128" i="4"/>
  <c r="BL128" i="4"/>
  <c r="BM128" i="4"/>
  <c r="BN128" i="4"/>
  <c r="BO128" i="4"/>
  <c r="BP128" i="4"/>
  <c r="BQ128" i="4"/>
  <c r="BR128" i="4"/>
  <c r="BS128" i="4"/>
  <c r="BT128" i="4"/>
  <c r="BU128" i="4"/>
  <c r="BV128" i="4"/>
  <c r="BW128" i="4"/>
  <c r="BX128" i="4"/>
  <c r="BY128" i="4"/>
  <c r="BZ128" i="4"/>
  <c r="CA128" i="4"/>
  <c r="CB128" i="4"/>
  <c r="CC128" i="4"/>
  <c r="CD128" i="4"/>
  <c r="CE128" i="4"/>
  <c r="CF128" i="4"/>
  <c r="CG128" i="4"/>
  <c r="CH128" i="4"/>
  <c r="CI128" i="4"/>
  <c r="CJ128" i="4"/>
  <c r="CK128" i="4"/>
  <c r="CL128" i="4"/>
  <c r="CM128" i="4"/>
  <c r="CN128" i="4"/>
  <c r="CO128" i="4"/>
  <c r="CP128" i="4"/>
  <c r="CQ128" i="4"/>
  <c r="CR128" i="4"/>
  <c r="CS128" i="4"/>
  <c r="CT128" i="4"/>
  <c r="CU128" i="4"/>
  <c r="CV128" i="4"/>
  <c r="CW128" i="4"/>
  <c r="CX128" i="4"/>
  <c r="BG129" i="4"/>
  <c r="BH129" i="4"/>
  <c r="BI129" i="4"/>
  <c r="BJ129" i="4"/>
  <c r="BK129" i="4"/>
  <c r="BL129" i="4"/>
  <c r="BM129" i="4"/>
  <c r="BN129" i="4"/>
  <c r="BO129" i="4"/>
  <c r="BP129" i="4"/>
  <c r="BQ129" i="4"/>
  <c r="BR129" i="4"/>
  <c r="BS129" i="4"/>
  <c r="BT129" i="4"/>
  <c r="BU129" i="4"/>
  <c r="BV129" i="4"/>
  <c r="BW129" i="4"/>
  <c r="BX129" i="4"/>
  <c r="BY129" i="4"/>
  <c r="BZ129" i="4"/>
  <c r="CA129" i="4"/>
  <c r="CB129" i="4"/>
  <c r="CC129" i="4"/>
  <c r="CD129" i="4"/>
  <c r="CE129" i="4"/>
  <c r="CF129" i="4"/>
  <c r="CG129" i="4"/>
  <c r="CH129" i="4"/>
  <c r="CI129" i="4"/>
  <c r="CJ129" i="4"/>
  <c r="CK129" i="4"/>
  <c r="CL129" i="4"/>
  <c r="CM129" i="4"/>
  <c r="CN129" i="4"/>
  <c r="CO129" i="4"/>
  <c r="CP129" i="4"/>
  <c r="CQ129" i="4"/>
  <c r="CR129" i="4"/>
  <c r="CS129" i="4"/>
  <c r="CT129" i="4"/>
  <c r="CU129" i="4"/>
  <c r="CV129" i="4"/>
  <c r="CW129" i="4"/>
  <c r="CX129" i="4"/>
  <c r="BG130" i="4"/>
  <c r="BH130" i="4"/>
  <c r="BI130" i="4"/>
  <c r="BJ130" i="4"/>
  <c r="BK130" i="4"/>
  <c r="BL130" i="4"/>
  <c r="BM130" i="4"/>
  <c r="BN130" i="4"/>
  <c r="BO130" i="4"/>
  <c r="BP130" i="4"/>
  <c r="BQ130" i="4"/>
  <c r="BR130" i="4"/>
  <c r="BS130" i="4"/>
  <c r="BT130" i="4"/>
  <c r="BU130" i="4"/>
  <c r="BV130" i="4"/>
  <c r="BW130" i="4"/>
  <c r="BX130" i="4"/>
  <c r="BY130" i="4"/>
  <c r="BZ130" i="4"/>
  <c r="CA130" i="4"/>
  <c r="CB130" i="4"/>
  <c r="CC130" i="4"/>
  <c r="CD130" i="4"/>
  <c r="CE130" i="4"/>
  <c r="CF130" i="4"/>
  <c r="CG130" i="4"/>
  <c r="CH130" i="4"/>
  <c r="CI130" i="4"/>
  <c r="CJ130" i="4"/>
  <c r="CK130" i="4"/>
  <c r="CL130" i="4"/>
  <c r="CM130" i="4"/>
  <c r="CN130" i="4"/>
  <c r="CO130" i="4"/>
  <c r="CP130" i="4"/>
  <c r="CQ130" i="4"/>
  <c r="CR130" i="4"/>
  <c r="CS130" i="4"/>
  <c r="CT130" i="4"/>
  <c r="CU130" i="4"/>
  <c r="CV130" i="4"/>
  <c r="CW130" i="4"/>
  <c r="CX130" i="4"/>
  <c r="BG131" i="4"/>
  <c r="BH131" i="4"/>
  <c r="BI131" i="4"/>
  <c r="BJ131" i="4"/>
  <c r="BK131" i="4"/>
  <c r="BL131" i="4"/>
  <c r="BM131" i="4"/>
  <c r="BN131" i="4"/>
  <c r="BO131" i="4"/>
  <c r="BP131" i="4"/>
  <c r="BQ131" i="4"/>
  <c r="BR131" i="4"/>
  <c r="BS131" i="4"/>
  <c r="BT131" i="4"/>
  <c r="BU131" i="4"/>
  <c r="BV131" i="4"/>
  <c r="BW131" i="4"/>
  <c r="BX131" i="4"/>
  <c r="BY131" i="4"/>
  <c r="BZ131" i="4"/>
  <c r="CA131" i="4"/>
  <c r="CB131" i="4"/>
  <c r="CC131" i="4"/>
  <c r="CD131" i="4"/>
  <c r="CE131" i="4"/>
  <c r="CF131" i="4"/>
  <c r="CG131" i="4"/>
  <c r="CH131" i="4"/>
  <c r="CI131" i="4"/>
  <c r="CJ131" i="4"/>
  <c r="CK131" i="4"/>
  <c r="CL131" i="4"/>
  <c r="CM131" i="4"/>
  <c r="CN131" i="4"/>
  <c r="CO131" i="4"/>
  <c r="CP131" i="4"/>
  <c r="CQ131" i="4"/>
  <c r="CR131" i="4"/>
  <c r="CS131" i="4"/>
  <c r="CT131" i="4"/>
  <c r="CU131" i="4"/>
  <c r="CV131" i="4"/>
  <c r="CW131" i="4"/>
  <c r="CX131" i="4"/>
  <c r="BG132" i="4"/>
  <c r="BH132" i="4"/>
  <c r="BI132" i="4"/>
  <c r="BJ132" i="4"/>
  <c r="BK132" i="4"/>
  <c r="BL132" i="4"/>
  <c r="BM132" i="4"/>
  <c r="BN132" i="4"/>
  <c r="BO132" i="4"/>
  <c r="BP132" i="4"/>
  <c r="BQ132" i="4"/>
  <c r="BR132" i="4"/>
  <c r="BS132" i="4"/>
  <c r="BT132" i="4"/>
  <c r="BU132" i="4"/>
  <c r="BV132" i="4"/>
  <c r="BW132" i="4"/>
  <c r="BX132" i="4"/>
  <c r="BY132" i="4"/>
  <c r="BZ132" i="4"/>
  <c r="CA132" i="4"/>
  <c r="CB132" i="4"/>
  <c r="CC132" i="4"/>
  <c r="CD132" i="4"/>
  <c r="CE132" i="4"/>
  <c r="CF132" i="4"/>
  <c r="CG132" i="4"/>
  <c r="CH132" i="4"/>
  <c r="CI132" i="4"/>
  <c r="CJ132" i="4"/>
  <c r="CK132" i="4"/>
  <c r="CL132" i="4"/>
  <c r="CM132" i="4"/>
  <c r="CN132" i="4"/>
  <c r="CO132" i="4"/>
  <c r="CP132" i="4"/>
  <c r="CQ132" i="4"/>
  <c r="CR132" i="4"/>
  <c r="CS132" i="4"/>
  <c r="CT132" i="4"/>
  <c r="CU132" i="4"/>
  <c r="CV132" i="4"/>
  <c r="CW132" i="4"/>
  <c r="CX132" i="4"/>
  <c r="BG133" i="4"/>
  <c r="BH133" i="4"/>
  <c r="BI133" i="4"/>
  <c r="BJ133" i="4"/>
  <c r="BK133" i="4"/>
  <c r="BL133" i="4"/>
  <c r="BM133" i="4"/>
  <c r="BN133" i="4"/>
  <c r="BO133" i="4"/>
  <c r="BP133" i="4"/>
  <c r="BQ133" i="4"/>
  <c r="BR133" i="4"/>
  <c r="BS133" i="4"/>
  <c r="BT133" i="4"/>
  <c r="BU133" i="4"/>
  <c r="BV133" i="4"/>
  <c r="BW133" i="4"/>
  <c r="BX133" i="4"/>
  <c r="BY133" i="4"/>
  <c r="BZ133" i="4"/>
  <c r="CA133" i="4"/>
  <c r="CB133" i="4"/>
  <c r="CC133" i="4"/>
  <c r="CD133" i="4"/>
  <c r="CE133" i="4"/>
  <c r="CF133" i="4"/>
  <c r="CG133" i="4"/>
  <c r="CH133" i="4"/>
  <c r="CI133" i="4"/>
  <c r="CJ133" i="4"/>
  <c r="CK133" i="4"/>
  <c r="CL133" i="4"/>
  <c r="CM133" i="4"/>
  <c r="CN133" i="4"/>
  <c r="CO133" i="4"/>
  <c r="CP133" i="4"/>
  <c r="CQ133" i="4"/>
  <c r="CR133" i="4"/>
  <c r="CS133" i="4"/>
  <c r="CT133" i="4"/>
  <c r="CU133" i="4"/>
  <c r="CV133" i="4"/>
  <c r="CW133" i="4"/>
  <c r="CX133" i="4"/>
  <c r="BG134" i="4"/>
  <c r="BH134" i="4"/>
  <c r="BI134" i="4"/>
  <c r="BJ134" i="4"/>
  <c r="BK134" i="4"/>
  <c r="BL134" i="4"/>
  <c r="BM134" i="4"/>
  <c r="BN134" i="4"/>
  <c r="BO134" i="4"/>
  <c r="BP134" i="4"/>
  <c r="BQ134" i="4"/>
  <c r="BR134" i="4"/>
  <c r="BS134" i="4"/>
  <c r="BT134" i="4"/>
  <c r="BU134" i="4"/>
  <c r="BV134" i="4"/>
  <c r="BW134" i="4"/>
  <c r="BX134" i="4"/>
  <c r="BY134" i="4"/>
  <c r="BZ134" i="4"/>
  <c r="CA134" i="4"/>
  <c r="CB134" i="4"/>
  <c r="CC134" i="4"/>
  <c r="CD134" i="4"/>
  <c r="CE134" i="4"/>
  <c r="CF134" i="4"/>
  <c r="CG134" i="4"/>
  <c r="CH134" i="4"/>
  <c r="CI134" i="4"/>
  <c r="CJ134" i="4"/>
  <c r="CK134" i="4"/>
  <c r="CL134" i="4"/>
  <c r="CM134" i="4"/>
  <c r="CN134" i="4"/>
  <c r="CO134" i="4"/>
  <c r="CP134" i="4"/>
  <c r="CQ134" i="4"/>
  <c r="CR134" i="4"/>
  <c r="CS134" i="4"/>
  <c r="CT134" i="4"/>
  <c r="CU134" i="4"/>
  <c r="CV134" i="4"/>
  <c r="CW134" i="4"/>
  <c r="CX134" i="4"/>
  <c r="BG135" i="4"/>
  <c r="BH135" i="4"/>
  <c r="BI135" i="4"/>
  <c r="BJ135" i="4"/>
  <c r="BK135" i="4"/>
  <c r="BL135" i="4"/>
  <c r="BM135" i="4"/>
  <c r="BN135" i="4"/>
  <c r="BO135" i="4"/>
  <c r="BP135" i="4"/>
  <c r="BQ135" i="4"/>
  <c r="BR135" i="4"/>
  <c r="BS135" i="4"/>
  <c r="BT135" i="4"/>
  <c r="BU135" i="4"/>
  <c r="BV135" i="4"/>
  <c r="BW135" i="4"/>
  <c r="BX135" i="4"/>
  <c r="BY135" i="4"/>
  <c r="BZ135" i="4"/>
  <c r="CA135" i="4"/>
  <c r="CB135" i="4"/>
  <c r="CC135" i="4"/>
  <c r="CD135" i="4"/>
  <c r="CE135" i="4"/>
  <c r="CF135" i="4"/>
  <c r="CG135" i="4"/>
  <c r="CH135" i="4"/>
  <c r="CI135" i="4"/>
  <c r="CJ135" i="4"/>
  <c r="CK135" i="4"/>
  <c r="CL135" i="4"/>
  <c r="CM135" i="4"/>
  <c r="CN135" i="4"/>
  <c r="CO135" i="4"/>
  <c r="CP135" i="4"/>
  <c r="CQ135" i="4"/>
  <c r="CR135" i="4"/>
  <c r="CS135" i="4"/>
  <c r="CT135" i="4"/>
  <c r="CU135" i="4"/>
  <c r="CV135" i="4"/>
  <c r="CW135" i="4"/>
  <c r="CX135" i="4"/>
  <c r="BG136" i="4"/>
  <c r="BH136" i="4"/>
  <c r="BI136" i="4"/>
  <c r="BJ136" i="4"/>
  <c r="BK136" i="4"/>
  <c r="BL136" i="4"/>
  <c r="BM136" i="4"/>
  <c r="BN136" i="4"/>
  <c r="BO136" i="4"/>
  <c r="BP136" i="4"/>
  <c r="BQ136" i="4"/>
  <c r="BR136" i="4"/>
  <c r="BS136" i="4"/>
  <c r="BT136" i="4"/>
  <c r="BU136" i="4"/>
  <c r="BV136" i="4"/>
  <c r="BW136" i="4"/>
  <c r="BX136" i="4"/>
  <c r="BY136" i="4"/>
  <c r="BZ136" i="4"/>
  <c r="CA136" i="4"/>
  <c r="CB136" i="4"/>
  <c r="CC136" i="4"/>
  <c r="CD136" i="4"/>
  <c r="CE136" i="4"/>
  <c r="CF136" i="4"/>
  <c r="CG136" i="4"/>
  <c r="CH136" i="4"/>
  <c r="CI136" i="4"/>
  <c r="CJ136" i="4"/>
  <c r="CK136" i="4"/>
  <c r="CL136" i="4"/>
  <c r="CM136" i="4"/>
  <c r="CN136" i="4"/>
  <c r="CO136" i="4"/>
  <c r="CP136" i="4"/>
  <c r="CQ136" i="4"/>
  <c r="CR136" i="4"/>
  <c r="CS136" i="4"/>
  <c r="CT136" i="4"/>
  <c r="CU136" i="4"/>
  <c r="CV136" i="4"/>
  <c r="CW136" i="4"/>
  <c r="CX136" i="4"/>
  <c r="BG137" i="4"/>
  <c r="BH137" i="4"/>
  <c r="BI137" i="4"/>
  <c r="BJ137" i="4"/>
  <c r="BK137" i="4"/>
  <c r="BL137" i="4"/>
  <c r="BM137" i="4"/>
  <c r="BN137" i="4"/>
  <c r="BO137" i="4"/>
  <c r="BP137" i="4"/>
  <c r="BQ137" i="4"/>
  <c r="BR137" i="4"/>
  <c r="BS137" i="4"/>
  <c r="BT137" i="4"/>
  <c r="BU137" i="4"/>
  <c r="BV137" i="4"/>
  <c r="BW137" i="4"/>
  <c r="BX137" i="4"/>
  <c r="BY137" i="4"/>
  <c r="BZ137" i="4"/>
  <c r="CA137" i="4"/>
  <c r="CB137" i="4"/>
  <c r="CC137" i="4"/>
  <c r="CD137" i="4"/>
  <c r="CE137" i="4"/>
  <c r="CF137" i="4"/>
  <c r="CG137" i="4"/>
  <c r="CH137" i="4"/>
  <c r="CI137" i="4"/>
  <c r="CJ137" i="4"/>
  <c r="CK137" i="4"/>
  <c r="CL137" i="4"/>
  <c r="CM137" i="4"/>
  <c r="CN137" i="4"/>
  <c r="CO137" i="4"/>
  <c r="CP137" i="4"/>
  <c r="CQ137" i="4"/>
  <c r="CR137" i="4"/>
  <c r="CS137" i="4"/>
  <c r="CT137" i="4"/>
  <c r="CU137" i="4"/>
  <c r="CV137" i="4"/>
  <c r="CW137" i="4"/>
  <c r="CX137" i="4"/>
  <c r="BG138" i="4"/>
  <c r="BH138" i="4"/>
  <c r="BI138" i="4"/>
  <c r="BJ138" i="4"/>
  <c r="BK138" i="4"/>
  <c r="BL138" i="4"/>
  <c r="BM138" i="4"/>
  <c r="BN138" i="4"/>
  <c r="BO138" i="4"/>
  <c r="BP138" i="4"/>
  <c r="BQ138" i="4"/>
  <c r="BR138" i="4"/>
  <c r="BS138" i="4"/>
  <c r="BT138" i="4"/>
  <c r="BU138" i="4"/>
  <c r="BV138" i="4"/>
  <c r="BW138" i="4"/>
  <c r="BX138" i="4"/>
  <c r="BY138" i="4"/>
  <c r="BZ138" i="4"/>
  <c r="CA138" i="4"/>
  <c r="CB138" i="4"/>
  <c r="CC138" i="4"/>
  <c r="CD138" i="4"/>
  <c r="CE138" i="4"/>
  <c r="CF138" i="4"/>
  <c r="CG138" i="4"/>
  <c r="CH138" i="4"/>
  <c r="CI138" i="4"/>
  <c r="CJ138" i="4"/>
  <c r="CK138" i="4"/>
  <c r="CL138" i="4"/>
  <c r="CM138" i="4"/>
  <c r="CN138" i="4"/>
  <c r="CO138" i="4"/>
  <c r="CP138" i="4"/>
  <c r="CQ138" i="4"/>
  <c r="CR138" i="4"/>
  <c r="CS138" i="4"/>
  <c r="CT138" i="4"/>
  <c r="CU138" i="4"/>
  <c r="CV138" i="4"/>
  <c r="CW138" i="4"/>
  <c r="CX138" i="4"/>
  <c r="BG139" i="4"/>
  <c r="BH139" i="4"/>
  <c r="BI139" i="4"/>
  <c r="BJ139" i="4"/>
  <c r="BK139" i="4"/>
  <c r="BL139" i="4"/>
  <c r="BM139" i="4"/>
  <c r="BN139" i="4"/>
  <c r="BO139" i="4"/>
  <c r="BP139" i="4"/>
  <c r="BQ139" i="4"/>
  <c r="BR139" i="4"/>
  <c r="BS139" i="4"/>
  <c r="BT139" i="4"/>
  <c r="BU139" i="4"/>
  <c r="BV139" i="4"/>
  <c r="BW139" i="4"/>
  <c r="BX139" i="4"/>
  <c r="BY139" i="4"/>
  <c r="BZ139" i="4"/>
  <c r="CA139" i="4"/>
  <c r="CB139" i="4"/>
  <c r="CC139" i="4"/>
  <c r="CD139" i="4"/>
  <c r="CE139" i="4"/>
  <c r="CF139" i="4"/>
  <c r="CG139" i="4"/>
  <c r="CH139" i="4"/>
  <c r="CI139" i="4"/>
  <c r="CJ139" i="4"/>
  <c r="CK139" i="4"/>
  <c r="CL139" i="4"/>
  <c r="CM139" i="4"/>
  <c r="CN139" i="4"/>
  <c r="CO139" i="4"/>
  <c r="CP139" i="4"/>
  <c r="CQ139" i="4"/>
  <c r="CR139" i="4"/>
  <c r="CS139" i="4"/>
  <c r="CT139" i="4"/>
  <c r="CU139" i="4"/>
  <c r="CV139" i="4"/>
  <c r="CW139" i="4"/>
  <c r="CX139" i="4"/>
  <c r="BG140" i="4"/>
  <c r="BH140" i="4"/>
  <c r="BI140" i="4"/>
  <c r="BJ140" i="4"/>
  <c r="BK140" i="4"/>
  <c r="BL140" i="4"/>
  <c r="BM140" i="4"/>
  <c r="BN140" i="4"/>
  <c r="BO140" i="4"/>
  <c r="BP140" i="4"/>
  <c r="BQ140" i="4"/>
  <c r="BR140" i="4"/>
  <c r="BS140" i="4"/>
  <c r="BT140" i="4"/>
  <c r="BU140" i="4"/>
  <c r="BV140" i="4"/>
  <c r="BW140" i="4"/>
  <c r="BX140" i="4"/>
  <c r="BY140" i="4"/>
  <c r="BZ140" i="4"/>
  <c r="CA140" i="4"/>
  <c r="CB140" i="4"/>
  <c r="CC140" i="4"/>
  <c r="CD140" i="4"/>
  <c r="CE140" i="4"/>
  <c r="CF140" i="4"/>
  <c r="CG140" i="4"/>
  <c r="CH140" i="4"/>
  <c r="CI140" i="4"/>
  <c r="CJ140" i="4"/>
  <c r="CK140" i="4"/>
  <c r="CL140" i="4"/>
  <c r="CM140" i="4"/>
  <c r="CN140" i="4"/>
  <c r="CO140" i="4"/>
  <c r="CP140" i="4"/>
  <c r="CQ140" i="4"/>
  <c r="CR140" i="4"/>
  <c r="CS140" i="4"/>
  <c r="CT140" i="4"/>
  <c r="CU140" i="4"/>
  <c r="CV140" i="4"/>
  <c r="CW140" i="4"/>
  <c r="CX140" i="4"/>
  <c r="BG141" i="4"/>
  <c r="BH141" i="4"/>
  <c r="BI141" i="4"/>
  <c r="BJ141" i="4"/>
  <c r="BK141" i="4"/>
  <c r="BL141" i="4"/>
  <c r="BM141" i="4"/>
  <c r="BN141" i="4"/>
  <c r="BO141" i="4"/>
  <c r="BP141" i="4"/>
  <c r="BQ141" i="4"/>
  <c r="BR141" i="4"/>
  <c r="BS141" i="4"/>
  <c r="BT141" i="4"/>
  <c r="BU141" i="4"/>
  <c r="BV141" i="4"/>
  <c r="BW141" i="4"/>
  <c r="BX141" i="4"/>
  <c r="BY141" i="4"/>
  <c r="BZ141" i="4"/>
  <c r="CA141" i="4"/>
  <c r="CB141" i="4"/>
  <c r="CC141" i="4"/>
  <c r="CD141" i="4"/>
  <c r="CE141" i="4"/>
  <c r="CF141" i="4"/>
  <c r="CG141" i="4"/>
  <c r="CH141" i="4"/>
  <c r="CI141" i="4"/>
  <c r="CJ141" i="4"/>
  <c r="CK141" i="4"/>
  <c r="CL141" i="4"/>
  <c r="CM141" i="4"/>
  <c r="CN141" i="4"/>
  <c r="CO141" i="4"/>
  <c r="CP141" i="4"/>
  <c r="CQ141" i="4"/>
  <c r="CR141" i="4"/>
  <c r="CS141" i="4"/>
  <c r="CT141" i="4"/>
  <c r="CU141" i="4"/>
  <c r="CV141" i="4"/>
  <c r="CW141" i="4"/>
  <c r="CX141" i="4"/>
  <c r="BG142" i="4"/>
  <c r="BH142" i="4"/>
  <c r="BI142" i="4"/>
  <c r="BJ142" i="4"/>
  <c r="BK142" i="4"/>
  <c r="BL142" i="4"/>
  <c r="BM142" i="4"/>
  <c r="BN142" i="4"/>
  <c r="BO142" i="4"/>
  <c r="BP142" i="4"/>
  <c r="BQ142" i="4"/>
  <c r="BR142" i="4"/>
  <c r="BS142" i="4"/>
  <c r="BT142" i="4"/>
  <c r="BU142" i="4"/>
  <c r="BV142" i="4"/>
  <c r="BW142" i="4"/>
  <c r="BX142" i="4"/>
  <c r="BY142" i="4"/>
  <c r="BZ142" i="4"/>
  <c r="CA142" i="4"/>
  <c r="CB142" i="4"/>
  <c r="CC142" i="4"/>
  <c r="CD142" i="4"/>
  <c r="CE142" i="4"/>
  <c r="CF142" i="4"/>
  <c r="CG142" i="4"/>
  <c r="CH142" i="4"/>
  <c r="CI142" i="4"/>
  <c r="CJ142" i="4"/>
  <c r="CK142" i="4"/>
  <c r="CL142" i="4"/>
  <c r="CM142" i="4"/>
  <c r="CN142" i="4"/>
  <c r="CO142" i="4"/>
  <c r="CP142" i="4"/>
  <c r="CQ142" i="4"/>
  <c r="CR142" i="4"/>
  <c r="CS142" i="4"/>
  <c r="CT142" i="4"/>
  <c r="CU142" i="4"/>
  <c r="CV142" i="4"/>
  <c r="CW142" i="4"/>
  <c r="CX142" i="4"/>
  <c r="BG143" i="4"/>
  <c r="BH143" i="4"/>
  <c r="BI143" i="4"/>
  <c r="BJ143" i="4"/>
  <c r="BK143" i="4"/>
  <c r="BL143" i="4"/>
  <c r="BM143" i="4"/>
  <c r="BN143" i="4"/>
  <c r="BO143" i="4"/>
  <c r="BP143" i="4"/>
  <c r="BQ143" i="4"/>
  <c r="BR143" i="4"/>
  <c r="BS143" i="4"/>
  <c r="BT143" i="4"/>
  <c r="BU143" i="4"/>
  <c r="BV143" i="4"/>
  <c r="BW143" i="4"/>
  <c r="BX143" i="4"/>
  <c r="BY143" i="4"/>
  <c r="BZ143" i="4"/>
  <c r="CA143" i="4"/>
  <c r="CB143" i="4"/>
  <c r="CC143" i="4"/>
  <c r="CD143" i="4"/>
  <c r="CE143" i="4"/>
  <c r="CF143" i="4"/>
  <c r="CG143" i="4"/>
  <c r="CH143" i="4"/>
  <c r="CI143" i="4"/>
  <c r="CJ143" i="4"/>
  <c r="CK143" i="4"/>
  <c r="CL143" i="4"/>
  <c r="CM143" i="4"/>
  <c r="CN143" i="4"/>
  <c r="CO143" i="4"/>
  <c r="CP143" i="4"/>
  <c r="CQ143" i="4"/>
  <c r="CR143" i="4"/>
  <c r="CS143" i="4"/>
  <c r="CT143" i="4"/>
  <c r="CU143" i="4"/>
  <c r="CV143" i="4"/>
  <c r="CW143" i="4"/>
  <c r="CX143" i="4"/>
  <c r="BG144" i="4"/>
  <c r="BH144" i="4"/>
  <c r="BI144" i="4"/>
  <c r="BJ144" i="4"/>
  <c r="BK144" i="4"/>
  <c r="BL144" i="4"/>
  <c r="BM144" i="4"/>
  <c r="BN144" i="4"/>
  <c r="BO144" i="4"/>
  <c r="BP144" i="4"/>
  <c r="BQ144" i="4"/>
  <c r="BR144" i="4"/>
  <c r="BS144" i="4"/>
  <c r="BT144" i="4"/>
  <c r="BU144" i="4"/>
  <c r="BV144" i="4"/>
  <c r="BW144" i="4"/>
  <c r="BX144" i="4"/>
  <c r="BY144" i="4"/>
  <c r="BZ144" i="4"/>
  <c r="CA144" i="4"/>
  <c r="CB144" i="4"/>
  <c r="CC144" i="4"/>
  <c r="CD144" i="4"/>
  <c r="CE144" i="4"/>
  <c r="CF144" i="4"/>
  <c r="CG144" i="4"/>
  <c r="CH144" i="4"/>
  <c r="CI144" i="4"/>
  <c r="CJ144" i="4"/>
  <c r="CK144" i="4"/>
  <c r="CL144" i="4"/>
  <c r="CM144" i="4"/>
  <c r="CN144" i="4"/>
  <c r="CO144" i="4"/>
  <c r="CP144" i="4"/>
  <c r="CQ144" i="4"/>
  <c r="CR144" i="4"/>
  <c r="CS144" i="4"/>
  <c r="CT144" i="4"/>
  <c r="CU144" i="4"/>
  <c r="CV144" i="4"/>
  <c r="CW144" i="4"/>
  <c r="CX144" i="4"/>
  <c r="BG145" i="4"/>
  <c r="BH145" i="4"/>
  <c r="BI145" i="4"/>
  <c r="BJ145" i="4"/>
  <c r="BK145" i="4"/>
  <c r="BL145" i="4"/>
  <c r="BM145" i="4"/>
  <c r="BN145" i="4"/>
  <c r="BO145" i="4"/>
  <c r="BP145" i="4"/>
  <c r="BQ145" i="4"/>
  <c r="BR145" i="4"/>
  <c r="BS145" i="4"/>
  <c r="BT145" i="4"/>
  <c r="BU145" i="4"/>
  <c r="BV145" i="4"/>
  <c r="BW145" i="4"/>
  <c r="BX145" i="4"/>
  <c r="BY145" i="4"/>
  <c r="BZ145" i="4"/>
  <c r="CA145" i="4"/>
  <c r="CB145" i="4"/>
  <c r="CC145" i="4"/>
  <c r="CD145" i="4"/>
  <c r="CE145" i="4"/>
  <c r="CF145" i="4"/>
  <c r="CG145" i="4"/>
  <c r="CH145" i="4"/>
  <c r="CI145" i="4"/>
  <c r="CJ145" i="4"/>
  <c r="CK145" i="4"/>
  <c r="CL145" i="4"/>
  <c r="CM145" i="4"/>
  <c r="CN145" i="4"/>
  <c r="CO145" i="4"/>
  <c r="CP145" i="4"/>
  <c r="CQ145" i="4"/>
  <c r="CR145" i="4"/>
  <c r="CS145" i="4"/>
  <c r="CT145" i="4"/>
  <c r="CU145" i="4"/>
  <c r="CV145" i="4"/>
  <c r="CW145" i="4"/>
  <c r="CX145" i="4"/>
  <c r="BG146" i="4"/>
  <c r="BH146" i="4"/>
  <c r="BI146" i="4"/>
  <c r="BJ146" i="4"/>
  <c r="BK146" i="4"/>
  <c r="BL146" i="4"/>
  <c r="BM146" i="4"/>
  <c r="BN146" i="4"/>
  <c r="BO146" i="4"/>
  <c r="BP146" i="4"/>
  <c r="BQ146" i="4"/>
  <c r="BR146" i="4"/>
  <c r="BS146" i="4"/>
  <c r="BT146" i="4"/>
  <c r="BU146" i="4"/>
  <c r="BV146" i="4"/>
  <c r="BW146" i="4"/>
  <c r="BX146" i="4"/>
  <c r="BY146" i="4"/>
  <c r="BZ146" i="4"/>
  <c r="CA146" i="4"/>
  <c r="CB146" i="4"/>
  <c r="CC146" i="4"/>
  <c r="CD146" i="4"/>
  <c r="CE146" i="4"/>
  <c r="CF146" i="4"/>
  <c r="CG146" i="4"/>
  <c r="CH146" i="4"/>
  <c r="CI146" i="4"/>
  <c r="CJ146" i="4"/>
  <c r="CK146" i="4"/>
  <c r="CL146" i="4"/>
  <c r="CM146" i="4"/>
  <c r="CN146" i="4"/>
  <c r="CO146" i="4"/>
  <c r="CP146" i="4"/>
  <c r="CQ146" i="4"/>
  <c r="CR146" i="4"/>
  <c r="CS146" i="4"/>
  <c r="CT146" i="4"/>
  <c r="CU146" i="4"/>
  <c r="CV146" i="4"/>
  <c r="CW146" i="4"/>
  <c r="CX146" i="4"/>
  <c r="BG147" i="4"/>
  <c r="BH147" i="4"/>
  <c r="BI147" i="4"/>
  <c r="BJ147" i="4"/>
  <c r="BK147" i="4"/>
  <c r="BL147" i="4"/>
  <c r="BM147" i="4"/>
  <c r="BN147" i="4"/>
  <c r="BO147" i="4"/>
  <c r="BP147" i="4"/>
  <c r="BQ147" i="4"/>
  <c r="BR147" i="4"/>
  <c r="BS147" i="4"/>
  <c r="BT147" i="4"/>
  <c r="BU147" i="4"/>
  <c r="BV147" i="4"/>
  <c r="BW147" i="4"/>
  <c r="BX147" i="4"/>
  <c r="BY147" i="4"/>
  <c r="BZ147" i="4"/>
  <c r="CA147" i="4"/>
  <c r="CB147" i="4"/>
  <c r="CC147" i="4"/>
  <c r="CD147" i="4"/>
  <c r="CE147" i="4"/>
  <c r="CF147" i="4"/>
  <c r="CG147" i="4"/>
  <c r="CH147" i="4"/>
  <c r="CI147" i="4"/>
  <c r="CJ147" i="4"/>
  <c r="CK147" i="4"/>
  <c r="CL147" i="4"/>
  <c r="CM147" i="4"/>
  <c r="CN147" i="4"/>
  <c r="CO147" i="4"/>
  <c r="CP147" i="4"/>
  <c r="CQ147" i="4"/>
  <c r="CR147" i="4"/>
  <c r="CS147" i="4"/>
  <c r="CT147" i="4"/>
  <c r="CU147" i="4"/>
  <c r="CV147" i="4"/>
  <c r="CW147" i="4"/>
  <c r="CX147" i="4"/>
  <c r="BG148" i="4"/>
  <c r="BH148" i="4"/>
  <c r="BI148" i="4"/>
  <c r="BJ148" i="4"/>
  <c r="BK148" i="4"/>
  <c r="BL148" i="4"/>
  <c r="BM148" i="4"/>
  <c r="BN148" i="4"/>
  <c r="BO148" i="4"/>
  <c r="BP148" i="4"/>
  <c r="BQ148" i="4"/>
  <c r="BR148" i="4"/>
  <c r="BS148" i="4"/>
  <c r="BT148" i="4"/>
  <c r="BU148" i="4"/>
  <c r="BV148" i="4"/>
  <c r="BW148" i="4"/>
  <c r="BX148" i="4"/>
  <c r="BY148" i="4"/>
  <c r="BZ148" i="4"/>
  <c r="CA148" i="4"/>
  <c r="CB148" i="4"/>
  <c r="CC148" i="4"/>
  <c r="CD148" i="4"/>
  <c r="CE148" i="4"/>
  <c r="CF148" i="4"/>
  <c r="CG148" i="4"/>
  <c r="CH148" i="4"/>
  <c r="CI148" i="4"/>
  <c r="CJ148" i="4"/>
  <c r="CK148" i="4"/>
  <c r="CL148" i="4"/>
  <c r="CM148" i="4"/>
  <c r="CN148" i="4"/>
  <c r="CO148" i="4"/>
  <c r="CP148" i="4"/>
  <c r="CQ148" i="4"/>
  <c r="CR148" i="4"/>
  <c r="CS148" i="4"/>
  <c r="CT148" i="4"/>
  <c r="CU148" i="4"/>
  <c r="CV148" i="4"/>
  <c r="CW148" i="4"/>
  <c r="CX148" i="4"/>
  <c r="BG149" i="4"/>
  <c r="BH149" i="4"/>
  <c r="BI149" i="4"/>
  <c r="BJ149" i="4"/>
  <c r="BK149" i="4"/>
  <c r="BL149" i="4"/>
  <c r="BM149" i="4"/>
  <c r="BN149" i="4"/>
  <c r="BO149" i="4"/>
  <c r="BP149" i="4"/>
  <c r="BQ149" i="4"/>
  <c r="BR149" i="4"/>
  <c r="BS149" i="4"/>
  <c r="BT149" i="4"/>
  <c r="BU149" i="4"/>
  <c r="BV149" i="4"/>
  <c r="BW149" i="4"/>
  <c r="BX149" i="4"/>
  <c r="BY149" i="4"/>
  <c r="BZ149" i="4"/>
  <c r="CA149" i="4"/>
  <c r="CB149" i="4"/>
  <c r="CC149" i="4"/>
  <c r="CD149" i="4"/>
  <c r="CE149" i="4"/>
  <c r="CF149" i="4"/>
  <c r="CG149" i="4"/>
  <c r="CH149" i="4"/>
  <c r="CI149" i="4"/>
  <c r="CJ149" i="4"/>
  <c r="CK149" i="4"/>
  <c r="CL149" i="4"/>
  <c r="CM149" i="4"/>
  <c r="CN149" i="4"/>
  <c r="CO149" i="4"/>
  <c r="CP149" i="4"/>
  <c r="CQ149" i="4"/>
  <c r="CR149" i="4"/>
  <c r="CS149" i="4"/>
  <c r="CT149" i="4"/>
  <c r="CU149" i="4"/>
  <c r="CV149" i="4"/>
  <c r="CW149" i="4"/>
  <c r="CX149" i="4"/>
  <c r="BG150" i="4"/>
  <c r="BH150" i="4"/>
  <c r="BI150" i="4"/>
  <c r="BJ150" i="4"/>
  <c r="BK150" i="4"/>
  <c r="BL150" i="4"/>
  <c r="BM150" i="4"/>
  <c r="BN150" i="4"/>
  <c r="BO150" i="4"/>
  <c r="BP150" i="4"/>
  <c r="BQ150" i="4"/>
  <c r="BR150" i="4"/>
  <c r="BS150" i="4"/>
  <c r="BT150" i="4"/>
  <c r="BU150" i="4"/>
  <c r="BV150" i="4"/>
  <c r="BW150" i="4"/>
  <c r="BX150" i="4"/>
  <c r="BY150" i="4"/>
  <c r="BZ150" i="4"/>
  <c r="CA150" i="4"/>
  <c r="CB150" i="4"/>
  <c r="CC150" i="4"/>
  <c r="CD150" i="4"/>
  <c r="CE150" i="4"/>
  <c r="CF150" i="4"/>
  <c r="CG150" i="4"/>
  <c r="CH150" i="4"/>
  <c r="CI150" i="4"/>
  <c r="CJ150" i="4"/>
  <c r="CK150" i="4"/>
  <c r="CL150" i="4"/>
  <c r="CM150" i="4"/>
  <c r="CN150" i="4"/>
  <c r="CO150" i="4"/>
  <c r="CP150" i="4"/>
  <c r="CQ150" i="4"/>
  <c r="CR150" i="4"/>
  <c r="CS150" i="4"/>
  <c r="CT150" i="4"/>
  <c r="CU150" i="4"/>
  <c r="CV150" i="4"/>
  <c r="CW150" i="4"/>
  <c r="CX150" i="4"/>
  <c r="BG151" i="4"/>
  <c r="BH151" i="4"/>
  <c r="BI151" i="4"/>
  <c r="BJ151" i="4"/>
  <c r="BK151" i="4"/>
  <c r="BL151" i="4"/>
  <c r="BM151" i="4"/>
  <c r="BN151" i="4"/>
  <c r="BO151" i="4"/>
  <c r="BP151" i="4"/>
  <c r="BQ151" i="4"/>
  <c r="BR151" i="4"/>
  <c r="BS151" i="4"/>
  <c r="BT151" i="4"/>
  <c r="BU151" i="4"/>
  <c r="BV151" i="4"/>
  <c r="BW151" i="4"/>
  <c r="BX151" i="4"/>
  <c r="BY151" i="4"/>
  <c r="BZ151" i="4"/>
  <c r="CA151" i="4"/>
  <c r="CB151" i="4"/>
  <c r="CC151" i="4"/>
  <c r="CD151" i="4"/>
  <c r="CE151" i="4"/>
  <c r="CF151" i="4"/>
  <c r="CG151" i="4"/>
  <c r="CH151" i="4"/>
  <c r="CI151" i="4"/>
  <c r="CJ151" i="4"/>
  <c r="CK151" i="4"/>
  <c r="CL151" i="4"/>
  <c r="CM151" i="4"/>
  <c r="CN151" i="4"/>
  <c r="CO151" i="4"/>
  <c r="CP151" i="4"/>
  <c r="CQ151" i="4"/>
  <c r="CR151" i="4"/>
  <c r="CS151" i="4"/>
  <c r="CT151" i="4"/>
  <c r="CU151" i="4"/>
  <c r="CV151" i="4"/>
  <c r="CW151" i="4"/>
  <c r="CX151" i="4"/>
  <c r="BG152" i="4"/>
  <c r="BH152" i="4"/>
  <c r="BI152" i="4"/>
  <c r="BJ152" i="4"/>
  <c r="BK152" i="4"/>
  <c r="BL152" i="4"/>
  <c r="BM152" i="4"/>
  <c r="BN152" i="4"/>
  <c r="BO152" i="4"/>
  <c r="BP152" i="4"/>
  <c r="BQ152" i="4"/>
  <c r="BR152" i="4"/>
  <c r="BS152" i="4"/>
  <c r="BT152" i="4"/>
  <c r="BU152" i="4"/>
  <c r="BV152" i="4"/>
  <c r="BW152" i="4"/>
  <c r="BX152" i="4"/>
  <c r="BY152" i="4"/>
  <c r="BZ152" i="4"/>
  <c r="CA152" i="4"/>
  <c r="CB152" i="4"/>
  <c r="CC152" i="4"/>
  <c r="CD152" i="4"/>
  <c r="CE152" i="4"/>
  <c r="CF152" i="4"/>
  <c r="CG152" i="4"/>
  <c r="CH152" i="4"/>
  <c r="CI152" i="4"/>
  <c r="CJ152" i="4"/>
  <c r="CK152" i="4"/>
  <c r="CL152" i="4"/>
  <c r="CM152" i="4"/>
  <c r="CN152" i="4"/>
  <c r="CO152" i="4"/>
  <c r="CP152" i="4"/>
  <c r="CQ152" i="4"/>
  <c r="CR152" i="4"/>
  <c r="CS152" i="4"/>
  <c r="CT152" i="4"/>
  <c r="CU152" i="4"/>
  <c r="CV152" i="4"/>
  <c r="CW152" i="4"/>
  <c r="CX152" i="4"/>
  <c r="BG153" i="4"/>
  <c r="BH153" i="4"/>
  <c r="BI153" i="4"/>
  <c r="BJ153" i="4"/>
  <c r="BK153" i="4"/>
  <c r="BL153" i="4"/>
  <c r="BM153" i="4"/>
  <c r="BN153" i="4"/>
  <c r="BO153" i="4"/>
  <c r="BP153" i="4"/>
  <c r="BQ153" i="4"/>
  <c r="BR153" i="4"/>
  <c r="BS153" i="4"/>
  <c r="BT153" i="4"/>
  <c r="BU153" i="4"/>
  <c r="BV153" i="4"/>
  <c r="BW153" i="4"/>
  <c r="BX153" i="4"/>
  <c r="BY153" i="4"/>
  <c r="BZ153" i="4"/>
  <c r="CA153" i="4"/>
  <c r="CB153" i="4"/>
  <c r="CC153" i="4"/>
  <c r="CD153" i="4"/>
  <c r="CE153" i="4"/>
  <c r="CF153" i="4"/>
  <c r="CG153" i="4"/>
  <c r="CH153" i="4"/>
  <c r="CI153" i="4"/>
  <c r="CJ153" i="4"/>
  <c r="CK153" i="4"/>
  <c r="CL153" i="4"/>
  <c r="CM153" i="4"/>
  <c r="CN153" i="4"/>
  <c r="CO153" i="4"/>
  <c r="CP153" i="4"/>
  <c r="CQ153" i="4"/>
  <c r="CR153" i="4"/>
  <c r="CS153" i="4"/>
  <c r="CT153" i="4"/>
  <c r="CU153" i="4"/>
  <c r="CV153" i="4"/>
  <c r="CW153" i="4"/>
  <c r="CX153" i="4"/>
  <c r="BG154" i="4"/>
  <c r="BH154" i="4"/>
  <c r="BI154" i="4"/>
  <c r="BJ154" i="4"/>
  <c r="BK154" i="4"/>
  <c r="BL154" i="4"/>
  <c r="BM154" i="4"/>
  <c r="BN154" i="4"/>
  <c r="BO154" i="4"/>
  <c r="BP154" i="4"/>
  <c r="BQ154" i="4"/>
  <c r="BR154" i="4"/>
  <c r="BS154" i="4"/>
  <c r="BT154" i="4"/>
  <c r="BU154" i="4"/>
  <c r="BV154" i="4"/>
  <c r="BW154" i="4"/>
  <c r="BX154" i="4"/>
  <c r="BY154" i="4"/>
  <c r="BZ154" i="4"/>
  <c r="CA154" i="4"/>
  <c r="CB154" i="4"/>
  <c r="CC154" i="4"/>
  <c r="CD154" i="4"/>
  <c r="CE154" i="4"/>
  <c r="CF154" i="4"/>
  <c r="CG154" i="4"/>
  <c r="CH154" i="4"/>
  <c r="CI154" i="4"/>
  <c r="CJ154" i="4"/>
  <c r="CK154" i="4"/>
  <c r="CL154" i="4"/>
  <c r="CM154" i="4"/>
  <c r="CN154" i="4"/>
  <c r="CO154" i="4"/>
  <c r="CP154" i="4"/>
  <c r="CQ154" i="4"/>
  <c r="CR154" i="4"/>
  <c r="CS154" i="4"/>
  <c r="CT154" i="4"/>
  <c r="CU154" i="4"/>
  <c r="CV154" i="4"/>
  <c r="CW154" i="4"/>
  <c r="CX154" i="4"/>
  <c r="BG155" i="4"/>
  <c r="BH155" i="4"/>
  <c r="BI155" i="4"/>
  <c r="BJ155" i="4"/>
  <c r="BK155" i="4"/>
  <c r="BL155" i="4"/>
  <c r="BM155" i="4"/>
  <c r="BN155" i="4"/>
  <c r="BO155" i="4"/>
  <c r="BP155" i="4"/>
  <c r="BQ155" i="4"/>
  <c r="BR155" i="4"/>
  <c r="BS155" i="4"/>
  <c r="BT155" i="4"/>
  <c r="BU155" i="4"/>
  <c r="BV155" i="4"/>
  <c r="BW155" i="4"/>
  <c r="BX155" i="4"/>
  <c r="BY155" i="4"/>
  <c r="BZ155" i="4"/>
  <c r="CA155" i="4"/>
  <c r="CB155" i="4"/>
  <c r="CC155" i="4"/>
  <c r="CD155" i="4"/>
  <c r="CE155" i="4"/>
  <c r="CF155" i="4"/>
  <c r="CG155" i="4"/>
  <c r="CH155" i="4"/>
  <c r="CI155" i="4"/>
  <c r="CJ155" i="4"/>
  <c r="CK155" i="4"/>
  <c r="CL155" i="4"/>
  <c r="CM155" i="4"/>
  <c r="CN155" i="4"/>
  <c r="CO155" i="4"/>
  <c r="CP155" i="4"/>
  <c r="CQ155" i="4"/>
  <c r="CR155" i="4"/>
  <c r="CS155" i="4"/>
  <c r="CT155" i="4"/>
  <c r="CU155" i="4"/>
  <c r="CV155" i="4"/>
  <c r="CW155" i="4"/>
  <c r="CX155" i="4"/>
  <c r="BG156" i="4"/>
  <c r="BH156" i="4"/>
  <c r="BI156" i="4"/>
  <c r="BJ156" i="4"/>
  <c r="BK156" i="4"/>
  <c r="BL156" i="4"/>
  <c r="BM156" i="4"/>
  <c r="BN156" i="4"/>
  <c r="BO156" i="4"/>
  <c r="BP156" i="4"/>
  <c r="BQ156" i="4"/>
  <c r="BR156" i="4"/>
  <c r="BS156" i="4"/>
  <c r="BT156" i="4"/>
  <c r="BU156" i="4"/>
  <c r="BV156" i="4"/>
  <c r="BW156" i="4"/>
  <c r="BX156" i="4"/>
  <c r="BY156" i="4"/>
  <c r="BZ156" i="4"/>
  <c r="CA156" i="4"/>
  <c r="CB156" i="4"/>
  <c r="CC156" i="4"/>
  <c r="CD156" i="4"/>
  <c r="CE156" i="4"/>
  <c r="CF156" i="4"/>
  <c r="CG156" i="4"/>
  <c r="CH156" i="4"/>
  <c r="CI156" i="4"/>
  <c r="CJ156" i="4"/>
  <c r="CK156" i="4"/>
  <c r="CL156" i="4"/>
  <c r="CM156" i="4"/>
  <c r="CN156" i="4"/>
  <c r="CO156" i="4"/>
  <c r="CP156" i="4"/>
  <c r="CQ156" i="4"/>
  <c r="CR156" i="4"/>
  <c r="CS156" i="4"/>
  <c r="CT156" i="4"/>
  <c r="CU156" i="4"/>
  <c r="CV156" i="4"/>
  <c r="CW156" i="4"/>
  <c r="CX156" i="4"/>
  <c r="BG157" i="4"/>
  <c r="BH157" i="4"/>
  <c r="BI157" i="4"/>
  <c r="BJ157" i="4"/>
  <c r="BK157" i="4"/>
  <c r="BL157" i="4"/>
  <c r="BM157" i="4"/>
  <c r="BN157" i="4"/>
  <c r="BO157" i="4"/>
  <c r="BP157" i="4"/>
  <c r="BQ157" i="4"/>
  <c r="BR157" i="4"/>
  <c r="BS157" i="4"/>
  <c r="BT157" i="4"/>
  <c r="BU157" i="4"/>
  <c r="BV157" i="4"/>
  <c r="BW157" i="4"/>
  <c r="BX157" i="4"/>
  <c r="BY157" i="4"/>
  <c r="BZ157" i="4"/>
  <c r="CA157" i="4"/>
  <c r="CB157" i="4"/>
  <c r="CC157" i="4"/>
  <c r="CD157" i="4"/>
  <c r="CE157" i="4"/>
  <c r="CF157" i="4"/>
  <c r="CG157" i="4"/>
  <c r="CH157" i="4"/>
  <c r="CI157" i="4"/>
  <c r="CJ157" i="4"/>
  <c r="CK157" i="4"/>
  <c r="CL157" i="4"/>
  <c r="CM157" i="4"/>
  <c r="CN157" i="4"/>
  <c r="CO157" i="4"/>
  <c r="CP157" i="4"/>
  <c r="CQ157" i="4"/>
  <c r="CR157" i="4"/>
  <c r="CS157" i="4"/>
  <c r="CT157" i="4"/>
  <c r="CU157" i="4"/>
  <c r="CV157" i="4"/>
  <c r="CW157" i="4"/>
  <c r="CX157" i="4"/>
  <c r="BG158" i="4"/>
  <c r="BH158" i="4"/>
  <c r="BI158" i="4"/>
  <c r="BJ158" i="4"/>
  <c r="BK158" i="4"/>
  <c r="BL158" i="4"/>
  <c r="BM158" i="4"/>
  <c r="BN158" i="4"/>
  <c r="BO158" i="4"/>
  <c r="BP158" i="4"/>
  <c r="BQ158" i="4"/>
  <c r="BR158" i="4"/>
  <c r="BS158" i="4"/>
  <c r="BT158" i="4"/>
  <c r="BU158" i="4"/>
  <c r="BV158" i="4"/>
  <c r="BW158" i="4"/>
  <c r="BX158" i="4"/>
  <c r="BY158" i="4"/>
  <c r="BZ158" i="4"/>
  <c r="CA158" i="4"/>
  <c r="CB158" i="4"/>
  <c r="CC158" i="4"/>
  <c r="CD158" i="4"/>
  <c r="CE158" i="4"/>
  <c r="CF158" i="4"/>
  <c r="CG158" i="4"/>
  <c r="CH158" i="4"/>
  <c r="CI158" i="4"/>
  <c r="CJ158" i="4"/>
  <c r="CK158" i="4"/>
  <c r="CL158" i="4"/>
  <c r="CM158" i="4"/>
  <c r="CN158" i="4"/>
  <c r="CO158" i="4"/>
  <c r="CP158" i="4"/>
  <c r="CQ158" i="4"/>
  <c r="CR158" i="4"/>
  <c r="CS158" i="4"/>
  <c r="CT158" i="4"/>
  <c r="CU158" i="4"/>
  <c r="CV158" i="4"/>
  <c r="CW158" i="4"/>
  <c r="CX158" i="4"/>
  <c r="BG159" i="4"/>
  <c r="BH159" i="4"/>
  <c r="BI159" i="4"/>
  <c r="BJ159" i="4"/>
  <c r="BK159" i="4"/>
  <c r="BL159" i="4"/>
  <c r="BM159" i="4"/>
  <c r="BN159" i="4"/>
  <c r="BO159" i="4"/>
  <c r="BP159" i="4"/>
  <c r="BQ159" i="4"/>
  <c r="BR159" i="4"/>
  <c r="BS159" i="4"/>
  <c r="BT159" i="4"/>
  <c r="BU159" i="4"/>
  <c r="BV159" i="4"/>
  <c r="BW159" i="4"/>
  <c r="BX159" i="4"/>
  <c r="BY159" i="4"/>
  <c r="BZ159" i="4"/>
  <c r="CA159" i="4"/>
  <c r="CB159" i="4"/>
  <c r="CC159" i="4"/>
  <c r="CD159" i="4"/>
  <c r="CE159" i="4"/>
  <c r="CF159" i="4"/>
  <c r="CG159" i="4"/>
  <c r="CH159" i="4"/>
  <c r="CI159" i="4"/>
  <c r="CJ159" i="4"/>
  <c r="CK159" i="4"/>
  <c r="CL159" i="4"/>
  <c r="CM159" i="4"/>
  <c r="CN159" i="4"/>
  <c r="CO159" i="4"/>
  <c r="CP159" i="4"/>
  <c r="CQ159" i="4"/>
  <c r="CR159" i="4"/>
  <c r="CS159" i="4"/>
  <c r="CT159" i="4"/>
  <c r="CU159" i="4"/>
  <c r="CV159" i="4"/>
  <c r="CW159" i="4"/>
  <c r="CX159" i="4"/>
  <c r="BG160" i="4"/>
  <c r="BH160" i="4"/>
  <c r="BI160" i="4"/>
  <c r="BJ160" i="4"/>
  <c r="BK160" i="4"/>
  <c r="BL160" i="4"/>
  <c r="BM160" i="4"/>
  <c r="BN160" i="4"/>
  <c r="BO160" i="4"/>
  <c r="BP160" i="4"/>
  <c r="BQ160" i="4"/>
  <c r="BR160" i="4"/>
  <c r="BS160" i="4"/>
  <c r="BT160" i="4"/>
  <c r="BU160" i="4"/>
  <c r="BV160" i="4"/>
  <c r="BW160" i="4"/>
  <c r="BX160" i="4"/>
  <c r="BY160" i="4"/>
  <c r="BZ160" i="4"/>
  <c r="CA160" i="4"/>
  <c r="CB160" i="4"/>
  <c r="CC160" i="4"/>
  <c r="CD160" i="4"/>
  <c r="CE160" i="4"/>
  <c r="CF160" i="4"/>
  <c r="CG160" i="4"/>
  <c r="CH160" i="4"/>
  <c r="CI160" i="4"/>
  <c r="CJ160" i="4"/>
  <c r="CK160" i="4"/>
  <c r="CL160" i="4"/>
  <c r="CM160" i="4"/>
  <c r="CN160" i="4"/>
  <c r="CO160" i="4"/>
  <c r="CP160" i="4"/>
  <c r="CQ160" i="4"/>
  <c r="CR160" i="4"/>
  <c r="CS160" i="4"/>
  <c r="CT160" i="4"/>
  <c r="CU160" i="4"/>
  <c r="CV160" i="4"/>
  <c r="CW160" i="4"/>
  <c r="CX160" i="4"/>
  <c r="BG161" i="4"/>
  <c r="BH161" i="4"/>
  <c r="BI161" i="4"/>
  <c r="BJ161" i="4"/>
  <c r="BK161" i="4"/>
  <c r="BL161" i="4"/>
  <c r="BM161" i="4"/>
  <c r="BN161" i="4"/>
  <c r="BO161" i="4"/>
  <c r="BP161" i="4"/>
  <c r="BQ161" i="4"/>
  <c r="BR161" i="4"/>
  <c r="BS161" i="4"/>
  <c r="BT161" i="4"/>
  <c r="BU161" i="4"/>
  <c r="BV161" i="4"/>
  <c r="BW161" i="4"/>
  <c r="BX161" i="4"/>
  <c r="BY161" i="4"/>
  <c r="BZ161" i="4"/>
  <c r="CA161" i="4"/>
  <c r="CB161" i="4"/>
  <c r="CC161" i="4"/>
  <c r="CD161" i="4"/>
  <c r="CE161" i="4"/>
  <c r="CF161" i="4"/>
  <c r="CG161" i="4"/>
  <c r="CH161" i="4"/>
  <c r="CI161" i="4"/>
  <c r="CJ161" i="4"/>
  <c r="CK161" i="4"/>
  <c r="CL161" i="4"/>
  <c r="CM161" i="4"/>
  <c r="CN161" i="4"/>
  <c r="CO161" i="4"/>
  <c r="CP161" i="4"/>
  <c r="CQ161" i="4"/>
  <c r="CR161" i="4"/>
  <c r="CS161" i="4"/>
  <c r="CT161" i="4"/>
  <c r="CU161" i="4"/>
  <c r="CV161" i="4"/>
  <c r="CW161" i="4"/>
  <c r="CX161" i="4"/>
  <c r="BG162" i="4"/>
  <c r="BH162" i="4"/>
  <c r="BI162" i="4"/>
  <c r="BJ162" i="4"/>
  <c r="BK162" i="4"/>
  <c r="BL162" i="4"/>
  <c r="BM162" i="4"/>
  <c r="BN162" i="4"/>
  <c r="BO162" i="4"/>
  <c r="BP162" i="4"/>
  <c r="BQ162" i="4"/>
  <c r="BR162" i="4"/>
  <c r="BS162" i="4"/>
  <c r="BT162" i="4"/>
  <c r="BU162" i="4"/>
  <c r="BV162" i="4"/>
  <c r="BW162" i="4"/>
  <c r="BX162" i="4"/>
  <c r="BY162" i="4"/>
  <c r="BZ162" i="4"/>
  <c r="CA162" i="4"/>
  <c r="CB162" i="4"/>
  <c r="CC162" i="4"/>
  <c r="CD162" i="4"/>
  <c r="CE162" i="4"/>
  <c r="CF162" i="4"/>
  <c r="CG162" i="4"/>
  <c r="CH162" i="4"/>
  <c r="CI162" i="4"/>
  <c r="CJ162" i="4"/>
  <c r="CK162" i="4"/>
  <c r="CL162" i="4"/>
  <c r="CM162" i="4"/>
  <c r="CN162" i="4"/>
  <c r="CO162" i="4"/>
  <c r="CP162" i="4"/>
  <c r="CQ162" i="4"/>
  <c r="CR162" i="4"/>
  <c r="CS162" i="4"/>
  <c r="CT162" i="4"/>
  <c r="CU162" i="4"/>
  <c r="CV162" i="4"/>
  <c r="CW162" i="4"/>
  <c r="CX162" i="4"/>
  <c r="BG163" i="4"/>
  <c r="BH163" i="4"/>
  <c r="BI163" i="4"/>
  <c r="BJ163" i="4"/>
  <c r="BK163" i="4"/>
  <c r="BL163" i="4"/>
  <c r="BM163" i="4"/>
  <c r="BN163" i="4"/>
  <c r="BO163" i="4"/>
  <c r="BP163" i="4"/>
  <c r="BQ163" i="4"/>
  <c r="BR163" i="4"/>
  <c r="BS163" i="4"/>
  <c r="BT163" i="4"/>
  <c r="BU163" i="4"/>
  <c r="BV163" i="4"/>
  <c r="BW163" i="4"/>
  <c r="BX163" i="4"/>
  <c r="BY163" i="4"/>
  <c r="BZ163" i="4"/>
  <c r="CA163" i="4"/>
  <c r="CB163" i="4"/>
  <c r="CC163" i="4"/>
  <c r="CD163" i="4"/>
  <c r="CE163" i="4"/>
  <c r="CF163" i="4"/>
  <c r="CG163" i="4"/>
  <c r="CH163" i="4"/>
  <c r="CI163" i="4"/>
  <c r="CJ163" i="4"/>
  <c r="CK163" i="4"/>
  <c r="CL163" i="4"/>
  <c r="CM163" i="4"/>
  <c r="CN163" i="4"/>
  <c r="CO163" i="4"/>
  <c r="CP163" i="4"/>
  <c r="CQ163" i="4"/>
  <c r="CR163" i="4"/>
  <c r="CS163" i="4"/>
  <c r="CT163" i="4"/>
  <c r="CU163" i="4"/>
  <c r="CV163" i="4"/>
  <c r="CW163" i="4"/>
  <c r="CX163" i="4"/>
  <c r="BG164" i="4"/>
  <c r="BH164" i="4"/>
  <c r="BI164" i="4"/>
  <c r="BJ164" i="4"/>
  <c r="BK164" i="4"/>
  <c r="BL164" i="4"/>
  <c r="BM164" i="4"/>
  <c r="BN164" i="4"/>
  <c r="BO164" i="4"/>
  <c r="BP164" i="4"/>
  <c r="BQ164" i="4"/>
  <c r="BR164" i="4"/>
  <c r="BS164" i="4"/>
  <c r="BT164" i="4"/>
  <c r="BU164" i="4"/>
  <c r="BV164" i="4"/>
  <c r="BW164" i="4"/>
  <c r="BX164" i="4"/>
  <c r="BY164" i="4"/>
  <c r="BZ164" i="4"/>
  <c r="CA164" i="4"/>
  <c r="CB164" i="4"/>
  <c r="CC164" i="4"/>
  <c r="CD164" i="4"/>
  <c r="CE164" i="4"/>
  <c r="CF164" i="4"/>
  <c r="CG164" i="4"/>
  <c r="CH164" i="4"/>
  <c r="CI164" i="4"/>
  <c r="CJ164" i="4"/>
  <c r="CK164" i="4"/>
  <c r="CL164" i="4"/>
  <c r="CM164" i="4"/>
  <c r="CN164" i="4"/>
  <c r="CO164" i="4"/>
  <c r="CP164" i="4"/>
  <c r="CQ164" i="4"/>
  <c r="CR164" i="4"/>
  <c r="CS164" i="4"/>
  <c r="CT164" i="4"/>
  <c r="CU164" i="4"/>
  <c r="CV164" i="4"/>
  <c r="CW164" i="4"/>
  <c r="CX164" i="4"/>
  <c r="BG165" i="4"/>
  <c r="BH165" i="4"/>
  <c r="BI165" i="4"/>
  <c r="BJ165" i="4"/>
  <c r="BK165" i="4"/>
  <c r="BL165" i="4"/>
  <c r="BM165" i="4"/>
  <c r="BN165" i="4"/>
  <c r="BO165" i="4"/>
  <c r="BP165" i="4"/>
  <c r="BQ165" i="4"/>
  <c r="BR165" i="4"/>
  <c r="BS165" i="4"/>
  <c r="BT165" i="4"/>
  <c r="BU165" i="4"/>
  <c r="BV165" i="4"/>
  <c r="BW165" i="4"/>
  <c r="BX165" i="4"/>
  <c r="BY165" i="4"/>
  <c r="BZ165" i="4"/>
  <c r="CA165" i="4"/>
  <c r="CB165" i="4"/>
  <c r="CC165" i="4"/>
  <c r="CD165" i="4"/>
  <c r="CE165" i="4"/>
  <c r="CF165" i="4"/>
  <c r="CG165" i="4"/>
  <c r="CH165" i="4"/>
  <c r="CI165" i="4"/>
  <c r="CJ165" i="4"/>
  <c r="CK165" i="4"/>
  <c r="CL165" i="4"/>
  <c r="CM165" i="4"/>
  <c r="CN165" i="4"/>
  <c r="CO165" i="4"/>
  <c r="CP165" i="4"/>
  <c r="CQ165" i="4"/>
  <c r="CR165" i="4"/>
  <c r="CS165" i="4"/>
  <c r="CT165" i="4"/>
  <c r="CU165" i="4"/>
  <c r="CV165" i="4"/>
  <c r="CW165" i="4"/>
  <c r="CX165" i="4"/>
  <c r="BG166" i="4"/>
  <c r="BH166" i="4"/>
  <c r="BI166" i="4"/>
  <c r="BJ166" i="4"/>
  <c r="BK166" i="4"/>
  <c r="BL166" i="4"/>
  <c r="BM166" i="4"/>
  <c r="BN166" i="4"/>
  <c r="BO166" i="4"/>
  <c r="BP166" i="4"/>
  <c r="BQ166" i="4"/>
  <c r="BR166" i="4"/>
  <c r="BS166" i="4"/>
  <c r="BT166" i="4"/>
  <c r="BU166" i="4"/>
  <c r="BV166" i="4"/>
  <c r="BW166" i="4"/>
  <c r="BX166" i="4"/>
  <c r="BY166" i="4"/>
  <c r="BZ166" i="4"/>
  <c r="CA166" i="4"/>
  <c r="CB166" i="4"/>
  <c r="CC166" i="4"/>
  <c r="CD166" i="4"/>
  <c r="CE166" i="4"/>
  <c r="CF166" i="4"/>
  <c r="CG166" i="4"/>
  <c r="CH166" i="4"/>
  <c r="CI166" i="4"/>
  <c r="CJ166" i="4"/>
  <c r="CK166" i="4"/>
  <c r="CL166" i="4"/>
  <c r="CM166" i="4"/>
  <c r="CN166" i="4"/>
  <c r="CO166" i="4"/>
  <c r="CP166" i="4"/>
  <c r="CQ166" i="4"/>
  <c r="CR166" i="4"/>
  <c r="CS166" i="4"/>
  <c r="CT166" i="4"/>
  <c r="CU166" i="4"/>
  <c r="CV166" i="4"/>
  <c r="CW166" i="4"/>
  <c r="CX166" i="4"/>
  <c r="BG167" i="4"/>
  <c r="BH167" i="4"/>
  <c r="BI167" i="4"/>
  <c r="BJ167" i="4"/>
  <c r="BK167" i="4"/>
  <c r="BL167" i="4"/>
  <c r="BM167" i="4"/>
  <c r="BN167" i="4"/>
  <c r="BO167" i="4"/>
  <c r="BP167" i="4"/>
  <c r="BQ167" i="4"/>
  <c r="BR167" i="4"/>
  <c r="BS167" i="4"/>
  <c r="BT167" i="4"/>
  <c r="BU167" i="4"/>
  <c r="BV167" i="4"/>
  <c r="BW167" i="4"/>
  <c r="BX167" i="4"/>
  <c r="BY167" i="4"/>
  <c r="BZ167" i="4"/>
  <c r="CA167" i="4"/>
  <c r="CB167" i="4"/>
  <c r="CC167" i="4"/>
  <c r="CD167" i="4"/>
  <c r="CE167" i="4"/>
  <c r="CF167" i="4"/>
  <c r="CG167" i="4"/>
  <c r="CH167" i="4"/>
  <c r="CI167" i="4"/>
  <c r="CJ167" i="4"/>
  <c r="CK167" i="4"/>
  <c r="CL167" i="4"/>
  <c r="CM167" i="4"/>
  <c r="CN167" i="4"/>
  <c r="CO167" i="4"/>
  <c r="CP167" i="4"/>
  <c r="CQ167" i="4"/>
  <c r="CR167" i="4"/>
  <c r="CS167" i="4"/>
  <c r="CT167" i="4"/>
  <c r="CU167" i="4"/>
  <c r="CV167" i="4"/>
  <c r="CW167" i="4"/>
  <c r="CX167" i="4"/>
  <c r="BG168" i="4"/>
  <c r="BH168" i="4"/>
  <c r="BI168" i="4"/>
  <c r="BJ168" i="4"/>
  <c r="BK168" i="4"/>
  <c r="BL168" i="4"/>
  <c r="BM168" i="4"/>
  <c r="BN168" i="4"/>
  <c r="BO168" i="4"/>
  <c r="BP168" i="4"/>
  <c r="BQ168" i="4"/>
  <c r="BR168" i="4"/>
  <c r="BS168" i="4"/>
  <c r="BT168" i="4"/>
  <c r="BU168" i="4"/>
  <c r="BV168" i="4"/>
  <c r="BW168" i="4"/>
  <c r="BX168" i="4"/>
  <c r="BY168" i="4"/>
  <c r="BZ168" i="4"/>
  <c r="CA168" i="4"/>
  <c r="CB168" i="4"/>
  <c r="CC168" i="4"/>
  <c r="CD168" i="4"/>
  <c r="CE168" i="4"/>
  <c r="CF168" i="4"/>
  <c r="CG168" i="4"/>
  <c r="CH168" i="4"/>
  <c r="CI168" i="4"/>
  <c r="CJ168" i="4"/>
  <c r="CK168" i="4"/>
  <c r="CL168" i="4"/>
  <c r="CM168" i="4"/>
  <c r="CN168" i="4"/>
  <c r="CO168" i="4"/>
  <c r="CP168" i="4"/>
  <c r="CQ168" i="4"/>
  <c r="CR168" i="4"/>
  <c r="CS168" i="4"/>
  <c r="CT168" i="4"/>
  <c r="CU168" i="4"/>
  <c r="CV168" i="4"/>
  <c r="CW168" i="4"/>
  <c r="CX168" i="4"/>
  <c r="BG169" i="4"/>
  <c r="BH169" i="4"/>
  <c r="BI169" i="4"/>
  <c r="BJ169" i="4"/>
  <c r="BK169" i="4"/>
  <c r="BL169" i="4"/>
  <c r="BM169" i="4"/>
  <c r="BN169" i="4"/>
  <c r="BO169" i="4"/>
  <c r="BP169" i="4"/>
  <c r="BQ169" i="4"/>
  <c r="BR169" i="4"/>
  <c r="BS169" i="4"/>
  <c r="BT169" i="4"/>
  <c r="BU169" i="4"/>
  <c r="BV169" i="4"/>
  <c r="BW169" i="4"/>
  <c r="BX169" i="4"/>
  <c r="BY169" i="4"/>
  <c r="BZ169" i="4"/>
  <c r="CA169" i="4"/>
  <c r="CB169" i="4"/>
  <c r="CC169" i="4"/>
  <c r="CD169" i="4"/>
  <c r="CE169" i="4"/>
  <c r="CF169" i="4"/>
  <c r="CG169" i="4"/>
  <c r="CH169" i="4"/>
  <c r="CI169" i="4"/>
  <c r="CJ169" i="4"/>
  <c r="CK169" i="4"/>
  <c r="CL169" i="4"/>
  <c r="CM169" i="4"/>
  <c r="CN169" i="4"/>
  <c r="CO169" i="4"/>
  <c r="CP169" i="4"/>
  <c r="CQ169" i="4"/>
  <c r="CR169" i="4"/>
  <c r="CS169" i="4"/>
  <c r="CT169" i="4"/>
  <c r="CU169" i="4"/>
  <c r="CV169" i="4"/>
  <c r="CW169" i="4"/>
  <c r="CX169" i="4"/>
  <c r="BG170" i="4"/>
  <c r="BH170" i="4"/>
  <c r="BI170" i="4"/>
  <c r="BJ170" i="4"/>
  <c r="BK170" i="4"/>
  <c r="BL170" i="4"/>
  <c r="BM170" i="4"/>
  <c r="BN170" i="4"/>
  <c r="BO170" i="4"/>
  <c r="BP170" i="4"/>
  <c r="BQ170" i="4"/>
  <c r="BR170" i="4"/>
  <c r="BS170" i="4"/>
  <c r="BT170" i="4"/>
  <c r="BU170" i="4"/>
  <c r="BV170" i="4"/>
  <c r="BW170" i="4"/>
  <c r="BX170" i="4"/>
  <c r="BY170" i="4"/>
  <c r="BZ170" i="4"/>
  <c r="CA170" i="4"/>
  <c r="CB170" i="4"/>
  <c r="CC170" i="4"/>
  <c r="CD170" i="4"/>
  <c r="CE170" i="4"/>
  <c r="CF170" i="4"/>
  <c r="CG170" i="4"/>
  <c r="CH170" i="4"/>
  <c r="CI170" i="4"/>
  <c r="CJ170" i="4"/>
  <c r="CK170" i="4"/>
  <c r="CL170" i="4"/>
  <c r="CM170" i="4"/>
  <c r="CN170" i="4"/>
  <c r="CO170" i="4"/>
  <c r="CP170" i="4"/>
  <c r="CQ170" i="4"/>
  <c r="CR170" i="4"/>
  <c r="CS170" i="4"/>
  <c r="CT170" i="4"/>
  <c r="CU170" i="4"/>
  <c r="CV170" i="4"/>
  <c r="CW170" i="4"/>
  <c r="CX170" i="4"/>
  <c r="BG171" i="4"/>
  <c r="BH171" i="4"/>
  <c r="BI171" i="4"/>
  <c r="BJ171" i="4"/>
  <c r="BK171" i="4"/>
  <c r="BL171" i="4"/>
  <c r="BM171" i="4"/>
  <c r="BN171" i="4"/>
  <c r="BO171" i="4"/>
  <c r="BP171" i="4"/>
  <c r="BQ171" i="4"/>
  <c r="BR171" i="4"/>
  <c r="BS171" i="4"/>
  <c r="BT171" i="4"/>
  <c r="BU171" i="4"/>
  <c r="BV171" i="4"/>
  <c r="BW171" i="4"/>
  <c r="BX171" i="4"/>
  <c r="BY171" i="4"/>
  <c r="BZ171" i="4"/>
  <c r="CA171" i="4"/>
  <c r="CB171" i="4"/>
  <c r="CC171" i="4"/>
  <c r="CD171" i="4"/>
  <c r="CE171" i="4"/>
  <c r="CF171" i="4"/>
  <c r="CG171" i="4"/>
  <c r="CH171" i="4"/>
  <c r="CI171" i="4"/>
  <c r="CJ171" i="4"/>
  <c r="CK171" i="4"/>
  <c r="CL171" i="4"/>
  <c r="CM171" i="4"/>
  <c r="CN171" i="4"/>
  <c r="CO171" i="4"/>
  <c r="CP171" i="4"/>
  <c r="CQ171" i="4"/>
  <c r="CR171" i="4"/>
  <c r="CS171" i="4"/>
  <c r="CT171" i="4"/>
  <c r="CU171" i="4"/>
  <c r="CV171" i="4"/>
  <c r="CW171" i="4"/>
  <c r="CX171" i="4"/>
  <c r="BG172" i="4"/>
  <c r="BH172" i="4"/>
  <c r="BI172" i="4"/>
  <c r="BJ172" i="4"/>
  <c r="BK172" i="4"/>
  <c r="BL172" i="4"/>
  <c r="BM172" i="4"/>
  <c r="BN172" i="4"/>
  <c r="BO172" i="4"/>
  <c r="BP172" i="4"/>
  <c r="BQ172" i="4"/>
  <c r="BR172" i="4"/>
  <c r="BS172" i="4"/>
  <c r="BT172" i="4"/>
  <c r="BU172" i="4"/>
  <c r="BV172" i="4"/>
  <c r="BW172" i="4"/>
  <c r="BX172" i="4"/>
  <c r="BY172" i="4"/>
  <c r="BZ172" i="4"/>
  <c r="CA172" i="4"/>
  <c r="CB172" i="4"/>
  <c r="CC172" i="4"/>
  <c r="CD172" i="4"/>
  <c r="CE172" i="4"/>
  <c r="CF172" i="4"/>
  <c r="CG172" i="4"/>
  <c r="CH172" i="4"/>
  <c r="CI172" i="4"/>
  <c r="CJ172" i="4"/>
  <c r="CK172" i="4"/>
  <c r="CL172" i="4"/>
  <c r="CM172" i="4"/>
  <c r="CN172" i="4"/>
  <c r="CO172" i="4"/>
  <c r="CP172" i="4"/>
  <c r="CQ172" i="4"/>
  <c r="CR172" i="4"/>
  <c r="CS172" i="4"/>
  <c r="CT172" i="4"/>
  <c r="CU172" i="4"/>
  <c r="CV172" i="4"/>
  <c r="CW172" i="4"/>
  <c r="CX172" i="4"/>
  <c r="BG173" i="4"/>
  <c r="BH173" i="4"/>
  <c r="BI173" i="4"/>
  <c r="BJ173" i="4"/>
  <c r="BK173" i="4"/>
  <c r="BL173" i="4"/>
  <c r="BM173" i="4"/>
  <c r="BN173" i="4"/>
  <c r="BO173" i="4"/>
  <c r="BP173" i="4"/>
  <c r="BQ173" i="4"/>
  <c r="BR173" i="4"/>
  <c r="BS173" i="4"/>
  <c r="BT173" i="4"/>
  <c r="BU173" i="4"/>
  <c r="BV173" i="4"/>
  <c r="BW173" i="4"/>
  <c r="BX173" i="4"/>
  <c r="BY173" i="4"/>
  <c r="BZ173" i="4"/>
  <c r="CA173" i="4"/>
  <c r="CB173" i="4"/>
  <c r="CC173" i="4"/>
  <c r="CD173" i="4"/>
  <c r="CE173" i="4"/>
  <c r="CF173" i="4"/>
  <c r="CG173" i="4"/>
  <c r="CH173" i="4"/>
  <c r="CI173" i="4"/>
  <c r="CJ173" i="4"/>
  <c r="CK173" i="4"/>
  <c r="CL173" i="4"/>
  <c r="CM173" i="4"/>
  <c r="CN173" i="4"/>
  <c r="CO173" i="4"/>
  <c r="CP173" i="4"/>
  <c r="CQ173" i="4"/>
  <c r="CR173" i="4"/>
  <c r="CS173" i="4"/>
  <c r="CT173" i="4"/>
  <c r="CU173" i="4"/>
  <c r="CV173" i="4"/>
  <c r="CW173" i="4"/>
  <c r="CX173" i="4"/>
  <c r="BG174" i="4"/>
  <c r="BH174" i="4"/>
  <c r="BI174" i="4"/>
  <c r="BJ174" i="4"/>
  <c r="BK174" i="4"/>
  <c r="BL174" i="4"/>
  <c r="BM174" i="4"/>
  <c r="BN174" i="4"/>
  <c r="BO174" i="4"/>
  <c r="BP174" i="4"/>
  <c r="BQ174" i="4"/>
  <c r="BR174" i="4"/>
  <c r="BS174" i="4"/>
  <c r="BT174" i="4"/>
  <c r="BU174" i="4"/>
  <c r="BV174" i="4"/>
  <c r="BW174" i="4"/>
  <c r="BX174" i="4"/>
  <c r="BY174" i="4"/>
  <c r="BZ174" i="4"/>
  <c r="CA174" i="4"/>
  <c r="CB174" i="4"/>
  <c r="CC174" i="4"/>
  <c r="CD174" i="4"/>
  <c r="CE174" i="4"/>
  <c r="CF174" i="4"/>
  <c r="CG174" i="4"/>
  <c r="CH174" i="4"/>
  <c r="CI174" i="4"/>
  <c r="CJ174" i="4"/>
  <c r="CK174" i="4"/>
  <c r="CL174" i="4"/>
  <c r="CM174" i="4"/>
  <c r="CN174" i="4"/>
  <c r="CO174" i="4"/>
  <c r="CP174" i="4"/>
  <c r="CQ174" i="4"/>
  <c r="CR174" i="4"/>
  <c r="CS174" i="4"/>
  <c r="CT174" i="4"/>
  <c r="CU174" i="4"/>
  <c r="CV174" i="4"/>
  <c r="CW174" i="4"/>
  <c r="CX174" i="4"/>
  <c r="BG175" i="4"/>
  <c r="BH175" i="4"/>
  <c r="BI175" i="4"/>
  <c r="BJ175" i="4"/>
  <c r="BK175" i="4"/>
  <c r="BL175" i="4"/>
  <c r="BM175" i="4"/>
  <c r="BN175" i="4"/>
  <c r="BO175" i="4"/>
  <c r="BP175" i="4"/>
  <c r="BQ175" i="4"/>
  <c r="BR175" i="4"/>
  <c r="BS175" i="4"/>
  <c r="BT175" i="4"/>
  <c r="BU175" i="4"/>
  <c r="BV175" i="4"/>
  <c r="BW175" i="4"/>
  <c r="BX175" i="4"/>
  <c r="BY175" i="4"/>
  <c r="BZ175" i="4"/>
  <c r="CA175" i="4"/>
  <c r="CB175" i="4"/>
  <c r="CC175" i="4"/>
  <c r="CD175" i="4"/>
  <c r="CE175" i="4"/>
  <c r="CF175" i="4"/>
  <c r="CG175" i="4"/>
  <c r="CH175" i="4"/>
  <c r="CI175" i="4"/>
  <c r="CJ175" i="4"/>
  <c r="CK175" i="4"/>
  <c r="CL175" i="4"/>
  <c r="CM175" i="4"/>
  <c r="CN175" i="4"/>
  <c r="CO175" i="4"/>
  <c r="CP175" i="4"/>
  <c r="CQ175" i="4"/>
  <c r="CR175" i="4"/>
  <c r="CS175" i="4"/>
  <c r="CT175" i="4"/>
  <c r="CU175" i="4"/>
  <c r="CV175" i="4"/>
  <c r="CW175" i="4"/>
  <c r="CX175" i="4"/>
  <c r="BG176" i="4"/>
  <c r="BH176" i="4"/>
  <c r="BI176" i="4"/>
  <c r="BJ176" i="4"/>
  <c r="BK176" i="4"/>
  <c r="BL176" i="4"/>
  <c r="BM176" i="4"/>
  <c r="BN176" i="4"/>
  <c r="BO176" i="4"/>
  <c r="BP176" i="4"/>
  <c r="BQ176" i="4"/>
  <c r="BR176" i="4"/>
  <c r="BS176" i="4"/>
  <c r="BT176" i="4"/>
  <c r="BU176" i="4"/>
  <c r="BV176" i="4"/>
  <c r="BW176" i="4"/>
  <c r="BX176" i="4"/>
  <c r="BY176" i="4"/>
  <c r="BZ176" i="4"/>
  <c r="CA176" i="4"/>
  <c r="CB176" i="4"/>
  <c r="CC176" i="4"/>
  <c r="CD176" i="4"/>
  <c r="CE176" i="4"/>
  <c r="CF176" i="4"/>
  <c r="CG176" i="4"/>
  <c r="CH176" i="4"/>
  <c r="CI176" i="4"/>
  <c r="CJ176" i="4"/>
  <c r="CK176" i="4"/>
  <c r="CL176" i="4"/>
  <c r="CM176" i="4"/>
  <c r="CN176" i="4"/>
  <c r="CO176" i="4"/>
  <c r="CP176" i="4"/>
  <c r="CQ176" i="4"/>
  <c r="CR176" i="4"/>
  <c r="CS176" i="4"/>
  <c r="CT176" i="4"/>
  <c r="CU176" i="4"/>
  <c r="CV176" i="4"/>
  <c r="CW176" i="4"/>
  <c r="CX176" i="4"/>
  <c r="BG177" i="4"/>
  <c r="BH177" i="4"/>
  <c r="BI177" i="4"/>
  <c r="BJ177" i="4"/>
  <c r="BK177" i="4"/>
  <c r="BL177" i="4"/>
  <c r="BM177" i="4"/>
  <c r="BN177" i="4"/>
  <c r="BO177" i="4"/>
  <c r="BP177" i="4"/>
  <c r="BQ177" i="4"/>
  <c r="BR177" i="4"/>
  <c r="BS177" i="4"/>
  <c r="BT177" i="4"/>
  <c r="BU177" i="4"/>
  <c r="BV177" i="4"/>
  <c r="BW177" i="4"/>
  <c r="BX177" i="4"/>
  <c r="BY177" i="4"/>
  <c r="BZ177" i="4"/>
  <c r="CA177" i="4"/>
  <c r="CB177" i="4"/>
  <c r="CC177" i="4"/>
  <c r="CD177" i="4"/>
  <c r="CE177" i="4"/>
  <c r="CF177" i="4"/>
  <c r="CG177" i="4"/>
  <c r="CH177" i="4"/>
  <c r="CI177" i="4"/>
  <c r="CJ177" i="4"/>
  <c r="CK177" i="4"/>
  <c r="CL177" i="4"/>
  <c r="CM177" i="4"/>
  <c r="CN177" i="4"/>
  <c r="CO177" i="4"/>
  <c r="CP177" i="4"/>
  <c r="CQ177" i="4"/>
  <c r="CR177" i="4"/>
  <c r="CS177" i="4"/>
  <c r="CT177" i="4"/>
  <c r="CU177" i="4"/>
  <c r="CV177" i="4"/>
  <c r="CW177" i="4"/>
  <c r="CX177" i="4"/>
  <c r="BG178" i="4"/>
  <c r="BH178" i="4"/>
  <c r="BI178" i="4"/>
  <c r="BJ178" i="4"/>
  <c r="BK178" i="4"/>
  <c r="BL178" i="4"/>
  <c r="BM178" i="4"/>
  <c r="BN178" i="4"/>
  <c r="BO178" i="4"/>
  <c r="BP178" i="4"/>
  <c r="BQ178" i="4"/>
  <c r="BR178" i="4"/>
  <c r="BS178" i="4"/>
  <c r="BT178" i="4"/>
  <c r="BU178" i="4"/>
  <c r="BV178" i="4"/>
  <c r="BW178" i="4"/>
  <c r="BX178" i="4"/>
  <c r="BY178" i="4"/>
  <c r="BZ178" i="4"/>
  <c r="CA178" i="4"/>
  <c r="CB178" i="4"/>
  <c r="CC178" i="4"/>
  <c r="CD178" i="4"/>
  <c r="CE178" i="4"/>
  <c r="CF178" i="4"/>
  <c r="CG178" i="4"/>
  <c r="CH178" i="4"/>
  <c r="CI178" i="4"/>
  <c r="CJ178" i="4"/>
  <c r="CK178" i="4"/>
  <c r="CL178" i="4"/>
  <c r="CM178" i="4"/>
  <c r="CN178" i="4"/>
  <c r="CO178" i="4"/>
  <c r="CP178" i="4"/>
  <c r="CQ178" i="4"/>
  <c r="CR178" i="4"/>
  <c r="CS178" i="4"/>
  <c r="CT178" i="4"/>
  <c r="CU178" i="4"/>
  <c r="CV178" i="4"/>
  <c r="CW178" i="4"/>
  <c r="CX178" i="4"/>
  <c r="BG179" i="4"/>
  <c r="BH179" i="4"/>
  <c r="BI179" i="4"/>
  <c r="BJ179" i="4"/>
  <c r="BK179" i="4"/>
  <c r="BL179" i="4"/>
  <c r="BM179" i="4"/>
  <c r="BN179" i="4"/>
  <c r="BO179" i="4"/>
  <c r="BP179" i="4"/>
  <c r="BQ179" i="4"/>
  <c r="BR179" i="4"/>
  <c r="BS179" i="4"/>
  <c r="BT179" i="4"/>
  <c r="BU179" i="4"/>
  <c r="BV179" i="4"/>
  <c r="BW179" i="4"/>
  <c r="BX179" i="4"/>
  <c r="BY179" i="4"/>
  <c r="BZ179" i="4"/>
  <c r="CA179" i="4"/>
  <c r="CB179" i="4"/>
  <c r="CC179" i="4"/>
  <c r="CD179" i="4"/>
  <c r="CE179" i="4"/>
  <c r="CF179" i="4"/>
  <c r="CG179" i="4"/>
  <c r="CH179" i="4"/>
  <c r="CI179" i="4"/>
  <c r="CJ179" i="4"/>
  <c r="CK179" i="4"/>
  <c r="CL179" i="4"/>
  <c r="CM179" i="4"/>
  <c r="CN179" i="4"/>
  <c r="CO179" i="4"/>
  <c r="CP179" i="4"/>
  <c r="CQ179" i="4"/>
  <c r="CR179" i="4"/>
  <c r="CS179" i="4"/>
  <c r="CT179" i="4"/>
  <c r="CU179" i="4"/>
  <c r="CV179" i="4"/>
  <c r="CW179" i="4"/>
  <c r="CX179" i="4"/>
  <c r="BG180" i="4"/>
  <c r="BH180" i="4"/>
  <c r="BI180" i="4"/>
  <c r="BJ180" i="4"/>
  <c r="BK180" i="4"/>
  <c r="BL180" i="4"/>
  <c r="BM180" i="4"/>
  <c r="BN180" i="4"/>
  <c r="BO180" i="4"/>
  <c r="BP180" i="4"/>
  <c r="BQ180" i="4"/>
  <c r="BR180" i="4"/>
  <c r="BS180" i="4"/>
  <c r="BT180" i="4"/>
  <c r="BU180" i="4"/>
  <c r="BV180" i="4"/>
  <c r="BW180" i="4"/>
  <c r="BX180" i="4"/>
  <c r="BY180" i="4"/>
  <c r="BZ180" i="4"/>
  <c r="CA180" i="4"/>
  <c r="CB180" i="4"/>
  <c r="CC180" i="4"/>
  <c r="CD180" i="4"/>
  <c r="CE180" i="4"/>
  <c r="CF180" i="4"/>
  <c r="CG180" i="4"/>
  <c r="CH180" i="4"/>
  <c r="CI180" i="4"/>
  <c r="CJ180" i="4"/>
  <c r="CK180" i="4"/>
  <c r="CL180" i="4"/>
  <c r="CM180" i="4"/>
  <c r="CN180" i="4"/>
  <c r="CO180" i="4"/>
  <c r="CP180" i="4"/>
  <c r="CQ180" i="4"/>
  <c r="CR180" i="4"/>
  <c r="CS180" i="4"/>
  <c r="CT180" i="4"/>
  <c r="CU180" i="4"/>
  <c r="CV180" i="4"/>
  <c r="CW180" i="4"/>
  <c r="CX180" i="4"/>
  <c r="BG181" i="4"/>
  <c r="BH181" i="4"/>
  <c r="BI181" i="4"/>
  <c r="BJ181" i="4"/>
  <c r="BK181" i="4"/>
  <c r="BL181" i="4"/>
  <c r="BM181" i="4"/>
  <c r="BN181" i="4"/>
  <c r="BO181" i="4"/>
  <c r="BP181" i="4"/>
  <c r="BQ181" i="4"/>
  <c r="BR181" i="4"/>
  <c r="BS181" i="4"/>
  <c r="BT181" i="4"/>
  <c r="BU181" i="4"/>
  <c r="BV181" i="4"/>
  <c r="BW181" i="4"/>
  <c r="BX181" i="4"/>
  <c r="BY181" i="4"/>
  <c r="BZ181" i="4"/>
  <c r="CA181" i="4"/>
  <c r="CB181" i="4"/>
  <c r="CC181" i="4"/>
  <c r="CD181" i="4"/>
  <c r="CE181" i="4"/>
  <c r="CF181" i="4"/>
  <c r="CG181" i="4"/>
  <c r="CH181" i="4"/>
  <c r="CI181" i="4"/>
  <c r="CJ181" i="4"/>
  <c r="CK181" i="4"/>
  <c r="CL181" i="4"/>
  <c r="CM181" i="4"/>
  <c r="CN181" i="4"/>
  <c r="CO181" i="4"/>
  <c r="CP181" i="4"/>
  <c r="CQ181" i="4"/>
  <c r="CR181" i="4"/>
  <c r="CS181" i="4"/>
  <c r="CT181" i="4"/>
  <c r="CU181" i="4"/>
  <c r="CV181" i="4"/>
  <c r="CW181" i="4"/>
  <c r="CX181" i="4"/>
  <c r="BG182" i="4"/>
  <c r="BH182" i="4"/>
  <c r="BI182" i="4"/>
  <c r="BJ182" i="4"/>
  <c r="BK182" i="4"/>
  <c r="BL182" i="4"/>
  <c r="BM182" i="4"/>
  <c r="BN182" i="4"/>
  <c r="BO182" i="4"/>
  <c r="BP182" i="4"/>
  <c r="BQ182" i="4"/>
  <c r="BR182" i="4"/>
  <c r="BS182" i="4"/>
  <c r="BT182" i="4"/>
  <c r="BU182" i="4"/>
  <c r="BV182" i="4"/>
  <c r="BW182" i="4"/>
  <c r="BX182" i="4"/>
  <c r="BY182" i="4"/>
  <c r="BZ182" i="4"/>
  <c r="CA182" i="4"/>
  <c r="CB182" i="4"/>
  <c r="CC182" i="4"/>
  <c r="CD182" i="4"/>
  <c r="CE182" i="4"/>
  <c r="CF182" i="4"/>
  <c r="CG182" i="4"/>
  <c r="CH182" i="4"/>
  <c r="CI182" i="4"/>
  <c r="CJ182" i="4"/>
  <c r="CK182" i="4"/>
  <c r="CL182" i="4"/>
  <c r="CM182" i="4"/>
  <c r="CN182" i="4"/>
  <c r="CO182" i="4"/>
  <c r="CP182" i="4"/>
  <c r="CQ182" i="4"/>
  <c r="CR182" i="4"/>
  <c r="CS182" i="4"/>
  <c r="CT182" i="4"/>
  <c r="CU182" i="4"/>
  <c r="CV182" i="4"/>
  <c r="CW182" i="4"/>
  <c r="CX182" i="4"/>
  <c r="BG183" i="4"/>
  <c r="BH183" i="4"/>
  <c r="BI183" i="4"/>
  <c r="BJ183" i="4"/>
  <c r="BK183" i="4"/>
  <c r="BL183" i="4"/>
  <c r="BM183" i="4"/>
  <c r="BN183" i="4"/>
  <c r="BO183" i="4"/>
  <c r="BP183" i="4"/>
  <c r="BQ183" i="4"/>
  <c r="BR183" i="4"/>
  <c r="BS183" i="4"/>
  <c r="BT183" i="4"/>
  <c r="BU183" i="4"/>
  <c r="BV183" i="4"/>
  <c r="BW183" i="4"/>
  <c r="BX183" i="4"/>
  <c r="BY183" i="4"/>
  <c r="BZ183" i="4"/>
  <c r="CA183" i="4"/>
  <c r="CB183" i="4"/>
  <c r="CC183" i="4"/>
  <c r="CD183" i="4"/>
  <c r="CE183" i="4"/>
  <c r="CF183" i="4"/>
  <c r="CG183" i="4"/>
  <c r="CH183" i="4"/>
  <c r="CI183" i="4"/>
  <c r="CJ183" i="4"/>
  <c r="CK183" i="4"/>
  <c r="CL183" i="4"/>
  <c r="CM183" i="4"/>
  <c r="CN183" i="4"/>
  <c r="CO183" i="4"/>
  <c r="CP183" i="4"/>
  <c r="CQ183" i="4"/>
  <c r="CR183" i="4"/>
  <c r="CS183" i="4"/>
  <c r="CT183" i="4"/>
  <c r="CU183" i="4"/>
  <c r="CV183" i="4"/>
  <c r="CW183" i="4"/>
  <c r="CX183" i="4"/>
  <c r="BG184" i="4"/>
  <c r="BH184" i="4"/>
  <c r="BI184" i="4"/>
  <c r="BJ184" i="4"/>
  <c r="BK184" i="4"/>
  <c r="BL184" i="4"/>
  <c r="BM184" i="4"/>
  <c r="BN184" i="4"/>
  <c r="BO184" i="4"/>
  <c r="BP184" i="4"/>
  <c r="BQ184" i="4"/>
  <c r="BR184" i="4"/>
  <c r="BS184" i="4"/>
  <c r="BT184" i="4"/>
  <c r="BU184" i="4"/>
  <c r="BV184" i="4"/>
  <c r="BW184" i="4"/>
  <c r="BX184" i="4"/>
  <c r="BY184" i="4"/>
  <c r="BZ184" i="4"/>
  <c r="CA184" i="4"/>
  <c r="CB184" i="4"/>
  <c r="CC184" i="4"/>
  <c r="CD184" i="4"/>
  <c r="CE184" i="4"/>
  <c r="CF184" i="4"/>
  <c r="CG184" i="4"/>
  <c r="CH184" i="4"/>
  <c r="CI184" i="4"/>
  <c r="CJ184" i="4"/>
  <c r="CK184" i="4"/>
  <c r="CL184" i="4"/>
  <c r="CM184" i="4"/>
  <c r="CN184" i="4"/>
  <c r="CO184" i="4"/>
  <c r="CP184" i="4"/>
  <c r="CQ184" i="4"/>
  <c r="CR184" i="4"/>
  <c r="CS184" i="4"/>
  <c r="CT184" i="4"/>
  <c r="CU184" i="4"/>
  <c r="CV184" i="4"/>
  <c r="CW184" i="4"/>
  <c r="CX184" i="4"/>
  <c r="BG185" i="4"/>
  <c r="BH185" i="4"/>
  <c r="BI185" i="4"/>
  <c r="BJ185" i="4"/>
  <c r="BK185" i="4"/>
  <c r="BL185" i="4"/>
  <c r="BM185" i="4"/>
  <c r="BN185" i="4"/>
  <c r="BO185" i="4"/>
  <c r="BP185" i="4"/>
  <c r="BQ185" i="4"/>
  <c r="BR185" i="4"/>
  <c r="BS185" i="4"/>
  <c r="BT185" i="4"/>
  <c r="BU185" i="4"/>
  <c r="BV185" i="4"/>
  <c r="BW185" i="4"/>
  <c r="BX185" i="4"/>
  <c r="BY185" i="4"/>
  <c r="BZ185" i="4"/>
  <c r="CA185" i="4"/>
  <c r="CB185" i="4"/>
  <c r="CC185" i="4"/>
  <c r="CD185" i="4"/>
  <c r="CE185" i="4"/>
  <c r="CF185" i="4"/>
  <c r="CG185" i="4"/>
  <c r="CH185" i="4"/>
  <c r="CI185" i="4"/>
  <c r="CJ185" i="4"/>
  <c r="CK185" i="4"/>
  <c r="CL185" i="4"/>
  <c r="CM185" i="4"/>
  <c r="CN185" i="4"/>
  <c r="CO185" i="4"/>
  <c r="CP185" i="4"/>
  <c r="CQ185" i="4"/>
  <c r="CR185" i="4"/>
  <c r="CS185" i="4"/>
  <c r="CT185" i="4"/>
  <c r="CU185" i="4"/>
  <c r="CV185" i="4"/>
  <c r="CW185" i="4"/>
  <c r="CX185" i="4"/>
  <c r="BG186" i="4"/>
  <c r="BH186" i="4"/>
  <c r="BI186" i="4"/>
  <c r="BJ186" i="4"/>
  <c r="BK186" i="4"/>
  <c r="BL186" i="4"/>
  <c r="BM186" i="4"/>
  <c r="BN186" i="4"/>
  <c r="BO186" i="4"/>
  <c r="BP186" i="4"/>
  <c r="BQ186" i="4"/>
  <c r="BR186" i="4"/>
  <c r="BS186" i="4"/>
  <c r="BT186" i="4"/>
  <c r="BU186" i="4"/>
  <c r="BV186" i="4"/>
  <c r="BW186" i="4"/>
  <c r="BX186" i="4"/>
  <c r="BY186" i="4"/>
  <c r="BZ186" i="4"/>
  <c r="CA186" i="4"/>
  <c r="CB186" i="4"/>
  <c r="CC186" i="4"/>
  <c r="CD186" i="4"/>
  <c r="CE186" i="4"/>
  <c r="CF186" i="4"/>
  <c r="CG186" i="4"/>
  <c r="CH186" i="4"/>
  <c r="CI186" i="4"/>
  <c r="CJ186" i="4"/>
  <c r="CK186" i="4"/>
  <c r="CL186" i="4"/>
  <c r="CM186" i="4"/>
  <c r="CN186" i="4"/>
  <c r="CO186" i="4"/>
  <c r="CP186" i="4"/>
  <c r="CQ186" i="4"/>
  <c r="CR186" i="4"/>
  <c r="CS186" i="4"/>
  <c r="CT186" i="4"/>
  <c r="CU186" i="4"/>
  <c r="CV186" i="4"/>
  <c r="CW186" i="4"/>
  <c r="CX186" i="4"/>
  <c r="BG187" i="4"/>
  <c r="BH187" i="4"/>
  <c r="BI187" i="4"/>
  <c r="BJ187" i="4"/>
  <c r="BK187" i="4"/>
  <c r="BL187" i="4"/>
  <c r="BM187" i="4"/>
  <c r="BN187" i="4"/>
  <c r="BO187" i="4"/>
  <c r="BP187" i="4"/>
  <c r="BQ187" i="4"/>
  <c r="BR187" i="4"/>
  <c r="BS187" i="4"/>
  <c r="BT187" i="4"/>
  <c r="BU187" i="4"/>
  <c r="BV187" i="4"/>
  <c r="BW187" i="4"/>
  <c r="BX187" i="4"/>
  <c r="BY187" i="4"/>
  <c r="BZ187" i="4"/>
  <c r="CA187" i="4"/>
  <c r="CB187" i="4"/>
  <c r="CC187" i="4"/>
  <c r="CD187" i="4"/>
  <c r="CE187" i="4"/>
  <c r="CF187" i="4"/>
  <c r="CG187" i="4"/>
  <c r="CH187" i="4"/>
  <c r="CI187" i="4"/>
  <c r="CJ187" i="4"/>
  <c r="CK187" i="4"/>
  <c r="CL187" i="4"/>
  <c r="CM187" i="4"/>
  <c r="CN187" i="4"/>
  <c r="CO187" i="4"/>
  <c r="CP187" i="4"/>
  <c r="CQ187" i="4"/>
  <c r="CR187" i="4"/>
  <c r="CS187" i="4"/>
  <c r="CT187" i="4"/>
  <c r="CU187" i="4"/>
  <c r="CV187" i="4"/>
  <c r="CW187" i="4"/>
  <c r="CX187" i="4"/>
  <c r="BG188" i="4"/>
  <c r="BH188" i="4"/>
  <c r="BI188" i="4"/>
  <c r="BJ188" i="4"/>
  <c r="BK188" i="4"/>
  <c r="BL188" i="4"/>
  <c r="BM188" i="4"/>
  <c r="BN188" i="4"/>
  <c r="BO188" i="4"/>
  <c r="BP188" i="4"/>
  <c r="BQ188" i="4"/>
  <c r="BR188" i="4"/>
  <c r="BS188" i="4"/>
  <c r="BT188" i="4"/>
  <c r="BU188" i="4"/>
  <c r="BV188" i="4"/>
  <c r="BW188" i="4"/>
  <c r="BX188" i="4"/>
  <c r="BY188" i="4"/>
  <c r="BZ188" i="4"/>
  <c r="CA188" i="4"/>
  <c r="CB188" i="4"/>
  <c r="CC188" i="4"/>
  <c r="CD188" i="4"/>
  <c r="CE188" i="4"/>
  <c r="CF188" i="4"/>
  <c r="CG188" i="4"/>
  <c r="CH188" i="4"/>
  <c r="CI188" i="4"/>
  <c r="CJ188" i="4"/>
  <c r="CK188" i="4"/>
  <c r="CL188" i="4"/>
  <c r="CM188" i="4"/>
  <c r="CN188" i="4"/>
  <c r="CO188" i="4"/>
  <c r="CP188" i="4"/>
  <c r="CQ188" i="4"/>
  <c r="CR188" i="4"/>
  <c r="CS188" i="4"/>
  <c r="CT188" i="4"/>
  <c r="CU188" i="4"/>
  <c r="CV188" i="4"/>
  <c r="CW188" i="4"/>
  <c r="CX188" i="4"/>
  <c r="BG189" i="4"/>
  <c r="BH189" i="4"/>
  <c r="BI189" i="4"/>
  <c r="BJ189" i="4"/>
  <c r="BK189" i="4"/>
  <c r="BL189" i="4"/>
  <c r="BM189" i="4"/>
  <c r="BN189" i="4"/>
  <c r="BO189" i="4"/>
  <c r="BP189" i="4"/>
  <c r="BQ189" i="4"/>
  <c r="BR189" i="4"/>
  <c r="BS189" i="4"/>
  <c r="BT189" i="4"/>
  <c r="BU189" i="4"/>
  <c r="BV189" i="4"/>
  <c r="BW189" i="4"/>
  <c r="BX189" i="4"/>
  <c r="BY189" i="4"/>
  <c r="BZ189" i="4"/>
  <c r="CA189" i="4"/>
  <c r="CB189" i="4"/>
  <c r="CC189" i="4"/>
  <c r="CD189" i="4"/>
  <c r="CE189" i="4"/>
  <c r="CF189" i="4"/>
  <c r="CG189" i="4"/>
  <c r="CH189" i="4"/>
  <c r="CI189" i="4"/>
  <c r="CJ189" i="4"/>
  <c r="CK189" i="4"/>
  <c r="CL189" i="4"/>
  <c r="CM189" i="4"/>
  <c r="CN189" i="4"/>
  <c r="CO189" i="4"/>
  <c r="CP189" i="4"/>
  <c r="CQ189" i="4"/>
  <c r="CR189" i="4"/>
  <c r="CS189" i="4"/>
  <c r="CT189" i="4"/>
  <c r="CU189" i="4"/>
  <c r="CV189" i="4"/>
  <c r="CW189" i="4"/>
  <c r="CX189" i="4"/>
  <c r="BG190" i="4"/>
  <c r="BH190" i="4"/>
  <c r="BI190" i="4"/>
  <c r="BJ190" i="4"/>
  <c r="BK190" i="4"/>
  <c r="BL190" i="4"/>
  <c r="BM190" i="4"/>
  <c r="BN190" i="4"/>
  <c r="BO190" i="4"/>
  <c r="BP190" i="4"/>
  <c r="BQ190" i="4"/>
  <c r="BR190" i="4"/>
  <c r="BS190" i="4"/>
  <c r="BT190" i="4"/>
  <c r="BU190" i="4"/>
  <c r="BV190" i="4"/>
  <c r="BW190" i="4"/>
  <c r="BX190" i="4"/>
  <c r="BY190" i="4"/>
  <c r="BZ190" i="4"/>
  <c r="CA190" i="4"/>
  <c r="CB190" i="4"/>
  <c r="CC190" i="4"/>
  <c r="CD190" i="4"/>
  <c r="CE190" i="4"/>
  <c r="CF190" i="4"/>
  <c r="CG190" i="4"/>
  <c r="CH190" i="4"/>
  <c r="CI190" i="4"/>
  <c r="CJ190" i="4"/>
  <c r="CK190" i="4"/>
  <c r="CL190" i="4"/>
  <c r="CM190" i="4"/>
  <c r="CN190" i="4"/>
  <c r="CO190" i="4"/>
  <c r="CP190" i="4"/>
  <c r="CQ190" i="4"/>
  <c r="CR190" i="4"/>
  <c r="CS190" i="4"/>
  <c r="CT190" i="4"/>
  <c r="CU190" i="4"/>
  <c r="CV190" i="4"/>
  <c r="CW190" i="4"/>
  <c r="CX190" i="4"/>
  <c r="BG191" i="4"/>
  <c r="BH191" i="4"/>
  <c r="BI191" i="4"/>
  <c r="BJ191" i="4"/>
  <c r="BK191" i="4"/>
  <c r="BL191" i="4"/>
  <c r="BM191" i="4"/>
  <c r="BN191" i="4"/>
  <c r="BO191" i="4"/>
  <c r="BP191" i="4"/>
  <c r="BQ191" i="4"/>
  <c r="BR191" i="4"/>
  <c r="BS191" i="4"/>
  <c r="BT191" i="4"/>
  <c r="BU191" i="4"/>
  <c r="BV191" i="4"/>
  <c r="BW191" i="4"/>
  <c r="BX191" i="4"/>
  <c r="BY191" i="4"/>
  <c r="BZ191" i="4"/>
  <c r="CA191" i="4"/>
  <c r="CB191" i="4"/>
  <c r="CC191" i="4"/>
  <c r="CD191" i="4"/>
  <c r="CE191" i="4"/>
  <c r="CF191" i="4"/>
  <c r="CG191" i="4"/>
  <c r="CH191" i="4"/>
  <c r="CI191" i="4"/>
  <c r="CJ191" i="4"/>
  <c r="CK191" i="4"/>
  <c r="CL191" i="4"/>
  <c r="CM191" i="4"/>
  <c r="CN191" i="4"/>
  <c r="CO191" i="4"/>
  <c r="CP191" i="4"/>
  <c r="CQ191" i="4"/>
  <c r="CR191" i="4"/>
  <c r="CS191" i="4"/>
  <c r="CT191" i="4"/>
  <c r="CU191" i="4"/>
  <c r="CV191" i="4"/>
  <c r="CW191" i="4"/>
  <c r="CX191" i="4"/>
  <c r="BG192" i="4"/>
  <c r="BH192" i="4"/>
  <c r="BI192" i="4"/>
  <c r="BJ192" i="4"/>
  <c r="BK192" i="4"/>
  <c r="BL192" i="4"/>
  <c r="BM192" i="4"/>
  <c r="BN192" i="4"/>
  <c r="BO192" i="4"/>
  <c r="BP192" i="4"/>
  <c r="BQ192" i="4"/>
  <c r="BR192" i="4"/>
  <c r="BS192" i="4"/>
  <c r="BT192" i="4"/>
  <c r="BU192" i="4"/>
  <c r="BV192" i="4"/>
  <c r="BW192" i="4"/>
  <c r="BX192" i="4"/>
  <c r="BY192" i="4"/>
  <c r="BZ192" i="4"/>
  <c r="CA192" i="4"/>
  <c r="CB192" i="4"/>
  <c r="CC192" i="4"/>
  <c r="CD192" i="4"/>
  <c r="CE192" i="4"/>
  <c r="CF192" i="4"/>
  <c r="CG192" i="4"/>
  <c r="CH192" i="4"/>
  <c r="CI192" i="4"/>
  <c r="CJ192" i="4"/>
  <c r="CK192" i="4"/>
  <c r="CL192" i="4"/>
  <c r="CM192" i="4"/>
  <c r="CN192" i="4"/>
  <c r="CO192" i="4"/>
  <c r="CP192" i="4"/>
  <c r="CQ192" i="4"/>
  <c r="CR192" i="4"/>
  <c r="CS192" i="4"/>
  <c r="CT192" i="4"/>
  <c r="CU192" i="4"/>
  <c r="CV192" i="4"/>
  <c r="CW192" i="4"/>
  <c r="CX192" i="4"/>
  <c r="BG193" i="4"/>
  <c r="BH193" i="4"/>
  <c r="BI193" i="4"/>
  <c r="BJ193" i="4"/>
  <c r="BK193" i="4"/>
  <c r="BL193" i="4"/>
  <c r="BM193" i="4"/>
  <c r="BN193" i="4"/>
  <c r="BO193" i="4"/>
  <c r="BP193" i="4"/>
  <c r="BQ193" i="4"/>
  <c r="BR193" i="4"/>
  <c r="BS193" i="4"/>
  <c r="BT193" i="4"/>
  <c r="BU193" i="4"/>
  <c r="BV193" i="4"/>
  <c r="BW193" i="4"/>
  <c r="BX193" i="4"/>
  <c r="BY193" i="4"/>
  <c r="BZ193" i="4"/>
  <c r="CA193" i="4"/>
  <c r="CB193" i="4"/>
  <c r="CC193" i="4"/>
  <c r="CD193" i="4"/>
  <c r="CE193" i="4"/>
  <c r="CF193" i="4"/>
  <c r="CG193" i="4"/>
  <c r="CH193" i="4"/>
  <c r="CI193" i="4"/>
  <c r="CJ193" i="4"/>
  <c r="CK193" i="4"/>
  <c r="CL193" i="4"/>
  <c r="CM193" i="4"/>
  <c r="CN193" i="4"/>
  <c r="CO193" i="4"/>
  <c r="CP193" i="4"/>
  <c r="CQ193" i="4"/>
  <c r="CR193" i="4"/>
  <c r="CS193" i="4"/>
  <c r="CT193" i="4"/>
  <c r="CU193" i="4"/>
  <c r="CV193" i="4"/>
  <c r="CW193" i="4"/>
  <c r="CX193" i="4"/>
  <c r="BG194" i="4"/>
  <c r="BH194" i="4"/>
  <c r="BI194" i="4"/>
  <c r="BJ194" i="4"/>
  <c r="BK194" i="4"/>
  <c r="BL194" i="4"/>
  <c r="BM194" i="4"/>
  <c r="BN194" i="4"/>
  <c r="BO194" i="4"/>
  <c r="BP194" i="4"/>
  <c r="BQ194" i="4"/>
  <c r="BR194" i="4"/>
  <c r="BS194" i="4"/>
  <c r="BT194" i="4"/>
  <c r="BU194" i="4"/>
  <c r="BV194" i="4"/>
  <c r="BW194" i="4"/>
  <c r="BX194" i="4"/>
  <c r="BY194" i="4"/>
  <c r="BZ194" i="4"/>
  <c r="CA194" i="4"/>
  <c r="CB194" i="4"/>
  <c r="CC194" i="4"/>
  <c r="CD194" i="4"/>
  <c r="CE194" i="4"/>
  <c r="CF194" i="4"/>
  <c r="CG194" i="4"/>
  <c r="CH194" i="4"/>
  <c r="CI194" i="4"/>
  <c r="CJ194" i="4"/>
  <c r="CK194" i="4"/>
  <c r="CL194" i="4"/>
  <c r="CM194" i="4"/>
  <c r="CN194" i="4"/>
  <c r="CO194" i="4"/>
  <c r="CP194" i="4"/>
  <c r="CQ194" i="4"/>
  <c r="CR194" i="4"/>
  <c r="CS194" i="4"/>
  <c r="CT194" i="4"/>
  <c r="CU194" i="4"/>
  <c r="CV194" i="4"/>
  <c r="CW194" i="4"/>
  <c r="CX194" i="4"/>
  <c r="BG195" i="4"/>
  <c r="BH195" i="4"/>
  <c r="BI195" i="4"/>
  <c r="BJ195" i="4"/>
  <c r="BK195" i="4"/>
  <c r="BL195" i="4"/>
  <c r="BM195" i="4"/>
  <c r="BN195" i="4"/>
  <c r="BO195" i="4"/>
  <c r="BP195" i="4"/>
  <c r="BQ195" i="4"/>
  <c r="BR195" i="4"/>
  <c r="BS195" i="4"/>
  <c r="BT195" i="4"/>
  <c r="BU195" i="4"/>
  <c r="BV195" i="4"/>
  <c r="BW195" i="4"/>
  <c r="BX195" i="4"/>
  <c r="BY195" i="4"/>
  <c r="BZ195" i="4"/>
  <c r="CA195" i="4"/>
  <c r="CB195" i="4"/>
  <c r="CC195" i="4"/>
  <c r="CD195" i="4"/>
  <c r="CE195" i="4"/>
  <c r="CF195" i="4"/>
  <c r="CG195" i="4"/>
  <c r="CH195" i="4"/>
  <c r="CI195" i="4"/>
  <c r="CJ195" i="4"/>
  <c r="CK195" i="4"/>
  <c r="CL195" i="4"/>
  <c r="CM195" i="4"/>
  <c r="CN195" i="4"/>
  <c r="CO195" i="4"/>
  <c r="CP195" i="4"/>
  <c r="CQ195" i="4"/>
  <c r="CR195" i="4"/>
  <c r="CS195" i="4"/>
  <c r="CT195" i="4"/>
  <c r="CU195" i="4"/>
  <c r="CV195" i="4"/>
  <c r="CW195" i="4"/>
  <c r="CX195" i="4"/>
  <c r="BG196" i="4"/>
  <c r="BH196" i="4"/>
  <c r="BI196" i="4"/>
  <c r="BJ196" i="4"/>
  <c r="BK196" i="4"/>
  <c r="BL196" i="4"/>
  <c r="BM196" i="4"/>
  <c r="BN196" i="4"/>
  <c r="BO196" i="4"/>
  <c r="BP196" i="4"/>
  <c r="BQ196" i="4"/>
  <c r="BR196" i="4"/>
  <c r="BS196" i="4"/>
  <c r="BT196" i="4"/>
  <c r="BU196" i="4"/>
  <c r="BV196" i="4"/>
  <c r="BW196" i="4"/>
  <c r="BX196" i="4"/>
  <c r="BY196" i="4"/>
  <c r="BZ196" i="4"/>
  <c r="CA196" i="4"/>
  <c r="CB196" i="4"/>
  <c r="CC196" i="4"/>
  <c r="CD196" i="4"/>
  <c r="CE196" i="4"/>
  <c r="CF196" i="4"/>
  <c r="CG196" i="4"/>
  <c r="CH196" i="4"/>
  <c r="CI196" i="4"/>
  <c r="CJ196" i="4"/>
  <c r="CK196" i="4"/>
  <c r="CL196" i="4"/>
  <c r="CM196" i="4"/>
  <c r="CN196" i="4"/>
  <c r="CO196" i="4"/>
  <c r="CP196" i="4"/>
  <c r="CQ196" i="4"/>
  <c r="CR196" i="4"/>
  <c r="CS196" i="4"/>
  <c r="CT196" i="4"/>
  <c r="CU196" i="4"/>
  <c r="CV196" i="4"/>
  <c r="CW196" i="4"/>
  <c r="CX196" i="4"/>
  <c r="BG197" i="4"/>
  <c r="BH197" i="4"/>
  <c r="BI197" i="4"/>
  <c r="BJ197" i="4"/>
  <c r="BK197" i="4"/>
  <c r="BL197" i="4"/>
  <c r="BM197" i="4"/>
  <c r="BN197" i="4"/>
  <c r="BO197" i="4"/>
  <c r="BP197" i="4"/>
  <c r="BQ197" i="4"/>
  <c r="BR197" i="4"/>
  <c r="BS197" i="4"/>
  <c r="BT197" i="4"/>
  <c r="BU197" i="4"/>
  <c r="BV197" i="4"/>
  <c r="BW197" i="4"/>
  <c r="BX197" i="4"/>
  <c r="BY197" i="4"/>
  <c r="BZ197" i="4"/>
  <c r="CA197" i="4"/>
  <c r="CB197" i="4"/>
  <c r="CC197" i="4"/>
  <c r="CD197" i="4"/>
  <c r="CE197" i="4"/>
  <c r="CF197" i="4"/>
  <c r="CG197" i="4"/>
  <c r="CH197" i="4"/>
  <c r="CI197" i="4"/>
  <c r="CJ197" i="4"/>
  <c r="CK197" i="4"/>
  <c r="CL197" i="4"/>
  <c r="CM197" i="4"/>
  <c r="CN197" i="4"/>
  <c r="CO197" i="4"/>
  <c r="CP197" i="4"/>
  <c r="CQ197" i="4"/>
  <c r="CR197" i="4"/>
  <c r="CS197" i="4"/>
  <c r="CT197" i="4"/>
  <c r="CU197" i="4"/>
  <c r="CV197" i="4"/>
  <c r="CW197" i="4"/>
  <c r="CX197" i="4"/>
  <c r="BG198" i="4"/>
  <c r="BH198" i="4"/>
  <c r="BI198" i="4"/>
  <c r="BJ198" i="4"/>
  <c r="BK198" i="4"/>
  <c r="BL198" i="4"/>
  <c r="BM198" i="4"/>
  <c r="BN198" i="4"/>
  <c r="BO198" i="4"/>
  <c r="BP198" i="4"/>
  <c r="BQ198" i="4"/>
  <c r="BR198" i="4"/>
  <c r="BS198" i="4"/>
  <c r="BT198" i="4"/>
  <c r="BU198" i="4"/>
  <c r="BV198" i="4"/>
  <c r="BW198" i="4"/>
  <c r="BX198" i="4"/>
  <c r="BY198" i="4"/>
  <c r="BZ198" i="4"/>
  <c r="CA198" i="4"/>
  <c r="CB198" i="4"/>
  <c r="CC198" i="4"/>
  <c r="CD198" i="4"/>
  <c r="CE198" i="4"/>
  <c r="CF198" i="4"/>
  <c r="CG198" i="4"/>
  <c r="CH198" i="4"/>
  <c r="CI198" i="4"/>
  <c r="CJ198" i="4"/>
  <c r="CK198" i="4"/>
  <c r="CL198" i="4"/>
  <c r="CM198" i="4"/>
  <c r="CN198" i="4"/>
  <c r="CO198" i="4"/>
  <c r="CP198" i="4"/>
  <c r="CQ198" i="4"/>
  <c r="CR198" i="4"/>
  <c r="CS198" i="4"/>
  <c r="CT198" i="4"/>
  <c r="CU198" i="4"/>
  <c r="CV198" i="4"/>
  <c r="CW198" i="4"/>
  <c r="CX198" i="4"/>
  <c r="BG199" i="4"/>
  <c r="BH199" i="4"/>
  <c r="BI199" i="4"/>
  <c r="BJ199" i="4"/>
  <c r="BK199" i="4"/>
  <c r="BL199" i="4"/>
  <c r="BM199" i="4"/>
  <c r="BN199" i="4"/>
  <c r="BO199" i="4"/>
  <c r="BP199" i="4"/>
  <c r="BQ199" i="4"/>
  <c r="BR199" i="4"/>
  <c r="BS199" i="4"/>
  <c r="BT199" i="4"/>
  <c r="BU199" i="4"/>
  <c r="BV199" i="4"/>
  <c r="BW199" i="4"/>
  <c r="BX199" i="4"/>
  <c r="BY199" i="4"/>
  <c r="BZ199" i="4"/>
  <c r="CA199" i="4"/>
  <c r="CB199" i="4"/>
  <c r="CC199" i="4"/>
  <c r="CD199" i="4"/>
  <c r="CE199" i="4"/>
  <c r="CF199" i="4"/>
  <c r="CG199" i="4"/>
  <c r="CH199" i="4"/>
  <c r="CI199" i="4"/>
  <c r="CJ199" i="4"/>
  <c r="CK199" i="4"/>
  <c r="CL199" i="4"/>
  <c r="CM199" i="4"/>
  <c r="CN199" i="4"/>
  <c r="CO199" i="4"/>
  <c r="CP199" i="4"/>
  <c r="CQ199" i="4"/>
  <c r="CR199" i="4"/>
  <c r="CS199" i="4"/>
  <c r="CT199" i="4"/>
  <c r="CU199" i="4"/>
  <c r="CV199" i="4"/>
  <c r="CW199" i="4"/>
  <c r="CX199" i="4"/>
  <c r="BG200" i="4"/>
  <c r="BH200" i="4"/>
  <c r="BI200" i="4"/>
  <c r="BJ200" i="4"/>
  <c r="BK200" i="4"/>
  <c r="BL200" i="4"/>
  <c r="BM200" i="4"/>
  <c r="BN200" i="4"/>
  <c r="BO200" i="4"/>
  <c r="BP200" i="4"/>
  <c r="BQ200" i="4"/>
  <c r="BR200" i="4"/>
  <c r="BS200" i="4"/>
  <c r="BT200" i="4"/>
  <c r="BU200" i="4"/>
  <c r="BV200" i="4"/>
  <c r="BW200" i="4"/>
  <c r="BX200" i="4"/>
  <c r="BY200" i="4"/>
  <c r="BZ200" i="4"/>
  <c r="CA200" i="4"/>
  <c r="CB200" i="4"/>
  <c r="CC200" i="4"/>
  <c r="CD200" i="4"/>
  <c r="CE200" i="4"/>
  <c r="CF200" i="4"/>
  <c r="CG200" i="4"/>
  <c r="CH200" i="4"/>
  <c r="CI200" i="4"/>
  <c r="CJ200" i="4"/>
  <c r="CK200" i="4"/>
  <c r="CL200" i="4"/>
  <c r="CM200" i="4"/>
  <c r="CN200" i="4"/>
  <c r="CO200" i="4"/>
  <c r="CP200" i="4"/>
  <c r="CQ200" i="4"/>
  <c r="CR200" i="4"/>
  <c r="CS200" i="4"/>
  <c r="CT200" i="4"/>
  <c r="CU200" i="4"/>
  <c r="CV200" i="4"/>
  <c r="CW200" i="4"/>
  <c r="CX200" i="4"/>
  <c r="BG201" i="4"/>
  <c r="BH201" i="4"/>
  <c r="BI201" i="4"/>
  <c r="BJ201" i="4"/>
  <c r="BK201" i="4"/>
  <c r="BL201" i="4"/>
  <c r="BM201" i="4"/>
  <c r="BN201" i="4"/>
  <c r="BO201" i="4"/>
  <c r="BP201" i="4"/>
  <c r="BQ201" i="4"/>
  <c r="BR201" i="4"/>
  <c r="BS201" i="4"/>
  <c r="BT201" i="4"/>
  <c r="BU201" i="4"/>
  <c r="BV201" i="4"/>
  <c r="BW201" i="4"/>
  <c r="BX201" i="4"/>
  <c r="BY201" i="4"/>
  <c r="BZ201" i="4"/>
  <c r="CA201" i="4"/>
  <c r="CB201" i="4"/>
  <c r="CC201" i="4"/>
  <c r="CD201" i="4"/>
  <c r="CE201" i="4"/>
  <c r="CF201" i="4"/>
  <c r="CG201" i="4"/>
  <c r="CH201" i="4"/>
  <c r="CI201" i="4"/>
  <c r="CJ201" i="4"/>
  <c r="CK201" i="4"/>
  <c r="CL201" i="4"/>
  <c r="CM201" i="4"/>
  <c r="CN201" i="4"/>
  <c r="CO201" i="4"/>
  <c r="CP201" i="4"/>
  <c r="CQ201" i="4"/>
  <c r="CR201" i="4"/>
  <c r="CS201" i="4"/>
  <c r="CT201" i="4"/>
  <c r="CU201" i="4"/>
  <c r="CV201" i="4"/>
  <c r="CW201" i="4"/>
  <c r="CX201" i="4"/>
  <c r="BG202" i="4"/>
  <c r="BH202" i="4"/>
  <c r="BI202" i="4"/>
  <c r="BJ202" i="4"/>
  <c r="BK202" i="4"/>
  <c r="BL202" i="4"/>
  <c r="BM202" i="4"/>
  <c r="BN202" i="4"/>
  <c r="BO202" i="4"/>
  <c r="BP202" i="4"/>
  <c r="BQ202" i="4"/>
  <c r="BR202" i="4"/>
  <c r="BS202" i="4"/>
  <c r="BT202" i="4"/>
  <c r="BU202" i="4"/>
  <c r="BV202" i="4"/>
  <c r="BW202" i="4"/>
  <c r="BX202" i="4"/>
  <c r="BY202" i="4"/>
  <c r="BZ202" i="4"/>
  <c r="CA202" i="4"/>
  <c r="CB202" i="4"/>
  <c r="CC202" i="4"/>
  <c r="CD202" i="4"/>
  <c r="CE202" i="4"/>
  <c r="CF202" i="4"/>
  <c r="CG202" i="4"/>
  <c r="CH202" i="4"/>
  <c r="CI202" i="4"/>
  <c r="CJ202" i="4"/>
  <c r="CK202" i="4"/>
  <c r="CL202" i="4"/>
  <c r="CM202" i="4"/>
  <c r="CN202" i="4"/>
  <c r="CO202" i="4"/>
  <c r="CP202" i="4"/>
  <c r="CQ202" i="4"/>
  <c r="CR202" i="4"/>
  <c r="CS202" i="4"/>
  <c r="CT202" i="4"/>
  <c r="CU202" i="4"/>
  <c r="CV202" i="4"/>
  <c r="CW202" i="4"/>
  <c r="CX202" i="4"/>
  <c r="BG203" i="4"/>
  <c r="BH203" i="4"/>
  <c r="BI203" i="4"/>
  <c r="BJ203" i="4"/>
  <c r="BK203" i="4"/>
  <c r="BL203" i="4"/>
  <c r="BM203" i="4"/>
  <c r="BN203" i="4"/>
  <c r="BO203" i="4"/>
  <c r="BP203" i="4"/>
  <c r="BQ203" i="4"/>
  <c r="BR203" i="4"/>
  <c r="BS203" i="4"/>
  <c r="BT203" i="4"/>
  <c r="BU203" i="4"/>
  <c r="BV203" i="4"/>
  <c r="BW203" i="4"/>
  <c r="BX203" i="4"/>
  <c r="BY203" i="4"/>
  <c r="BZ203" i="4"/>
  <c r="CA203" i="4"/>
  <c r="CB203" i="4"/>
  <c r="CC203" i="4"/>
  <c r="CD203" i="4"/>
  <c r="CE203" i="4"/>
  <c r="CF203" i="4"/>
  <c r="CG203" i="4"/>
  <c r="CH203" i="4"/>
  <c r="CI203" i="4"/>
  <c r="CJ203" i="4"/>
  <c r="CK203" i="4"/>
  <c r="CL203" i="4"/>
  <c r="CM203" i="4"/>
  <c r="CN203" i="4"/>
  <c r="CO203" i="4"/>
  <c r="CP203" i="4"/>
  <c r="CQ203" i="4"/>
  <c r="CR203" i="4"/>
  <c r="CS203" i="4"/>
  <c r="CT203" i="4"/>
  <c r="CU203" i="4"/>
  <c r="CV203" i="4"/>
  <c r="CW203" i="4"/>
  <c r="CX203" i="4"/>
  <c r="BG204" i="4"/>
  <c r="BH204" i="4"/>
  <c r="BI204" i="4"/>
  <c r="BJ204" i="4"/>
  <c r="BK204" i="4"/>
  <c r="BL204" i="4"/>
  <c r="BM204" i="4"/>
  <c r="BN204" i="4"/>
  <c r="BO204" i="4"/>
  <c r="BP204" i="4"/>
  <c r="BQ204" i="4"/>
  <c r="BR204" i="4"/>
  <c r="BS204" i="4"/>
  <c r="BT204" i="4"/>
  <c r="BU204" i="4"/>
  <c r="BV204" i="4"/>
  <c r="BW204" i="4"/>
  <c r="BX204" i="4"/>
  <c r="BY204" i="4"/>
  <c r="BZ204" i="4"/>
  <c r="CA204" i="4"/>
  <c r="CB204" i="4"/>
  <c r="CC204" i="4"/>
  <c r="CD204" i="4"/>
  <c r="CE204" i="4"/>
  <c r="CF204" i="4"/>
  <c r="CG204" i="4"/>
  <c r="CH204" i="4"/>
  <c r="CI204" i="4"/>
  <c r="CJ204" i="4"/>
  <c r="CK204" i="4"/>
  <c r="CL204" i="4"/>
  <c r="CM204" i="4"/>
  <c r="CN204" i="4"/>
  <c r="CO204" i="4"/>
  <c r="CP204" i="4"/>
  <c r="CQ204" i="4"/>
  <c r="CR204" i="4"/>
  <c r="CS204" i="4"/>
  <c r="CT204" i="4"/>
  <c r="CU204" i="4"/>
  <c r="CV204" i="4"/>
  <c r="CW204" i="4"/>
  <c r="CX204" i="4"/>
  <c r="BG205" i="4"/>
  <c r="BH205" i="4"/>
  <c r="BI205" i="4"/>
  <c r="BJ205" i="4"/>
  <c r="BK205" i="4"/>
  <c r="BL205" i="4"/>
  <c r="BM205" i="4"/>
  <c r="BN205" i="4"/>
  <c r="BO205" i="4"/>
  <c r="BP205" i="4"/>
  <c r="BQ205" i="4"/>
  <c r="BR205" i="4"/>
  <c r="BS205" i="4"/>
  <c r="BT205" i="4"/>
  <c r="BU205" i="4"/>
  <c r="BV205" i="4"/>
  <c r="BW205" i="4"/>
  <c r="BX205" i="4"/>
  <c r="BY205" i="4"/>
  <c r="BZ205" i="4"/>
  <c r="CA205" i="4"/>
  <c r="CB205" i="4"/>
  <c r="CC205" i="4"/>
  <c r="CD205" i="4"/>
  <c r="CE205" i="4"/>
  <c r="CF205" i="4"/>
  <c r="CG205" i="4"/>
  <c r="CH205" i="4"/>
  <c r="CI205" i="4"/>
  <c r="CJ205" i="4"/>
  <c r="CK205" i="4"/>
  <c r="CL205" i="4"/>
  <c r="CM205" i="4"/>
  <c r="CN205" i="4"/>
  <c r="CO205" i="4"/>
  <c r="CP205" i="4"/>
  <c r="CQ205" i="4"/>
  <c r="CR205" i="4"/>
  <c r="CS205" i="4"/>
  <c r="CT205" i="4"/>
  <c r="CU205" i="4"/>
  <c r="CV205" i="4"/>
  <c r="CW205" i="4"/>
  <c r="CX205" i="4"/>
  <c r="BG206" i="4"/>
  <c r="BH206" i="4"/>
  <c r="BI206" i="4"/>
  <c r="BJ206" i="4"/>
  <c r="BK206" i="4"/>
  <c r="BL206" i="4"/>
  <c r="BM206" i="4"/>
  <c r="BN206" i="4"/>
  <c r="BO206" i="4"/>
  <c r="BP206" i="4"/>
  <c r="BQ206" i="4"/>
  <c r="BR206" i="4"/>
  <c r="BS206" i="4"/>
  <c r="BT206" i="4"/>
  <c r="BU206" i="4"/>
  <c r="BV206" i="4"/>
  <c r="BW206" i="4"/>
  <c r="BX206" i="4"/>
  <c r="BY206" i="4"/>
  <c r="BZ206" i="4"/>
  <c r="CA206" i="4"/>
  <c r="CB206" i="4"/>
  <c r="CC206" i="4"/>
  <c r="CD206" i="4"/>
  <c r="CE206" i="4"/>
  <c r="CF206" i="4"/>
  <c r="CG206" i="4"/>
  <c r="CH206" i="4"/>
  <c r="CI206" i="4"/>
  <c r="CJ206" i="4"/>
  <c r="CK206" i="4"/>
  <c r="CL206" i="4"/>
  <c r="CM206" i="4"/>
  <c r="CN206" i="4"/>
  <c r="CO206" i="4"/>
  <c r="CP206" i="4"/>
  <c r="CQ206" i="4"/>
  <c r="CR206" i="4"/>
  <c r="CS206" i="4"/>
  <c r="CT206" i="4"/>
  <c r="CU206" i="4"/>
  <c r="CV206" i="4"/>
  <c r="CW206" i="4"/>
  <c r="CX206" i="4"/>
  <c r="BG207" i="4"/>
  <c r="BH207" i="4"/>
  <c r="BI207" i="4"/>
  <c r="BJ207" i="4"/>
  <c r="BK207" i="4"/>
  <c r="BL207" i="4"/>
  <c r="BM207" i="4"/>
  <c r="BN207" i="4"/>
  <c r="BO207" i="4"/>
  <c r="BP207" i="4"/>
  <c r="BQ207" i="4"/>
  <c r="BR207" i="4"/>
  <c r="BS207" i="4"/>
  <c r="BT207" i="4"/>
  <c r="BU207" i="4"/>
  <c r="BV207" i="4"/>
  <c r="BW207" i="4"/>
  <c r="BX207" i="4"/>
  <c r="BY207" i="4"/>
  <c r="BZ207" i="4"/>
  <c r="CA207" i="4"/>
  <c r="CB207" i="4"/>
  <c r="CC207" i="4"/>
  <c r="CD207" i="4"/>
  <c r="CE207" i="4"/>
  <c r="CF207" i="4"/>
  <c r="CG207" i="4"/>
  <c r="CH207" i="4"/>
  <c r="CI207" i="4"/>
  <c r="CJ207" i="4"/>
  <c r="CK207" i="4"/>
  <c r="CL207" i="4"/>
  <c r="CM207" i="4"/>
  <c r="CN207" i="4"/>
  <c r="CO207" i="4"/>
  <c r="CP207" i="4"/>
  <c r="CQ207" i="4"/>
  <c r="CR207" i="4"/>
  <c r="CS207" i="4"/>
  <c r="CT207" i="4"/>
  <c r="CU207" i="4"/>
  <c r="CV207" i="4"/>
  <c r="CW207" i="4"/>
  <c r="CX207" i="4"/>
  <c r="BG208" i="4"/>
  <c r="BH208" i="4"/>
  <c r="BI208" i="4"/>
  <c r="BJ208" i="4"/>
  <c r="BK208" i="4"/>
  <c r="BL208" i="4"/>
  <c r="BM208" i="4"/>
  <c r="BN208" i="4"/>
  <c r="BO208" i="4"/>
  <c r="BP208" i="4"/>
  <c r="BQ208" i="4"/>
  <c r="BR208" i="4"/>
  <c r="BS208" i="4"/>
  <c r="BT208" i="4"/>
  <c r="BU208" i="4"/>
  <c r="BV208" i="4"/>
  <c r="BW208" i="4"/>
  <c r="BX208" i="4"/>
  <c r="BY208" i="4"/>
  <c r="BZ208" i="4"/>
  <c r="CA208" i="4"/>
  <c r="CB208" i="4"/>
  <c r="CC208" i="4"/>
  <c r="CD208" i="4"/>
  <c r="CE208" i="4"/>
  <c r="CF208" i="4"/>
  <c r="CG208" i="4"/>
  <c r="CH208" i="4"/>
  <c r="CI208" i="4"/>
  <c r="CJ208" i="4"/>
  <c r="CK208" i="4"/>
  <c r="CL208" i="4"/>
  <c r="CM208" i="4"/>
  <c r="CN208" i="4"/>
  <c r="CO208" i="4"/>
  <c r="CP208" i="4"/>
  <c r="CQ208" i="4"/>
  <c r="CR208" i="4"/>
  <c r="CS208" i="4"/>
  <c r="CT208" i="4"/>
  <c r="CU208" i="4"/>
  <c r="CV208" i="4"/>
  <c r="CW208" i="4"/>
  <c r="CX208" i="4"/>
  <c r="BG209" i="4"/>
  <c r="BH209" i="4"/>
  <c r="BI209" i="4"/>
  <c r="BJ209" i="4"/>
  <c r="BK209" i="4"/>
  <c r="BL209" i="4"/>
  <c r="BM209" i="4"/>
  <c r="BN209" i="4"/>
  <c r="BO209" i="4"/>
  <c r="BP209" i="4"/>
  <c r="BQ209" i="4"/>
  <c r="BR209" i="4"/>
  <c r="BS209" i="4"/>
  <c r="BT209" i="4"/>
  <c r="BU209" i="4"/>
  <c r="BV209" i="4"/>
  <c r="BW209" i="4"/>
  <c r="BX209" i="4"/>
  <c r="BY209" i="4"/>
  <c r="BZ209" i="4"/>
  <c r="CA209" i="4"/>
  <c r="CB209" i="4"/>
  <c r="CC209" i="4"/>
  <c r="CD209" i="4"/>
  <c r="CE209" i="4"/>
  <c r="CF209" i="4"/>
  <c r="CG209" i="4"/>
  <c r="CH209" i="4"/>
  <c r="CI209" i="4"/>
  <c r="CJ209" i="4"/>
  <c r="CK209" i="4"/>
  <c r="CL209" i="4"/>
  <c r="CM209" i="4"/>
  <c r="CN209" i="4"/>
  <c r="CO209" i="4"/>
  <c r="CP209" i="4"/>
  <c r="CQ209" i="4"/>
  <c r="CR209" i="4"/>
  <c r="CS209" i="4"/>
  <c r="CT209" i="4"/>
  <c r="CU209" i="4"/>
  <c r="CV209" i="4"/>
  <c r="CW209" i="4"/>
  <c r="CX209" i="4"/>
  <c r="BG210" i="4"/>
  <c r="BH210" i="4"/>
  <c r="BI210" i="4"/>
  <c r="BJ210" i="4"/>
  <c r="BK210" i="4"/>
  <c r="BL210" i="4"/>
  <c r="BM210" i="4"/>
  <c r="BN210" i="4"/>
  <c r="BO210" i="4"/>
  <c r="BP210" i="4"/>
  <c r="BQ210" i="4"/>
  <c r="BR210" i="4"/>
  <c r="BS210" i="4"/>
  <c r="BT210" i="4"/>
  <c r="BU210" i="4"/>
  <c r="BV210" i="4"/>
  <c r="BW210" i="4"/>
  <c r="BX210" i="4"/>
  <c r="BY210" i="4"/>
  <c r="BZ210" i="4"/>
  <c r="CA210" i="4"/>
  <c r="CB210" i="4"/>
  <c r="CC210" i="4"/>
  <c r="CD210" i="4"/>
  <c r="CE210" i="4"/>
  <c r="CF210" i="4"/>
  <c r="CG210" i="4"/>
  <c r="CH210" i="4"/>
  <c r="CI210" i="4"/>
  <c r="CJ210" i="4"/>
  <c r="CK210" i="4"/>
  <c r="CL210" i="4"/>
  <c r="CM210" i="4"/>
  <c r="CN210" i="4"/>
  <c r="CO210" i="4"/>
  <c r="CP210" i="4"/>
  <c r="CQ210" i="4"/>
  <c r="CR210" i="4"/>
  <c r="CS210" i="4"/>
  <c r="CT210" i="4"/>
  <c r="CU210" i="4"/>
  <c r="CV210" i="4"/>
  <c r="CW210" i="4"/>
  <c r="CX210" i="4"/>
  <c r="BG211" i="4"/>
  <c r="BH211" i="4"/>
  <c r="BI211" i="4"/>
  <c r="BJ211" i="4"/>
  <c r="BK211" i="4"/>
  <c r="BL211" i="4"/>
  <c r="BM211" i="4"/>
  <c r="BN211" i="4"/>
  <c r="BO211" i="4"/>
  <c r="BP211" i="4"/>
  <c r="BQ211" i="4"/>
  <c r="BR211" i="4"/>
  <c r="BS211" i="4"/>
  <c r="BT211" i="4"/>
  <c r="BU211" i="4"/>
  <c r="BV211" i="4"/>
  <c r="BW211" i="4"/>
  <c r="BX211" i="4"/>
  <c r="BY211" i="4"/>
  <c r="BZ211" i="4"/>
  <c r="CA211" i="4"/>
  <c r="CB211" i="4"/>
  <c r="CC211" i="4"/>
  <c r="CD211" i="4"/>
  <c r="CE211" i="4"/>
  <c r="CF211" i="4"/>
  <c r="CG211" i="4"/>
  <c r="CH211" i="4"/>
  <c r="CI211" i="4"/>
  <c r="CJ211" i="4"/>
  <c r="CK211" i="4"/>
  <c r="CL211" i="4"/>
  <c r="CM211" i="4"/>
  <c r="CN211" i="4"/>
  <c r="CO211" i="4"/>
  <c r="CP211" i="4"/>
  <c r="CQ211" i="4"/>
  <c r="CR211" i="4"/>
  <c r="CS211" i="4"/>
  <c r="CT211" i="4"/>
  <c r="CU211" i="4"/>
  <c r="CV211" i="4"/>
  <c r="CW211" i="4"/>
  <c r="CX211" i="4"/>
  <c r="BG212" i="4"/>
  <c r="BH212" i="4"/>
  <c r="BI212" i="4"/>
  <c r="BJ212" i="4"/>
  <c r="BK212" i="4"/>
  <c r="BL212" i="4"/>
  <c r="BM212" i="4"/>
  <c r="BN212" i="4"/>
  <c r="BO212" i="4"/>
  <c r="BP212" i="4"/>
  <c r="BQ212" i="4"/>
  <c r="BR212" i="4"/>
  <c r="BS212" i="4"/>
  <c r="BT212" i="4"/>
  <c r="BU212" i="4"/>
  <c r="BV212" i="4"/>
  <c r="BW212" i="4"/>
  <c r="BX212" i="4"/>
  <c r="BY212" i="4"/>
  <c r="BZ212" i="4"/>
  <c r="CA212" i="4"/>
  <c r="CB212" i="4"/>
  <c r="CC212" i="4"/>
  <c r="CD212" i="4"/>
  <c r="CE212" i="4"/>
  <c r="CF212" i="4"/>
  <c r="CG212" i="4"/>
  <c r="CH212" i="4"/>
  <c r="CI212" i="4"/>
  <c r="CJ212" i="4"/>
  <c r="CK212" i="4"/>
  <c r="CL212" i="4"/>
  <c r="CM212" i="4"/>
  <c r="CN212" i="4"/>
  <c r="CO212" i="4"/>
  <c r="CP212" i="4"/>
  <c r="CQ212" i="4"/>
  <c r="CR212" i="4"/>
  <c r="CS212" i="4"/>
  <c r="CT212" i="4"/>
  <c r="CU212" i="4"/>
  <c r="CV212" i="4"/>
  <c r="CW212" i="4"/>
  <c r="CX212" i="4"/>
  <c r="BG213" i="4"/>
  <c r="BH213" i="4"/>
  <c r="BI213" i="4"/>
  <c r="BJ213" i="4"/>
  <c r="BK213" i="4"/>
  <c r="BL213" i="4"/>
  <c r="BM213" i="4"/>
  <c r="BN213" i="4"/>
  <c r="BO213" i="4"/>
  <c r="BP213" i="4"/>
  <c r="BQ213" i="4"/>
  <c r="BR213" i="4"/>
  <c r="BS213" i="4"/>
  <c r="BT213" i="4"/>
  <c r="BU213" i="4"/>
  <c r="BV213" i="4"/>
  <c r="BW213" i="4"/>
  <c r="BX213" i="4"/>
  <c r="BY213" i="4"/>
  <c r="BZ213" i="4"/>
  <c r="CA213" i="4"/>
  <c r="CB213" i="4"/>
  <c r="CC213" i="4"/>
  <c r="CD213" i="4"/>
  <c r="CE213" i="4"/>
  <c r="CF213" i="4"/>
  <c r="CG213" i="4"/>
  <c r="CH213" i="4"/>
  <c r="CI213" i="4"/>
  <c r="CJ213" i="4"/>
  <c r="CK213" i="4"/>
  <c r="CL213" i="4"/>
  <c r="CM213" i="4"/>
  <c r="CN213" i="4"/>
  <c r="CO213" i="4"/>
  <c r="CP213" i="4"/>
  <c r="CQ213" i="4"/>
  <c r="CR213" i="4"/>
  <c r="CS213" i="4"/>
  <c r="CT213" i="4"/>
  <c r="CU213" i="4"/>
  <c r="CV213" i="4"/>
  <c r="CW213" i="4"/>
  <c r="CX213" i="4"/>
  <c r="BG214" i="4"/>
  <c r="BH214" i="4"/>
  <c r="BI214" i="4"/>
  <c r="BJ214" i="4"/>
  <c r="BK214" i="4"/>
  <c r="BL214" i="4"/>
  <c r="BM214" i="4"/>
  <c r="BN214" i="4"/>
  <c r="BO214" i="4"/>
  <c r="BP214" i="4"/>
  <c r="BQ214" i="4"/>
  <c r="BR214" i="4"/>
  <c r="BS214" i="4"/>
  <c r="BT214" i="4"/>
  <c r="BU214" i="4"/>
  <c r="BV214" i="4"/>
  <c r="BW214" i="4"/>
  <c r="BX214" i="4"/>
  <c r="BY214" i="4"/>
  <c r="BZ214" i="4"/>
  <c r="CA214" i="4"/>
  <c r="CB214" i="4"/>
  <c r="CC214" i="4"/>
  <c r="CD214" i="4"/>
  <c r="CE214" i="4"/>
  <c r="CF214" i="4"/>
  <c r="CG214" i="4"/>
  <c r="CH214" i="4"/>
  <c r="CI214" i="4"/>
  <c r="CJ214" i="4"/>
  <c r="CK214" i="4"/>
  <c r="CL214" i="4"/>
  <c r="CM214" i="4"/>
  <c r="CN214" i="4"/>
  <c r="CO214" i="4"/>
  <c r="CP214" i="4"/>
  <c r="CQ214" i="4"/>
  <c r="CR214" i="4"/>
  <c r="CS214" i="4"/>
  <c r="CT214" i="4"/>
  <c r="CU214" i="4"/>
  <c r="CV214" i="4"/>
  <c r="CW214" i="4"/>
  <c r="CX214" i="4"/>
  <c r="BG215" i="4"/>
  <c r="BH215" i="4"/>
  <c r="BI215" i="4"/>
  <c r="BJ215" i="4"/>
  <c r="BK215" i="4"/>
  <c r="BL215" i="4"/>
  <c r="BM215" i="4"/>
  <c r="BN215" i="4"/>
  <c r="BO215" i="4"/>
  <c r="BP215" i="4"/>
  <c r="BQ215" i="4"/>
  <c r="BR215" i="4"/>
  <c r="BS215" i="4"/>
  <c r="BT215" i="4"/>
  <c r="BU215" i="4"/>
  <c r="BV215" i="4"/>
  <c r="BW215" i="4"/>
  <c r="BX215" i="4"/>
  <c r="BY215" i="4"/>
  <c r="BZ215" i="4"/>
  <c r="CA215" i="4"/>
  <c r="CB215" i="4"/>
  <c r="CC215" i="4"/>
  <c r="CD215" i="4"/>
  <c r="CE215" i="4"/>
  <c r="CF215" i="4"/>
  <c r="CG215" i="4"/>
  <c r="CH215" i="4"/>
  <c r="CI215" i="4"/>
  <c r="CJ215" i="4"/>
  <c r="CK215" i="4"/>
  <c r="CL215" i="4"/>
  <c r="CM215" i="4"/>
  <c r="CN215" i="4"/>
  <c r="CO215" i="4"/>
  <c r="CP215" i="4"/>
  <c r="CQ215" i="4"/>
  <c r="CR215" i="4"/>
  <c r="CS215" i="4"/>
  <c r="CT215" i="4"/>
  <c r="CU215" i="4"/>
  <c r="CV215" i="4"/>
  <c r="CW215" i="4"/>
  <c r="CX215" i="4"/>
  <c r="BG216" i="4"/>
  <c r="BH216" i="4"/>
  <c r="BI216" i="4"/>
  <c r="BJ216" i="4"/>
  <c r="BK216" i="4"/>
  <c r="BL216" i="4"/>
  <c r="BM216" i="4"/>
  <c r="BN216" i="4"/>
  <c r="BO216" i="4"/>
  <c r="BP216" i="4"/>
  <c r="BQ216" i="4"/>
  <c r="BR216" i="4"/>
  <c r="BS216" i="4"/>
  <c r="BT216" i="4"/>
  <c r="BU216" i="4"/>
  <c r="BV216" i="4"/>
  <c r="BW216" i="4"/>
  <c r="BX216" i="4"/>
  <c r="BY216" i="4"/>
  <c r="BZ216" i="4"/>
  <c r="CA216" i="4"/>
  <c r="CB216" i="4"/>
  <c r="CC216" i="4"/>
  <c r="CD216" i="4"/>
  <c r="CE216" i="4"/>
  <c r="CF216" i="4"/>
  <c r="CG216" i="4"/>
  <c r="CH216" i="4"/>
  <c r="CI216" i="4"/>
  <c r="CJ216" i="4"/>
  <c r="CK216" i="4"/>
  <c r="CL216" i="4"/>
  <c r="CM216" i="4"/>
  <c r="CN216" i="4"/>
  <c r="CO216" i="4"/>
  <c r="CP216" i="4"/>
  <c r="CQ216" i="4"/>
  <c r="CR216" i="4"/>
  <c r="CS216" i="4"/>
  <c r="CT216" i="4"/>
  <c r="CU216" i="4"/>
  <c r="CV216" i="4"/>
  <c r="CW216" i="4"/>
  <c r="CX216" i="4"/>
  <c r="BG217" i="4"/>
  <c r="BH217" i="4"/>
  <c r="BI217" i="4"/>
  <c r="BJ217" i="4"/>
  <c r="BK217" i="4"/>
  <c r="BL217" i="4"/>
  <c r="BM217" i="4"/>
  <c r="BN217" i="4"/>
  <c r="BO217" i="4"/>
  <c r="BP217" i="4"/>
  <c r="BQ217" i="4"/>
  <c r="BR217" i="4"/>
  <c r="BS217" i="4"/>
  <c r="BT217" i="4"/>
  <c r="BU217" i="4"/>
  <c r="BV217" i="4"/>
  <c r="BW217" i="4"/>
  <c r="BX217" i="4"/>
  <c r="BY217" i="4"/>
  <c r="BZ217" i="4"/>
  <c r="CA217" i="4"/>
  <c r="CB217" i="4"/>
  <c r="CC217" i="4"/>
  <c r="CD217" i="4"/>
  <c r="CE217" i="4"/>
  <c r="CF217" i="4"/>
  <c r="CG217" i="4"/>
  <c r="CH217" i="4"/>
  <c r="CI217" i="4"/>
  <c r="CJ217" i="4"/>
  <c r="CK217" i="4"/>
  <c r="CL217" i="4"/>
  <c r="CM217" i="4"/>
  <c r="CN217" i="4"/>
  <c r="CO217" i="4"/>
  <c r="CP217" i="4"/>
  <c r="CQ217" i="4"/>
  <c r="CR217" i="4"/>
  <c r="CS217" i="4"/>
  <c r="CT217" i="4"/>
  <c r="CU217" i="4"/>
  <c r="CV217" i="4"/>
  <c r="CW217" i="4"/>
  <c r="CX217" i="4"/>
  <c r="BG218" i="4"/>
  <c r="BH218" i="4"/>
  <c r="BI218" i="4"/>
  <c r="BJ218" i="4"/>
  <c r="BK218" i="4"/>
  <c r="BL218" i="4"/>
  <c r="BM218" i="4"/>
  <c r="BN218" i="4"/>
  <c r="BO218" i="4"/>
  <c r="BP218" i="4"/>
  <c r="BQ218" i="4"/>
  <c r="BR218" i="4"/>
  <c r="BS218" i="4"/>
  <c r="BT218" i="4"/>
  <c r="BU218" i="4"/>
  <c r="BV218" i="4"/>
  <c r="BW218" i="4"/>
  <c r="BX218" i="4"/>
  <c r="BY218" i="4"/>
  <c r="BZ218" i="4"/>
  <c r="CA218" i="4"/>
  <c r="CB218" i="4"/>
  <c r="CC218" i="4"/>
  <c r="CD218" i="4"/>
  <c r="CE218" i="4"/>
  <c r="CF218" i="4"/>
  <c r="CG218" i="4"/>
  <c r="CH218" i="4"/>
  <c r="CI218" i="4"/>
  <c r="CJ218" i="4"/>
  <c r="CK218" i="4"/>
  <c r="CL218" i="4"/>
  <c r="CM218" i="4"/>
  <c r="CN218" i="4"/>
  <c r="CO218" i="4"/>
  <c r="CP218" i="4"/>
  <c r="CQ218" i="4"/>
  <c r="CR218" i="4"/>
  <c r="CS218" i="4"/>
  <c r="CT218" i="4"/>
  <c r="CU218" i="4"/>
  <c r="CV218" i="4"/>
  <c r="CW218" i="4"/>
  <c r="CX218" i="4"/>
  <c r="BG219" i="4"/>
  <c r="BH219" i="4"/>
  <c r="BI219" i="4"/>
  <c r="BJ219" i="4"/>
  <c r="BK219" i="4"/>
  <c r="BL219" i="4"/>
  <c r="BM219" i="4"/>
  <c r="BN219" i="4"/>
  <c r="BO219" i="4"/>
  <c r="BP219" i="4"/>
  <c r="BQ219" i="4"/>
  <c r="BR219" i="4"/>
  <c r="BS219" i="4"/>
  <c r="BT219" i="4"/>
  <c r="BU219" i="4"/>
  <c r="BV219" i="4"/>
  <c r="BW219" i="4"/>
  <c r="BX219" i="4"/>
  <c r="BY219" i="4"/>
  <c r="BZ219" i="4"/>
  <c r="CA219" i="4"/>
  <c r="CB219" i="4"/>
  <c r="CC219" i="4"/>
  <c r="CD219" i="4"/>
  <c r="CE219" i="4"/>
  <c r="CF219" i="4"/>
  <c r="CG219" i="4"/>
  <c r="CH219" i="4"/>
  <c r="CI219" i="4"/>
  <c r="CJ219" i="4"/>
  <c r="CK219" i="4"/>
  <c r="CL219" i="4"/>
  <c r="CM219" i="4"/>
  <c r="CN219" i="4"/>
  <c r="CO219" i="4"/>
  <c r="CP219" i="4"/>
  <c r="CQ219" i="4"/>
  <c r="CR219" i="4"/>
  <c r="CS219" i="4"/>
  <c r="CT219" i="4"/>
  <c r="CU219" i="4"/>
  <c r="CV219" i="4"/>
  <c r="CW219" i="4"/>
  <c r="CX219" i="4"/>
  <c r="BG220" i="4"/>
  <c r="BH220" i="4"/>
  <c r="BI220" i="4"/>
  <c r="BJ220" i="4"/>
  <c r="BK220" i="4"/>
  <c r="BL220" i="4"/>
  <c r="BM220" i="4"/>
  <c r="BN220" i="4"/>
  <c r="BO220" i="4"/>
  <c r="BP220" i="4"/>
  <c r="BQ220" i="4"/>
  <c r="BR220" i="4"/>
  <c r="BS220" i="4"/>
  <c r="BT220" i="4"/>
  <c r="BU220" i="4"/>
  <c r="BV220" i="4"/>
  <c r="BW220" i="4"/>
  <c r="BX220" i="4"/>
  <c r="BY220" i="4"/>
  <c r="BZ220" i="4"/>
  <c r="CA220" i="4"/>
  <c r="CB220" i="4"/>
  <c r="CC220" i="4"/>
  <c r="CD220" i="4"/>
  <c r="CE220" i="4"/>
  <c r="CF220" i="4"/>
  <c r="CG220" i="4"/>
  <c r="CH220" i="4"/>
  <c r="CI220" i="4"/>
  <c r="CJ220" i="4"/>
  <c r="CK220" i="4"/>
  <c r="CL220" i="4"/>
  <c r="CM220" i="4"/>
  <c r="CN220" i="4"/>
  <c r="CO220" i="4"/>
  <c r="CP220" i="4"/>
  <c r="CQ220" i="4"/>
  <c r="CR220" i="4"/>
  <c r="CS220" i="4"/>
  <c r="CT220" i="4"/>
  <c r="CU220" i="4"/>
  <c r="CV220" i="4"/>
  <c r="CW220" i="4"/>
  <c r="CX220" i="4"/>
  <c r="BG221" i="4"/>
  <c r="BH221" i="4"/>
  <c r="BI221" i="4"/>
  <c r="BJ221" i="4"/>
  <c r="BK221" i="4"/>
  <c r="BL221" i="4"/>
  <c r="BM221" i="4"/>
  <c r="BN221" i="4"/>
  <c r="BO221" i="4"/>
  <c r="BP221" i="4"/>
  <c r="BQ221" i="4"/>
  <c r="BR221" i="4"/>
  <c r="BS221" i="4"/>
  <c r="BT221" i="4"/>
  <c r="BU221" i="4"/>
  <c r="BV221" i="4"/>
  <c r="BW221" i="4"/>
  <c r="BX221" i="4"/>
  <c r="BY221" i="4"/>
  <c r="BZ221" i="4"/>
  <c r="CA221" i="4"/>
  <c r="CB221" i="4"/>
  <c r="CC221" i="4"/>
  <c r="CD221" i="4"/>
  <c r="CE221" i="4"/>
  <c r="CF221" i="4"/>
  <c r="CG221" i="4"/>
  <c r="CH221" i="4"/>
  <c r="CI221" i="4"/>
  <c r="CJ221" i="4"/>
  <c r="CK221" i="4"/>
  <c r="CL221" i="4"/>
  <c r="CM221" i="4"/>
  <c r="CN221" i="4"/>
  <c r="CO221" i="4"/>
  <c r="CP221" i="4"/>
  <c r="CQ221" i="4"/>
  <c r="CR221" i="4"/>
  <c r="CS221" i="4"/>
  <c r="CT221" i="4"/>
  <c r="CU221" i="4"/>
  <c r="CV221" i="4"/>
  <c r="CW221" i="4"/>
  <c r="CX221" i="4"/>
  <c r="BG222" i="4"/>
  <c r="BH222" i="4"/>
  <c r="BI222" i="4"/>
  <c r="BJ222" i="4"/>
  <c r="BK222" i="4"/>
  <c r="BL222" i="4"/>
  <c r="BM222" i="4"/>
  <c r="BN222" i="4"/>
  <c r="BO222" i="4"/>
  <c r="BP222" i="4"/>
  <c r="BQ222" i="4"/>
  <c r="BR222" i="4"/>
  <c r="BS222" i="4"/>
  <c r="BT222" i="4"/>
  <c r="BU222" i="4"/>
  <c r="BV222" i="4"/>
  <c r="BW222" i="4"/>
  <c r="BX222" i="4"/>
  <c r="BY222" i="4"/>
  <c r="BZ222" i="4"/>
  <c r="CA222" i="4"/>
  <c r="CB222" i="4"/>
  <c r="CC222" i="4"/>
  <c r="CD222" i="4"/>
  <c r="CE222" i="4"/>
  <c r="CF222" i="4"/>
  <c r="CG222" i="4"/>
  <c r="CH222" i="4"/>
  <c r="CI222" i="4"/>
  <c r="CJ222" i="4"/>
  <c r="CK222" i="4"/>
  <c r="CL222" i="4"/>
  <c r="CM222" i="4"/>
  <c r="CN222" i="4"/>
  <c r="CO222" i="4"/>
  <c r="CP222" i="4"/>
  <c r="CQ222" i="4"/>
  <c r="CR222" i="4"/>
  <c r="CS222" i="4"/>
  <c r="CT222" i="4"/>
  <c r="CU222" i="4"/>
  <c r="CV222" i="4"/>
  <c r="CW222" i="4"/>
  <c r="CX222" i="4"/>
  <c r="BG223" i="4"/>
  <c r="BH223" i="4"/>
  <c r="BI223" i="4"/>
  <c r="BJ223" i="4"/>
  <c r="BK223" i="4"/>
  <c r="BL223" i="4"/>
  <c r="BM223" i="4"/>
  <c r="BN223" i="4"/>
  <c r="BO223" i="4"/>
  <c r="BP223" i="4"/>
  <c r="BQ223" i="4"/>
  <c r="BR223" i="4"/>
  <c r="BS223" i="4"/>
  <c r="BT223" i="4"/>
  <c r="BU223" i="4"/>
  <c r="BV223" i="4"/>
  <c r="BW223" i="4"/>
  <c r="BX223" i="4"/>
  <c r="BY223" i="4"/>
  <c r="BZ223" i="4"/>
  <c r="CA223" i="4"/>
  <c r="CB223" i="4"/>
  <c r="CC223" i="4"/>
  <c r="CD223" i="4"/>
  <c r="CE223" i="4"/>
  <c r="CF223" i="4"/>
  <c r="CG223" i="4"/>
  <c r="CH223" i="4"/>
  <c r="CI223" i="4"/>
  <c r="CJ223" i="4"/>
  <c r="CK223" i="4"/>
  <c r="CL223" i="4"/>
  <c r="CM223" i="4"/>
  <c r="CN223" i="4"/>
  <c r="CO223" i="4"/>
  <c r="CP223" i="4"/>
  <c r="CQ223" i="4"/>
  <c r="CR223" i="4"/>
  <c r="CS223" i="4"/>
  <c r="CT223" i="4"/>
  <c r="CU223" i="4"/>
  <c r="CV223" i="4"/>
  <c r="CW223" i="4"/>
  <c r="CX223" i="4"/>
  <c r="BG224" i="4"/>
  <c r="BH224" i="4"/>
  <c r="BI224" i="4"/>
  <c r="BJ224" i="4"/>
  <c r="BK224" i="4"/>
  <c r="BL224" i="4"/>
  <c r="BM224" i="4"/>
  <c r="BN224" i="4"/>
  <c r="BO224" i="4"/>
  <c r="BP224" i="4"/>
  <c r="BQ224" i="4"/>
  <c r="BR224" i="4"/>
  <c r="BS224" i="4"/>
  <c r="BT224" i="4"/>
  <c r="BU224" i="4"/>
  <c r="BV224" i="4"/>
  <c r="BW224" i="4"/>
  <c r="BX224" i="4"/>
  <c r="BY224" i="4"/>
  <c r="BZ224" i="4"/>
  <c r="CA224" i="4"/>
  <c r="CB224" i="4"/>
  <c r="CC224" i="4"/>
  <c r="CD224" i="4"/>
  <c r="CE224" i="4"/>
  <c r="CF224" i="4"/>
  <c r="CG224" i="4"/>
  <c r="CH224" i="4"/>
  <c r="CI224" i="4"/>
  <c r="CJ224" i="4"/>
  <c r="CK224" i="4"/>
  <c r="CL224" i="4"/>
  <c r="CM224" i="4"/>
  <c r="CN224" i="4"/>
  <c r="CO224" i="4"/>
  <c r="CP224" i="4"/>
  <c r="CQ224" i="4"/>
  <c r="CR224" i="4"/>
  <c r="CS224" i="4"/>
  <c r="CT224" i="4"/>
  <c r="CU224" i="4"/>
  <c r="CV224" i="4"/>
  <c r="CW224" i="4"/>
  <c r="CX224" i="4"/>
  <c r="BG225" i="4"/>
  <c r="BH225" i="4"/>
  <c r="BI225" i="4"/>
  <c r="BJ225" i="4"/>
  <c r="BK225" i="4"/>
  <c r="BL225" i="4"/>
  <c r="BM225" i="4"/>
  <c r="BN225" i="4"/>
  <c r="BO225" i="4"/>
  <c r="BP225" i="4"/>
  <c r="BQ225" i="4"/>
  <c r="BR225" i="4"/>
  <c r="BS225" i="4"/>
  <c r="BT225" i="4"/>
  <c r="BU225" i="4"/>
  <c r="BV225" i="4"/>
  <c r="BW225" i="4"/>
  <c r="BX225" i="4"/>
  <c r="BY225" i="4"/>
  <c r="BZ225" i="4"/>
  <c r="CA225" i="4"/>
  <c r="CB225" i="4"/>
  <c r="CC225" i="4"/>
  <c r="CD225" i="4"/>
  <c r="CE225" i="4"/>
  <c r="CF225" i="4"/>
  <c r="CG225" i="4"/>
  <c r="CH225" i="4"/>
  <c r="CI225" i="4"/>
  <c r="CJ225" i="4"/>
  <c r="CK225" i="4"/>
  <c r="CL225" i="4"/>
  <c r="CM225" i="4"/>
  <c r="CN225" i="4"/>
  <c r="CO225" i="4"/>
  <c r="CP225" i="4"/>
  <c r="CQ225" i="4"/>
  <c r="CR225" i="4"/>
  <c r="CS225" i="4"/>
  <c r="CT225" i="4"/>
  <c r="CU225" i="4"/>
  <c r="CV225" i="4"/>
  <c r="CW225" i="4"/>
  <c r="CX225" i="4"/>
  <c r="BG226" i="4"/>
  <c r="BH226" i="4"/>
  <c r="BI226" i="4"/>
  <c r="BJ226" i="4"/>
  <c r="BK226" i="4"/>
  <c r="BL226" i="4"/>
  <c r="BM226" i="4"/>
  <c r="BN226" i="4"/>
  <c r="BO226" i="4"/>
  <c r="BP226" i="4"/>
  <c r="BQ226" i="4"/>
  <c r="BR226" i="4"/>
  <c r="BS226" i="4"/>
  <c r="BT226" i="4"/>
  <c r="BU226" i="4"/>
  <c r="BV226" i="4"/>
  <c r="BW226" i="4"/>
  <c r="BX226" i="4"/>
  <c r="BY226" i="4"/>
  <c r="BZ226" i="4"/>
  <c r="CA226" i="4"/>
  <c r="CB226" i="4"/>
  <c r="CC226" i="4"/>
  <c r="CD226" i="4"/>
  <c r="CE226" i="4"/>
  <c r="CF226" i="4"/>
  <c r="CG226" i="4"/>
  <c r="CH226" i="4"/>
  <c r="CI226" i="4"/>
  <c r="CJ226" i="4"/>
  <c r="CK226" i="4"/>
  <c r="CL226" i="4"/>
  <c r="CM226" i="4"/>
  <c r="CN226" i="4"/>
  <c r="CO226" i="4"/>
  <c r="CP226" i="4"/>
  <c r="CQ226" i="4"/>
  <c r="CR226" i="4"/>
  <c r="CS226" i="4"/>
  <c r="CT226" i="4"/>
  <c r="CU226" i="4"/>
  <c r="CV226" i="4"/>
  <c r="CW226" i="4"/>
  <c r="CX226" i="4"/>
  <c r="BG227" i="4"/>
  <c r="BH227" i="4"/>
  <c r="BI227" i="4"/>
  <c r="BJ227" i="4"/>
  <c r="BK227" i="4"/>
  <c r="BL227" i="4"/>
  <c r="BM227" i="4"/>
  <c r="BN227" i="4"/>
  <c r="BO227" i="4"/>
  <c r="BP227" i="4"/>
  <c r="BQ227" i="4"/>
  <c r="BR227" i="4"/>
  <c r="BS227" i="4"/>
  <c r="BT227" i="4"/>
  <c r="BU227" i="4"/>
  <c r="BV227" i="4"/>
  <c r="BW227" i="4"/>
  <c r="BX227" i="4"/>
  <c r="BY227" i="4"/>
  <c r="BZ227" i="4"/>
  <c r="CA227" i="4"/>
  <c r="CB227" i="4"/>
  <c r="CC227" i="4"/>
  <c r="CD227" i="4"/>
  <c r="CE227" i="4"/>
  <c r="CF227" i="4"/>
  <c r="CG227" i="4"/>
  <c r="CH227" i="4"/>
  <c r="CI227" i="4"/>
  <c r="CJ227" i="4"/>
  <c r="CK227" i="4"/>
  <c r="CL227" i="4"/>
  <c r="CM227" i="4"/>
  <c r="CN227" i="4"/>
  <c r="CO227" i="4"/>
  <c r="CP227" i="4"/>
  <c r="CQ227" i="4"/>
  <c r="CR227" i="4"/>
  <c r="CS227" i="4"/>
  <c r="CT227" i="4"/>
  <c r="CU227" i="4"/>
  <c r="CV227" i="4"/>
  <c r="CW227" i="4"/>
  <c r="CX227" i="4"/>
  <c r="BG228" i="4"/>
  <c r="BH228" i="4"/>
  <c r="BI228" i="4"/>
  <c r="BJ228" i="4"/>
  <c r="BK228" i="4"/>
  <c r="BL228" i="4"/>
  <c r="BM228" i="4"/>
  <c r="BN228" i="4"/>
  <c r="BO228" i="4"/>
  <c r="BP228" i="4"/>
  <c r="BQ228" i="4"/>
  <c r="BR228" i="4"/>
  <c r="BS228" i="4"/>
  <c r="BT228" i="4"/>
  <c r="BU228" i="4"/>
  <c r="BV228" i="4"/>
  <c r="BW228" i="4"/>
  <c r="BX228" i="4"/>
  <c r="BY228" i="4"/>
  <c r="BZ228" i="4"/>
  <c r="CA228" i="4"/>
  <c r="CB228" i="4"/>
  <c r="CC228" i="4"/>
  <c r="CD228" i="4"/>
  <c r="CE228" i="4"/>
  <c r="CF228" i="4"/>
  <c r="CG228" i="4"/>
  <c r="CH228" i="4"/>
  <c r="CI228" i="4"/>
  <c r="CJ228" i="4"/>
  <c r="CK228" i="4"/>
  <c r="CL228" i="4"/>
  <c r="CM228" i="4"/>
  <c r="CN228" i="4"/>
  <c r="CO228" i="4"/>
  <c r="CP228" i="4"/>
  <c r="CQ228" i="4"/>
  <c r="CR228" i="4"/>
  <c r="CS228" i="4"/>
  <c r="CT228" i="4"/>
  <c r="CU228" i="4"/>
  <c r="CV228" i="4"/>
  <c r="CW228" i="4"/>
  <c r="CX228" i="4"/>
  <c r="BG229" i="4"/>
  <c r="BH229" i="4"/>
  <c r="BI229" i="4"/>
  <c r="BJ229" i="4"/>
  <c r="BK229" i="4"/>
  <c r="BL229" i="4"/>
  <c r="BM229" i="4"/>
  <c r="BN229" i="4"/>
  <c r="BO229" i="4"/>
  <c r="BP229" i="4"/>
  <c r="BQ229" i="4"/>
  <c r="BR229" i="4"/>
  <c r="BS229" i="4"/>
  <c r="BT229" i="4"/>
  <c r="BU229" i="4"/>
  <c r="BV229" i="4"/>
  <c r="BW229" i="4"/>
  <c r="BX229" i="4"/>
  <c r="BY229" i="4"/>
  <c r="BZ229" i="4"/>
  <c r="CA229" i="4"/>
  <c r="CB229" i="4"/>
  <c r="CC229" i="4"/>
  <c r="CD229" i="4"/>
  <c r="CE229" i="4"/>
  <c r="CF229" i="4"/>
  <c r="CG229" i="4"/>
  <c r="CH229" i="4"/>
  <c r="CI229" i="4"/>
  <c r="CJ229" i="4"/>
  <c r="CK229" i="4"/>
  <c r="CL229" i="4"/>
  <c r="CM229" i="4"/>
  <c r="CN229" i="4"/>
  <c r="CO229" i="4"/>
  <c r="CP229" i="4"/>
  <c r="CQ229" i="4"/>
  <c r="CR229" i="4"/>
  <c r="CS229" i="4"/>
  <c r="CT229" i="4"/>
  <c r="CU229" i="4"/>
  <c r="CV229" i="4"/>
  <c r="CW229" i="4"/>
  <c r="CX229" i="4"/>
  <c r="BG230" i="4"/>
  <c r="BH230" i="4"/>
  <c r="BI230" i="4"/>
  <c r="BJ230" i="4"/>
  <c r="BK230" i="4"/>
  <c r="BL230" i="4"/>
  <c r="BM230" i="4"/>
  <c r="BN230" i="4"/>
  <c r="BO230" i="4"/>
  <c r="BP230" i="4"/>
  <c r="BQ230" i="4"/>
  <c r="BR230" i="4"/>
  <c r="BS230" i="4"/>
  <c r="BT230" i="4"/>
  <c r="BU230" i="4"/>
  <c r="BV230" i="4"/>
  <c r="BW230" i="4"/>
  <c r="BX230" i="4"/>
  <c r="BY230" i="4"/>
  <c r="BZ230" i="4"/>
  <c r="CA230" i="4"/>
  <c r="CB230" i="4"/>
  <c r="CC230" i="4"/>
  <c r="CD230" i="4"/>
  <c r="CE230" i="4"/>
  <c r="CF230" i="4"/>
  <c r="CG230" i="4"/>
  <c r="CH230" i="4"/>
  <c r="CI230" i="4"/>
  <c r="CJ230" i="4"/>
  <c r="CK230" i="4"/>
  <c r="CL230" i="4"/>
  <c r="CM230" i="4"/>
  <c r="CN230" i="4"/>
  <c r="CO230" i="4"/>
  <c r="CP230" i="4"/>
  <c r="CQ230" i="4"/>
  <c r="CR230" i="4"/>
  <c r="CS230" i="4"/>
  <c r="CT230" i="4"/>
  <c r="CU230" i="4"/>
  <c r="CV230" i="4"/>
  <c r="CW230" i="4"/>
  <c r="CX230" i="4"/>
  <c r="BG231" i="4"/>
  <c r="BH231" i="4"/>
  <c r="BI231" i="4"/>
  <c r="BJ231" i="4"/>
  <c r="BK231" i="4"/>
  <c r="BL231" i="4"/>
  <c r="BM231" i="4"/>
  <c r="BN231" i="4"/>
  <c r="BO231" i="4"/>
  <c r="BP231" i="4"/>
  <c r="BQ231" i="4"/>
  <c r="BR231" i="4"/>
  <c r="BS231" i="4"/>
  <c r="BT231" i="4"/>
  <c r="BU231" i="4"/>
  <c r="BV231" i="4"/>
  <c r="BW231" i="4"/>
  <c r="BX231" i="4"/>
  <c r="BY231" i="4"/>
  <c r="BZ231" i="4"/>
  <c r="CA231" i="4"/>
  <c r="CB231" i="4"/>
  <c r="CC231" i="4"/>
  <c r="CD231" i="4"/>
  <c r="CE231" i="4"/>
  <c r="CF231" i="4"/>
  <c r="CG231" i="4"/>
  <c r="CH231" i="4"/>
  <c r="CI231" i="4"/>
  <c r="CJ231" i="4"/>
  <c r="CK231" i="4"/>
  <c r="CL231" i="4"/>
  <c r="CM231" i="4"/>
  <c r="CN231" i="4"/>
  <c r="CO231" i="4"/>
  <c r="CP231" i="4"/>
  <c r="CQ231" i="4"/>
  <c r="CR231" i="4"/>
  <c r="CS231" i="4"/>
  <c r="CT231" i="4"/>
  <c r="CU231" i="4"/>
  <c r="CV231" i="4"/>
  <c r="CW231" i="4"/>
  <c r="CX231" i="4"/>
  <c r="BG232" i="4"/>
  <c r="BH232" i="4"/>
  <c r="BI232" i="4"/>
  <c r="BJ232" i="4"/>
  <c r="BK232" i="4"/>
  <c r="BL232" i="4"/>
  <c r="BM232" i="4"/>
  <c r="BN232" i="4"/>
  <c r="BO232" i="4"/>
  <c r="BP232" i="4"/>
  <c r="BQ232" i="4"/>
  <c r="BR232" i="4"/>
  <c r="BS232" i="4"/>
  <c r="BT232" i="4"/>
  <c r="BU232" i="4"/>
  <c r="BV232" i="4"/>
  <c r="BW232" i="4"/>
  <c r="BX232" i="4"/>
  <c r="BY232" i="4"/>
  <c r="BZ232" i="4"/>
  <c r="CA232" i="4"/>
  <c r="CB232" i="4"/>
  <c r="CC232" i="4"/>
  <c r="CD232" i="4"/>
  <c r="CE232" i="4"/>
  <c r="CF232" i="4"/>
  <c r="CG232" i="4"/>
  <c r="CH232" i="4"/>
  <c r="CI232" i="4"/>
  <c r="CJ232" i="4"/>
  <c r="CK232" i="4"/>
  <c r="CL232" i="4"/>
  <c r="CM232" i="4"/>
  <c r="CN232" i="4"/>
  <c r="CO232" i="4"/>
  <c r="CP232" i="4"/>
  <c r="CQ232" i="4"/>
  <c r="CR232" i="4"/>
  <c r="CS232" i="4"/>
  <c r="CT232" i="4"/>
  <c r="CU232" i="4"/>
  <c r="CV232" i="4"/>
  <c r="CW232" i="4"/>
  <c r="CX232" i="4"/>
  <c r="BG233" i="4"/>
  <c r="BH233" i="4"/>
  <c r="BI233" i="4"/>
  <c r="BJ233" i="4"/>
  <c r="BK233" i="4"/>
  <c r="BL233" i="4"/>
  <c r="BM233" i="4"/>
  <c r="BN233" i="4"/>
  <c r="BO233" i="4"/>
  <c r="BP233" i="4"/>
  <c r="BQ233" i="4"/>
  <c r="BR233" i="4"/>
  <c r="BS233" i="4"/>
  <c r="BT233" i="4"/>
  <c r="BU233" i="4"/>
  <c r="BV233" i="4"/>
  <c r="BW233" i="4"/>
  <c r="BX233" i="4"/>
  <c r="BY233" i="4"/>
  <c r="BZ233" i="4"/>
  <c r="CA233" i="4"/>
  <c r="CB233" i="4"/>
  <c r="CC233" i="4"/>
  <c r="CD233" i="4"/>
  <c r="CE233" i="4"/>
  <c r="CF233" i="4"/>
  <c r="CG233" i="4"/>
  <c r="CH233" i="4"/>
  <c r="CI233" i="4"/>
  <c r="CJ233" i="4"/>
  <c r="CK233" i="4"/>
  <c r="CL233" i="4"/>
  <c r="CM233" i="4"/>
  <c r="CN233" i="4"/>
  <c r="CO233" i="4"/>
  <c r="CP233" i="4"/>
  <c r="CQ233" i="4"/>
  <c r="CR233" i="4"/>
  <c r="CS233" i="4"/>
  <c r="CT233" i="4"/>
  <c r="CU233" i="4"/>
  <c r="CV233" i="4"/>
  <c r="CW233" i="4"/>
  <c r="CX233" i="4"/>
  <c r="BG234" i="4"/>
  <c r="BH234" i="4"/>
  <c r="BI234" i="4"/>
  <c r="BJ234" i="4"/>
  <c r="BK234" i="4"/>
  <c r="BL234" i="4"/>
  <c r="BM234" i="4"/>
  <c r="BN234" i="4"/>
  <c r="BO234" i="4"/>
  <c r="BP234" i="4"/>
  <c r="BQ234" i="4"/>
  <c r="BR234" i="4"/>
  <c r="BS234" i="4"/>
  <c r="BT234" i="4"/>
  <c r="BU234" i="4"/>
  <c r="BV234" i="4"/>
  <c r="BW234" i="4"/>
  <c r="BX234" i="4"/>
  <c r="BY234" i="4"/>
  <c r="BZ234" i="4"/>
  <c r="CA234" i="4"/>
  <c r="CB234" i="4"/>
  <c r="CC234" i="4"/>
  <c r="CD234" i="4"/>
  <c r="CE234" i="4"/>
  <c r="CF234" i="4"/>
  <c r="CG234" i="4"/>
  <c r="CH234" i="4"/>
  <c r="CI234" i="4"/>
  <c r="CJ234" i="4"/>
  <c r="CK234" i="4"/>
  <c r="CL234" i="4"/>
  <c r="CM234" i="4"/>
  <c r="CN234" i="4"/>
  <c r="CO234" i="4"/>
  <c r="CP234" i="4"/>
  <c r="CQ234" i="4"/>
  <c r="CR234" i="4"/>
  <c r="CS234" i="4"/>
  <c r="CT234" i="4"/>
  <c r="CU234" i="4"/>
  <c r="CV234" i="4"/>
  <c r="CW234" i="4"/>
  <c r="CX234" i="4"/>
  <c r="BG235" i="4"/>
  <c r="BH235" i="4"/>
  <c r="BI235" i="4"/>
  <c r="BJ235" i="4"/>
  <c r="BK235" i="4"/>
  <c r="BL235" i="4"/>
  <c r="BM235" i="4"/>
  <c r="BN235" i="4"/>
  <c r="BO235" i="4"/>
  <c r="BP235" i="4"/>
  <c r="BQ235" i="4"/>
  <c r="BR235" i="4"/>
  <c r="BS235" i="4"/>
  <c r="BT235" i="4"/>
  <c r="BU235" i="4"/>
  <c r="BV235" i="4"/>
  <c r="BW235" i="4"/>
  <c r="BX235" i="4"/>
  <c r="BY235" i="4"/>
  <c r="BZ235" i="4"/>
  <c r="CA235" i="4"/>
  <c r="CB235" i="4"/>
  <c r="CC235" i="4"/>
  <c r="CD235" i="4"/>
  <c r="CE235" i="4"/>
  <c r="CF235" i="4"/>
  <c r="CG235" i="4"/>
  <c r="CH235" i="4"/>
  <c r="CI235" i="4"/>
  <c r="CJ235" i="4"/>
  <c r="CK235" i="4"/>
  <c r="CL235" i="4"/>
  <c r="CM235" i="4"/>
  <c r="CN235" i="4"/>
  <c r="CO235" i="4"/>
  <c r="CP235" i="4"/>
  <c r="CQ235" i="4"/>
  <c r="CR235" i="4"/>
  <c r="CS235" i="4"/>
  <c r="CT235" i="4"/>
  <c r="CU235" i="4"/>
  <c r="CV235" i="4"/>
  <c r="CW235" i="4"/>
  <c r="CX235" i="4"/>
  <c r="BG236" i="4"/>
  <c r="BH236" i="4"/>
  <c r="BI236" i="4"/>
  <c r="BJ236" i="4"/>
  <c r="BK236" i="4"/>
  <c r="BL236" i="4"/>
  <c r="BM236" i="4"/>
  <c r="BN236" i="4"/>
  <c r="BO236" i="4"/>
  <c r="BP236" i="4"/>
  <c r="BQ236" i="4"/>
  <c r="BR236" i="4"/>
  <c r="BS236" i="4"/>
  <c r="BT236" i="4"/>
  <c r="BU236" i="4"/>
  <c r="BV236" i="4"/>
  <c r="BW236" i="4"/>
  <c r="BX236" i="4"/>
  <c r="BY236" i="4"/>
  <c r="BZ236" i="4"/>
  <c r="CA236" i="4"/>
  <c r="CB236" i="4"/>
  <c r="CC236" i="4"/>
  <c r="CD236" i="4"/>
  <c r="CE236" i="4"/>
  <c r="CF236" i="4"/>
  <c r="CG236" i="4"/>
  <c r="CH236" i="4"/>
  <c r="CI236" i="4"/>
  <c r="CJ236" i="4"/>
  <c r="CK236" i="4"/>
  <c r="CL236" i="4"/>
  <c r="CM236" i="4"/>
  <c r="CN236" i="4"/>
  <c r="CO236" i="4"/>
  <c r="CP236" i="4"/>
  <c r="CQ236" i="4"/>
  <c r="CR236" i="4"/>
  <c r="CS236" i="4"/>
  <c r="CT236" i="4"/>
  <c r="CU236" i="4"/>
  <c r="CV236" i="4"/>
  <c r="CW236" i="4"/>
  <c r="CX236" i="4"/>
  <c r="BG237" i="4"/>
  <c r="BH237" i="4"/>
  <c r="BI237" i="4"/>
  <c r="BJ237" i="4"/>
  <c r="BK237" i="4"/>
  <c r="BL237" i="4"/>
  <c r="BM237" i="4"/>
  <c r="BN237" i="4"/>
  <c r="BO237" i="4"/>
  <c r="BP237" i="4"/>
  <c r="BQ237" i="4"/>
  <c r="BR237" i="4"/>
  <c r="BS237" i="4"/>
  <c r="BT237" i="4"/>
  <c r="BU237" i="4"/>
  <c r="BV237" i="4"/>
  <c r="BW237" i="4"/>
  <c r="BX237" i="4"/>
  <c r="BY237" i="4"/>
  <c r="BZ237" i="4"/>
  <c r="CA237" i="4"/>
  <c r="CB237" i="4"/>
  <c r="CC237" i="4"/>
  <c r="CD237" i="4"/>
  <c r="CE237" i="4"/>
  <c r="CF237" i="4"/>
  <c r="CG237" i="4"/>
  <c r="CH237" i="4"/>
  <c r="CI237" i="4"/>
  <c r="CJ237" i="4"/>
  <c r="CK237" i="4"/>
  <c r="CL237" i="4"/>
  <c r="CM237" i="4"/>
  <c r="CN237" i="4"/>
  <c r="CO237" i="4"/>
  <c r="CP237" i="4"/>
  <c r="CQ237" i="4"/>
  <c r="CR237" i="4"/>
  <c r="CS237" i="4"/>
  <c r="CT237" i="4"/>
  <c r="CU237" i="4"/>
  <c r="CV237" i="4"/>
  <c r="CW237" i="4"/>
  <c r="CX237" i="4"/>
  <c r="BG238" i="4"/>
  <c r="BH238" i="4"/>
  <c r="BI238" i="4"/>
  <c r="BJ238" i="4"/>
  <c r="BK238" i="4"/>
  <c r="BL238" i="4"/>
  <c r="BM238" i="4"/>
  <c r="BN238" i="4"/>
  <c r="BO238" i="4"/>
  <c r="BP238" i="4"/>
  <c r="BQ238" i="4"/>
  <c r="BR238" i="4"/>
  <c r="BS238" i="4"/>
  <c r="BT238" i="4"/>
  <c r="BU238" i="4"/>
  <c r="BV238" i="4"/>
  <c r="BW238" i="4"/>
  <c r="BX238" i="4"/>
  <c r="BY238" i="4"/>
  <c r="BZ238" i="4"/>
  <c r="CA238" i="4"/>
  <c r="CB238" i="4"/>
  <c r="CC238" i="4"/>
  <c r="CD238" i="4"/>
  <c r="CE238" i="4"/>
  <c r="CF238" i="4"/>
  <c r="CG238" i="4"/>
  <c r="CH238" i="4"/>
  <c r="CI238" i="4"/>
  <c r="CJ238" i="4"/>
  <c r="CK238" i="4"/>
  <c r="CL238" i="4"/>
  <c r="CM238" i="4"/>
  <c r="CN238" i="4"/>
  <c r="CO238" i="4"/>
  <c r="CP238" i="4"/>
  <c r="CQ238" i="4"/>
  <c r="CR238" i="4"/>
  <c r="CS238" i="4"/>
  <c r="CT238" i="4"/>
  <c r="CU238" i="4"/>
  <c r="CV238" i="4"/>
  <c r="CW238" i="4"/>
  <c r="CX238" i="4"/>
  <c r="BG239" i="4"/>
  <c r="BH239" i="4"/>
  <c r="BI239" i="4"/>
  <c r="BJ239" i="4"/>
  <c r="BK239" i="4"/>
  <c r="BL239" i="4"/>
  <c r="BM239" i="4"/>
  <c r="BN239" i="4"/>
  <c r="BO239" i="4"/>
  <c r="BP239" i="4"/>
  <c r="BQ239" i="4"/>
  <c r="BR239" i="4"/>
  <c r="BS239" i="4"/>
  <c r="BT239" i="4"/>
  <c r="BU239" i="4"/>
  <c r="BV239" i="4"/>
  <c r="BW239" i="4"/>
  <c r="BX239" i="4"/>
  <c r="BY239" i="4"/>
  <c r="BZ239" i="4"/>
  <c r="CA239" i="4"/>
  <c r="CB239" i="4"/>
  <c r="CC239" i="4"/>
  <c r="CD239" i="4"/>
  <c r="CE239" i="4"/>
  <c r="CF239" i="4"/>
  <c r="CG239" i="4"/>
  <c r="CH239" i="4"/>
  <c r="CI239" i="4"/>
  <c r="CJ239" i="4"/>
  <c r="CK239" i="4"/>
  <c r="CL239" i="4"/>
  <c r="CM239" i="4"/>
  <c r="CN239" i="4"/>
  <c r="CO239" i="4"/>
  <c r="CP239" i="4"/>
  <c r="CQ239" i="4"/>
  <c r="CR239" i="4"/>
  <c r="CS239" i="4"/>
  <c r="CT239" i="4"/>
  <c r="CU239" i="4"/>
  <c r="CV239" i="4"/>
  <c r="CW239" i="4"/>
  <c r="CX239" i="4"/>
  <c r="BG240" i="4"/>
  <c r="BH240" i="4"/>
  <c r="BI240" i="4"/>
  <c r="BJ240" i="4"/>
  <c r="BK240" i="4"/>
  <c r="BL240" i="4"/>
  <c r="BM240" i="4"/>
  <c r="BN240" i="4"/>
  <c r="BO240" i="4"/>
  <c r="BP240" i="4"/>
  <c r="BQ240" i="4"/>
  <c r="BR240" i="4"/>
  <c r="BS240" i="4"/>
  <c r="BT240" i="4"/>
  <c r="BU240" i="4"/>
  <c r="BV240" i="4"/>
  <c r="BW240" i="4"/>
  <c r="BX240" i="4"/>
  <c r="BY240" i="4"/>
  <c r="BZ240" i="4"/>
  <c r="CA240" i="4"/>
  <c r="CB240" i="4"/>
  <c r="CC240" i="4"/>
  <c r="CD240" i="4"/>
  <c r="CE240" i="4"/>
  <c r="CF240" i="4"/>
  <c r="CG240" i="4"/>
  <c r="CH240" i="4"/>
  <c r="CI240" i="4"/>
  <c r="CJ240" i="4"/>
  <c r="CK240" i="4"/>
  <c r="CL240" i="4"/>
  <c r="CM240" i="4"/>
  <c r="CN240" i="4"/>
  <c r="CO240" i="4"/>
  <c r="CP240" i="4"/>
  <c r="CQ240" i="4"/>
  <c r="CR240" i="4"/>
  <c r="CS240" i="4"/>
  <c r="CT240" i="4"/>
  <c r="CU240" i="4"/>
  <c r="CV240" i="4"/>
  <c r="CW240" i="4"/>
  <c r="CX240" i="4"/>
  <c r="BG241" i="4"/>
  <c r="BH241" i="4"/>
  <c r="BI241" i="4"/>
  <c r="BJ241" i="4"/>
  <c r="BK241" i="4"/>
  <c r="BL241" i="4"/>
  <c r="BM241" i="4"/>
  <c r="BN241" i="4"/>
  <c r="BO241" i="4"/>
  <c r="BP241" i="4"/>
  <c r="BQ241" i="4"/>
  <c r="BR241" i="4"/>
  <c r="BS241" i="4"/>
  <c r="BT241" i="4"/>
  <c r="BU241" i="4"/>
  <c r="BV241" i="4"/>
  <c r="BW241" i="4"/>
  <c r="BX241" i="4"/>
  <c r="BY241" i="4"/>
  <c r="BZ241" i="4"/>
  <c r="CA241" i="4"/>
  <c r="CB241" i="4"/>
  <c r="CC241" i="4"/>
  <c r="CD241" i="4"/>
  <c r="CE241" i="4"/>
  <c r="CF241" i="4"/>
  <c r="CG241" i="4"/>
  <c r="CH241" i="4"/>
  <c r="CI241" i="4"/>
  <c r="CJ241" i="4"/>
  <c r="CK241" i="4"/>
  <c r="CL241" i="4"/>
  <c r="CM241" i="4"/>
  <c r="CN241" i="4"/>
  <c r="CO241" i="4"/>
  <c r="CP241" i="4"/>
  <c r="CQ241" i="4"/>
  <c r="CR241" i="4"/>
  <c r="CS241" i="4"/>
  <c r="CT241" i="4"/>
  <c r="CU241" i="4"/>
  <c r="CV241" i="4"/>
  <c r="CW241" i="4"/>
  <c r="CX241" i="4"/>
  <c r="BG242" i="4"/>
  <c r="BH242" i="4"/>
  <c r="BI242" i="4"/>
  <c r="BJ242" i="4"/>
  <c r="BK242" i="4"/>
  <c r="BL242" i="4"/>
  <c r="BM242" i="4"/>
  <c r="BN242" i="4"/>
  <c r="BO242" i="4"/>
  <c r="BP242" i="4"/>
  <c r="BQ242" i="4"/>
  <c r="BR242" i="4"/>
  <c r="BS242" i="4"/>
  <c r="BT242" i="4"/>
  <c r="BU242" i="4"/>
  <c r="BV242" i="4"/>
  <c r="BW242" i="4"/>
  <c r="BX242" i="4"/>
  <c r="BY242" i="4"/>
  <c r="BZ242" i="4"/>
  <c r="CA242" i="4"/>
  <c r="CB242" i="4"/>
  <c r="CC242" i="4"/>
  <c r="CD242" i="4"/>
  <c r="CE242" i="4"/>
  <c r="CF242" i="4"/>
  <c r="CG242" i="4"/>
  <c r="CH242" i="4"/>
  <c r="CI242" i="4"/>
  <c r="CJ242" i="4"/>
  <c r="CK242" i="4"/>
  <c r="CL242" i="4"/>
  <c r="CM242" i="4"/>
  <c r="CN242" i="4"/>
  <c r="CO242" i="4"/>
  <c r="CP242" i="4"/>
  <c r="CQ242" i="4"/>
  <c r="CR242" i="4"/>
  <c r="CS242" i="4"/>
  <c r="CT242" i="4"/>
  <c r="CU242" i="4"/>
  <c r="CV242" i="4"/>
  <c r="CW242" i="4"/>
  <c r="CX242" i="4"/>
  <c r="BG243" i="4"/>
  <c r="BH243" i="4"/>
  <c r="BI243" i="4"/>
  <c r="BJ243" i="4"/>
  <c r="BK243" i="4"/>
  <c r="BL243" i="4"/>
  <c r="BM243" i="4"/>
  <c r="BN243" i="4"/>
  <c r="BO243" i="4"/>
  <c r="BP243" i="4"/>
  <c r="BQ243" i="4"/>
  <c r="BR243" i="4"/>
  <c r="BS243" i="4"/>
  <c r="BT243" i="4"/>
  <c r="BU243" i="4"/>
  <c r="BV243" i="4"/>
  <c r="BW243" i="4"/>
  <c r="BX243" i="4"/>
  <c r="BY243" i="4"/>
  <c r="BZ243" i="4"/>
  <c r="CA243" i="4"/>
  <c r="CB243" i="4"/>
  <c r="CC243" i="4"/>
  <c r="CD243" i="4"/>
  <c r="CE243" i="4"/>
  <c r="CF243" i="4"/>
  <c r="CG243" i="4"/>
  <c r="CH243" i="4"/>
  <c r="CI243" i="4"/>
  <c r="CJ243" i="4"/>
  <c r="CK243" i="4"/>
  <c r="CL243" i="4"/>
  <c r="CM243" i="4"/>
  <c r="CN243" i="4"/>
  <c r="CO243" i="4"/>
  <c r="CP243" i="4"/>
  <c r="CQ243" i="4"/>
  <c r="CR243" i="4"/>
  <c r="CS243" i="4"/>
  <c r="CT243" i="4"/>
  <c r="CU243" i="4"/>
  <c r="CV243" i="4"/>
  <c r="CW243" i="4"/>
  <c r="CX243" i="4"/>
  <c r="BG244" i="4"/>
  <c r="BH244" i="4"/>
  <c r="BI244" i="4"/>
  <c r="BJ244" i="4"/>
  <c r="BK244" i="4"/>
  <c r="BL244" i="4"/>
  <c r="BM244" i="4"/>
  <c r="BN244" i="4"/>
  <c r="BO244" i="4"/>
  <c r="BP244" i="4"/>
  <c r="BQ244" i="4"/>
  <c r="BR244" i="4"/>
  <c r="BS244" i="4"/>
  <c r="BT244" i="4"/>
  <c r="BU244" i="4"/>
  <c r="BV244" i="4"/>
  <c r="BW244" i="4"/>
  <c r="BX244" i="4"/>
  <c r="BY244" i="4"/>
  <c r="BZ244" i="4"/>
  <c r="CA244" i="4"/>
  <c r="CB244" i="4"/>
  <c r="CC244" i="4"/>
  <c r="CD244" i="4"/>
  <c r="CE244" i="4"/>
  <c r="CF244" i="4"/>
  <c r="CG244" i="4"/>
  <c r="CH244" i="4"/>
  <c r="CI244" i="4"/>
  <c r="CJ244" i="4"/>
  <c r="CK244" i="4"/>
  <c r="CL244" i="4"/>
  <c r="CM244" i="4"/>
  <c r="CN244" i="4"/>
  <c r="CO244" i="4"/>
  <c r="CP244" i="4"/>
  <c r="CQ244" i="4"/>
  <c r="CR244" i="4"/>
  <c r="CS244" i="4"/>
  <c r="CT244" i="4"/>
  <c r="CU244" i="4"/>
  <c r="CV244" i="4"/>
  <c r="CW244" i="4"/>
  <c r="CX244" i="4"/>
  <c r="BG245" i="4"/>
  <c r="BH245" i="4"/>
  <c r="BI245" i="4"/>
  <c r="BJ245" i="4"/>
  <c r="BK245" i="4"/>
  <c r="BL245" i="4"/>
  <c r="BM245" i="4"/>
  <c r="BN245" i="4"/>
  <c r="BO245" i="4"/>
  <c r="BP245" i="4"/>
  <c r="BQ245" i="4"/>
  <c r="BR245" i="4"/>
  <c r="BS245" i="4"/>
  <c r="BT245" i="4"/>
  <c r="BU245" i="4"/>
  <c r="BV245" i="4"/>
  <c r="BW245" i="4"/>
  <c r="BX245" i="4"/>
  <c r="BY245" i="4"/>
  <c r="BZ245" i="4"/>
  <c r="CA245" i="4"/>
  <c r="CB245" i="4"/>
  <c r="CC245" i="4"/>
  <c r="CD245" i="4"/>
  <c r="CE245" i="4"/>
  <c r="CF245" i="4"/>
  <c r="CG245" i="4"/>
  <c r="CH245" i="4"/>
  <c r="CI245" i="4"/>
  <c r="CJ245" i="4"/>
  <c r="CK245" i="4"/>
  <c r="CL245" i="4"/>
  <c r="CM245" i="4"/>
  <c r="CN245" i="4"/>
  <c r="CO245" i="4"/>
  <c r="CP245" i="4"/>
  <c r="CQ245" i="4"/>
  <c r="CR245" i="4"/>
  <c r="CS245" i="4"/>
  <c r="CT245" i="4"/>
  <c r="CU245" i="4"/>
  <c r="CV245" i="4"/>
  <c r="CW245" i="4"/>
  <c r="CX245" i="4"/>
  <c r="BG246" i="4"/>
  <c r="BH246" i="4"/>
  <c r="BI246" i="4"/>
  <c r="BJ246" i="4"/>
  <c r="BK246" i="4"/>
  <c r="BL246" i="4"/>
  <c r="BM246" i="4"/>
  <c r="BN246" i="4"/>
  <c r="BO246" i="4"/>
  <c r="BP246" i="4"/>
  <c r="BQ246" i="4"/>
  <c r="BR246" i="4"/>
  <c r="BS246" i="4"/>
  <c r="BT246" i="4"/>
  <c r="BU246" i="4"/>
  <c r="BV246" i="4"/>
  <c r="BW246" i="4"/>
  <c r="BX246" i="4"/>
  <c r="BY246" i="4"/>
  <c r="BZ246" i="4"/>
  <c r="CA246" i="4"/>
  <c r="CB246" i="4"/>
  <c r="CC246" i="4"/>
  <c r="CD246" i="4"/>
  <c r="CE246" i="4"/>
  <c r="CF246" i="4"/>
  <c r="CG246" i="4"/>
  <c r="CH246" i="4"/>
  <c r="CI246" i="4"/>
  <c r="CJ246" i="4"/>
  <c r="CK246" i="4"/>
  <c r="CL246" i="4"/>
  <c r="CM246" i="4"/>
  <c r="CN246" i="4"/>
  <c r="CO246" i="4"/>
  <c r="CP246" i="4"/>
  <c r="CQ246" i="4"/>
  <c r="CR246" i="4"/>
  <c r="CS246" i="4"/>
  <c r="CT246" i="4"/>
  <c r="CU246" i="4"/>
  <c r="CV246" i="4"/>
  <c r="CW246" i="4"/>
  <c r="CX246" i="4"/>
  <c r="BG247" i="4"/>
  <c r="BH247" i="4"/>
  <c r="BI247" i="4"/>
  <c r="BJ247" i="4"/>
  <c r="BK247" i="4"/>
  <c r="BL247" i="4"/>
  <c r="BM247" i="4"/>
  <c r="BN247" i="4"/>
  <c r="BO247" i="4"/>
  <c r="BP247" i="4"/>
  <c r="BQ247" i="4"/>
  <c r="BR247" i="4"/>
  <c r="BS247" i="4"/>
  <c r="BT247" i="4"/>
  <c r="BU247" i="4"/>
  <c r="BV247" i="4"/>
  <c r="BW247" i="4"/>
  <c r="BX247" i="4"/>
  <c r="BY247" i="4"/>
  <c r="BZ247" i="4"/>
  <c r="CA247" i="4"/>
  <c r="CB247" i="4"/>
  <c r="CC247" i="4"/>
  <c r="CD247" i="4"/>
  <c r="CE247" i="4"/>
  <c r="CF247" i="4"/>
  <c r="CG247" i="4"/>
  <c r="CH247" i="4"/>
  <c r="CI247" i="4"/>
  <c r="CJ247" i="4"/>
  <c r="CK247" i="4"/>
  <c r="CL247" i="4"/>
  <c r="CM247" i="4"/>
  <c r="CN247" i="4"/>
  <c r="CO247" i="4"/>
  <c r="CP247" i="4"/>
  <c r="CQ247" i="4"/>
  <c r="CR247" i="4"/>
  <c r="CS247" i="4"/>
  <c r="CT247" i="4"/>
  <c r="CU247" i="4"/>
  <c r="CV247" i="4"/>
  <c r="CW247" i="4"/>
  <c r="CX247" i="4"/>
  <c r="BG248" i="4"/>
  <c r="BH248" i="4"/>
  <c r="BI248" i="4"/>
  <c r="BJ248" i="4"/>
  <c r="BK248" i="4"/>
  <c r="BL248" i="4"/>
  <c r="BM248" i="4"/>
  <c r="BN248" i="4"/>
  <c r="BO248" i="4"/>
  <c r="BP248" i="4"/>
  <c r="BQ248" i="4"/>
  <c r="BR248" i="4"/>
  <c r="BS248" i="4"/>
  <c r="BT248" i="4"/>
  <c r="BU248" i="4"/>
  <c r="BV248" i="4"/>
  <c r="BW248" i="4"/>
  <c r="BX248" i="4"/>
  <c r="BY248" i="4"/>
  <c r="BZ248" i="4"/>
  <c r="CA248" i="4"/>
  <c r="CB248" i="4"/>
  <c r="CC248" i="4"/>
  <c r="CD248" i="4"/>
  <c r="CE248" i="4"/>
  <c r="CF248" i="4"/>
  <c r="CG248" i="4"/>
  <c r="CH248" i="4"/>
  <c r="CI248" i="4"/>
  <c r="CJ248" i="4"/>
  <c r="CK248" i="4"/>
  <c r="CL248" i="4"/>
  <c r="CM248" i="4"/>
  <c r="CN248" i="4"/>
  <c r="CO248" i="4"/>
  <c r="CP248" i="4"/>
  <c r="CQ248" i="4"/>
  <c r="CR248" i="4"/>
  <c r="CS248" i="4"/>
  <c r="CT248" i="4"/>
  <c r="CU248" i="4"/>
  <c r="CV248" i="4"/>
  <c r="CW248" i="4"/>
  <c r="CX248" i="4"/>
  <c r="BG249" i="4"/>
  <c r="BH249" i="4"/>
  <c r="BI249" i="4"/>
  <c r="BJ249" i="4"/>
  <c r="BK249" i="4"/>
  <c r="BL249" i="4"/>
  <c r="BM249" i="4"/>
  <c r="BN249" i="4"/>
  <c r="BO249" i="4"/>
  <c r="BP249" i="4"/>
  <c r="BQ249" i="4"/>
  <c r="BR249" i="4"/>
  <c r="BS249" i="4"/>
  <c r="BT249" i="4"/>
  <c r="BU249" i="4"/>
  <c r="BV249" i="4"/>
  <c r="BW249" i="4"/>
  <c r="BX249" i="4"/>
  <c r="BY249" i="4"/>
  <c r="BZ249" i="4"/>
  <c r="CA249" i="4"/>
  <c r="CB249" i="4"/>
  <c r="CC249" i="4"/>
  <c r="CD249" i="4"/>
  <c r="CE249" i="4"/>
  <c r="CF249" i="4"/>
  <c r="CG249" i="4"/>
  <c r="CH249" i="4"/>
  <c r="CI249" i="4"/>
  <c r="CJ249" i="4"/>
  <c r="CK249" i="4"/>
  <c r="CL249" i="4"/>
  <c r="CM249" i="4"/>
  <c r="CN249" i="4"/>
  <c r="CO249" i="4"/>
  <c r="CP249" i="4"/>
  <c r="CQ249" i="4"/>
  <c r="CR249" i="4"/>
  <c r="CS249" i="4"/>
  <c r="CT249" i="4"/>
  <c r="CU249" i="4"/>
  <c r="CV249" i="4"/>
  <c r="CW249" i="4"/>
  <c r="CX249" i="4"/>
  <c r="BG250" i="4"/>
  <c r="BH250" i="4"/>
  <c r="BI250" i="4"/>
  <c r="BJ250" i="4"/>
  <c r="BK250" i="4"/>
  <c r="BL250" i="4"/>
  <c r="BM250" i="4"/>
  <c r="BN250" i="4"/>
  <c r="BO250" i="4"/>
  <c r="BP250" i="4"/>
  <c r="BQ250" i="4"/>
  <c r="BR250" i="4"/>
  <c r="BS250" i="4"/>
  <c r="BT250" i="4"/>
  <c r="BU250" i="4"/>
  <c r="BV250" i="4"/>
  <c r="BW250" i="4"/>
  <c r="BX250" i="4"/>
  <c r="BY250" i="4"/>
  <c r="BZ250" i="4"/>
  <c r="CA250" i="4"/>
  <c r="CB250" i="4"/>
  <c r="CC250" i="4"/>
  <c r="CD250" i="4"/>
  <c r="CE250" i="4"/>
  <c r="CF250" i="4"/>
  <c r="CG250" i="4"/>
  <c r="CH250" i="4"/>
  <c r="CI250" i="4"/>
  <c r="CJ250" i="4"/>
  <c r="CK250" i="4"/>
  <c r="CL250" i="4"/>
  <c r="CM250" i="4"/>
  <c r="CN250" i="4"/>
  <c r="CO250" i="4"/>
  <c r="CP250" i="4"/>
  <c r="CQ250" i="4"/>
  <c r="CR250" i="4"/>
  <c r="CS250" i="4"/>
  <c r="CT250" i="4"/>
  <c r="CU250" i="4"/>
  <c r="CV250" i="4"/>
  <c r="CW250" i="4"/>
  <c r="CX250" i="4"/>
  <c r="BG251" i="4"/>
  <c r="BH251" i="4"/>
  <c r="BI251" i="4"/>
  <c r="BJ251" i="4"/>
  <c r="BK251" i="4"/>
  <c r="BL251" i="4"/>
  <c r="BM251" i="4"/>
  <c r="BN251" i="4"/>
  <c r="BO251" i="4"/>
  <c r="BP251" i="4"/>
  <c r="BQ251" i="4"/>
  <c r="BR251" i="4"/>
  <c r="BS251" i="4"/>
  <c r="BT251" i="4"/>
  <c r="BU251" i="4"/>
  <c r="BV251" i="4"/>
  <c r="BW251" i="4"/>
  <c r="BX251" i="4"/>
  <c r="BY251" i="4"/>
  <c r="BZ251" i="4"/>
  <c r="CA251" i="4"/>
  <c r="CB251" i="4"/>
  <c r="CC251" i="4"/>
  <c r="CD251" i="4"/>
  <c r="CE251" i="4"/>
  <c r="CF251" i="4"/>
  <c r="CG251" i="4"/>
  <c r="CH251" i="4"/>
  <c r="CI251" i="4"/>
  <c r="CJ251" i="4"/>
  <c r="CK251" i="4"/>
  <c r="CL251" i="4"/>
  <c r="CM251" i="4"/>
  <c r="CN251" i="4"/>
  <c r="CO251" i="4"/>
  <c r="CP251" i="4"/>
  <c r="CQ251" i="4"/>
  <c r="CR251" i="4"/>
  <c r="CS251" i="4"/>
  <c r="CT251" i="4"/>
  <c r="CU251" i="4"/>
  <c r="CV251" i="4"/>
  <c r="CW251" i="4"/>
  <c r="CX251" i="4"/>
  <c r="BG252" i="4"/>
  <c r="BH252" i="4"/>
  <c r="BI252" i="4"/>
  <c r="BJ252" i="4"/>
  <c r="BK252" i="4"/>
  <c r="BL252" i="4"/>
  <c r="BM252" i="4"/>
  <c r="BN252" i="4"/>
  <c r="BO252" i="4"/>
  <c r="BP252" i="4"/>
  <c r="BQ252" i="4"/>
  <c r="BR252" i="4"/>
  <c r="BS252" i="4"/>
  <c r="BT252" i="4"/>
  <c r="BU252" i="4"/>
  <c r="BV252" i="4"/>
  <c r="BW252" i="4"/>
  <c r="BX252" i="4"/>
  <c r="BY252" i="4"/>
  <c r="BZ252" i="4"/>
  <c r="CA252" i="4"/>
  <c r="CB252" i="4"/>
  <c r="CC252" i="4"/>
  <c r="CD252" i="4"/>
  <c r="CE252" i="4"/>
  <c r="CF252" i="4"/>
  <c r="CG252" i="4"/>
  <c r="CH252" i="4"/>
  <c r="CI252" i="4"/>
  <c r="CJ252" i="4"/>
  <c r="CK252" i="4"/>
  <c r="CL252" i="4"/>
  <c r="CM252" i="4"/>
  <c r="CN252" i="4"/>
  <c r="CO252" i="4"/>
  <c r="CP252" i="4"/>
  <c r="CQ252" i="4"/>
  <c r="CR252" i="4"/>
  <c r="CS252" i="4"/>
  <c r="CT252" i="4"/>
  <c r="CU252" i="4"/>
  <c r="CV252" i="4"/>
  <c r="CW252" i="4"/>
  <c r="CX252" i="4"/>
  <c r="BG253" i="4"/>
  <c r="BH253" i="4"/>
  <c r="BI253" i="4"/>
  <c r="BJ253" i="4"/>
  <c r="BK253" i="4"/>
  <c r="BL253" i="4"/>
  <c r="BM253" i="4"/>
  <c r="BN253" i="4"/>
  <c r="BO253" i="4"/>
  <c r="BP253" i="4"/>
  <c r="BQ253" i="4"/>
  <c r="BR253" i="4"/>
  <c r="BS253" i="4"/>
  <c r="BT253" i="4"/>
  <c r="BU253" i="4"/>
  <c r="BV253" i="4"/>
  <c r="BW253" i="4"/>
  <c r="BX253" i="4"/>
  <c r="BY253" i="4"/>
  <c r="BZ253" i="4"/>
  <c r="CA253" i="4"/>
  <c r="CB253" i="4"/>
  <c r="CC253" i="4"/>
  <c r="CD253" i="4"/>
  <c r="CE253" i="4"/>
  <c r="CF253" i="4"/>
  <c r="CG253" i="4"/>
  <c r="CH253" i="4"/>
  <c r="CI253" i="4"/>
  <c r="CJ253" i="4"/>
  <c r="CK253" i="4"/>
  <c r="CL253" i="4"/>
  <c r="CM253" i="4"/>
  <c r="CN253" i="4"/>
  <c r="CO253" i="4"/>
  <c r="CP253" i="4"/>
  <c r="CQ253" i="4"/>
  <c r="CR253" i="4"/>
  <c r="CS253" i="4"/>
  <c r="CT253" i="4"/>
  <c r="CU253" i="4"/>
  <c r="CV253" i="4"/>
  <c r="CW253" i="4"/>
  <c r="CX253" i="4"/>
  <c r="BG254" i="4"/>
  <c r="BH254" i="4"/>
  <c r="BI254" i="4"/>
  <c r="BJ254" i="4"/>
  <c r="BK254" i="4"/>
  <c r="BL254" i="4"/>
  <c r="BM254" i="4"/>
  <c r="BN254" i="4"/>
  <c r="BO254" i="4"/>
  <c r="BP254" i="4"/>
  <c r="BQ254" i="4"/>
  <c r="BR254" i="4"/>
  <c r="BS254" i="4"/>
  <c r="BT254" i="4"/>
  <c r="BU254" i="4"/>
  <c r="BV254" i="4"/>
  <c r="BW254" i="4"/>
  <c r="BX254" i="4"/>
  <c r="BY254" i="4"/>
  <c r="BZ254" i="4"/>
  <c r="CA254" i="4"/>
  <c r="CB254" i="4"/>
  <c r="CC254" i="4"/>
  <c r="CD254" i="4"/>
  <c r="CE254" i="4"/>
  <c r="CF254" i="4"/>
  <c r="CG254" i="4"/>
  <c r="CH254" i="4"/>
  <c r="CI254" i="4"/>
  <c r="CJ254" i="4"/>
  <c r="CK254" i="4"/>
  <c r="CL254" i="4"/>
  <c r="CM254" i="4"/>
  <c r="CN254" i="4"/>
  <c r="CO254" i="4"/>
  <c r="CP254" i="4"/>
  <c r="CQ254" i="4"/>
  <c r="CR254" i="4"/>
  <c r="CS254" i="4"/>
  <c r="CT254" i="4"/>
  <c r="CU254" i="4"/>
  <c r="CV254" i="4"/>
  <c r="CW254" i="4"/>
  <c r="CX254" i="4"/>
  <c r="BG255" i="4"/>
  <c r="BH255" i="4"/>
  <c r="BI255" i="4"/>
  <c r="BJ255" i="4"/>
  <c r="BK255" i="4"/>
  <c r="BL255" i="4"/>
  <c r="BM255" i="4"/>
  <c r="BN255" i="4"/>
  <c r="BO255" i="4"/>
  <c r="BP255" i="4"/>
  <c r="BQ255" i="4"/>
  <c r="BR255" i="4"/>
  <c r="BS255" i="4"/>
  <c r="BT255" i="4"/>
  <c r="BU255" i="4"/>
  <c r="BV255" i="4"/>
  <c r="BW255" i="4"/>
  <c r="BX255" i="4"/>
  <c r="BY255" i="4"/>
  <c r="BZ255" i="4"/>
  <c r="CA255" i="4"/>
  <c r="CB255" i="4"/>
  <c r="CC255" i="4"/>
  <c r="CD255" i="4"/>
  <c r="CE255" i="4"/>
  <c r="CF255" i="4"/>
  <c r="CG255" i="4"/>
  <c r="CH255" i="4"/>
  <c r="CI255" i="4"/>
  <c r="CJ255" i="4"/>
  <c r="CK255" i="4"/>
  <c r="CL255" i="4"/>
  <c r="CM255" i="4"/>
  <c r="CN255" i="4"/>
  <c r="CO255" i="4"/>
  <c r="CP255" i="4"/>
  <c r="CQ255" i="4"/>
  <c r="CR255" i="4"/>
  <c r="CS255" i="4"/>
  <c r="CT255" i="4"/>
  <c r="CU255" i="4"/>
  <c r="CV255" i="4"/>
  <c r="CW255" i="4"/>
  <c r="CX255" i="4"/>
  <c r="BG256" i="4"/>
  <c r="BH256" i="4"/>
  <c r="BI256" i="4"/>
  <c r="BJ256" i="4"/>
  <c r="BK256" i="4"/>
  <c r="BL256" i="4"/>
  <c r="BM256" i="4"/>
  <c r="BN256" i="4"/>
  <c r="BO256" i="4"/>
  <c r="BP256" i="4"/>
  <c r="BQ256" i="4"/>
  <c r="BR256" i="4"/>
  <c r="BS256" i="4"/>
  <c r="BT256" i="4"/>
  <c r="BU256" i="4"/>
  <c r="BV256" i="4"/>
  <c r="BW256" i="4"/>
  <c r="BX256" i="4"/>
  <c r="BY256" i="4"/>
  <c r="BZ256" i="4"/>
  <c r="CA256" i="4"/>
  <c r="CB256" i="4"/>
  <c r="CC256" i="4"/>
  <c r="CD256" i="4"/>
  <c r="CE256" i="4"/>
  <c r="CF256" i="4"/>
  <c r="CG256" i="4"/>
  <c r="CH256" i="4"/>
  <c r="CI256" i="4"/>
  <c r="CJ256" i="4"/>
  <c r="CK256" i="4"/>
  <c r="CL256" i="4"/>
  <c r="CM256" i="4"/>
  <c r="CN256" i="4"/>
  <c r="CO256" i="4"/>
  <c r="CP256" i="4"/>
  <c r="CQ256" i="4"/>
  <c r="CR256" i="4"/>
  <c r="CS256" i="4"/>
  <c r="CT256" i="4"/>
  <c r="CU256" i="4"/>
  <c r="CV256" i="4"/>
  <c r="CW256" i="4"/>
  <c r="CX256" i="4"/>
  <c r="BG257" i="4"/>
  <c r="BH257" i="4"/>
  <c r="BI257" i="4"/>
  <c r="BJ257" i="4"/>
  <c r="BK257" i="4"/>
  <c r="BL257" i="4"/>
  <c r="BM257" i="4"/>
  <c r="BN257" i="4"/>
  <c r="BO257" i="4"/>
  <c r="BP257" i="4"/>
  <c r="BQ257" i="4"/>
  <c r="BR257" i="4"/>
  <c r="BS257" i="4"/>
  <c r="BT257" i="4"/>
  <c r="BU257" i="4"/>
  <c r="BV257" i="4"/>
  <c r="BW257" i="4"/>
  <c r="BX257" i="4"/>
  <c r="BY257" i="4"/>
  <c r="BZ257" i="4"/>
  <c r="CA257" i="4"/>
  <c r="CB257" i="4"/>
  <c r="CC257" i="4"/>
  <c r="CD257" i="4"/>
  <c r="CE257" i="4"/>
  <c r="CF257" i="4"/>
  <c r="CG257" i="4"/>
  <c r="CH257" i="4"/>
  <c r="CI257" i="4"/>
  <c r="CJ257" i="4"/>
  <c r="CK257" i="4"/>
  <c r="CL257" i="4"/>
  <c r="CM257" i="4"/>
  <c r="CN257" i="4"/>
  <c r="CO257" i="4"/>
  <c r="CP257" i="4"/>
  <c r="CQ257" i="4"/>
  <c r="CR257" i="4"/>
  <c r="CS257" i="4"/>
  <c r="CT257" i="4"/>
  <c r="CU257" i="4"/>
  <c r="CV257" i="4"/>
  <c r="CW257" i="4"/>
  <c r="CX257" i="4"/>
  <c r="BG258" i="4"/>
  <c r="BH258" i="4"/>
  <c r="BI258" i="4"/>
  <c r="BJ258" i="4"/>
  <c r="BK258" i="4"/>
  <c r="BL258" i="4"/>
  <c r="BM258" i="4"/>
  <c r="BN258" i="4"/>
  <c r="BO258" i="4"/>
  <c r="BP258" i="4"/>
  <c r="BQ258" i="4"/>
  <c r="BR258" i="4"/>
  <c r="BS258" i="4"/>
  <c r="BT258" i="4"/>
  <c r="BU258" i="4"/>
  <c r="BV258" i="4"/>
  <c r="BW258" i="4"/>
  <c r="BX258" i="4"/>
  <c r="BY258" i="4"/>
  <c r="BZ258" i="4"/>
  <c r="CA258" i="4"/>
  <c r="CB258" i="4"/>
  <c r="CC258" i="4"/>
  <c r="CD258" i="4"/>
  <c r="CE258" i="4"/>
  <c r="CF258" i="4"/>
  <c r="CG258" i="4"/>
  <c r="CH258" i="4"/>
  <c r="CI258" i="4"/>
  <c r="CJ258" i="4"/>
  <c r="CK258" i="4"/>
  <c r="CL258" i="4"/>
  <c r="CM258" i="4"/>
  <c r="CN258" i="4"/>
  <c r="CO258" i="4"/>
  <c r="CP258" i="4"/>
  <c r="CQ258" i="4"/>
  <c r="CR258" i="4"/>
  <c r="CS258" i="4"/>
  <c r="CT258" i="4"/>
  <c r="CU258" i="4"/>
  <c r="CV258" i="4"/>
  <c r="CW258" i="4"/>
  <c r="CX258" i="4"/>
  <c r="BG259" i="4"/>
  <c r="BH259" i="4"/>
  <c r="BI259" i="4"/>
  <c r="BJ259" i="4"/>
  <c r="BK259" i="4"/>
  <c r="BL259" i="4"/>
  <c r="BM259" i="4"/>
  <c r="BN259" i="4"/>
  <c r="BO259" i="4"/>
  <c r="BP259" i="4"/>
  <c r="BQ259" i="4"/>
  <c r="BR259" i="4"/>
  <c r="BS259" i="4"/>
  <c r="BT259" i="4"/>
  <c r="BU259" i="4"/>
  <c r="BV259" i="4"/>
  <c r="BW259" i="4"/>
  <c r="BX259" i="4"/>
  <c r="BY259" i="4"/>
  <c r="BZ259" i="4"/>
  <c r="CA259" i="4"/>
  <c r="CB259" i="4"/>
  <c r="CC259" i="4"/>
  <c r="CD259" i="4"/>
  <c r="CE259" i="4"/>
  <c r="CF259" i="4"/>
  <c r="CG259" i="4"/>
  <c r="CH259" i="4"/>
  <c r="CI259" i="4"/>
  <c r="CJ259" i="4"/>
  <c r="CK259" i="4"/>
  <c r="CL259" i="4"/>
  <c r="CM259" i="4"/>
  <c r="CN259" i="4"/>
  <c r="CO259" i="4"/>
  <c r="CP259" i="4"/>
  <c r="CQ259" i="4"/>
  <c r="CR259" i="4"/>
  <c r="CS259" i="4"/>
  <c r="CT259" i="4"/>
  <c r="CU259" i="4"/>
  <c r="CV259" i="4"/>
  <c r="CW259" i="4"/>
  <c r="CX259" i="4"/>
  <c r="BG260" i="4"/>
  <c r="BH260" i="4"/>
  <c r="BI260" i="4"/>
  <c r="BJ260" i="4"/>
  <c r="BK260" i="4"/>
  <c r="BL260" i="4"/>
  <c r="BM260" i="4"/>
  <c r="BN260" i="4"/>
  <c r="BO260" i="4"/>
  <c r="BP260" i="4"/>
  <c r="BQ260" i="4"/>
  <c r="BR260" i="4"/>
  <c r="BS260" i="4"/>
  <c r="BT260" i="4"/>
  <c r="BU260" i="4"/>
  <c r="BV260" i="4"/>
  <c r="BW260" i="4"/>
  <c r="BX260" i="4"/>
  <c r="BY260" i="4"/>
  <c r="BZ260" i="4"/>
  <c r="CA260" i="4"/>
  <c r="CB260" i="4"/>
  <c r="CC260" i="4"/>
  <c r="CD260" i="4"/>
  <c r="CE260" i="4"/>
  <c r="CF260" i="4"/>
  <c r="CG260" i="4"/>
  <c r="CH260" i="4"/>
  <c r="CI260" i="4"/>
  <c r="CJ260" i="4"/>
  <c r="CK260" i="4"/>
  <c r="CL260" i="4"/>
  <c r="CM260" i="4"/>
  <c r="CN260" i="4"/>
  <c r="CO260" i="4"/>
  <c r="CP260" i="4"/>
  <c r="CQ260" i="4"/>
  <c r="CR260" i="4"/>
  <c r="CS260" i="4"/>
  <c r="CT260" i="4"/>
  <c r="CU260" i="4"/>
  <c r="CV260" i="4"/>
  <c r="CW260" i="4"/>
  <c r="CX260" i="4"/>
  <c r="BG261" i="4"/>
  <c r="BH261" i="4"/>
  <c r="BI261" i="4"/>
  <c r="BJ261" i="4"/>
  <c r="BK261" i="4"/>
  <c r="BL261" i="4"/>
  <c r="BM261" i="4"/>
  <c r="BN261" i="4"/>
  <c r="BO261" i="4"/>
  <c r="BP261" i="4"/>
  <c r="BQ261" i="4"/>
  <c r="BR261" i="4"/>
  <c r="BS261" i="4"/>
  <c r="BT261" i="4"/>
  <c r="BU261" i="4"/>
  <c r="BV261" i="4"/>
  <c r="BW261" i="4"/>
  <c r="BX261" i="4"/>
  <c r="BY261" i="4"/>
  <c r="BZ261" i="4"/>
  <c r="CA261" i="4"/>
  <c r="CB261" i="4"/>
  <c r="CC261" i="4"/>
  <c r="CD261" i="4"/>
  <c r="CE261" i="4"/>
  <c r="CF261" i="4"/>
  <c r="CG261" i="4"/>
  <c r="CH261" i="4"/>
  <c r="CI261" i="4"/>
  <c r="CJ261" i="4"/>
  <c r="CK261" i="4"/>
  <c r="CL261" i="4"/>
  <c r="CM261" i="4"/>
  <c r="CN261" i="4"/>
  <c r="CO261" i="4"/>
  <c r="CP261" i="4"/>
  <c r="CQ261" i="4"/>
  <c r="CR261" i="4"/>
  <c r="CS261" i="4"/>
  <c r="CT261" i="4"/>
  <c r="CU261" i="4"/>
  <c r="CV261" i="4"/>
  <c r="CW261" i="4"/>
  <c r="CX261" i="4"/>
  <c r="BG262" i="4"/>
  <c r="BH262" i="4"/>
  <c r="BI262" i="4"/>
  <c r="BJ262" i="4"/>
  <c r="BK262" i="4"/>
  <c r="BL262" i="4"/>
  <c r="BM262" i="4"/>
  <c r="BN262" i="4"/>
  <c r="BO262" i="4"/>
  <c r="BP262" i="4"/>
  <c r="BQ262" i="4"/>
  <c r="BR262" i="4"/>
  <c r="BS262" i="4"/>
  <c r="BT262" i="4"/>
  <c r="BU262" i="4"/>
  <c r="BV262" i="4"/>
  <c r="BW262" i="4"/>
  <c r="BX262" i="4"/>
  <c r="BY262" i="4"/>
  <c r="BZ262" i="4"/>
  <c r="CA262" i="4"/>
  <c r="CB262" i="4"/>
  <c r="CC262" i="4"/>
  <c r="CD262" i="4"/>
  <c r="CE262" i="4"/>
  <c r="CF262" i="4"/>
  <c r="CG262" i="4"/>
  <c r="CH262" i="4"/>
  <c r="CI262" i="4"/>
  <c r="CJ262" i="4"/>
  <c r="CK262" i="4"/>
  <c r="CL262" i="4"/>
  <c r="CM262" i="4"/>
  <c r="CN262" i="4"/>
  <c r="CO262" i="4"/>
  <c r="CP262" i="4"/>
  <c r="CQ262" i="4"/>
  <c r="CR262" i="4"/>
  <c r="CS262" i="4"/>
  <c r="CT262" i="4"/>
  <c r="CU262" i="4"/>
  <c r="CV262" i="4"/>
  <c r="CW262" i="4"/>
  <c r="CX262" i="4"/>
  <c r="BG263" i="4"/>
  <c r="BH263" i="4"/>
  <c r="BI263" i="4"/>
  <c r="BJ263" i="4"/>
  <c r="BK263" i="4"/>
  <c r="BL263" i="4"/>
  <c r="BM263" i="4"/>
  <c r="BN263" i="4"/>
  <c r="BO263" i="4"/>
  <c r="BP263" i="4"/>
  <c r="BQ263" i="4"/>
  <c r="BR263" i="4"/>
  <c r="BS263" i="4"/>
  <c r="BT263" i="4"/>
  <c r="BU263" i="4"/>
  <c r="BV263" i="4"/>
  <c r="BW263" i="4"/>
  <c r="BX263" i="4"/>
  <c r="BY263" i="4"/>
  <c r="BZ263" i="4"/>
  <c r="CA263" i="4"/>
  <c r="CB263" i="4"/>
  <c r="CC263" i="4"/>
  <c r="CD263" i="4"/>
  <c r="CE263" i="4"/>
  <c r="CF263" i="4"/>
  <c r="CG263" i="4"/>
  <c r="CH263" i="4"/>
  <c r="CI263" i="4"/>
  <c r="CJ263" i="4"/>
  <c r="CK263" i="4"/>
  <c r="CL263" i="4"/>
  <c r="CM263" i="4"/>
  <c r="CN263" i="4"/>
  <c r="CO263" i="4"/>
  <c r="CP263" i="4"/>
  <c r="CQ263" i="4"/>
  <c r="CR263" i="4"/>
  <c r="CS263" i="4"/>
  <c r="CT263" i="4"/>
  <c r="CU263" i="4"/>
  <c r="CV263" i="4"/>
  <c r="CW263" i="4"/>
  <c r="CX263" i="4"/>
  <c r="BG264" i="4"/>
  <c r="BH264" i="4"/>
  <c r="BI264" i="4"/>
  <c r="BJ264" i="4"/>
  <c r="BK264" i="4"/>
  <c r="BL264" i="4"/>
  <c r="BM264" i="4"/>
  <c r="BN264" i="4"/>
  <c r="BO264" i="4"/>
  <c r="BP264" i="4"/>
  <c r="BQ264" i="4"/>
  <c r="BR264" i="4"/>
  <c r="BS264" i="4"/>
  <c r="BT264" i="4"/>
  <c r="BU264" i="4"/>
  <c r="BV264" i="4"/>
  <c r="BW264" i="4"/>
  <c r="BX264" i="4"/>
  <c r="BY264" i="4"/>
  <c r="BZ264" i="4"/>
  <c r="CA264" i="4"/>
  <c r="CB264" i="4"/>
  <c r="CC264" i="4"/>
  <c r="CD264" i="4"/>
  <c r="CE264" i="4"/>
  <c r="CF264" i="4"/>
  <c r="CG264" i="4"/>
  <c r="CH264" i="4"/>
  <c r="CI264" i="4"/>
  <c r="CJ264" i="4"/>
  <c r="CK264" i="4"/>
  <c r="CL264" i="4"/>
  <c r="CM264" i="4"/>
  <c r="CN264" i="4"/>
  <c r="CO264" i="4"/>
  <c r="CP264" i="4"/>
  <c r="CQ264" i="4"/>
  <c r="CR264" i="4"/>
  <c r="CS264" i="4"/>
  <c r="CT264" i="4"/>
  <c r="CU264" i="4"/>
  <c r="CV264" i="4"/>
  <c r="CW264" i="4"/>
  <c r="CX264" i="4"/>
  <c r="BG265" i="4"/>
  <c r="BH265" i="4"/>
  <c r="BI265" i="4"/>
  <c r="BJ265" i="4"/>
  <c r="BK265" i="4"/>
  <c r="BL265" i="4"/>
  <c r="BM265" i="4"/>
  <c r="BN265" i="4"/>
  <c r="BO265" i="4"/>
  <c r="BP265" i="4"/>
  <c r="BQ265" i="4"/>
  <c r="BR265" i="4"/>
  <c r="BS265" i="4"/>
  <c r="BT265" i="4"/>
  <c r="BU265" i="4"/>
  <c r="BV265" i="4"/>
  <c r="BW265" i="4"/>
  <c r="BX265" i="4"/>
  <c r="BY265" i="4"/>
  <c r="BZ265" i="4"/>
  <c r="CA265" i="4"/>
  <c r="CB265" i="4"/>
  <c r="CC265" i="4"/>
  <c r="CD265" i="4"/>
  <c r="CE265" i="4"/>
  <c r="CF265" i="4"/>
  <c r="CG265" i="4"/>
  <c r="CH265" i="4"/>
  <c r="CI265" i="4"/>
  <c r="CJ265" i="4"/>
  <c r="CK265" i="4"/>
  <c r="CL265" i="4"/>
  <c r="CM265" i="4"/>
  <c r="CN265" i="4"/>
  <c r="CO265" i="4"/>
  <c r="CP265" i="4"/>
  <c r="CQ265" i="4"/>
  <c r="CR265" i="4"/>
  <c r="CS265" i="4"/>
  <c r="CT265" i="4"/>
  <c r="CU265" i="4"/>
  <c r="CV265" i="4"/>
  <c r="CW265" i="4"/>
  <c r="CX265" i="4"/>
  <c r="BG266" i="4"/>
  <c r="BH266" i="4"/>
  <c r="BI266" i="4"/>
  <c r="BJ266" i="4"/>
  <c r="BK266" i="4"/>
  <c r="BL266" i="4"/>
  <c r="BM266" i="4"/>
  <c r="BN266" i="4"/>
  <c r="BO266" i="4"/>
  <c r="BP266" i="4"/>
  <c r="BQ266" i="4"/>
  <c r="BR266" i="4"/>
  <c r="BS266" i="4"/>
  <c r="BT266" i="4"/>
  <c r="BU266" i="4"/>
  <c r="BV266" i="4"/>
  <c r="BW266" i="4"/>
  <c r="BX266" i="4"/>
  <c r="BY266" i="4"/>
  <c r="BZ266" i="4"/>
  <c r="CA266" i="4"/>
  <c r="CB266" i="4"/>
  <c r="CC266" i="4"/>
  <c r="CD266" i="4"/>
  <c r="CE266" i="4"/>
  <c r="CF266" i="4"/>
  <c r="CG266" i="4"/>
  <c r="CH266" i="4"/>
  <c r="CI266" i="4"/>
  <c r="CJ266" i="4"/>
  <c r="CK266" i="4"/>
  <c r="CL266" i="4"/>
  <c r="CM266" i="4"/>
  <c r="CN266" i="4"/>
  <c r="CO266" i="4"/>
  <c r="CP266" i="4"/>
  <c r="CQ266" i="4"/>
  <c r="CR266" i="4"/>
  <c r="CS266" i="4"/>
  <c r="CT266" i="4"/>
  <c r="CU266" i="4"/>
  <c r="CV266" i="4"/>
  <c r="CW266" i="4"/>
  <c r="CX266" i="4"/>
  <c r="BG267" i="4"/>
  <c r="BH267" i="4"/>
  <c r="BI267" i="4"/>
  <c r="BJ267" i="4"/>
  <c r="BK267" i="4"/>
  <c r="BL267" i="4"/>
  <c r="BM267" i="4"/>
  <c r="BN267" i="4"/>
  <c r="BO267" i="4"/>
  <c r="BP267" i="4"/>
  <c r="BQ267" i="4"/>
  <c r="BR267" i="4"/>
  <c r="BS267" i="4"/>
  <c r="BT267" i="4"/>
  <c r="BU267" i="4"/>
  <c r="BV267" i="4"/>
  <c r="BW267" i="4"/>
  <c r="BX267" i="4"/>
  <c r="BY267" i="4"/>
  <c r="BZ267" i="4"/>
  <c r="CA267" i="4"/>
  <c r="CB267" i="4"/>
  <c r="CC267" i="4"/>
  <c r="CD267" i="4"/>
  <c r="CE267" i="4"/>
  <c r="CF267" i="4"/>
  <c r="CG267" i="4"/>
  <c r="CH267" i="4"/>
  <c r="CI267" i="4"/>
  <c r="CJ267" i="4"/>
  <c r="CK267" i="4"/>
  <c r="CL267" i="4"/>
  <c r="CM267" i="4"/>
  <c r="CN267" i="4"/>
  <c r="CO267" i="4"/>
  <c r="CP267" i="4"/>
  <c r="CQ267" i="4"/>
  <c r="CR267" i="4"/>
  <c r="CS267" i="4"/>
  <c r="CT267" i="4"/>
  <c r="CU267" i="4"/>
  <c r="CV267" i="4"/>
  <c r="CW267" i="4"/>
  <c r="CX267" i="4"/>
  <c r="BG268" i="4"/>
  <c r="BH268" i="4"/>
  <c r="BI268" i="4"/>
  <c r="BJ268" i="4"/>
  <c r="BK268" i="4"/>
  <c r="BL268" i="4"/>
  <c r="BM268" i="4"/>
  <c r="BN268" i="4"/>
  <c r="BO268" i="4"/>
  <c r="BP268" i="4"/>
  <c r="BQ268" i="4"/>
  <c r="BR268" i="4"/>
  <c r="BS268" i="4"/>
  <c r="BT268" i="4"/>
  <c r="BU268" i="4"/>
  <c r="BV268" i="4"/>
  <c r="BW268" i="4"/>
  <c r="BX268" i="4"/>
  <c r="BY268" i="4"/>
  <c r="BZ268" i="4"/>
  <c r="CA268" i="4"/>
  <c r="CB268" i="4"/>
  <c r="CC268" i="4"/>
  <c r="CD268" i="4"/>
  <c r="CE268" i="4"/>
  <c r="CF268" i="4"/>
  <c r="CG268" i="4"/>
  <c r="CH268" i="4"/>
  <c r="CI268" i="4"/>
  <c r="CJ268" i="4"/>
  <c r="CK268" i="4"/>
  <c r="CL268" i="4"/>
  <c r="CM268" i="4"/>
  <c r="CN268" i="4"/>
  <c r="CO268" i="4"/>
  <c r="CP268" i="4"/>
  <c r="CQ268" i="4"/>
  <c r="CR268" i="4"/>
  <c r="CS268" i="4"/>
  <c r="CT268" i="4"/>
  <c r="CU268" i="4"/>
  <c r="CV268" i="4"/>
  <c r="CW268" i="4"/>
  <c r="CX268" i="4"/>
  <c r="BG269" i="4"/>
  <c r="BH269" i="4"/>
  <c r="BI269" i="4"/>
  <c r="BJ269" i="4"/>
  <c r="BK269" i="4"/>
  <c r="BL269" i="4"/>
  <c r="BM269" i="4"/>
  <c r="BN269" i="4"/>
  <c r="BO269" i="4"/>
  <c r="BP269" i="4"/>
  <c r="BQ269" i="4"/>
  <c r="BR269" i="4"/>
  <c r="BS269" i="4"/>
  <c r="BT269" i="4"/>
  <c r="BU269" i="4"/>
  <c r="BV269" i="4"/>
  <c r="BW269" i="4"/>
  <c r="BX269" i="4"/>
  <c r="BY269" i="4"/>
  <c r="BZ269" i="4"/>
  <c r="CA269" i="4"/>
  <c r="CB269" i="4"/>
  <c r="CC269" i="4"/>
  <c r="CD269" i="4"/>
  <c r="CE269" i="4"/>
  <c r="CF269" i="4"/>
  <c r="CG269" i="4"/>
  <c r="CH269" i="4"/>
  <c r="CI269" i="4"/>
  <c r="CJ269" i="4"/>
  <c r="CK269" i="4"/>
  <c r="CL269" i="4"/>
  <c r="CM269" i="4"/>
  <c r="CN269" i="4"/>
  <c r="CO269" i="4"/>
  <c r="CP269" i="4"/>
  <c r="CQ269" i="4"/>
  <c r="CR269" i="4"/>
  <c r="CS269" i="4"/>
  <c r="CT269" i="4"/>
  <c r="CU269" i="4"/>
  <c r="CV269" i="4"/>
  <c r="CW269" i="4"/>
  <c r="CX269" i="4"/>
  <c r="BG270" i="4"/>
  <c r="BH270" i="4"/>
  <c r="BI270" i="4"/>
  <c r="BJ270" i="4"/>
  <c r="BK270" i="4"/>
  <c r="BL270" i="4"/>
  <c r="BM270" i="4"/>
  <c r="BN270" i="4"/>
  <c r="BO270" i="4"/>
  <c r="BP270" i="4"/>
  <c r="BQ270" i="4"/>
  <c r="BR270" i="4"/>
  <c r="BS270" i="4"/>
  <c r="BT270" i="4"/>
  <c r="BU270" i="4"/>
  <c r="BV270" i="4"/>
  <c r="BW270" i="4"/>
  <c r="BX270" i="4"/>
  <c r="BY270" i="4"/>
  <c r="BZ270" i="4"/>
  <c r="CA270" i="4"/>
  <c r="CB270" i="4"/>
  <c r="CC270" i="4"/>
  <c r="CD270" i="4"/>
  <c r="CE270" i="4"/>
  <c r="CF270" i="4"/>
  <c r="CG270" i="4"/>
  <c r="CH270" i="4"/>
  <c r="CI270" i="4"/>
  <c r="CJ270" i="4"/>
  <c r="CK270" i="4"/>
  <c r="CL270" i="4"/>
  <c r="CM270" i="4"/>
  <c r="CN270" i="4"/>
  <c r="CO270" i="4"/>
  <c r="CP270" i="4"/>
  <c r="CQ270" i="4"/>
  <c r="CR270" i="4"/>
  <c r="CS270" i="4"/>
  <c r="CT270" i="4"/>
  <c r="CU270" i="4"/>
  <c r="CV270" i="4"/>
  <c r="CW270" i="4"/>
  <c r="CX270" i="4"/>
  <c r="BG271" i="4"/>
  <c r="BH271" i="4"/>
  <c r="BI271" i="4"/>
  <c r="BJ271" i="4"/>
  <c r="BK271" i="4"/>
  <c r="BL271" i="4"/>
  <c r="BM271" i="4"/>
  <c r="BN271" i="4"/>
  <c r="BO271" i="4"/>
  <c r="BP271" i="4"/>
  <c r="BQ271" i="4"/>
  <c r="BR271" i="4"/>
  <c r="BS271" i="4"/>
  <c r="BT271" i="4"/>
  <c r="BU271" i="4"/>
  <c r="BV271" i="4"/>
  <c r="BW271" i="4"/>
  <c r="BX271" i="4"/>
  <c r="BY271" i="4"/>
  <c r="BZ271" i="4"/>
  <c r="CA271" i="4"/>
  <c r="CB271" i="4"/>
  <c r="CC271" i="4"/>
  <c r="CD271" i="4"/>
  <c r="CE271" i="4"/>
  <c r="CF271" i="4"/>
  <c r="CG271" i="4"/>
  <c r="CH271" i="4"/>
  <c r="CI271" i="4"/>
  <c r="CJ271" i="4"/>
  <c r="CK271" i="4"/>
  <c r="CL271" i="4"/>
  <c r="CM271" i="4"/>
  <c r="CN271" i="4"/>
  <c r="CO271" i="4"/>
  <c r="CP271" i="4"/>
  <c r="CQ271" i="4"/>
  <c r="CR271" i="4"/>
  <c r="CS271" i="4"/>
  <c r="CT271" i="4"/>
  <c r="CU271" i="4"/>
  <c r="CV271" i="4"/>
  <c r="CW271" i="4"/>
  <c r="CX271" i="4"/>
  <c r="BG272" i="4"/>
  <c r="BH272" i="4"/>
  <c r="BI272" i="4"/>
  <c r="BJ272" i="4"/>
  <c r="BK272" i="4"/>
  <c r="BL272" i="4"/>
  <c r="BM272" i="4"/>
  <c r="BN272" i="4"/>
  <c r="BO272" i="4"/>
  <c r="BP272" i="4"/>
  <c r="BQ272" i="4"/>
  <c r="BR272" i="4"/>
  <c r="BS272" i="4"/>
  <c r="BT272" i="4"/>
  <c r="BU272" i="4"/>
  <c r="BV272" i="4"/>
  <c r="BW272" i="4"/>
  <c r="BX272" i="4"/>
  <c r="BY272" i="4"/>
  <c r="BZ272" i="4"/>
  <c r="CA272" i="4"/>
  <c r="CB272" i="4"/>
  <c r="CC272" i="4"/>
  <c r="CD272" i="4"/>
  <c r="CE272" i="4"/>
  <c r="CF272" i="4"/>
  <c r="CG272" i="4"/>
  <c r="CH272" i="4"/>
  <c r="CI272" i="4"/>
  <c r="CJ272" i="4"/>
  <c r="CK272" i="4"/>
  <c r="CL272" i="4"/>
  <c r="CM272" i="4"/>
  <c r="CN272" i="4"/>
  <c r="CO272" i="4"/>
  <c r="CP272" i="4"/>
  <c r="CQ272" i="4"/>
  <c r="CR272" i="4"/>
  <c r="CS272" i="4"/>
  <c r="CT272" i="4"/>
  <c r="CU272" i="4"/>
  <c r="CV272" i="4"/>
  <c r="CW272" i="4"/>
  <c r="CX272" i="4"/>
  <c r="BG273" i="4"/>
  <c r="BH273" i="4"/>
  <c r="BI273" i="4"/>
  <c r="BJ273" i="4"/>
  <c r="BK273" i="4"/>
  <c r="BL273" i="4"/>
  <c r="BM273" i="4"/>
  <c r="BN273" i="4"/>
  <c r="BO273" i="4"/>
  <c r="BP273" i="4"/>
  <c r="BQ273" i="4"/>
  <c r="BR273" i="4"/>
  <c r="BS273" i="4"/>
  <c r="BT273" i="4"/>
  <c r="BU273" i="4"/>
  <c r="BV273" i="4"/>
  <c r="BW273" i="4"/>
  <c r="BX273" i="4"/>
  <c r="BY273" i="4"/>
  <c r="BZ273" i="4"/>
  <c r="CA273" i="4"/>
  <c r="CB273" i="4"/>
  <c r="CC273" i="4"/>
  <c r="CD273" i="4"/>
  <c r="CE273" i="4"/>
  <c r="CF273" i="4"/>
  <c r="CG273" i="4"/>
  <c r="CH273" i="4"/>
  <c r="CI273" i="4"/>
  <c r="CJ273" i="4"/>
  <c r="CK273" i="4"/>
  <c r="CL273" i="4"/>
  <c r="CM273" i="4"/>
  <c r="CN273" i="4"/>
  <c r="CO273" i="4"/>
  <c r="CP273" i="4"/>
  <c r="CQ273" i="4"/>
  <c r="CR273" i="4"/>
  <c r="CS273" i="4"/>
  <c r="CT273" i="4"/>
  <c r="CU273" i="4"/>
  <c r="CV273" i="4"/>
  <c r="CW273" i="4"/>
  <c r="CX273" i="4"/>
  <c r="BG274" i="4"/>
  <c r="BH274" i="4"/>
  <c r="BI274" i="4"/>
  <c r="BJ274" i="4"/>
  <c r="BK274" i="4"/>
  <c r="BL274" i="4"/>
  <c r="BM274" i="4"/>
  <c r="BN274" i="4"/>
  <c r="BO274" i="4"/>
  <c r="BP274" i="4"/>
  <c r="BQ274" i="4"/>
  <c r="BR274" i="4"/>
  <c r="BS274" i="4"/>
  <c r="BT274" i="4"/>
  <c r="BU274" i="4"/>
  <c r="BV274" i="4"/>
  <c r="BW274" i="4"/>
  <c r="BX274" i="4"/>
  <c r="BY274" i="4"/>
  <c r="BZ274" i="4"/>
  <c r="CA274" i="4"/>
  <c r="CB274" i="4"/>
  <c r="CC274" i="4"/>
  <c r="CD274" i="4"/>
  <c r="CE274" i="4"/>
  <c r="CF274" i="4"/>
  <c r="CG274" i="4"/>
  <c r="CH274" i="4"/>
  <c r="CI274" i="4"/>
  <c r="CJ274" i="4"/>
  <c r="CK274" i="4"/>
  <c r="CL274" i="4"/>
  <c r="CM274" i="4"/>
  <c r="CN274" i="4"/>
  <c r="CO274" i="4"/>
  <c r="CP274" i="4"/>
  <c r="CQ274" i="4"/>
  <c r="CR274" i="4"/>
  <c r="CS274" i="4"/>
  <c r="CT274" i="4"/>
  <c r="CU274" i="4"/>
  <c r="CV274" i="4"/>
  <c r="CW274" i="4"/>
  <c r="CX274" i="4"/>
  <c r="BG275" i="4"/>
  <c r="BH275" i="4"/>
  <c r="BI275" i="4"/>
  <c r="BJ275" i="4"/>
  <c r="BK275" i="4"/>
  <c r="BL275" i="4"/>
  <c r="BM275" i="4"/>
  <c r="BN275" i="4"/>
  <c r="BO275" i="4"/>
  <c r="BP275" i="4"/>
  <c r="BQ275" i="4"/>
  <c r="BR275" i="4"/>
  <c r="BS275" i="4"/>
  <c r="BT275" i="4"/>
  <c r="BU275" i="4"/>
  <c r="BV275" i="4"/>
  <c r="BW275" i="4"/>
  <c r="BX275" i="4"/>
  <c r="BY275" i="4"/>
  <c r="BZ275" i="4"/>
  <c r="CA275" i="4"/>
  <c r="CB275" i="4"/>
  <c r="CC275" i="4"/>
  <c r="CD275" i="4"/>
  <c r="CE275" i="4"/>
  <c r="CF275" i="4"/>
  <c r="CG275" i="4"/>
  <c r="CH275" i="4"/>
  <c r="CI275" i="4"/>
  <c r="CJ275" i="4"/>
  <c r="CK275" i="4"/>
  <c r="CL275" i="4"/>
  <c r="CM275" i="4"/>
  <c r="CN275" i="4"/>
  <c r="CO275" i="4"/>
  <c r="CP275" i="4"/>
  <c r="CQ275" i="4"/>
  <c r="CR275" i="4"/>
  <c r="CS275" i="4"/>
  <c r="CT275" i="4"/>
  <c r="CU275" i="4"/>
  <c r="CV275" i="4"/>
  <c r="CW275" i="4"/>
  <c r="CX275" i="4"/>
  <c r="BG276" i="4"/>
  <c r="BH276" i="4"/>
  <c r="BI276" i="4"/>
  <c r="BJ276" i="4"/>
  <c r="BK276" i="4"/>
  <c r="BL276" i="4"/>
  <c r="BM276" i="4"/>
  <c r="BN276" i="4"/>
  <c r="BO276" i="4"/>
  <c r="BP276" i="4"/>
  <c r="BQ276" i="4"/>
  <c r="BR276" i="4"/>
  <c r="BS276" i="4"/>
  <c r="BT276" i="4"/>
  <c r="BU276" i="4"/>
  <c r="BV276" i="4"/>
  <c r="BW276" i="4"/>
  <c r="BX276" i="4"/>
  <c r="BY276" i="4"/>
  <c r="BZ276" i="4"/>
  <c r="CA276" i="4"/>
  <c r="CB276" i="4"/>
  <c r="CC276" i="4"/>
  <c r="CD276" i="4"/>
  <c r="CE276" i="4"/>
  <c r="CF276" i="4"/>
  <c r="CG276" i="4"/>
  <c r="CH276" i="4"/>
  <c r="CI276" i="4"/>
  <c r="CJ276" i="4"/>
  <c r="CK276" i="4"/>
  <c r="CL276" i="4"/>
  <c r="CM276" i="4"/>
  <c r="CN276" i="4"/>
  <c r="CO276" i="4"/>
  <c r="CP276" i="4"/>
  <c r="CQ276" i="4"/>
  <c r="CR276" i="4"/>
  <c r="CS276" i="4"/>
  <c r="CT276" i="4"/>
  <c r="CU276" i="4"/>
  <c r="CV276" i="4"/>
  <c r="CW276" i="4"/>
  <c r="CX276" i="4"/>
  <c r="BG277" i="4"/>
  <c r="BH277" i="4"/>
  <c r="BI277" i="4"/>
  <c r="BJ277" i="4"/>
  <c r="BK277" i="4"/>
  <c r="BL277" i="4"/>
  <c r="BM277" i="4"/>
  <c r="BN277" i="4"/>
  <c r="BO277" i="4"/>
  <c r="BP277" i="4"/>
  <c r="BQ277" i="4"/>
  <c r="BR277" i="4"/>
  <c r="BS277" i="4"/>
  <c r="BT277" i="4"/>
  <c r="BU277" i="4"/>
  <c r="BV277" i="4"/>
  <c r="BW277" i="4"/>
  <c r="BX277" i="4"/>
  <c r="BY277" i="4"/>
  <c r="BZ277" i="4"/>
  <c r="CA277" i="4"/>
  <c r="CB277" i="4"/>
  <c r="CC277" i="4"/>
  <c r="CD277" i="4"/>
  <c r="CE277" i="4"/>
  <c r="CF277" i="4"/>
  <c r="CG277" i="4"/>
  <c r="CH277" i="4"/>
  <c r="CI277" i="4"/>
  <c r="CJ277" i="4"/>
  <c r="CK277" i="4"/>
  <c r="CL277" i="4"/>
  <c r="CM277" i="4"/>
  <c r="CN277" i="4"/>
  <c r="CO277" i="4"/>
  <c r="CP277" i="4"/>
  <c r="CQ277" i="4"/>
  <c r="CR277" i="4"/>
  <c r="CS277" i="4"/>
  <c r="CT277" i="4"/>
  <c r="CU277" i="4"/>
  <c r="CV277" i="4"/>
  <c r="CW277" i="4"/>
  <c r="CX277" i="4"/>
  <c r="BG278" i="4"/>
  <c r="BH278" i="4"/>
  <c r="BI278" i="4"/>
  <c r="BJ278" i="4"/>
  <c r="BK278" i="4"/>
  <c r="BL278" i="4"/>
  <c r="BM278" i="4"/>
  <c r="BN278" i="4"/>
  <c r="BO278" i="4"/>
  <c r="BP278" i="4"/>
  <c r="BQ278" i="4"/>
  <c r="BR278" i="4"/>
  <c r="BS278" i="4"/>
  <c r="BT278" i="4"/>
  <c r="BU278" i="4"/>
  <c r="BV278" i="4"/>
  <c r="BW278" i="4"/>
  <c r="BX278" i="4"/>
  <c r="BY278" i="4"/>
  <c r="BZ278" i="4"/>
  <c r="CA278" i="4"/>
  <c r="CB278" i="4"/>
  <c r="CC278" i="4"/>
  <c r="CD278" i="4"/>
  <c r="CE278" i="4"/>
  <c r="CF278" i="4"/>
  <c r="CG278" i="4"/>
  <c r="CH278" i="4"/>
  <c r="CI278" i="4"/>
  <c r="CJ278" i="4"/>
  <c r="CK278" i="4"/>
  <c r="CL278" i="4"/>
  <c r="CM278" i="4"/>
  <c r="CN278" i="4"/>
  <c r="CO278" i="4"/>
  <c r="CP278" i="4"/>
  <c r="CQ278" i="4"/>
  <c r="CR278" i="4"/>
  <c r="CS278" i="4"/>
  <c r="CT278" i="4"/>
  <c r="CU278" i="4"/>
  <c r="CV278" i="4"/>
  <c r="CW278" i="4"/>
  <c r="CX278" i="4"/>
  <c r="BG279" i="4"/>
  <c r="BH279" i="4"/>
  <c r="BI279" i="4"/>
  <c r="BJ279" i="4"/>
  <c r="BK279" i="4"/>
  <c r="BL279" i="4"/>
  <c r="BM279" i="4"/>
  <c r="BN279" i="4"/>
  <c r="BO279" i="4"/>
  <c r="BP279" i="4"/>
  <c r="BQ279" i="4"/>
  <c r="BR279" i="4"/>
  <c r="BS279" i="4"/>
  <c r="BT279" i="4"/>
  <c r="BU279" i="4"/>
  <c r="BV279" i="4"/>
  <c r="BW279" i="4"/>
  <c r="BX279" i="4"/>
  <c r="BY279" i="4"/>
  <c r="BZ279" i="4"/>
  <c r="CA279" i="4"/>
  <c r="CB279" i="4"/>
  <c r="CC279" i="4"/>
  <c r="CD279" i="4"/>
  <c r="CE279" i="4"/>
  <c r="CF279" i="4"/>
  <c r="CG279" i="4"/>
  <c r="CH279" i="4"/>
  <c r="CI279" i="4"/>
  <c r="CJ279" i="4"/>
  <c r="CK279" i="4"/>
  <c r="CL279" i="4"/>
  <c r="CM279" i="4"/>
  <c r="CN279" i="4"/>
  <c r="CO279" i="4"/>
  <c r="CP279" i="4"/>
  <c r="CQ279" i="4"/>
  <c r="CR279" i="4"/>
  <c r="CS279" i="4"/>
  <c r="CT279" i="4"/>
  <c r="CU279" i="4"/>
  <c r="CV279" i="4"/>
  <c r="CW279" i="4"/>
  <c r="CX279" i="4"/>
  <c r="BG280" i="4"/>
  <c r="BH280" i="4"/>
  <c r="BI280" i="4"/>
  <c r="BJ280" i="4"/>
  <c r="BK280" i="4"/>
  <c r="BL280" i="4"/>
  <c r="BM280" i="4"/>
  <c r="BN280" i="4"/>
  <c r="BO280" i="4"/>
  <c r="BP280" i="4"/>
  <c r="BQ280" i="4"/>
  <c r="BR280" i="4"/>
  <c r="BS280" i="4"/>
  <c r="BT280" i="4"/>
  <c r="BU280" i="4"/>
  <c r="BV280" i="4"/>
  <c r="BW280" i="4"/>
  <c r="BX280" i="4"/>
  <c r="BY280" i="4"/>
  <c r="BZ280" i="4"/>
  <c r="CA280" i="4"/>
  <c r="CB280" i="4"/>
  <c r="CC280" i="4"/>
  <c r="CD280" i="4"/>
  <c r="CE280" i="4"/>
  <c r="CF280" i="4"/>
  <c r="CG280" i="4"/>
  <c r="CH280" i="4"/>
  <c r="CI280" i="4"/>
  <c r="CJ280" i="4"/>
  <c r="CK280" i="4"/>
  <c r="CL280" i="4"/>
  <c r="CM280" i="4"/>
  <c r="CN280" i="4"/>
  <c r="CO280" i="4"/>
  <c r="CP280" i="4"/>
  <c r="CQ280" i="4"/>
  <c r="CR280" i="4"/>
  <c r="CS280" i="4"/>
  <c r="CT280" i="4"/>
  <c r="CU280" i="4"/>
  <c r="CV280" i="4"/>
  <c r="CW280" i="4"/>
  <c r="CX280" i="4"/>
  <c r="BG281" i="4"/>
  <c r="BH281" i="4"/>
  <c r="BI281" i="4"/>
  <c r="BJ281" i="4"/>
  <c r="BK281" i="4"/>
  <c r="BL281" i="4"/>
  <c r="BM281" i="4"/>
  <c r="BN281" i="4"/>
  <c r="BO281" i="4"/>
  <c r="BP281" i="4"/>
  <c r="BQ281" i="4"/>
  <c r="BR281" i="4"/>
  <c r="BS281" i="4"/>
  <c r="BT281" i="4"/>
  <c r="BU281" i="4"/>
  <c r="BV281" i="4"/>
  <c r="BW281" i="4"/>
  <c r="BX281" i="4"/>
  <c r="BY281" i="4"/>
  <c r="BZ281" i="4"/>
  <c r="CA281" i="4"/>
  <c r="CB281" i="4"/>
  <c r="CC281" i="4"/>
  <c r="CD281" i="4"/>
  <c r="CE281" i="4"/>
  <c r="CF281" i="4"/>
  <c r="CG281" i="4"/>
  <c r="CH281" i="4"/>
  <c r="CI281" i="4"/>
  <c r="CJ281" i="4"/>
  <c r="CK281" i="4"/>
  <c r="CL281" i="4"/>
  <c r="CM281" i="4"/>
  <c r="CN281" i="4"/>
  <c r="CO281" i="4"/>
  <c r="CP281" i="4"/>
  <c r="CQ281" i="4"/>
  <c r="CR281" i="4"/>
  <c r="CS281" i="4"/>
  <c r="CT281" i="4"/>
  <c r="CU281" i="4"/>
  <c r="CV281" i="4"/>
  <c r="CW281" i="4"/>
  <c r="CX281" i="4"/>
  <c r="BG282" i="4"/>
  <c r="BH282" i="4"/>
  <c r="BI282" i="4"/>
  <c r="BJ282" i="4"/>
  <c r="BK282" i="4"/>
  <c r="BL282" i="4"/>
  <c r="BM282" i="4"/>
  <c r="BN282" i="4"/>
  <c r="BO282" i="4"/>
  <c r="BP282" i="4"/>
  <c r="BQ282" i="4"/>
  <c r="BR282" i="4"/>
  <c r="BS282" i="4"/>
  <c r="BT282" i="4"/>
  <c r="BU282" i="4"/>
  <c r="BV282" i="4"/>
  <c r="BW282" i="4"/>
  <c r="BX282" i="4"/>
  <c r="BY282" i="4"/>
  <c r="BZ282" i="4"/>
  <c r="CA282" i="4"/>
  <c r="CB282" i="4"/>
  <c r="CC282" i="4"/>
  <c r="CD282" i="4"/>
  <c r="CE282" i="4"/>
  <c r="CF282" i="4"/>
  <c r="CG282" i="4"/>
  <c r="CH282" i="4"/>
  <c r="CI282" i="4"/>
  <c r="CJ282" i="4"/>
  <c r="CK282" i="4"/>
  <c r="CL282" i="4"/>
  <c r="CM282" i="4"/>
  <c r="CN282" i="4"/>
  <c r="CO282" i="4"/>
  <c r="CP282" i="4"/>
  <c r="CQ282" i="4"/>
  <c r="CR282" i="4"/>
  <c r="CS282" i="4"/>
  <c r="CT282" i="4"/>
  <c r="CU282" i="4"/>
  <c r="CV282" i="4"/>
  <c r="CW282" i="4"/>
  <c r="CX282" i="4"/>
  <c r="BG283" i="4"/>
  <c r="BH283" i="4"/>
  <c r="BI283" i="4"/>
  <c r="BJ283" i="4"/>
  <c r="BK283" i="4"/>
  <c r="BL283" i="4"/>
  <c r="BM283" i="4"/>
  <c r="BN283" i="4"/>
  <c r="BO283" i="4"/>
  <c r="BP283" i="4"/>
  <c r="BQ283" i="4"/>
  <c r="BR283" i="4"/>
  <c r="BS283" i="4"/>
  <c r="BT283" i="4"/>
  <c r="BU283" i="4"/>
  <c r="BV283" i="4"/>
  <c r="BW283" i="4"/>
  <c r="BX283" i="4"/>
  <c r="BY283" i="4"/>
  <c r="BZ283" i="4"/>
  <c r="CA283" i="4"/>
  <c r="CB283" i="4"/>
  <c r="CC283" i="4"/>
  <c r="CD283" i="4"/>
  <c r="CE283" i="4"/>
  <c r="CF283" i="4"/>
  <c r="CG283" i="4"/>
  <c r="CH283" i="4"/>
  <c r="CI283" i="4"/>
  <c r="CJ283" i="4"/>
  <c r="CK283" i="4"/>
  <c r="CL283" i="4"/>
  <c r="CM283" i="4"/>
  <c r="CN283" i="4"/>
  <c r="CO283" i="4"/>
  <c r="CP283" i="4"/>
  <c r="CQ283" i="4"/>
  <c r="CR283" i="4"/>
  <c r="CS283" i="4"/>
  <c r="CT283" i="4"/>
  <c r="CU283" i="4"/>
  <c r="CV283" i="4"/>
  <c r="CW283" i="4"/>
  <c r="CX283" i="4"/>
  <c r="BG284" i="4"/>
  <c r="BH284" i="4"/>
  <c r="BI284" i="4"/>
  <c r="BJ284" i="4"/>
  <c r="BK284" i="4"/>
  <c r="BL284" i="4"/>
  <c r="BM284" i="4"/>
  <c r="BN284" i="4"/>
  <c r="BO284" i="4"/>
  <c r="BP284" i="4"/>
  <c r="BQ284" i="4"/>
  <c r="BR284" i="4"/>
  <c r="BS284" i="4"/>
  <c r="BT284" i="4"/>
  <c r="BU284" i="4"/>
  <c r="BV284" i="4"/>
  <c r="BW284" i="4"/>
  <c r="BX284" i="4"/>
  <c r="BY284" i="4"/>
  <c r="BZ284" i="4"/>
  <c r="CA284" i="4"/>
  <c r="CB284" i="4"/>
  <c r="CC284" i="4"/>
  <c r="CD284" i="4"/>
  <c r="CE284" i="4"/>
  <c r="CF284" i="4"/>
  <c r="CG284" i="4"/>
  <c r="CH284" i="4"/>
  <c r="CI284" i="4"/>
  <c r="CJ284" i="4"/>
  <c r="CK284" i="4"/>
  <c r="CL284" i="4"/>
  <c r="CM284" i="4"/>
  <c r="CN284" i="4"/>
  <c r="CO284" i="4"/>
  <c r="CP284" i="4"/>
  <c r="CQ284" i="4"/>
  <c r="CR284" i="4"/>
  <c r="CS284" i="4"/>
  <c r="CT284" i="4"/>
  <c r="CU284" i="4"/>
  <c r="CV284" i="4"/>
  <c r="CW284" i="4"/>
  <c r="CX284" i="4"/>
  <c r="BG285" i="4"/>
  <c r="BH285" i="4"/>
  <c r="BI285" i="4"/>
  <c r="BJ285" i="4"/>
  <c r="BK285" i="4"/>
  <c r="BL285" i="4"/>
  <c r="BM285" i="4"/>
  <c r="BN285" i="4"/>
  <c r="BO285" i="4"/>
  <c r="BP285" i="4"/>
  <c r="BQ285" i="4"/>
  <c r="BR285" i="4"/>
  <c r="BS285" i="4"/>
  <c r="BT285" i="4"/>
  <c r="BU285" i="4"/>
  <c r="BV285" i="4"/>
  <c r="BW285" i="4"/>
  <c r="BX285" i="4"/>
  <c r="BY285" i="4"/>
  <c r="BZ285" i="4"/>
  <c r="CA285" i="4"/>
  <c r="CB285" i="4"/>
  <c r="CC285" i="4"/>
  <c r="CD285" i="4"/>
  <c r="CE285" i="4"/>
  <c r="CF285" i="4"/>
  <c r="CG285" i="4"/>
  <c r="CH285" i="4"/>
  <c r="CI285" i="4"/>
  <c r="CJ285" i="4"/>
  <c r="CK285" i="4"/>
  <c r="CL285" i="4"/>
  <c r="CM285" i="4"/>
  <c r="CN285" i="4"/>
  <c r="CO285" i="4"/>
  <c r="CP285" i="4"/>
  <c r="CQ285" i="4"/>
  <c r="CR285" i="4"/>
  <c r="CS285" i="4"/>
  <c r="CT285" i="4"/>
  <c r="CU285" i="4"/>
  <c r="CV285" i="4"/>
  <c r="CW285" i="4"/>
  <c r="CX285" i="4"/>
  <c r="BG286" i="4"/>
  <c r="BH286" i="4"/>
  <c r="BI286" i="4"/>
  <c r="BJ286" i="4"/>
  <c r="BK286" i="4"/>
  <c r="BL286" i="4"/>
  <c r="BM286" i="4"/>
  <c r="BN286" i="4"/>
  <c r="BO286" i="4"/>
  <c r="BP286" i="4"/>
  <c r="BQ286" i="4"/>
  <c r="BR286" i="4"/>
  <c r="BS286" i="4"/>
  <c r="BT286" i="4"/>
  <c r="BU286" i="4"/>
  <c r="BV286" i="4"/>
  <c r="BW286" i="4"/>
  <c r="BX286" i="4"/>
  <c r="BY286" i="4"/>
  <c r="BZ286" i="4"/>
  <c r="CA286" i="4"/>
  <c r="CB286" i="4"/>
  <c r="CC286" i="4"/>
  <c r="CD286" i="4"/>
  <c r="CE286" i="4"/>
  <c r="CF286" i="4"/>
  <c r="CG286" i="4"/>
  <c r="CH286" i="4"/>
  <c r="CI286" i="4"/>
  <c r="CJ286" i="4"/>
  <c r="CK286" i="4"/>
  <c r="CL286" i="4"/>
  <c r="CM286" i="4"/>
  <c r="CN286" i="4"/>
  <c r="CO286" i="4"/>
  <c r="CP286" i="4"/>
  <c r="CQ286" i="4"/>
  <c r="CR286" i="4"/>
  <c r="CS286" i="4"/>
  <c r="CT286" i="4"/>
  <c r="CU286" i="4"/>
  <c r="CV286" i="4"/>
  <c r="CW286" i="4"/>
  <c r="CX286" i="4"/>
  <c r="BG287" i="4"/>
  <c r="BH287" i="4"/>
  <c r="BI287" i="4"/>
  <c r="BJ287" i="4"/>
  <c r="BK287" i="4"/>
  <c r="BL287" i="4"/>
  <c r="BM287" i="4"/>
  <c r="BN287" i="4"/>
  <c r="BO287" i="4"/>
  <c r="BP287" i="4"/>
  <c r="BQ287" i="4"/>
  <c r="BR287" i="4"/>
  <c r="BS287" i="4"/>
  <c r="BT287" i="4"/>
  <c r="BU287" i="4"/>
  <c r="BV287" i="4"/>
  <c r="BW287" i="4"/>
  <c r="BX287" i="4"/>
  <c r="BY287" i="4"/>
  <c r="BZ287" i="4"/>
  <c r="CA287" i="4"/>
  <c r="CB287" i="4"/>
  <c r="CC287" i="4"/>
  <c r="CD287" i="4"/>
  <c r="CE287" i="4"/>
  <c r="CF287" i="4"/>
  <c r="CG287" i="4"/>
  <c r="CH287" i="4"/>
  <c r="CI287" i="4"/>
  <c r="CJ287" i="4"/>
  <c r="CK287" i="4"/>
  <c r="CL287" i="4"/>
  <c r="CM287" i="4"/>
  <c r="CN287" i="4"/>
  <c r="CO287" i="4"/>
  <c r="CP287" i="4"/>
  <c r="CQ287" i="4"/>
  <c r="CR287" i="4"/>
  <c r="CS287" i="4"/>
  <c r="CT287" i="4"/>
  <c r="CU287" i="4"/>
  <c r="CV287" i="4"/>
  <c r="CW287" i="4"/>
  <c r="CX287" i="4"/>
  <c r="BG288" i="4"/>
  <c r="BH288" i="4"/>
  <c r="BI288" i="4"/>
  <c r="BJ288" i="4"/>
  <c r="BK288" i="4"/>
  <c r="BL288" i="4"/>
  <c r="BM288" i="4"/>
  <c r="BN288" i="4"/>
  <c r="BO288" i="4"/>
  <c r="BP288" i="4"/>
  <c r="BQ288" i="4"/>
  <c r="BR288" i="4"/>
  <c r="BS288" i="4"/>
  <c r="BT288" i="4"/>
  <c r="BU288" i="4"/>
  <c r="BV288" i="4"/>
  <c r="BW288" i="4"/>
  <c r="BX288" i="4"/>
  <c r="BY288" i="4"/>
  <c r="BZ288" i="4"/>
  <c r="CA288" i="4"/>
  <c r="CB288" i="4"/>
  <c r="CC288" i="4"/>
  <c r="CD288" i="4"/>
  <c r="CE288" i="4"/>
  <c r="CF288" i="4"/>
  <c r="CG288" i="4"/>
  <c r="CH288" i="4"/>
  <c r="CI288" i="4"/>
  <c r="CJ288" i="4"/>
  <c r="CK288" i="4"/>
  <c r="CL288" i="4"/>
  <c r="CM288" i="4"/>
  <c r="CN288" i="4"/>
  <c r="CO288" i="4"/>
  <c r="CP288" i="4"/>
  <c r="CQ288" i="4"/>
  <c r="CR288" i="4"/>
  <c r="CS288" i="4"/>
  <c r="CT288" i="4"/>
  <c r="CU288" i="4"/>
  <c r="CV288" i="4"/>
  <c r="CW288" i="4"/>
  <c r="CX288" i="4"/>
  <c r="BG289" i="4"/>
  <c r="BH289" i="4"/>
  <c r="BI289" i="4"/>
  <c r="BJ289" i="4"/>
  <c r="BK289" i="4"/>
  <c r="BL289" i="4"/>
  <c r="BM289" i="4"/>
  <c r="BN289" i="4"/>
  <c r="BO289" i="4"/>
  <c r="BP289" i="4"/>
  <c r="BQ289" i="4"/>
  <c r="BR289" i="4"/>
  <c r="BS289" i="4"/>
  <c r="BT289" i="4"/>
  <c r="BU289" i="4"/>
  <c r="BV289" i="4"/>
  <c r="BW289" i="4"/>
  <c r="BX289" i="4"/>
  <c r="BY289" i="4"/>
  <c r="BZ289" i="4"/>
  <c r="CA289" i="4"/>
  <c r="CB289" i="4"/>
  <c r="CC289" i="4"/>
  <c r="CD289" i="4"/>
  <c r="CE289" i="4"/>
  <c r="CF289" i="4"/>
  <c r="CG289" i="4"/>
  <c r="CH289" i="4"/>
  <c r="CI289" i="4"/>
  <c r="CJ289" i="4"/>
  <c r="CK289" i="4"/>
  <c r="CL289" i="4"/>
  <c r="CM289" i="4"/>
  <c r="CN289" i="4"/>
  <c r="CO289" i="4"/>
  <c r="CP289" i="4"/>
  <c r="CQ289" i="4"/>
  <c r="CR289" i="4"/>
  <c r="CS289" i="4"/>
  <c r="CT289" i="4"/>
  <c r="CU289" i="4"/>
  <c r="CV289" i="4"/>
  <c r="CW289" i="4"/>
  <c r="CX289" i="4"/>
  <c r="BG290" i="4"/>
  <c r="BH290" i="4"/>
  <c r="BI290" i="4"/>
  <c r="BJ290" i="4"/>
  <c r="BK290" i="4"/>
  <c r="BL290" i="4"/>
  <c r="BM290" i="4"/>
  <c r="BN290" i="4"/>
  <c r="BO290" i="4"/>
  <c r="BP290" i="4"/>
  <c r="BQ290" i="4"/>
  <c r="BR290" i="4"/>
  <c r="BS290" i="4"/>
  <c r="BT290" i="4"/>
  <c r="BU290" i="4"/>
  <c r="BV290" i="4"/>
  <c r="BW290" i="4"/>
  <c r="BX290" i="4"/>
  <c r="BY290" i="4"/>
  <c r="BZ290" i="4"/>
  <c r="CA290" i="4"/>
  <c r="CB290" i="4"/>
  <c r="CC290" i="4"/>
  <c r="CD290" i="4"/>
  <c r="CE290" i="4"/>
  <c r="CF290" i="4"/>
  <c r="CG290" i="4"/>
  <c r="CH290" i="4"/>
  <c r="CI290" i="4"/>
  <c r="CJ290" i="4"/>
  <c r="CK290" i="4"/>
  <c r="CL290" i="4"/>
  <c r="CM290" i="4"/>
  <c r="CN290" i="4"/>
  <c r="CO290" i="4"/>
  <c r="CP290" i="4"/>
  <c r="CQ290" i="4"/>
  <c r="CR290" i="4"/>
  <c r="CS290" i="4"/>
  <c r="CT290" i="4"/>
  <c r="CU290" i="4"/>
  <c r="CV290" i="4"/>
  <c r="CW290" i="4"/>
  <c r="CX290" i="4"/>
  <c r="BG291" i="4"/>
  <c r="BH291" i="4"/>
  <c r="BI291" i="4"/>
  <c r="BJ291" i="4"/>
  <c r="BK291" i="4"/>
  <c r="BL291" i="4"/>
  <c r="BM291" i="4"/>
  <c r="BN291" i="4"/>
  <c r="BO291" i="4"/>
  <c r="BP291" i="4"/>
  <c r="BQ291" i="4"/>
  <c r="BR291" i="4"/>
  <c r="BS291" i="4"/>
  <c r="BT291" i="4"/>
  <c r="BU291" i="4"/>
  <c r="BV291" i="4"/>
  <c r="BW291" i="4"/>
  <c r="BX291" i="4"/>
  <c r="BY291" i="4"/>
  <c r="BZ291" i="4"/>
  <c r="CA291" i="4"/>
  <c r="CB291" i="4"/>
  <c r="CC291" i="4"/>
  <c r="CD291" i="4"/>
  <c r="CE291" i="4"/>
  <c r="CF291" i="4"/>
  <c r="CG291" i="4"/>
  <c r="CH291" i="4"/>
  <c r="CI291" i="4"/>
  <c r="CJ291" i="4"/>
  <c r="CK291" i="4"/>
  <c r="CL291" i="4"/>
  <c r="CM291" i="4"/>
  <c r="CN291" i="4"/>
  <c r="CO291" i="4"/>
  <c r="CP291" i="4"/>
  <c r="CQ291" i="4"/>
  <c r="CR291" i="4"/>
  <c r="CS291" i="4"/>
  <c r="CT291" i="4"/>
  <c r="CU291" i="4"/>
  <c r="CV291" i="4"/>
  <c r="CW291" i="4"/>
  <c r="CX291" i="4"/>
  <c r="BG292" i="4"/>
  <c r="BH292" i="4"/>
  <c r="BI292" i="4"/>
  <c r="BJ292" i="4"/>
  <c r="BK292" i="4"/>
  <c r="BL292" i="4"/>
  <c r="BM292" i="4"/>
  <c r="BN292" i="4"/>
  <c r="BO292" i="4"/>
  <c r="BP292" i="4"/>
  <c r="BQ292" i="4"/>
  <c r="BR292" i="4"/>
  <c r="BS292" i="4"/>
  <c r="BT292" i="4"/>
  <c r="BU292" i="4"/>
  <c r="BV292" i="4"/>
  <c r="BW292" i="4"/>
  <c r="BX292" i="4"/>
  <c r="BY292" i="4"/>
  <c r="BZ292" i="4"/>
  <c r="CA292" i="4"/>
  <c r="CB292" i="4"/>
  <c r="CC292" i="4"/>
  <c r="CD292" i="4"/>
  <c r="CE292" i="4"/>
  <c r="CF292" i="4"/>
  <c r="CG292" i="4"/>
  <c r="CH292" i="4"/>
  <c r="CI292" i="4"/>
  <c r="CJ292" i="4"/>
  <c r="CK292" i="4"/>
  <c r="CL292" i="4"/>
  <c r="CM292" i="4"/>
  <c r="CN292" i="4"/>
  <c r="CO292" i="4"/>
  <c r="CP292" i="4"/>
  <c r="CQ292" i="4"/>
  <c r="CR292" i="4"/>
  <c r="CS292" i="4"/>
  <c r="CT292" i="4"/>
  <c r="CU292" i="4"/>
  <c r="CV292" i="4"/>
  <c r="CW292" i="4"/>
  <c r="CX292" i="4"/>
  <c r="BG293" i="4"/>
  <c r="BH293" i="4"/>
  <c r="BI293" i="4"/>
  <c r="BJ293" i="4"/>
  <c r="BK293" i="4"/>
  <c r="BL293" i="4"/>
  <c r="BM293" i="4"/>
  <c r="BN293" i="4"/>
  <c r="BO293" i="4"/>
  <c r="BP293" i="4"/>
  <c r="BQ293" i="4"/>
  <c r="BR293" i="4"/>
  <c r="BS293" i="4"/>
  <c r="BT293" i="4"/>
  <c r="BU293" i="4"/>
  <c r="BV293" i="4"/>
  <c r="BW293" i="4"/>
  <c r="BX293" i="4"/>
  <c r="BY293" i="4"/>
  <c r="BZ293" i="4"/>
  <c r="CA293" i="4"/>
  <c r="CB293" i="4"/>
  <c r="CC293" i="4"/>
  <c r="CD293" i="4"/>
  <c r="CE293" i="4"/>
  <c r="CF293" i="4"/>
  <c r="CG293" i="4"/>
  <c r="CH293" i="4"/>
  <c r="CI293" i="4"/>
  <c r="CJ293" i="4"/>
  <c r="CK293" i="4"/>
  <c r="CL293" i="4"/>
  <c r="CM293" i="4"/>
  <c r="CN293" i="4"/>
  <c r="CO293" i="4"/>
  <c r="CP293" i="4"/>
  <c r="CQ293" i="4"/>
  <c r="CR293" i="4"/>
  <c r="CS293" i="4"/>
  <c r="CT293" i="4"/>
  <c r="CU293" i="4"/>
  <c r="CV293" i="4"/>
  <c r="CW293" i="4"/>
  <c r="CX293" i="4"/>
  <c r="BG294" i="4"/>
  <c r="BH294" i="4"/>
  <c r="BI294" i="4"/>
  <c r="BJ294" i="4"/>
  <c r="BK294" i="4"/>
  <c r="BL294" i="4"/>
  <c r="BM294" i="4"/>
  <c r="BN294" i="4"/>
  <c r="BO294" i="4"/>
  <c r="BP294" i="4"/>
  <c r="BQ294" i="4"/>
  <c r="BR294" i="4"/>
  <c r="BS294" i="4"/>
  <c r="BT294" i="4"/>
  <c r="BU294" i="4"/>
  <c r="BV294" i="4"/>
  <c r="BW294" i="4"/>
  <c r="BX294" i="4"/>
  <c r="BY294" i="4"/>
  <c r="BZ294" i="4"/>
  <c r="CA294" i="4"/>
  <c r="CB294" i="4"/>
  <c r="CC294" i="4"/>
  <c r="CD294" i="4"/>
  <c r="CE294" i="4"/>
  <c r="CF294" i="4"/>
  <c r="CG294" i="4"/>
  <c r="CH294" i="4"/>
  <c r="CI294" i="4"/>
  <c r="CJ294" i="4"/>
  <c r="CK294" i="4"/>
  <c r="CL294" i="4"/>
  <c r="CM294" i="4"/>
  <c r="CN294" i="4"/>
  <c r="CO294" i="4"/>
  <c r="CP294" i="4"/>
  <c r="CQ294" i="4"/>
  <c r="CR294" i="4"/>
  <c r="CS294" i="4"/>
  <c r="CT294" i="4"/>
  <c r="CU294" i="4"/>
  <c r="CV294" i="4"/>
  <c r="CW294" i="4"/>
  <c r="CX294" i="4"/>
  <c r="BG295" i="4"/>
  <c r="BH295" i="4"/>
  <c r="BI295" i="4"/>
  <c r="BJ295" i="4"/>
  <c r="BK295" i="4"/>
  <c r="BL295" i="4"/>
  <c r="BM295" i="4"/>
  <c r="BN295" i="4"/>
  <c r="BO295" i="4"/>
  <c r="BP295" i="4"/>
  <c r="BQ295" i="4"/>
  <c r="BR295" i="4"/>
  <c r="BS295" i="4"/>
  <c r="BT295" i="4"/>
  <c r="BU295" i="4"/>
  <c r="BV295" i="4"/>
  <c r="BW295" i="4"/>
  <c r="BX295" i="4"/>
  <c r="BY295" i="4"/>
  <c r="BZ295" i="4"/>
  <c r="CA295" i="4"/>
  <c r="CB295" i="4"/>
  <c r="CC295" i="4"/>
  <c r="CD295" i="4"/>
  <c r="CE295" i="4"/>
  <c r="CF295" i="4"/>
  <c r="CG295" i="4"/>
  <c r="CH295" i="4"/>
  <c r="CI295" i="4"/>
  <c r="CJ295" i="4"/>
  <c r="CK295" i="4"/>
  <c r="CL295" i="4"/>
  <c r="CM295" i="4"/>
  <c r="CN295" i="4"/>
  <c r="CO295" i="4"/>
  <c r="CP295" i="4"/>
  <c r="CQ295" i="4"/>
  <c r="CR295" i="4"/>
  <c r="CS295" i="4"/>
  <c r="CT295" i="4"/>
  <c r="CU295" i="4"/>
  <c r="CV295" i="4"/>
  <c r="CW295" i="4"/>
  <c r="CX295" i="4"/>
  <c r="BG296" i="4"/>
  <c r="BH296" i="4"/>
  <c r="BI296" i="4"/>
  <c r="BJ296" i="4"/>
  <c r="BK296" i="4"/>
  <c r="BL296" i="4"/>
  <c r="BM296" i="4"/>
  <c r="BN296" i="4"/>
  <c r="BO296" i="4"/>
  <c r="BP296" i="4"/>
  <c r="BQ296" i="4"/>
  <c r="BR296" i="4"/>
  <c r="BS296" i="4"/>
  <c r="BT296" i="4"/>
  <c r="BU296" i="4"/>
  <c r="BV296" i="4"/>
  <c r="BW296" i="4"/>
  <c r="BX296" i="4"/>
  <c r="BY296" i="4"/>
  <c r="BZ296" i="4"/>
  <c r="CA296" i="4"/>
  <c r="CB296" i="4"/>
  <c r="CC296" i="4"/>
  <c r="CD296" i="4"/>
  <c r="CE296" i="4"/>
  <c r="CF296" i="4"/>
  <c r="CG296" i="4"/>
  <c r="CH296" i="4"/>
  <c r="CI296" i="4"/>
  <c r="CJ296" i="4"/>
  <c r="CK296" i="4"/>
  <c r="CL296" i="4"/>
  <c r="CM296" i="4"/>
  <c r="CN296" i="4"/>
  <c r="CO296" i="4"/>
  <c r="CP296" i="4"/>
  <c r="CQ296" i="4"/>
  <c r="CR296" i="4"/>
  <c r="CS296" i="4"/>
  <c r="CT296" i="4"/>
  <c r="CU296" i="4"/>
  <c r="CV296" i="4"/>
  <c r="CW296" i="4"/>
  <c r="CX296" i="4"/>
  <c r="BG297" i="4"/>
  <c r="BH297" i="4"/>
  <c r="BI297" i="4"/>
  <c r="BJ297" i="4"/>
  <c r="BK297" i="4"/>
  <c r="BL297" i="4"/>
  <c r="BM297" i="4"/>
  <c r="BN297" i="4"/>
  <c r="BO297" i="4"/>
  <c r="BP297" i="4"/>
  <c r="BQ297" i="4"/>
  <c r="BR297" i="4"/>
  <c r="BS297" i="4"/>
  <c r="BT297" i="4"/>
  <c r="BU297" i="4"/>
  <c r="BV297" i="4"/>
  <c r="BW297" i="4"/>
  <c r="BX297" i="4"/>
  <c r="BY297" i="4"/>
  <c r="BZ297" i="4"/>
  <c r="CA297" i="4"/>
  <c r="CB297" i="4"/>
  <c r="CC297" i="4"/>
  <c r="CD297" i="4"/>
  <c r="CE297" i="4"/>
  <c r="CF297" i="4"/>
  <c r="CG297" i="4"/>
  <c r="CH297" i="4"/>
  <c r="CI297" i="4"/>
  <c r="CJ297" i="4"/>
  <c r="CK297" i="4"/>
  <c r="CL297" i="4"/>
  <c r="CM297" i="4"/>
  <c r="CN297" i="4"/>
  <c r="CO297" i="4"/>
  <c r="CP297" i="4"/>
  <c r="CQ297" i="4"/>
  <c r="CR297" i="4"/>
  <c r="CS297" i="4"/>
  <c r="CT297" i="4"/>
  <c r="CU297" i="4"/>
  <c r="CV297" i="4"/>
  <c r="CW297" i="4"/>
  <c r="CX297" i="4"/>
  <c r="BG298" i="4"/>
  <c r="BH298" i="4"/>
  <c r="BI298" i="4"/>
  <c r="BJ298" i="4"/>
  <c r="BK298" i="4"/>
  <c r="BL298" i="4"/>
  <c r="BM298" i="4"/>
  <c r="BN298" i="4"/>
  <c r="BO298" i="4"/>
  <c r="BP298" i="4"/>
  <c r="BQ298" i="4"/>
  <c r="BR298" i="4"/>
  <c r="BS298" i="4"/>
  <c r="BT298" i="4"/>
  <c r="BU298" i="4"/>
  <c r="BV298" i="4"/>
  <c r="BW298" i="4"/>
  <c r="BX298" i="4"/>
  <c r="BY298" i="4"/>
  <c r="BZ298" i="4"/>
  <c r="CA298" i="4"/>
  <c r="CB298" i="4"/>
  <c r="CC298" i="4"/>
  <c r="CD298" i="4"/>
  <c r="CE298" i="4"/>
  <c r="CF298" i="4"/>
  <c r="CG298" i="4"/>
  <c r="CH298" i="4"/>
  <c r="CI298" i="4"/>
  <c r="CJ298" i="4"/>
  <c r="CK298" i="4"/>
  <c r="CL298" i="4"/>
  <c r="CM298" i="4"/>
  <c r="CN298" i="4"/>
  <c r="CO298" i="4"/>
  <c r="CP298" i="4"/>
  <c r="CQ298" i="4"/>
  <c r="CR298" i="4"/>
  <c r="CS298" i="4"/>
  <c r="CT298" i="4"/>
  <c r="CU298" i="4"/>
  <c r="CV298" i="4"/>
  <c r="CW298" i="4"/>
  <c r="CX298" i="4"/>
  <c r="BG299" i="4"/>
  <c r="BH299" i="4"/>
  <c r="BI299" i="4"/>
  <c r="BJ299" i="4"/>
  <c r="BK299" i="4"/>
  <c r="BL299" i="4"/>
  <c r="BM299" i="4"/>
  <c r="BN299" i="4"/>
  <c r="BO299" i="4"/>
  <c r="BP299" i="4"/>
  <c r="BQ299" i="4"/>
  <c r="BR299" i="4"/>
  <c r="BS299" i="4"/>
  <c r="BT299" i="4"/>
  <c r="BU299" i="4"/>
  <c r="BV299" i="4"/>
  <c r="BW299" i="4"/>
  <c r="BX299" i="4"/>
  <c r="BY299" i="4"/>
  <c r="BZ299" i="4"/>
  <c r="CA299" i="4"/>
  <c r="CB299" i="4"/>
  <c r="CC299" i="4"/>
  <c r="CD299" i="4"/>
  <c r="CE299" i="4"/>
  <c r="CF299" i="4"/>
  <c r="CG299" i="4"/>
  <c r="CH299" i="4"/>
  <c r="CI299" i="4"/>
  <c r="CJ299" i="4"/>
  <c r="CK299" i="4"/>
  <c r="CL299" i="4"/>
  <c r="CM299" i="4"/>
  <c r="CN299" i="4"/>
  <c r="CO299" i="4"/>
  <c r="CP299" i="4"/>
  <c r="CQ299" i="4"/>
  <c r="CR299" i="4"/>
  <c r="CS299" i="4"/>
  <c r="CT299" i="4"/>
  <c r="CU299" i="4"/>
  <c r="CV299" i="4"/>
  <c r="CW299" i="4"/>
  <c r="CX299" i="4"/>
  <c r="BG300" i="4"/>
  <c r="BH300" i="4"/>
  <c r="BI300" i="4"/>
  <c r="BJ300" i="4"/>
  <c r="BK300" i="4"/>
  <c r="BL300" i="4"/>
  <c r="BM300" i="4"/>
  <c r="BN300" i="4"/>
  <c r="BO300" i="4"/>
  <c r="BP300" i="4"/>
  <c r="BQ300" i="4"/>
  <c r="BR300" i="4"/>
  <c r="BS300" i="4"/>
  <c r="BT300" i="4"/>
  <c r="BU300" i="4"/>
  <c r="BV300" i="4"/>
  <c r="BW300" i="4"/>
  <c r="BX300" i="4"/>
  <c r="BY300" i="4"/>
  <c r="BZ300" i="4"/>
  <c r="CA300" i="4"/>
  <c r="CB300" i="4"/>
  <c r="CC300" i="4"/>
  <c r="CD300" i="4"/>
  <c r="CE300" i="4"/>
  <c r="CF300" i="4"/>
  <c r="CG300" i="4"/>
  <c r="CH300" i="4"/>
  <c r="CI300" i="4"/>
  <c r="CJ300" i="4"/>
  <c r="CK300" i="4"/>
  <c r="CL300" i="4"/>
  <c r="CM300" i="4"/>
  <c r="CN300" i="4"/>
  <c r="CO300" i="4"/>
  <c r="CP300" i="4"/>
  <c r="CQ300" i="4"/>
  <c r="CR300" i="4"/>
  <c r="CS300" i="4"/>
  <c r="CT300" i="4"/>
  <c r="CU300" i="4"/>
  <c r="CV300" i="4"/>
  <c r="CW300" i="4"/>
  <c r="CX300" i="4"/>
  <c r="BG301" i="4"/>
  <c r="BH301" i="4"/>
  <c r="BI301" i="4"/>
  <c r="BJ301" i="4"/>
  <c r="BK301" i="4"/>
  <c r="BL301" i="4"/>
  <c r="BM301" i="4"/>
  <c r="BN301" i="4"/>
  <c r="BO301" i="4"/>
  <c r="BP301" i="4"/>
  <c r="BQ301" i="4"/>
  <c r="BR301" i="4"/>
  <c r="BS301" i="4"/>
  <c r="BT301" i="4"/>
  <c r="BU301" i="4"/>
  <c r="BV301" i="4"/>
  <c r="BW301" i="4"/>
  <c r="BX301" i="4"/>
  <c r="BY301" i="4"/>
  <c r="BZ301" i="4"/>
  <c r="CA301" i="4"/>
  <c r="CB301" i="4"/>
  <c r="CC301" i="4"/>
  <c r="CD301" i="4"/>
  <c r="CE301" i="4"/>
  <c r="CF301" i="4"/>
  <c r="CG301" i="4"/>
  <c r="CH301" i="4"/>
  <c r="CI301" i="4"/>
  <c r="CJ301" i="4"/>
  <c r="CK301" i="4"/>
  <c r="CL301" i="4"/>
  <c r="CM301" i="4"/>
  <c r="CN301" i="4"/>
  <c r="CO301" i="4"/>
  <c r="CP301" i="4"/>
  <c r="CQ301" i="4"/>
  <c r="CR301" i="4"/>
  <c r="CS301" i="4"/>
  <c r="CT301" i="4"/>
  <c r="CU301" i="4"/>
  <c r="CV301" i="4"/>
  <c r="CW301" i="4"/>
  <c r="CX301" i="4"/>
  <c r="BG302" i="4"/>
  <c r="BH302" i="4"/>
  <c r="BI302" i="4"/>
  <c r="BJ302" i="4"/>
  <c r="BK302" i="4"/>
  <c r="BL302" i="4"/>
  <c r="BM302" i="4"/>
  <c r="BN302" i="4"/>
  <c r="BO302" i="4"/>
  <c r="BP302" i="4"/>
  <c r="BQ302" i="4"/>
  <c r="BR302" i="4"/>
  <c r="BS302" i="4"/>
  <c r="BT302" i="4"/>
  <c r="BU302" i="4"/>
  <c r="BV302" i="4"/>
  <c r="BW302" i="4"/>
  <c r="BX302" i="4"/>
  <c r="BY302" i="4"/>
  <c r="BZ302" i="4"/>
  <c r="CA302" i="4"/>
  <c r="CB302" i="4"/>
  <c r="CC302" i="4"/>
  <c r="CD302" i="4"/>
  <c r="CE302" i="4"/>
  <c r="CF302" i="4"/>
  <c r="CG302" i="4"/>
  <c r="CH302" i="4"/>
  <c r="CI302" i="4"/>
  <c r="CJ302" i="4"/>
  <c r="CK302" i="4"/>
  <c r="CL302" i="4"/>
  <c r="CM302" i="4"/>
  <c r="CN302" i="4"/>
  <c r="CO302" i="4"/>
  <c r="CP302" i="4"/>
  <c r="CQ302" i="4"/>
  <c r="CR302" i="4"/>
  <c r="CS302" i="4"/>
  <c r="CT302" i="4"/>
  <c r="CU302" i="4"/>
  <c r="CV302" i="4"/>
  <c r="CW302" i="4"/>
  <c r="CX302" i="4"/>
  <c r="BG303" i="4"/>
  <c r="BH303" i="4"/>
  <c r="BI303" i="4"/>
  <c r="BJ303" i="4"/>
  <c r="BK303" i="4"/>
  <c r="BL303" i="4"/>
  <c r="BM303" i="4"/>
  <c r="BN303" i="4"/>
  <c r="BO303" i="4"/>
  <c r="BP303" i="4"/>
  <c r="BQ303" i="4"/>
  <c r="BR303" i="4"/>
  <c r="BS303" i="4"/>
  <c r="BT303" i="4"/>
  <c r="BU303" i="4"/>
  <c r="BV303" i="4"/>
  <c r="BW303" i="4"/>
  <c r="BX303" i="4"/>
  <c r="BY303" i="4"/>
  <c r="BZ303" i="4"/>
  <c r="CA303" i="4"/>
  <c r="CB303" i="4"/>
  <c r="CC303" i="4"/>
  <c r="CD303" i="4"/>
  <c r="CE303" i="4"/>
  <c r="CF303" i="4"/>
  <c r="CG303" i="4"/>
  <c r="CH303" i="4"/>
  <c r="CI303" i="4"/>
  <c r="CJ303" i="4"/>
  <c r="CK303" i="4"/>
  <c r="CL303" i="4"/>
  <c r="CM303" i="4"/>
  <c r="CN303" i="4"/>
  <c r="CO303" i="4"/>
  <c r="CP303" i="4"/>
  <c r="CQ303" i="4"/>
  <c r="CR303" i="4"/>
  <c r="CS303" i="4"/>
  <c r="CT303" i="4"/>
  <c r="CU303" i="4"/>
  <c r="CV303" i="4"/>
  <c r="CW303" i="4"/>
  <c r="CX303" i="4"/>
  <c r="BG304" i="4"/>
  <c r="BH304" i="4"/>
  <c r="BI304" i="4"/>
  <c r="BJ304" i="4"/>
  <c r="BK304" i="4"/>
  <c r="BL304" i="4"/>
  <c r="BM304" i="4"/>
  <c r="BN304" i="4"/>
  <c r="BO304" i="4"/>
  <c r="BP304" i="4"/>
  <c r="BQ304" i="4"/>
  <c r="BR304" i="4"/>
  <c r="BS304" i="4"/>
  <c r="BT304" i="4"/>
  <c r="BU304" i="4"/>
  <c r="BV304" i="4"/>
  <c r="BW304" i="4"/>
  <c r="BX304" i="4"/>
  <c r="BY304" i="4"/>
  <c r="BZ304" i="4"/>
  <c r="CA304" i="4"/>
  <c r="CB304" i="4"/>
  <c r="CC304" i="4"/>
  <c r="CD304" i="4"/>
  <c r="CE304" i="4"/>
  <c r="CF304" i="4"/>
  <c r="CG304" i="4"/>
  <c r="CH304" i="4"/>
  <c r="CI304" i="4"/>
  <c r="CJ304" i="4"/>
  <c r="CK304" i="4"/>
  <c r="CL304" i="4"/>
  <c r="CM304" i="4"/>
  <c r="CN304" i="4"/>
  <c r="CO304" i="4"/>
  <c r="CP304" i="4"/>
  <c r="CQ304" i="4"/>
  <c r="CR304" i="4"/>
  <c r="CS304" i="4"/>
  <c r="CT304" i="4"/>
  <c r="CU304" i="4"/>
  <c r="CV304" i="4"/>
  <c r="CW304" i="4"/>
  <c r="CX304" i="4"/>
  <c r="BG305" i="4"/>
  <c r="BH305" i="4"/>
  <c r="BI305" i="4"/>
  <c r="BJ305" i="4"/>
  <c r="BK305" i="4"/>
  <c r="BL305" i="4"/>
  <c r="BM305" i="4"/>
  <c r="BN305" i="4"/>
  <c r="BO305" i="4"/>
  <c r="BP305" i="4"/>
  <c r="BQ305" i="4"/>
  <c r="BR305" i="4"/>
  <c r="BS305" i="4"/>
  <c r="BT305" i="4"/>
  <c r="BU305" i="4"/>
  <c r="BV305" i="4"/>
  <c r="BW305" i="4"/>
  <c r="BX305" i="4"/>
  <c r="BY305" i="4"/>
  <c r="BZ305" i="4"/>
  <c r="CA305" i="4"/>
  <c r="CB305" i="4"/>
  <c r="CC305" i="4"/>
  <c r="CD305" i="4"/>
  <c r="CE305" i="4"/>
  <c r="CF305" i="4"/>
  <c r="CG305" i="4"/>
  <c r="CH305" i="4"/>
  <c r="CI305" i="4"/>
  <c r="CJ305" i="4"/>
  <c r="CK305" i="4"/>
  <c r="CL305" i="4"/>
  <c r="CM305" i="4"/>
  <c r="CN305" i="4"/>
  <c r="CO305" i="4"/>
  <c r="CP305" i="4"/>
  <c r="CQ305" i="4"/>
  <c r="CR305" i="4"/>
  <c r="CS305" i="4"/>
  <c r="CT305" i="4"/>
  <c r="CU305" i="4"/>
  <c r="CV305" i="4"/>
  <c r="CW305" i="4"/>
  <c r="CX305" i="4"/>
  <c r="BG306" i="4"/>
  <c r="BH306" i="4"/>
  <c r="BI306" i="4"/>
  <c r="BJ306" i="4"/>
  <c r="BK306" i="4"/>
  <c r="BL306" i="4"/>
  <c r="BM306" i="4"/>
  <c r="BN306" i="4"/>
  <c r="BO306" i="4"/>
  <c r="BP306" i="4"/>
  <c r="BQ306" i="4"/>
  <c r="BR306" i="4"/>
  <c r="BS306" i="4"/>
  <c r="BT306" i="4"/>
  <c r="BU306" i="4"/>
  <c r="BV306" i="4"/>
  <c r="BW306" i="4"/>
  <c r="BX306" i="4"/>
  <c r="BY306" i="4"/>
  <c r="BZ306" i="4"/>
  <c r="CA306" i="4"/>
  <c r="CB306" i="4"/>
  <c r="CC306" i="4"/>
  <c r="CD306" i="4"/>
  <c r="CE306" i="4"/>
  <c r="CF306" i="4"/>
  <c r="CG306" i="4"/>
  <c r="CH306" i="4"/>
  <c r="CI306" i="4"/>
  <c r="CJ306" i="4"/>
  <c r="CK306" i="4"/>
  <c r="CL306" i="4"/>
  <c r="CM306" i="4"/>
  <c r="CN306" i="4"/>
  <c r="CO306" i="4"/>
  <c r="CP306" i="4"/>
  <c r="CQ306" i="4"/>
  <c r="CR306" i="4"/>
  <c r="CS306" i="4"/>
  <c r="CT306" i="4"/>
  <c r="CU306" i="4"/>
  <c r="CV306" i="4"/>
  <c r="CW306" i="4"/>
  <c r="CX306" i="4"/>
  <c r="BG307" i="4"/>
  <c r="BH307" i="4"/>
  <c r="BI307" i="4"/>
  <c r="BJ307" i="4"/>
  <c r="BK307" i="4"/>
  <c r="BL307" i="4"/>
  <c r="BM307" i="4"/>
  <c r="BN307" i="4"/>
  <c r="BO307" i="4"/>
  <c r="BP307" i="4"/>
  <c r="BQ307" i="4"/>
  <c r="BR307" i="4"/>
  <c r="BS307" i="4"/>
  <c r="BT307" i="4"/>
  <c r="BU307" i="4"/>
  <c r="BV307" i="4"/>
  <c r="BW307" i="4"/>
  <c r="BX307" i="4"/>
  <c r="BY307" i="4"/>
  <c r="BZ307" i="4"/>
  <c r="CA307" i="4"/>
  <c r="CB307" i="4"/>
  <c r="CC307" i="4"/>
  <c r="CD307" i="4"/>
  <c r="CE307" i="4"/>
  <c r="CF307" i="4"/>
  <c r="CG307" i="4"/>
  <c r="CH307" i="4"/>
  <c r="CI307" i="4"/>
  <c r="CJ307" i="4"/>
  <c r="CK307" i="4"/>
  <c r="CL307" i="4"/>
  <c r="CM307" i="4"/>
  <c r="CN307" i="4"/>
  <c r="CO307" i="4"/>
  <c r="CP307" i="4"/>
  <c r="CQ307" i="4"/>
  <c r="CR307" i="4"/>
  <c r="CS307" i="4"/>
  <c r="CT307" i="4"/>
  <c r="CU307" i="4"/>
  <c r="CV307" i="4"/>
  <c r="CW307" i="4"/>
  <c r="CX307" i="4"/>
  <c r="BG308" i="4"/>
  <c r="BH308" i="4"/>
  <c r="BI308" i="4"/>
  <c r="BJ308" i="4"/>
  <c r="BK308" i="4"/>
  <c r="BL308" i="4"/>
  <c r="BM308" i="4"/>
  <c r="BN308" i="4"/>
  <c r="BO308" i="4"/>
  <c r="BP308" i="4"/>
  <c r="BQ308" i="4"/>
  <c r="BR308" i="4"/>
  <c r="BS308" i="4"/>
  <c r="BT308" i="4"/>
  <c r="BU308" i="4"/>
  <c r="BV308" i="4"/>
  <c r="BW308" i="4"/>
  <c r="BX308" i="4"/>
  <c r="BY308" i="4"/>
  <c r="BZ308" i="4"/>
  <c r="CA308" i="4"/>
  <c r="CB308" i="4"/>
  <c r="CC308" i="4"/>
  <c r="CD308" i="4"/>
  <c r="CE308" i="4"/>
  <c r="CF308" i="4"/>
  <c r="CG308" i="4"/>
  <c r="CH308" i="4"/>
  <c r="CI308" i="4"/>
  <c r="CJ308" i="4"/>
  <c r="CK308" i="4"/>
  <c r="CL308" i="4"/>
  <c r="CM308" i="4"/>
  <c r="CN308" i="4"/>
  <c r="CO308" i="4"/>
  <c r="CP308" i="4"/>
  <c r="CQ308" i="4"/>
  <c r="CR308" i="4"/>
  <c r="CS308" i="4"/>
  <c r="CT308" i="4"/>
  <c r="CU308" i="4"/>
  <c r="CV308" i="4"/>
  <c r="CW308" i="4"/>
  <c r="CX308" i="4"/>
  <c r="BG309" i="4"/>
  <c r="BH309" i="4"/>
  <c r="BI309" i="4"/>
  <c r="BJ309" i="4"/>
  <c r="BK309" i="4"/>
  <c r="BL309" i="4"/>
  <c r="BM309" i="4"/>
  <c r="BN309" i="4"/>
  <c r="BO309" i="4"/>
  <c r="BP309" i="4"/>
  <c r="BQ309" i="4"/>
  <c r="BR309" i="4"/>
  <c r="BS309" i="4"/>
  <c r="BT309" i="4"/>
  <c r="BU309" i="4"/>
  <c r="BV309" i="4"/>
  <c r="BW309" i="4"/>
  <c r="BX309" i="4"/>
  <c r="BY309" i="4"/>
  <c r="BZ309" i="4"/>
  <c r="CA309" i="4"/>
  <c r="CB309" i="4"/>
  <c r="CC309" i="4"/>
  <c r="CD309" i="4"/>
  <c r="CE309" i="4"/>
  <c r="CF309" i="4"/>
  <c r="CG309" i="4"/>
  <c r="CH309" i="4"/>
  <c r="CI309" i="4"/>
  <c r="CJ309" i="4"/>
  <c r="CK309" i="4"/>
  <c r="CL309" i="4"/>
  <c r="CM309" i="4"/>
  <c r="CN309" i="4"/>
  <c r="CO309" i="4"/>
  <c r="CP309" i="4"/>
  <c r="CQ309" i="4"/>
  <c r="CR309" i="4"/>
  <c r="CS309" i="4"/>
  <c r="CT309" i="4"/>
  <c r="CU309" i="4"/>
  <c r="CV309" i="4"/>
  <c r="CW309" i="4"/>
  <c r="CX309" i="4"/>
  <c r="BG310" i="4"/>
  <c r="BH310" i="4"/>
  <c r="BI310" i="4"/>
  <c r="BJ310" i="4"/>
  <c r="BK310" i="4"/>
  <c r="BL310" i="4"/>
  <c r="BM310" i="4"/>
  <c r="BN310" i="4"/>
  <c r="BO310" i="4"/>
  <c r="BP310" i="4"/>
  <c r="BQ310" i="4"/>
  <c r="BR310" i="4"/>
  <c r="BS310" i="4"/>
  <c r="BT310" i="4"/>
  <c r="BU310" i="4"/>
  <c r="BV310" i="4"/>
  <c r="BW310" i="4"/>
  <c r="BX310" i="4"/>
  <c r="BY310" i="4"/>
  <c r="BZ310" i="4"/>
  <c r="CA310" i="4"/>
  <c r="CB310" i="4"/>
  <c r="CC310" i="4"/>
  <c r="CD310" i="4"/>
  <c r="CE310" i="4"/>
  <c r="CF310" i="4"/>
  <c r="CG310" i="4"/>
  <c r="CH310" i="4"/>
  <c r="CI310" i="4"/>
  <c r="CJ310" i="4"/>
  <c r="CK310" i="4"/>
  <c r="CL310" i="4"/>
  <c r="CM310" i="4"/>
  <c r="CN310" i="4"/>
  <c r="CO310" i="4"/>
  <c r="CP310" i="4"/>
  <c r="CQ310" i="4"/>
  <c r="CR310" i="4"/>
  <c r="CS310" i="4"/>
  <c r="CT310" i="4"/>
  <c r="CU310" i="4"/>
  <c r="CV310" i="4"/>
  <c r="CW310" i="4"/>
  <c r="CX310" i="4"/>
  <c r="BG5" i="4"/>
  <c r="BH5" i="4"/>
  <c r="BI5" i="4"/>
  <c r="BJ5" i="4"/>
  <c r="BK5" i="4"/>
  <c r="BL5" i="4"/>
  <c r="BM5" i="4"/>
  <c r="BN5" i="4"/>
  <c r="BO5" i="4"/>
  <c r="BP5" i="4"/>
  <c r="BQ5" i="4"/>
  <c r="BR5" i="4"/>
  <c r="BS5" i="4"/>
  <c r="BT5" i="4"/>
  <c r="BU5" i="4"/>
  <c r="BV5" i="4"/>
  <c r="BW5" i="4"/>
  <c r="BX5" i="4"/>
  <c r="BY5" i="4"/>
  <c r="BZ5" i="4"/>
  <c r="CA5" i="4"/>
  <c r="CB5" i="4"/>
  <c r="CC5" i="4"/>
  <c r="CD5" i="4"/>
  <c r="CE5" i="4"/>
  <c r="CF5" i="4"/>
  <c r="CG5" i="4"/>
  <c r="CH5" i="4"/>
  <c r="CI5" i="4"/>
  <c r="CJ5" i="4"/>
  <c r="CK5" i="4"/>
  <c r="CL5" i="4"/>
  <c r="CM5" i="4"/>
  <c r="CN5" i="4"/>
  <c r="CO5" i="4"/>
  <c r="CP5" i="4"/>
  <c r="CQ5" i="4"/>
  <c r="CR5" i="4"/>
  <c r="CS5" i="4"/>
  <c r="CT5" i="4"/>
  <c r="CU5" i="4"/>
  <c r="CV5" i="4"/>
  <c r="CW5" i="4"/>
  <c r="CX5" i="4"/>
  <c r="CX2" i="4"/>
  <c r="CX3" i="4"/>
  <c r="CX4" i="4"/>
  <c r="CO2" i="4"/>
  <c r="CP2" i="4"/>
  <c r="CQ2" i="4"/>
  <c r="CR2" i="4"/>
  <c r="CS2" i="4"/>
  <c r="CT2" i="4"/>
  <c r="CU2" i="4"/>
  <c r="CV2" i="4"/>
  <c r="CW2" i="4"/>
  <c r="CO3" i="4"/>
  <c r="CP3" i="4"/>
  <c r="CQ3" i="4"/>
  <c r="CR3" i="4"/>
  <c r="CS3" i="4"/>
  <c r="CT3" i="4"/>
  <c r="CU3" i="4"/>
  <c r="CV3" i="4"/>
  <c r="CW3" i="4"/>
  <c r="CO4" i="4"/>
  <c r="CP4" i="4"/>
  <c r="CQ4" i="4"/>
  <c r="CR4" i="4"/>
  <c r="CS4" i="4"/>
  <c r="CT4" i="4"/>
  <c r="CU4" i="4"/>
  <c r="CV4" i="4"/>
  <c r="CW4" i="4"/>
  <c r="BG2" i="4"/>
  <c r="BH2" i="4"/>
  <c r="BI2" i="4"/>
  <c r="BJ2" i="4"/>
  <c r="BK2" i="4"/>
  <c r="BL2" i="4"/>
  <c r="BM2" i="4"/>
  <c r="BN2" i="4"/>
  <c r="BO2" i="4"/>
  <c r="BP2" i="4"/>
  <c r="BQ2" i="4"/>
  <c r="BR2" i="4"/>
  <c r="BS2" i="4"/>
  <c r="BT2" i="4"/>
  <c r="BU2" i="4"/>
  <c r="BV2" i="4"/>
  <c r="BW2" i="4"/>
  <c r="BX2" i="4"/>
  <c r="BY2" i="4"/>
  <c r="BZ2" i="4"/>
  <c r="CA2" i="4"/>
  <c r="CB2" i="4"/>
  <c r="CC2" i="4"/>
  <c r="CD2" i="4"/>
  <c r="CE2" i="4"/>
  <c r="CF2" i="4"/>
  <c r="CG2" i="4"/>
  <c r="CH2" i="4"/>
  <c r="CI2" i="4"/>
  <c r="CJ2" i="4"/>
  <c r="CK2" i="4"/>
  <c r="CL2" i="4"/>
  <c r="CM2" i="4"/>
  <c r="CN2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A3" i="4"/>
  <c r="CB3" i="4"/>
  <c r="CC3" i="4"/>
  <c r="CD3" i="4"/>
  <c r="CE3" i="4"/>
  <c r="CF3" i="4"/>
  <c r="CG3" i="4"/>
  <c r="CH3" i="4"/>
  <c r="CI3" i="4"/>
  <c r="CJ3" i="4"/>
  <c r="CK3" i="4"/>
  <c r="CL3" i="4"/>
  <c r="CM3" i="4"/>
  <c r="CN3" i="4"/>
  <c r="BG4" i="4"/>
  <c r="BH4" i="4"/>
  <c r="BI4" i="4"/>
  <c r="BJ4" i="4"/>
  <c r="BK4" i="4"/>
  <c r="BL4" i="4"/>
  <c r="BM4" i="4"/>
  <c r="BN4" i="4"/>
  <c r="BO4" i="4"/>
  <c r="BP4" i="4"/>
  <c r="BQ4" i="4"/>
  <c r="BR4" i="4"/>
  <c r="BS4" i="4"/>
  <c r="BT4" i="4"/>
  <c r="BU4" i="4"/>
  <c r="BV4" i="4"/>
  <c r="BW4" i="4"/>
  <c r="BX4" i="4"/>
  <c r="BY4" i="4"/>
  <c r="BZ4" i="4"/>
  <c r="CA4" i="4"/>
  <c r="CB4" i="4"/>
  <c r="CC4" i="4"/>
  <c r="CD4" i="4"/>
  <c r="CE4" i="4"/>
  <c r="CF4" i="4"/>
  <c r="CG4" i="4"/>
  <c r="CH4" i="4"/>
  <c r="CI4" i="4"/>
  <c r="CJ4" i="4"/>
  <c r="CK4" i="4"/>
  <c r="CL4" i="4"/>
  <c r="CM4" i="4"/>
  <c r="CN4" i="4"/>
  <c r="AD31" i="6" l="1"/>
  <c r="AD32" i="6"/>
  <c r="AD33" i="6"/>
  <c r="AD34" i="6"/>
  <c r="AD35" i="6"/>
  <c r="AD36" i="6"/>
  <c r="AD37" i="6"/>
  <c r="AD38" i="6"/>
  <c r="D25" i="25" l="1"/>
  <c r="L5" i="5" l="1"/>
  <c r="B55" i="26"/>
  <c r="B54" i="26"/>
  <c r="B53" i="26"/>
  <c r="B50" i="23"/>
  <c r="B54" i="23"/>
  <c r="B55" i="23"/>
  <c r="B56" i="23"/>
  <c r="B158" i="5"/>
  <c r="B120" i="10"/>
  <c r="B119" i="10"/>
  <c r="B118" i="10"/>
  <c r="G114" i="10"/>
  <c r="G54" i="10"/>
  <c r="B60" i="10"/>
  <c r="B59" i="10"/>
  <c r="B58" i="10"/>
  <c r="H8" i="5"/>
  <c r="B164" i="5"/>
  <c r="B163" i="5"/>
  <c r="B162" i="5"/>
  <c r="B74" i="27"/>
  <c r="B73" i="27"/>
  <c r="B72" i="27"/>
  <c r="C62" i="27"/>
  <c r="A90" i="5"/>
  <c r="A91" i="5"/>
  <c r="A93" i="5"/>
  <c r="M5" i="5" l="1"/>
  <c r="G5" i="29"/>
  <c r="T7" i="25"/>
  <c r="T6" i="25"/>
  <c r="S6" i="25"/>
  <c r="S7" i="25"/>
  <c r="G2" i="29"/>
  <c r="G1" i="29"/>
  <c r="G1" i="24"/>
  <c r="G2" i="24"/>
  <c r="T4" i="25" l="1"/>
  <c r="S4" i="25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5" i="6"/>
  <c r="P19" i="6"/>
  <c r="P18" i="6"/>
  <c r="B4" i="23"/>
  <c r="BL33" i="3" l="1"/>
  <c r="BL32" i="3"/>
  <c r="BL31" i="3"/>
  <c r="BL30" i="3"/>
  <c r="BL29" i="3"/>
  <c r="BL28" i="3"/>
  <c r="BL27" i="3"/>
  <c r="BL26" i="3"/>
  <c r="BL25" i="3"/>
  <c r="BL24" i="3"/>
  <c r="BL23" i="3"/>
  <c r="BL22" i="3"/>
  <c r="BL21" i="3"/>
  <c r="BL20" i="3"/>
  <c r="BL19" i="3"/>
  <c r="BL18" i="3"/>
  <c r="BL17" i="3"/>
  <c r="BL16" i="3"/>
  <c r="BL15" i="3"/>
  <c r="BL14" i="3"/>
  <c r="BL13" i="3"/>
  <c r="BL12" i="3"/>
  <c r="BL11" i="3"/>
  <c r="BL10" i="3"/>
  <c r="BL9" i="3"/>
  <c r="C27" i="20"/>
  <c r="B42" i="5" l="1"/>
  <c r="G20" i="8" l="1"/>
  <c r="F22" i="8"/>
  <c r="AG31" i="6"/>
  <c r="AG32" i="6"/>
  <c r="AE33" i="6"/>
  <c r="AE34" i="6"/>
  <c r="AE35" i="6"/>
  <c r="AE36" i="6"/>
  <c r="AE37" i="6"/>
  <c r="AG38" i="6"/>
  <c r="BB11" i="4"/>
  <c r="AG36" i="6" l="1"/>
  <c r="AI36" i="6" s="1"/>
  <c r="AJ38" i="6"/>
  <c r="AH38" i="6"/>
  <c r="AI38" i="6"/>
  <c r="AK38" i="6"/>
  <c r="AJ31" i="6"/>
  <c r="AH31" i="6"/>
  <c r="AI31" i="6"/>
  <c r="AK31" i="6"/>
  <c r="AJ32" i="6"/>
  <c r="AH32" i="6"/>
  <c r="AI32" i="6"/>
  <c r="AK32" i="6"/>
  <c r="AG35" i="6"/>
  <c r="AG34" i="6"/>
  <c r="AG33" i="6"/>
  <c r="AG37" i="6"/>
  <c r="AE32" i="6"/>
  <c r="AE31" i="6"/>
  <c r="AE38" i="6"/>
  <c r="AH36" i="6" l="1"/>
  <c r="AK36" i="6"/>
  <c r="AJ36" i="6"/>
  <c r="AK34" i="6"/>
  <c r="AJ34" i="6"/>
  <c r="AH34" i="6"/>
  <c r="AI34" i="6"/>
  <c r="AK35" i="6"/>
  <c r="AJ35" i="6"/>
  <c r="AH35" i="6"/>
  <c r="AI35" i="6"/>
  <c r="AI37" i="6"/>
  <c r="AH37" i="6"/>
  <c r="AK37" i="6"/>
  <c r="AJ37" i="6"/>
  <c r="AJ33" i="6"/>
  <c r="AH33" i="6"/>
  <c r="AI33" i="6"/>
  <c r="AK33" i="6"/>
  <c r="W16" i="6" l="1"/>
  <c r="W17" i="6"/>
  <c r="W18" i="6"/>
  <c r="W19" i="6"/>
  <c r="W6" i="6"/>
  <c r="W7" i="6"/>
  <c r="W8" i="6"/>
  <c r="W9" i="6"/>
  <c r="W10" i="6"/>
  <c r="W11" i="6"/>
  <c r="W12" i="6"/>
  <c r="W13" i="6"/>
  <c r="W14" i="6"/>
  <c r="W15" i="6"/>
  <c r="W5" i="6"/>
  <c r="P20" i="6" l="1"/>
  <c r="X7" i="6"/>
  <c r="X14" i="6"/>
  <c r="X6" i="6"/>
  <c r="X13" i="6"/>
  <c r="X5" i="6"/>
  <c r="X12" i="6"/>
  <c r="X19" i="6"/>
  <c r="X11" i="6"/>
  <c r="X18" i="6"/>
  <c r="X10" i="6"/>
  <c r="X17" i="6"/>
  <c r="X9" i="6"/>
  <c r="X16" i="6"/>
  <c r="X8" i="6"/>
  <c r="X15" i="6"/>
  <c r="AG8" i="3"/>
  <c r="C30" i="10" s="1"/>
  <c r="C38" i="40" s="1"/>
  <c r="E38" i="40" s="1"/>
  <c r="M8" i="3"/>
  <c r="AG14" i="3"/>
  <c r="C38" i="27" l="1"/>
  <c r="C38" i="36"/>
  <c r="AC28" i="6"/>
  <c r="C90" i="10"/>
  <c r="Y19" i="6"/>
  <c r="Z19" i="6"/>
  <c r="Y5" i="6"/>
  <c r="Z5" i="6"/>
  <c r="Y12" i="6"/>
  <c r="Z12" i="6"/>
  <c r="Y13" i="6"/>
  <c r="Z13" i="6"/>
  <c r="Y8" i="6"/>
  <c r="Z8" i="6"/>
  <c r="Y6" i="6"/>
  <c r="Z6" i="6"/>
  <c r="Y11" i="6"/>
  <c r="Z11" i="6"/>
  <c r="Y15" i="6"/>
  <c r="Z15" i="6"/>
  <c r="Y16" i="6"/>
  <c r="Z16" i="6"/>
  <c r="Y9" i="6"/>
  <c r="Z9" i="6"/>
  <c r="Y17" i="6"/>
  <c r="Z17" i="6"/>
  <c r="Y10" i="6"/>
  <c r="Z10" i="6"/>
  <c r="Y14" i="6"/>
  <c r="Z14" i="6"/>
  <c r="Y18" i="6"/>
  <c r="Z18" i="6"/>
  <c r="Y7" i="6"/>
  <c r="Z7" i="6"/>
  <c r="Q14" i="6"/>
  <c r="Q7" i="6"/>
  <c r="Q8" i="6" s="1"/>
  <c r="A4" i="5"/>
  <c r="A3" i="5"/>
  <c r="D2" i="11"/>
  <c r="D3" i="11"/>
  <c r="J46" i="3"/>
  <c r="K46" i="3" s="1"/>
  <c r="D53" i="3"/>
  <c r="F77" i="3"/>
  <c r="D77" i="3"/>
  <c r="C77" i="3"/>
  <c r="F76" i="3"/>
  <c r="D76" i="3"/>
  <c r="C76" i="3"/>
  <c r="F75" i="3"/>
  <c r="D75" i="3"/>
  <c r="C75" i="3"/>
  <c r="F74" i="3"/>
  <c r="D74" i="3"/>
  <c r="C74" i="3"/>
  <c r="F73" i="3"/>
  <c r="D73" i="3"/>
  <c r="C73" i="3"/>
  <c r="F72" i="3"/>
  <c r="D72" i="3"/>
  <c r="C72" i="3"/>
  <c r="F71" i="3"/>
  <c r="D71" i="3"/>
  <c r="C71" i="3"/>
  <c r="F70" i="3"/>
  <c r="D70" i="3"/>
  <c r="C70" i="3"/>
  <c r="F69" i="3"/>
  <c r="D69" i="3"/>
  <c r="C69" i="3"/>
  <c r="F68" i="3"/>
  <c r="D68" i="3"/>
  <c r="C68" i="3"/>
  <c r="F67" i="3"/>
  <c r="D67" i="3"/>
  <c r="C67" i="3"/>
  <c r="F66" i="3"/>
  <c r="D66" i="3"/>
  <c r="C66" i="3"/>
  <c r="F65" i="3"/>
  <c r="D65" i="3"/>
  <c r="C65" i="3"/>
  <c r="F64" i="3"/>
  <c r="D64" i="3"/>
  <c r="C64" i="3"/>
  <c r="F63" i="3"/>
  <c r="D63" i="3"/>
  <c r="C63" i="3"/>
  <c r="F62" i="3"/>
  <c r="D62" i="3"/>
  <c r="C62" i="3"/>
  <c r="F61" i="3"/>
  <c r="D61" i="3"/>
  <c r="C61" i="3"/>
  <c r="F60" i="3"/>
  <c r="D60" i="3"/>
  <c r="C60" i="3"/>
  <c r="F59" i="3"/>
  <c r="D59" i="3"/>
  <c r="C59" i="3"/>
  <c r="F58" i="3"/>
  <c r="D58" i="3"/>
  <c r="C58" i="3"/>
  <c r="F57" i="3"/>
  <c r="D57" i="3"/>
  <c r="C57" i="3"/>
  <c r="F56" i="3"/>
  <c r="D56" i="3"/>
  <c r="C56" i="3"/>
  <c r="F55" i="3"/>
  <c r="D55" i="3"/>
  <c r="C55" i="3"/>
  <c r="D54" i="3"/>
  <c r="C54" i="3"/>
  <c r="C53" i="3"/>
  <c r="F53" i="3"/>
  <c r="A9" i="3"/>
  <c r="G2" i="2"/>
  <c r="G3" i="2"/>
  <c r="G4" i="2"/>
  <c r="BL34" i="3"/>
  <c r="A2" i="6"/>
  <c r="A3" i="6"/>
  <c r="I9" i="3"/>
  <c r="I10" i="3"/>
  <c r="I54" i="3" s="1"/>
  <c r="I11" i="3"/>
  <c r="I55" i="3" s="1"/>
  <c r="A6" i="3"/>
  <c r="A7" i="3"/>
  <c r="A8" i="3"/>
  <c r="I6" i="3"/>
  <c r="I33" i="3"/>
  <c r="I32" i="3"/>
  <c r="I76" i="3" s="1"/>
  <c r="I31" i="3"/>
  <c r="I75" i="3" s="1"/>
  <c r="I30" i="3"/>
  <c r="I74" i="3" s="1"/>
  <c r="I29" i="3"/>
  <c r="I73" i="3" s="1"/>
  <c r="I28" i="3"/>
  <c r="I72" i="3" s="1"/>
  <c r="I27" i="3"/>
  <c r="I71" i="3" s="1"/>
  <c r="I26" i="3"/>
  <c r="I70" i="3" s="1"/>
  <c r="I25" i="3"/>
  <c r="I69" i="3" s="1"/>
  <c r="I24" i="3"/>
  <c r="I68" i="3" s="1"/>
  <c r="I23" i="3"/>
  <c r="I67" i="3" s="1"/>
  <c r="I22" i="3"/>
  <c r="I66" i="3" s="1"/>
  <c r="I21" i="3"/>
  <c r="I65" i="3" s="1"/>
  <c r="I20" i="3"/>
  <c r="I64" i="3" s="1"/>
  <c r="I19" i="3"/>
  <c r="I63" i="3" s="1"/>
  <c r="I18" i="3"/>
  <c r="I62" i="3" s="1"/>
  <c r="I17" i="3"/>
  <c r="I61" i="3" s="1"/>
  <c r="I16" i="3"/>
  <c r="I60" i="3" s="1"/>
  <c r="I15" i="3"/>
  <c r="I59" i="3" s="1"/>
  <c r="I14" i="3"/>
  <c r="I58" i="3" s="1"/>
  <c r="I13" i="3"/>
  <c r="I57" i="3" s="1"/>
  <c r="I12" i="3"/>
  <c r="I56" i="3" s="1"/>
  <c r="I5" i="3"/>
  <c r="I7" i="3"/>
  <c r="I53" i="3" l="1"/>
  <c r="I40" i="3"/>
  <c r="Q13" i="26"/>
  <c r="K13" i="26"/>
  <c r="K10" i="26"/>
  <c r="E38" i="36"/>
  <c r="G38" i="36"/>
  <c r="B38" i="26" l="1"/>
  <c r="B30" i="26"/>
  <c r="B22" i="26"/>
  <c r="B48" i="26"/>
  <c r="B37" i="26"/>
  <c r="B29" i="26"/>
  <c r="B21" i="26"/>
  <c r="B47" i="26"/>
  <c r="B36" i="26"/>
  <c r="B28" i="26"/>
  <c r="B20" i="26"/>
  <c r="B46" i="26"/>
  <c r="B35" i="26"/>
  <c r="B27" i="26"/>
  <c r="B39" i="26"/>
  <c r="B31" i="26"/>
  <c r="B23" i="26"/>
  <c r="B45" i="26"/>
  <c r="B34" i="26"/>
  <c r="B26" i="26"/>
  <c r="B44" i="26"/>
  <c r="B33" i="26"/>
  <c r="B25" i="26"/>
  <c r="F48" i="26"/>
  <c r="B43" i="26"/>
  <c r="B32" i="26"/>
  <c r="B24" i="26"/>
  <c r="H13" i="26"/>
  <c r="B10" i="26"/>
  <c r="F20" i="26" s="1"/>
  <c r="B13" i="26"/>
  <c r="O20" i="26"/>
  <c r="F12" i="26"/>
  <c r="H12" i="26"/>
  <c r="B12" i="26"/>
  <c r="F15" i="26"/>
  <c r="D15" i="26"/>
  <c r="O21" i="26"/>
  <c r="O46" i="26" s="1"/>
  <c r="C28" i="20"/>
  <c r="B2" i="31"/>
  <c r="D1" i="31" s="1"/>
  <c r="F21" i="26" l="1"/>
  <c r="F47" i="26" s="1"/>
  <c r="B5" i="31"/>
  <c r="B6" i="31"/>
  <c r="E5" i="2"/>
  <c r="C29" i="20"/>
  <c r="B13" i="27" s="1"/>
  <c r="J15" i="27" s="1"/>
  <c r="I11" i="20"/>
  <c r="F162" i="20"/>
  <c r="D162" i="20"/>
  <c r="F182" i="20"/>
  <c r="F193" i="20"/>
  <c r="D182" i="20"/>
  <c r="F210" i="20"/>
  <c r="F217" i="20" s="1"/>
  <c r="D210" i="20"/>
  <c r="D220" i="20" s="1"/>
  <c r="H220" i="20" s="1"/>
  <c r="C210" i="20"/>
  <c r="C220" i="20" s="1"/>
  <c r="G220" i="20" s="1"/>
  <c r="C162" i="20"/>
  <c r="D193" i="20"/>
  <c r="C182" i="20"/>
  <c r="C193" i="20"/>
  <c r="C84" i="18"/>
  <c r="C95" i="18"/>
  <c r="BM30" i="3"/>
  <c r="BM31" i="3"/>
  <c r="BM32" i="3"/>
  <c r="BM33" i="3"/>
  <c r="D11" i="18"/>
  <c r="D15" i="18" s="1"/>
  <c r="E25" i="18"/>
  <c r="E24" i="18"/>
  <c r="B77" i="3"/>
  <c r="E77" i="3" s="1"/>
  <c r="B76" i="3"/>
  <c r="E76" i="3" s="1"/>
  <c r="B75" i="3"/>
  <c r="E75" i="3" s="1"/>
  <c r="B74" i="3"/>
  <c r="E74" i="3" s="1"/>
  <c r="B73" i="3"/>
  <c r="E73" i="3" s="1"/>
  <c r="B72" i="3"/>
  <c r="E72" i="3" s="1"/>
  <c r="B71" i="3"/>
  <c r="E71" i="3" s="1"/>
  <c r="B70" i="3"/>
  <c r="E70" i="3" s="1"/>
  <c r="B69" i="3"/>
  <c r="E69" i="3" s="1"/>
  <c r="B68" i="3"/>
  <c r="E68" i="3" s="1"/>
  <c r="B67" i="3"/>
  <c r="E67" i="3" s="1"/>
  <c r="B66" i="3"/>
  <c r="E66" i="3" s="1"/>
  <c r="B65" i="3"/>
  <c r="E65" i="3" s="1"/>
  <c r="B64" i="3"/>
  <c r="E64" i="3" s="1"/>
  <c r="B63" i="3"/>
  <c r="E63" i="3" s="1"/>
  <c r="B62" i="3"/>
  <c r="E62" i="3" s="1"/>
  <c r="B61" i="3"/>
  <c r="E61" i="3" s="1"/>
  <c r="B60" i="3"/>
  <c r="E60" i="3" s="1"/>
  <c r="B59" i="3"/>
  <c r="E59" i="3" s="1"/>
  <c r="B58" i="3"/>
  <c r="E58" i="3" s="1"/>
  <c r="B57" i="3"/>
  <c r="E57" i="3" s="1"/>
  <c r="B56" i="3"/>
  <c r="E56" i="3" s="1"/>
  <c r="B55" i="3"/>
  <c r="E55" i="3" s="1"/>
  <c r="B54" i="3"/>
  <c r="E54" i="3" s="1"/>
  <c r="B53" i="3"/>
  <c r="E53" i="3" s="1"/>
  <c r="K27" i="11"/>
  <c r="D1" i="8"/>
  <c r="E1" i="8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C1" i="8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H3" i="2"/>
  <c r="AC6" i="3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H2" i="2"/>
  <c r="B1" i="8"/>
  <c r="N6" i="10" s="1"/>
  <c r="A2" i="8"/>
  <c r="B2" i="8" s="1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N6" i="3"/>
  <c r="L6" i="3"/>
  <c r="M6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L7" i="3"/>
  <c r="M7" i="3"/>
  <c r="N7" i="3"/>
  <c r="O7" i="3"/>
  <c r="K7" i="3"/>
  <c r="K5" i="3"/>
  <c r="L5" i="3"/>
  <c r="M5" i="3"/>
  <c r="N5" i="3"/>
  <c r="O5" i="3"/>
  <c r="O34" i="3" s="1"/>
  <c r="P5" i="3"/>
  <c r="P35" i="3" s="1"/>
  <c r="Q5" i="3"/>
  <c r="Q34" i="3" s="1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N34" i="3" s="1"/>
  <c r="AO5" i="3"/>
  <c r="AO34" i="3" s="1"/>
  <c r="AP5" i="3"/>
  <c r="AP34" i="3" s="1"/>
  <c r="AQ5" i="3"/>
  <c r="AQ34" i="3" s="1"/>
  <c r="AR5" i="3"/>
  <c r="AS5" i="3"/>
  <c r="AT5" i="3"/>
  <c r="AT35" i="3" s="1"/>
  <c r="AU5" i="3"/>
  <c r="AU34" i="3" s="1"/>
  <c r="AV5" i="3"/>
  <c r="AV34" i="3" s="1"/>
  <c r="AW5" i="3"/>
  <c r="AW34" i="3" s="1"/>
  <c r="AX5" i="3"/>
  <c r="AX35" i="3" s="1"/>
  <c r="AY5" i="3"/>
  <c r="AY34" i="3" s="1"/>
  <c r="AZ5" i="3"/>
  <c r="AZ35" i="3" s="1"/>
  <c r="BA5" i="3"/>
  <c r="BB5" i="3"/>
  <c r="J5" i="3"/>
  <c r="K26" i="11"/>
  <c r="K25" i="11"/>
  <c r="L8" i="3"/>
  <c r="N8" i="3"/>
  <c r="O8" i="3"/>
  <c r="C12" i="10" s="1"/>
  <c r="C20" i="40" s="1"/>
  <c r="P8" i="3"/>
  <c r="Q8" i="3"/>
  <c r="R8" i="3"/>
  <c r="S8" i="3"/>
  <c r="T8" i="3"/>
  <c r="C17" i="10" s="1"/>
  <c r="C25" i="40" s="1"/>
  <c r="G25" i="40" s="1"/>
  <c r="U8" i="3"/>
  <c r="C18" i="10" s="1"/>
  <c r="C26" i="40" s="1"/>
  <c r="V8" i="3"/>
  <c r="C19" i="10" s="1"/>
  <c r="C27" i="40" s="1"/>
  <c r="W8" i="3"/>
  <c r="X8" i="3"/>
  <c r="Y8" i="3"/>
  <c r="C22" i="10" s="1"/>
  <c r="C30" i="40" s="1"/>
  <c r="G30" i="40" s="1"/>
  <c r="Z8" i="3"/>
  <c r="AA8" i="3"/>
  <c r="AB8" i="3"/>
  <c r="AC8" i="3"/>
  <c r="C26" i="10" s="1"/>
  <c r="C34" i="40" s="1"/>
  <c r="AD8" i="3"/>
  <c r="B23" i="11" s="1"/>
  <c r="AE8" i="3"/>
  <c r="C28" i="10" s="1"/>
  <c r="C36" i="40" s="1"/>
  <c r="E36" i="40" s="1"/>
  <c r="AF8" i="3"/>
  <c r="B25" i="11" s="1"/>
  <c r="AH8" i="3"/>
  <c r="AI8" i="3"/>
  <c r="C32" i="10" s="1"/>
  <c r="C40" i="40" s="1"/>
  <c r="E40" i="40" s="1"/>
  <c r="AJ8" i="3"/>
  <c r="C33" i="10" s="1"/>
  <c r="C41" i="40" s="1"/>
  <c r="E41" i="40" s="1"/>
  <c r="AK8" i="3"/>
  <c r="AL8" i="3"/>
  <c r="B31" i="11" s="1"/>
  <c r="AM8" i="3"/>
  <c r="B32" i="11" s="1"/>
  <c r="AN8" i="3"/>
  <c r="B33" i="11" s="1"/>
  <c r="AO8" i="3"/>
  <c r="C38" i="10" s="1"/>
  <c r="C46" i="40" s="1"/>
  <c r="AP8" i="3"/>
  <c r="AQ8" i="3"/>
  <c r="C40" i="10" s="1"/>
  <c r="C48" i="40" s="1"/>
  <c r="AR8" i="3"/>
  <c r="C41" i="10" s="1"/>
  <c r="AS8" i="3"/>
  <c r="AT8" i="3"/>
  <c r="AU8" i="3"/>
  <c r="C44" i="10" s="1"/>
  <c r="C52" i="40" s="1"/>
  <c r="AV8" i="3"/>
  <c r="C45" i="10" s="1"/>
  <c r="C53" i="40" s="1"/>
  <c r="AW8" i="3"/>
  <c r="C46" i="10" s="1"/>
  <c r="C54" i="40" s="1"/>
  <c r="AX8" i="3"/>
  <c r="C47" i="10" s="1"/>
  <c r="C55" i="40" s="1"/>
  <c r="AY8" i="3"/>
  <c r="AZ8" i="3"/>
  <c r="B45" i="11" s="1"/>
  <c r="BA8" i="3"/>
  <c r="C50" i="10" s="1"/>
  <c r="C58" i="40" s="1"/>
  <c r="BB8" i="3"/>
  <c r="K8" i="3"/>
  <c r="C8" i="10" s="1"/>
  <c r="C16" i="40" s="1"/>
  <c r="G16" i="40" s="1"/>
  <c r="C10" i="10"/>
  <c r="C18" i="40" s="1"/>
  <c r="BB9" i="3"/>
  <c r="BB53" i="3" s="1"/>
  <c r="BB10" i="3"/>
  <c r="BB54" i="3" s="1"/>
  <c r="BB11" i="3"/>
  <c r="BB55" i="3" s="1"/>
  <c r="BB12" i="3"/>
  <c r="BB13" i="3"/>
  <c r="BB57" i="3" s="1"/>
  <c r="BB14" i="3"/>
  <c r="BB58" i="3" s="1"/>
  <c r="BB15" i="3"/>
  <c r="BB59" i="3" s="1"/>
  <c r="BB16" i="3"/>
  <c r="BB60" i="3" s="1"/>
  <c r="BB17" i="3"/>
  <c r="BB61" i="3" s="1"/>
  <c r="BB18" i="3"/>
  <c r="BB62" i="3" s="1"/>
  <c r="BB19" i="3"/>
  <c r="BB63" i="3" s="1"/>
  <c r="BB20" i="3"/>
  <c r="BB64" i="3" s="1"/>
  <c r="BB21" i="3"/>
  <c r="BB22" i="3"/>
  <c r="BB66" i="3" s="1"/>
  <c r="BB23" i="3"/>
  <c r="BB67" i="3" s="1"/>
  <c r="BB24" i="3"/>
  <c r="BB68" i="3" s="1"/>
  <c r="BB25" i="3"/>
  <c r="BB69" i="3" s="1"/>
  <c r="BB26" i="3"/>
  <c r="BB70" i="3" s="1"/>
  <c r="BB27" i="3"/>
  <c r="BB71" i="3" s="1"/>
  <c r="BB28" i="3"/>
  <c r="BB72" i="3" s="1"/>
  <c r="BB29" i="3"/>
  <c r="BB73" i="3" s="1"/>
  <c r="BB30" i="3"/>
  <c r="BB74" i="3" s="1"/>
  <c r="BB31" i="3"/>
  <c r="BB75" i="3" s="1"/>
  <c r="BB32" i="3"/>
  <c r="BB76" i="3" s="1"/>
  <c r="BB33" i="3"/>
  <c r="BB77" i="3" s="1"/>
  <c r="B28" i="11"/>
  <c r="B22" i="11"/>
  <c r="B20" i="11"/>
  <c r="B14" i="11"/>
  <c r="B6" i="11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G33" i="3"/>
  <c r="G77" i="3" s="1"/>
  <c r="G32" i="3"/>
  <c r="G76" i="3" s="1"/>
  <c r="G31" i="3"/>
  <c r="G75" i="3" s="1"/>
  <c r="G30" i="3"/>
  <c r="G74" i="3" s="1"/>
  <c r="G11" i="3"/>
  <c r="G55" i="3" s="1"/>
  <c r="G12" i="3"/>
  <c r="G56" i="3" s="1"/>
  <c r="G13" i="3"/>
  <c r="G57" i="3" s="1"/>
  <c r="G14" i="3"/>
  <c r="G58" i="3" s="1"/>
  <c r="G15" i="3"/>
  <c r="G59" i="3" s="1"/>
  <c r="G16" i="3"/>
  <c r="G60" i="3" s="1"/>
  <c r="G17" i="3"/>
  <c r="G18" i="3"/>
  <c r="G62" i="3" s="1"/>
  <c r="G19" i="3"/>
  <c r="BF19" i="3" s="1"/>
  <c r="D15" i="6" s="1"/>
  <c r="G20" i="3"/>
  <c r="G64" i="3" s="1"/>
  <c r="G21" i="3"/>
  <c r="G65" i="3" s="1"/>
  <c r="G22" i="3"/>
  <c r="G66" i="3" s="1"/>
  <c r="G23" i="3"/>
  <c r="BF23" i="3" s="1"/>
  <c r="D19" i="6" s="1"/>
  <c r="G24" i="3"/>
  <c r="BF24" i="3" s="1"/>
  <c r="D20" i="6" s="1"/>
  <c r="G25" i="3"/>
  <c r="G26" i="3"/>
  <c r="G70" i="3" s="1"/>
  <c r="G27" i="3"/>
  <c r="G71" i="3" s="1"/>
  <c r="G28" i="3"/>
  <c r="BF28" i="3" s="1"/>
  <c r="D24" i="6" s="1"/>
  <c r="G29" i="3"/>
  <c r="BF29" i="3" s="1"/>
  <c r="D25" i="6" s="1"/>
  <c r="K6" i="3"/>
  <c r="L4" i="2"/>
  <c r="J15" i="3"/>
  <c r="J59" i="3" s="1"/>
  <c r="J9" i="3"/>
  <c r="J10" i="3"/>
  <c r="J54" i="3" s="1"/>
  <c r="J11" i="3"/>
  <c r="J55" i="3" s="1"/>
  <c r="J12" i="3"/>
  <c r="BI12" i="3" s="1"/>
  <c r="J13" i="3"/>
  <c r="J57" i="3" s="1"/>
  <c r="J14" i="3"/>
  <c r="BI14" i="3" s="1"/>
  <c r="J16" i="3"/>
  <c r="J60" i="3" s="1"/>
  <c r="J17" i="3"/>
  <c r="BI17" i="3" s="1"/>
  <c r="J18" i="3"/>
  <c r="BI18" i="3" s="1"/>
  <c r="J19" i="3"/>
  <c r="BI19" i="3" s="1"/>
  <c r="J20" i="3"/>
  <c r="J64" i="3" s="1"/>
  <c r="J21" i="3"/>
  <c r="J65" i="3" s="1"/>
  <c r="J22" i="3"/>
  <c r="BI22" i="3" s="1"/>
  <c r="J23" i="3"/>
  <c r="J67" i="3" s="1"/>
  <c r="J24" i="3"/>
  <c r="J68" i="3" s="1"/>
  <c r="J25" i="3"/>
  <c r="BI25" i="3" s="1"/>
  <c r="J26" i="3"/>
  <c r="J70" i="3" s="1"/>
  <c r="J27" i="3"/>
  <c r="BI27" i="3" s="1"/>
  <c r="J28" i="3"/>
  <c r="BI28" i="3" s="1"/>
  <c r="J29" i="3"/>
  <c r="BI29" i="3" s="1"/>
  <c r="J30" i="3"/>
  <c r="BI30" i="3" s="1"/>
  <c r="J31" i="3"/>
  <c r="J75" i="3" s="1"/>
  <c r="J32" i="3"/>
  <c r="J33" i="3"/>
  <c r="K15" i="3"/>
  <c r="K59" i="3" s="1"/>
  <c r="K9" i="3"/>
  <c r="K53" i="3" s="1"/>
  <c r="K10" i="3"/>
  <c r="K54" i="3" s="1"/>
  <c r="K11" i="3"/>
  <c r="K55" i="3" s="1"/>
  <c r="K12" i="3"/>
  <c r="K56" i="3" s="1"/>
  <c r="K13" i="3"/>
  <c r="K57" i="3" s="1"/>
  <c r="K14" i="3"/>
  <c r="K58" i="3" s="1"/>
  <c r="K16" i="3"/>
  <c r="K60" i="3" s="1"/>
  <c r="K17" i="3"/>
  <c r="K61" i="3" s="1"/>
  <c r="K18" i="3"/>
  <c r="K62" i="3" s="1"/>
  <c r="K19" i="3"/>
  <c r="K63" i="3" s="1"/>
  <c r="K20" i="3"/>
  <c r="K64" i="3" s="1"/>
  <c r="K21" i="3"/>
  <c r="K65" i="3" s="1"/>
  <c r="K22" i="3"/>
  <c r="K66" i="3" s="1"/>
  <c r="K23" i="3"/>
  <c r="K67" i="3" s="1"/>
  <c r="K24" i="3"/>
  <c r="K68" i="3" s="1"/>
  <c r="K25" i="3"/>
  <c r="K69" i="3" s="1"/>
  <c r="K26" i="3"/>
  <c r="K70" i="3" s="1"/>
  <c r="K27" i="3"/>
  <c r="K71" i="3" s="1"/>
  <c r="K28" i="3"/>
  <c r="K72" i="3" s="1"/>
  <c r="K29" i="3"/>
  <c r="K73" i="3" s="1"/>
  <c r="K30" i="3"/>
  <c r="K74" i="3" s="1"/>
  <c r="K31" i="3"/>
  <c r="K75" i="3" s="1"/>
  <c r="K32" i="3"/>
  <c r="K76" i="3" s="1"/>
  <c r="K33" i="3"/>
  <c r="K77" i="3" s="1"/>
  <c r="L15" i="3"/>
  <c r="L59" i="3" s="1"/>
  <c r="L9" i="3"/>
  <c r="L53" i="3" s="1"/>
  <c r="L10" i="3"/>
  <c r="L54" i="3" s="1"/>
  <c r="L11" i="3"/>
  <c r="L55" i="3" s="1"/>
  <c r="L12" i="3"/>
  <c r="L56" i="3" s="1"/>
  <c r="L13" i="3"/>
  <c r="L57" i="3" s="1"/>
  <c r="L14" i="3"/>
  <c r="L58" i="3" s="1"/>
  <c r="L16" i="3"/>
  <c r="L60" i="3" s="1"/>
  <c r="L17" i="3"/>
  <c r="L61" i="3" s="1"/>
  <c r="L18" i="3"/>
  <c r="L62" i="3" s="1"/>
  <c r="L19" i="3"/>
  <c r="L63" i="3" s="1"/>
  <c r="L20" i="3"/>
  <c r="L64" i="3" s="1"/>
  <c r="L21" i="3"/>
  <c r="L65" i="3" s="1"/>
  <c r="L22" i="3"/>
  <c r="L66" i="3" s="1"/>
  <c r="L23" i="3"/>
  <c r="L67" i="3" s="1"/>
  <c r="L24" i="3"/>
  <c r="L68" i="3" s="1"/>
  <c r="L25" i="3"/>
  <c r="L69" i="3" s="1"/>
  <c r="L26" i="3"/>
  <c r="L70" i="3" s="1"/>
  <c r="L27" i="3"/>
  <c r="L71" i="3" s="1"/>
  <c r="L28" i="3"/>
  <c r="L72" i="3" s="1"/>
  <c r="L29" i="3"/>
  <c r="L73" i="3" s="1"/>
  <c r="L30" i="3"/>
  <c r="L74" i="3" s="1"/>
  <c r="L31" i="3"/>
  <c r="L75" i="3" s="1"/>
  <c r="L32" i="3"/>
  <c r="L76" i="3" s="1"/>
  <c r="L33" i="3"/>
  <c r="L77" i="3" s="1"/>
  <c r="M15" i="3"/>
  <c r="M59" i="3" s="1"/>
  <c r="M9" i="3"/>
  <c r="M53" i="3" s="1"/>
  <c r="M10" i="3"/>
  <c r="M54" i="3" s="1"/>
  <c r="M11" i="3"/>
  <c r="M55" i="3" s="1"/>
  <c r="M12" i="3"/>
  <c r="M56" i="3" s="1"/>
  <c r="M13" i="3"/>
  <c r="M57" i="3" s="1"/>
  <c r="M14" i="3"/>
  <c r="M58" i="3" s="1"/>
  <c r="M16" i="3"/>
  <c r="M60" i="3" s="1"/>
  <c r="M17" i="3"/>
  <c r="M61" i="3" s="1"/>
  <c r="M18" i="3"/>
  <c r="M62" i="3" s="1"/>
  <c r="M19" i="3"/>
  <c r="M63" i="3" s="1"/>
  <c r="M20" i="3"/>
  <c r="M64" i="3" s="1"/>
  <c r="M21" i="3"/>
  <c r="M65" i="3" s="1"/>
  <c r="M22" i="3"/>
  <c r="M66" i="3" s="1"/>
  <c r="M23" i="3"/>
  <c r="M67" i="3" s="1"/>
  <c r="M24" i="3"/>
  <c r="M68" i="3" s="1"/>
  <c r="M25" i="3"/>
  <c r="M69" i="3" s="1"/>
  <c r="M26" i="3"/>
  <c r="M70" i="3" s="1"/>
  <c r="M27" i="3"/>
  <c r="M71" i="3" s="1"/>
  <c r="M28" i="3"/>
  <c r="M72" i="3" s="1"/>
  <c r="M29" i="3"/>
  <c r="M73" i="3" s="1"/>
  <c r="M30" i="3"/>
  <c r="M74" i="3" s="1"/>
  <c r="M31" i="3"/>
  <c r="M75" i="3" s="1"/>
  <c r="M32" i="3"/>
  <c r="M76" i="3" s="1"/>
  <c r="M33" i="3"/>
  <c r="M77" i="3" s="1"/>
  <c r="N15" i="3"/>
  <c r="N59" i="3" s="1"/>
  <c r="N9" i="3"/>
  <c r="N53" i="3" s="1"/>
  <c r="N10" i="3"/>
  <c r="N54" i="3" s="1"/>
  <c r="N11" i="3"/>
  <c r="N55" i="3" s="1"/>
  <c r="N12" i="3"/>
  <c r="N56" i="3" s="1"/>
  <c r="N13" i="3"/>
  <c r="N57" i="3" s="1"/>
  <c r="N14" i="3"/>
  <c r="N58" i="3" s="1"/>
  <c r="N16" i="3"/>
  <c r="N60" i="3" s="1"/>
  <c r="N17" i="3"/>
  <c r="N61" i="3" s="1"/>
  <c r="N18" i="3"/>
  <c r="N62" i="3" s="1"/>
  <c r="N19" i="3"/>
  <c r="N63" i="3" s="1"/>
  <c r="N20" i="3"/>
  <c r="N64" i="3" s="1"/>
  <c r="N21" i="3"/>
  <c r="N65" i="3" s="1"/>
  <c r="N22" i="3"/>
  <c r="N66" i="3" s="1"/>
  <c r="N23" i="3"/>
  <c r="N67" i="3" s="1"/>
  <c r="N24" i="3"/>
  <c r="N68" i="3" s="1"/>
  <c r="N25" i="3"/>
  <c r="N69" i="3" s="1"/>
  <c r="N26" i="3"/>
  <c r="N70" i="3" s="1"/>
  <c r="N27" i="3"/>
  <c r="N71" i="3" s="1"/>
  <c r="N28" i="3"/>
  <c r="N72" i="3" s="1"/>
  <c r="N29" i="3"/>
  <c r="N73" i="3" s="1"/>
  <c r="N30" i="3"/>
  <c r="N74" i="3" s="1"/>
  <c r="N31" i="3"/>
  <c r="N75" i="3" s="1"/>
  <c r="N32" i="3"/>
  <c r="N76" i="3" s="1"/>
  <c r="N33" i="3"/>
  <c r="N77" i="3" s="1"/>
  <c r="O15" i="3"/>
  <c r="O59" i="3" s="1"/>
  <c r="O9" i="3"/>
  <c r="O53" i="3" s="1"/>
  <c r="O10" i="3"/>
  <c r="O54" i="3" s="1"/>
  <c r="O11" i="3"/>
  <c r="O55" i="3" s="1"/>
  <c r="O12" i="3"/>
  <c r="O56" i="3" s="1"/>
  <c r="O13" i="3"/>
  <c r="O57" i="3" s="1"/>
  <c r="O14" i="3"/>
  <c r="O58" i="3" s="1"/>
  <c r="O16" i="3"/>
  <c r="O60" i="3" s="1"/>
  <c r="O17" i="3"/>
  <c r="O61" i="3" s="1"/>
  <c r="O18" i="3"/>
  <c r="O62" i="3" s="1"/>
  <c r="O19" i="3"/>
  <c r="O63" i="3" s="1"/>
  <c r="O20" i="3"/>
  <c r="O64" i="3" s="1"/>
  <c r="O21" i="3"/>
  <c r="O65" i="3" s="1"/>
  <c r="O22" i="3"/>
  <c r="O66" i="3" s="1"/>
  <c r="O23" i="3"/>
  <c r="O67" i="3" s="1"/>
  <c r="O24" i="3"/>
  <c r="O68" i="3" s="1"/>
  <c r="O25" i="3"/>
  <c r="O69" i="3" s="1"/>
  <c r="O26" i="3"/>
  <c r="O70" i="3" s="1"/>
  <c r="O27" i="3"/>
  <c r="O71" i="3" s="1"/>
  <c r="O28" i="3"/>
  <c r="O72" i="3" s="1"/>
  <c r="O29" i="3"/>
  <c r="O73" i="3" s="1"/>
  <c r="O30" i="3"/>
  <c r="O74" i="3" s="1"/>
  <c r="O31" i="3"/>
  <c r="O75" i="3" s="1"/>
  <c r="O32" i="3"/>
  <c r="O76" i="3" s="1"/>
  <c r="O33" i="3"/>
  <c r="O77" i="3" s="1"/>
  <c r="P15" i="3"/>
  <c r="P59" i="3" s="1"/>
  <c r="P9" i="3"/>
  <c r="P53" i="3" s="1"/>
  <c r="P10" i="3"/>
  <c r="P54" i="3" s="1"/>
  <c r="P11" i="3"/>
  <c r="P55" i="3" s="1"/>
  <c r="P12" i="3"/>
  <c r="P13" i="3"/>
  <c r="P57" i="3" s="1"/>
  <c r="P14" i="3"/>
  <c r="P58" i="3" s="1"/>
  <c r="P16" i="3"/>
  <c r="P60" i="3" s="1"/>
  <c r="P17" i="3"/>
  <c r="P61" i="3" s="1"/>
  <c r="P18" i="3"/>
  <c r="P62" i="3" s="1"/>
  <c r="P19" i="3"/>
  <c r="P63" i="3" s="1"/>
  <c r="P20" i="3"/>
  <c r="P64" i="3" s="1"/>
  <c r="P21" i="3"/>
  <c r="P65" i="3" s="1"/>
  <c r="P22" i="3"/>
  <c r="P66" i="3" s="1"/>
  <c r="P23" i="3"/>
  <c r="P67" i="3" s="1"/>
  <c r="P24" i="3"/>
  <c r="P68" i="3" s="1"/>
  <c r="P25" i="3"/>
  <c r="P69" i="3" s="1"/>
  <c r="P26" i="3"/>
  <c r="P70" i="3" s="1"/>
  <c r="P27" i="3"/>
  <c r="P71" i="3" s="1"/>
  <c r="P28" i="3"/>
  <c r="P72" i="3" s="1"/>
  <c r="P29" i="3"/>
  <c r="P73" i="3" s="1"/>
  <c r="P30" i="3"/>
  <c r="P74" i="3" s="1"/>
  <c r="P31" i="3"/>
  <c r="P75" i="3" s="1"/>
  <c r="P32" i="3"/>
  <c r="P76" i="3" s="1"/>
  <c r="P33" i="3"/>
  <c r="P77" i="3" s="1"/>
  <c r="Q15" i="3"/>
  <c r="Q59" i="3" s="1"/>
  <c r="Q9" i="3"/>
  <c r="Q53" i="3" s="1"/>
  <c r="Q10" i="3"/>
  <c r="Q54" i="3" s="1"/>
  <c r="Q11" i="3"/>
  <c r="Q55" i="3" s="1"/>
  <c r="Q12" i="3"/>
  <c r="Q56" i="3" s="1"/>
  <c r="Q13" i="3"/>
  <c r="Q57" i="3" s="1"/>
  <c r="Q14" i="3"/>
  <c r="Q58" i="3" s="1"/>
  <c r="Q16" i="3"/>
  <c r="Q60" i="3" s="1"/>
  <c r="Q17" i="3"/>
  <c r="Q61" i="3" s="1"/>
  <c r="Q18" i="3"/>
  <c r="Q62" i="3" s="1"/>
  <c r="Q19" i="3"/>
  <c r="Q63" i="3" s="1"/>
  <c r="Q20" i="3"/>
  <c r="Q64" i="3" s="1"/>
  <c r="Q21" i="3"/>
  <c r="Q65" i="3" s="1"/>
  <c r="Q22" i="3"/>
  <c r="Q66" i="3" s="1"/>
  <c r="Q23" i="3"/>
  <c r="Q67" i="3" s="1"/>
  <c r="Q24" i="3"/>
  <c r="Q68" i="3" s="1"/>
  <c r="Q25" i="3"/>
  <c r="Q69" i="3" s="1"/>
  <c r="Q26" i="3"/>
  <c r="Q70" i="3" s="1"/>
  <c r="Q27" i="3"/>
  <c r="Q71" i="3" s="1"/>
  <c r="Q28" i="3"/>
  <c r="Q72" i="3" s="1"/>
  <c r="Q29" i="3"/>
  <c r="Q73" i="3" s="1"/>
  <c r="Q30" i="3"/>
  <c r="Q74" i="3" s="1"/>
  <c r="Q31" i="3"/>
  <c r="Q75" i="3" s="1"/>
  <c r="Q32" i="3"/>
  <c r="Q76" i="3" s="1"/>
  <c r="Q33" i="3"/>
  <c r="Q77" i="3" s="1"/>
  <c r="R15" i="3"/>
  <c r="R59" i="3" s="1"/>
  <c r="R9" i="3"/>
  <c r="R53" i="3" s="1"/>
  <c r="R10" i="3"/>
  <c r="R54" i="3" s="1"/>
  <c r="R11" i="3"/>
  <c r="R55" i="3" s="1"/>
  <c r="R12" i="3"/>
  <c r="R13" i="3"/>
  <c r="R57" i="3" s="1"/>
  <c r="R14" i="3"/>
  <c r="R58" i="3" s="1"/>
  <c r="R16" i="3"/>
  <c r="R60" i="3" s="1"/>
  <c r="R17" i="3"/>
  <c r="R61" i="3" s="1"/>
  <c r="R18" i="3"/>
  <c r="R62" i="3" s="1"/>
  <c r="R19" i="3"/>
  <c r="R63" i="3" s="1"/>
  <c r="R20" i="3"/>
  <c r="R64" i="3" s="1"/>
  <c r="R21" i="3"/>
  <c r="R65" i="3" s="1"/>
  <c r="R22" i="3"/>
  <c r="R66" i="3" s="1"/>
  <c r="R23" i="3"/>
  <c r="R67" i="3" s="1"/>
  <c r="R24" i="3"/>
  <c r="R68" i="3" s="1"/>
  <c r="R25" i="3"/>
  <c r="R69" i="3" s="1"/>
  <c r="R26" i="3"/>
  <c r="R70" i="3" s="1"/>
  <c r="R27" i="3"/>
  <c r="R71" i="3" s="1"/>
  <c r="R28" i="3"/>
  <c r="R72" i="3" s="1"/>
  <c r="R29" i="3"/>
  <c r="R73" i="3" s="1"/>
  <c r="R30" i="3"/>
  <c r="R74" i="3" s="1"/>
  <c r="R31" i="3"/>
  <c r="R75" i="3" s="1"/>
  <c r="R32" i="3"/>
  <c r="R76" i="3" s="1"/>
  <c r="R33" i="3"/>
  <c r="R77" i="3" s="1"/>
  <c r="S15" i="3"/>
  <c r="S59" i="3" s="1"/>
  <c r="S9" i="3"/>
  <c r="S53" i="3" s="1"/>
  <c r="S10" i="3"/>
  <c r="S54" i="3" s="1"/>
  <c r="S11" i="3"/>
  <c r="S55" i="3" s="1"/>
  <c r="S12" i="3"/>
  <c r="S56" i="3" s="1"/>
  <c r="S13" i="3"/>
  <c r="S57" i="3" s="1"/>
  <c r="S14" i="3"/>
  <c r="S58" i="3" s="1"/>
  <c r="S16" i="3"/>
  <c r="S60" i="3" s="1"/>
  <c r="S17" i="3"/>
  <c r="S61" i="3" s="1"/>
  <c r="S18" i="3"/>
  <c r="S62" i="3" s="1"/>
  <c r="S19" i="3"/>
  <c r="S63" i="3" s="1"/>
  <c r="S20" i="3"/>
  <c r="S64" i="3" s="1"/>
  <c r="S21" i="3"/>
  <c r="S65" i="3" s="1"/>
  <c r="S22" i="3"/>
  <c r="S66" i="3" s="1"/>
  <c r="S23" i="3"/>
  <c r="S67" i="3" s="1"/>
  <c r="S24" i="3"/>
  <c r="S68" i="3" s="1"/>
  <c r="S25" i="3"/>
  <c r="S69" i="3" s="1"/>
  <c r="S26" i="3"/>
  <c r="S70" i="3" s="1"/>
  <c r="S27" i="3"/>
  <c r="S71" i="3" s="1"/>
  <c r="S28" i="3"/>
  <c r="S72" i="3" s="1"/>
  <c r="S29" i="3"/>
  <c r="S73" i="3" s="1"/>
  <c r="S30" i="3"/>
  <c r="S74" i="3" s="1"/>
  <c r="S31" i="3"/>
  <c r="S75" i="3" s="1"/>
  <c r="S32" i="3"/>
  <c r="S76" i="3" s="1"/>
  <c r="S33" i="3"/>
  <c r="S77" i="3" s="1"/>
  <c r="T15" i="3"/>
  <c r="T59" i="3" s="1"/>
  <c r="T9" i="3"/>
  <c r="T53" i="3" s="1"/>
  <c r="T10" i="3"/>
  <c r="T54" i="3" s="1"/>
  <c r="T11" i="3"/>
  <c r="T55" i="3" s="1"/>
  <c r="T12" i="3"/>
  <c r="T56" i="3" s="1"/>
  <c r="T13" i="3"/>
  <c r="T57" i="3" s="1"/>
  <c r="T14" i="3"/>
  <c r="T58" i="3" s="1"/>
  <c r="T16" i="3"/>
  <c r="T60" i="3" s="1"/>
  <c r="T17" i="3"/>
  <c r="T61" i="3" s="1"/>
  <c r="T18" i="3"/>
  <c r="T62" i="3" s="1"/>
  <c r="T19" i="3"/>
  <c r="T63" i="3" s="1"/>
  <c r="T20" i="3"/>
  <c r="T64" i="3" s="1"/>
  <c r="T21" i="3"/>
  <c r="T65" i="3" s="1"/>
  <c r="T22" i="3"/>
  <c r="T66" i="3" s="1"/>
  <c r="T23" i="3"/>
  <c r="T67" i="3" s="1"/>
  <c r="T24" i="3"/>
  <c r="T68" i="3" s="1"/>
  <c r="T25" i="3"/>
  <c r="T69" i="3" s="1"/>
  <c r="T26" i="3"/>
  <c r="T70" i="3" s="1"/>
  <c r="T27" i="3"/>
  <c r="T71" i="3" s="1"/>
  <c r="T28" i="3"/>
  <c r="T72" i="3" s="1"/>
  <c r="T29" i="3"/>
  <c r="T73" i="3" s="1"/>
  <c r="T30" i="3"/>
  <c r="T74" i="3" s="1"/>
  <c r="T31" i="3"/>
  <c r="T75" i="3" s="1"/>
  <c r="T32" i="3"/>
  <c r="T76" i="3" s="1"/>
  <c r="T33" i="3"/>
  <c r="T77" i="3" s="1"/>
  <c r="U15" i="3"/>
  <c r="U59" i="3" s="1"/>
  <c r="U9" i="3"/>
  <c r="U53" i="3" s="1"/>
  <c r="U10" i="3"/>
  <c r="U54" i="3" s="1"/>
  <c r="U11" i="3"/>
  <c r="U55" i="3" s="1"/>
  <c r="U12" i="3"/>
  <c r="U56" i="3" s="1"/>
  <c r="U13" i="3"/>
  <c r="U57" i="3" s="1"/>
  <c r="U14" i="3"/>
  <c r="U58" i="3" s="1"/>
  <c r="U16" i="3"/>
  <c r="U60" i="3" s="1"/>
  <c r="U17" i="3"/>
  <c r="U61" i="3" s="1"/>
  <c r="U18" i="3"/>
  <c r="U62" i="3" s="1"/>
  <c r="U19" i="3"/>
  <c r="U63" i="3" s="1"/>
  <c r="U20" i="3"/>
  <c r="U64" i="3" s="1"/>
  <c r="U21" i="3"/>
  <c r="U65" i="3" s="1"/>
  <c r="U22" i="3"/>
  <c r="U66" i="3" s="1"/>
  <c r="U23" i="3"/>
  <c r="U67" i="3" s="1"/>
  <c r="U24" i="3"/>
  <c r="U68" i="3" s="1"/>
  <c r="U25" i="3"/>
  <c r="U69" i="3" s="1"/>
  <c r="U26" i="3"/>
  <c r="U70" i="3" s="1"/>
  <c r="U27" i="3"/>
  <c r="U71" i="3" s="1"/>
  <c r="U28" i="3"/>
  <c r="U72" i="3" s="1"/>
  <c r="U29" i="3"/>
  <c r="U73" i="3" s="1"/>
  <c r="U30" i="3"/>
  <c r="U74" i="3" s="1"/>
  <c r="U31" i="3"/>
  <c r="U75" i="3" s="1"/>
  <c r="U32" i="3"/>
  <c r="U76" i="3" s="1"/>
  <c r="U33" i="3"/>
  <c r="U77" i="3" s="1"/>
  <c r="V15" i="3"/>
  <c r="V59" i="3" s="1"/>
  <c r="V9" i="3"/>
  <c r="V53" i="3" s="1"/>
  <c r="V10" i="3"/>
  <c r="V54" i="3" s="1"/>
  <c r="V11" i="3"/>
  <c r="V55" i="3" s="1"/>
  <c r="V12" i="3"/>
  <c r="V56" i="3" s="1"/>
  <c r="V13" i="3"/>
  <c r="V57" i="3" s="1"/>
  <c r="V14" i="3"/>
  <c r="V58" i="3" s="1"/>
  <c r="V16" i="3"/>
  <c r="V60" i="3" s="1"/>
  <c r="V17" i="3"/>
  <c r="V61" i="3" s="1"/>
  <c r="V18" i="3"/>
  <c r="V62" i="3" s="1"/>
  <c r="V19" i="3"/>
  <c r="V63" i="3" s="1"/>
  <c r="V20" i="3"/>
  <c r="V64" i="3" s="1"/>
  <c r="V21" i="3"/>
  <c r="V65" i="3" s="1"/>
  <c r="V22" i="3"/>
  <c r="V66" i="3" s="1"/>
  <c r="V23" i="3"/>
  <c r="V67" i="3" s="1"/>
  <c r="V24" i="3"/>
  <c r="V68" i="3" s="1"/>
  <c r="V25" i="3"/>
  <c r="V69" i="3" s="1"/>
  <c r="V26" i="3"/>
  <c r="V70" i="3" s="1"/>
  <c r="V27" i="3"/>
  <c r="V71" i="3" s="1"/>
  <c r="V28" i="3"/>
  <c r="V72" i="3" s="1"/>
  <c r="V29" i="3"/>
  <c r="V73" i="3" s="1"/>
  <c r="V30" i="3"/>
  <c r="V74" i="3" s="1"/>
  <c r="V31" i="3"/>
  <c r="V75" i="3" s="1"/>
  <c r="V32" i="3"/>
  <c r="V76" i="3" s="1"/>
  <c r="V33" i="3"/>
  <c r="V77" i="3" s="1"/>
  <c r="W15" i="3"/>
  <c r="W59" i="3" s="1"/>
  <c r="W9" i="3"/>
  <c r="W53" i="3" s="1"/>
  <c r="W10" i="3"/>
  <c r="W54" i="3" s="1"/>
  <c r="W11" i="3"/>
  <c r="W55" i="3" s="1"/>
  <c r="W12" i="3"/>
  <c r="W56" i="3" s="1"/>
  <c r="W13" i="3"/>
  <c r="W14" i="3"/>
  <c r="W58" i="3" s="1"/>
  <c r="W16" i="3"/>
  <c r="W60" i="3" s="1"/>
  <c r="W17" i="3"/>
  <c r="W61" i="3" s="1"/>
  <c r="W18" i="3"/>
  <c r="W62" i="3" s="1"/>
  <c r="W19" i="3"/>
  <c r="W63" i="3" s="1"/>
  <c r="W20" i="3"/>
  <c r="W64" i="3" s="1"/>
  <c r="W21" i="3"/>
  <c r="W65" i="3" s="1"/>
  <c r="W22" i="3"/>
  <c r="W66" i="3" s="1"/>
  <c r="W23" i="3"/>
  <c r="W67" i="3" s="1"/>
  <c r="W24" i="3"/>
  <c r="W68" i="3" s="1"/>
  <c r="W25" i="3"/>
  <c r="W69" i="3" s="1"/>
  <c r="W26" i="3"/>
  <c r="W70" i="3" s="1"/>
  <c r="W27" i="3"/>
  <c r="W71" i="3" s="1"/>
  <c r="W28" i="3"/>
  <c r="W72" i="3" s="1"/>
  <c r="W29" i="3"/>
  <c r="W73" i="3" s="1"/>
  <c r="W30" i="3"/>
  <c r="W74" i="3" s="1"/>
  <c r="W31" i="3"/>
  <c r="W75" i="3" s="1"/>
  <c r="W32" i="3"/>
  <c r="W76" i="3" s="1"/>
  <c r="W33" i="3"/>
  <c r="W77" i="3" s="1"/>
  <c r="X15" i="3"/>
  <c r="X59" i="3" s="1"/>
  <c r="X9" i="3"/>
  <c r="X53" i="3" s="1"/>
  <c r="X10" i="3"/>
  <c r="X54" i="3" s="1"/>
  <c r="X11" i="3"/>
  <c r="X55" i="3" s="1"/>
  <c r="X12" i="3"/>
  <c r="X56" i="3" s="1"/>
  <c r="X13" i="3"/>
  <c r="X57" i="3" s="1"/>
  <c r="X14" i="3"/>
  <c r="X58" i="3" s="1"/>
  <c r="X16" i="3"/>
  <c r="X60" i="3" s="1"/>
  <c r="X17" i="3"/>
  <c r="X61" i="3" s="1"/>
  <c r="X18" i="3"/>
  <c r="X62" i="3" s="1"/>
  <c r="X19" i="3"/>
  <c r="X63" i="3" s="1"/>
  <c r="X20" i="3"/>
  <c r="X64" i="3" s="1"/>
  <c r="X21" i="3"/>
  <c r="X65" i="3" s="1"/>
  <c r="X22" i="3"/>
  <c r="X66" i="3" s="1"/>
  <c r="X23" i="3"/>
  <c r="X67" i="3" s="1"/>
  <c r="X24" i="3"/>
  <c r="X68" i="3" s="1"/>
  <c r="X25" i="3"/>
  <c r="X69" i="3" s="1"/>
  <c r="X26" i="3"/>
  <c r="X70" i="3" s="1"/>
  <c r="X27" i="3"/>
  <c r="X71" i="3" s="1"/>
  <c r="X28" i="3"/>
  <c r="X72" i="3" s="1"/>
  <c r="X29" i="3"/>
  <c r="X73" i="3" s="1"/>
  <c r="X30" i="3"/>
  <c r="X74" i="3" s="1"/>
  <c r="X31" i="3"/>
  <c r="X75" i="3" s="1"/>
  <c r="X32" i="3"/>
  <c r="X76" i="3" s="1"/>
  <c r="X33" i="3"/>
  <c r="X77" i="3" s="1"/>
  <c r="Y15" i="3"/>
  <c r="Y59" i="3" s="1"/>
  <c r="Y9" i="3"/>
  <c r="Y53" i="3" s="1"/>
  <c r="Y10" i="3"/>
  <c r="Y54" i="3" s="1"/>
  <c r="Y11" i="3"/>
  <c r="Y55" i="3" s="1"/>
  <c r="Y12" i="3"/>
  <c r="Y56" i="3" s="1"/>
  <c r="Y13" i="3"/>
  <c r="Y57" i="3" s="1"/>
  <c r="Y14" i="3"/>
  <c r="Y58" i="3" s="1"/>
  <c r="Y16" i="3"/>
  <c r="Y60" i="3" s="1"/>
  <c r="Y17" i="3"/>
  <c r="Y61" i="3" s="1"/>
  <c r="Y18" i="3"/>
  <c r="Y62" i="3" s="1"/>
  <c r="Y19" i="3"/>
  <c r="Y63" i="3" s="1"/>
  <c r="Y20" i="3"/>
  <c r="Y64" i="3" s="1"/>
  <c r="Y21" i="3"/>
  <c r="Y65" i="3" s="1"/>
  <c r="Y22" i="3"/>
  <c r="Y66" i="3" s="1"/>
  <c r="Y23" i="3"/>
  <c r="Y67" i="3" s="1"/>
  <c r="Y24" i="3"/>
  <c r="Y68" i="3" s="1"/>
  <c r="Y25" i="3"/>
  <c r="Y69" i="3" s="1"/>
  <c r="Y26" i="3"/>
  <c r="Y70" i="3" s="1"/>
  <c r="Y27" i="3"/>
  <c r="Y71" i="3" s="1"/>
  <c r="Y28" i="3"/>
  <c r="Y72" i="3" s="1"/>
  <c r="Y29" i="3"/>
  <c r="Y73" i="3" s="1"/>
  <c r="Y30" i="3"/>
  <c r="Y74" i="3" s="1"/>
  <c r="Y31" i="3"/>
  <c r="Y75" i="3" s="1"/>
  <c r="Y32" i="3"/>
  <c r="Y76" i="3" s="1"/>
  <c r="Y33" i="3"/>
  <c r="Y77" i="3" s="1"/>
  <c r="Z15" i="3"/>
  <c r="Z59" i="3" s="1"/>
  <c r="Z9" i="3"/>
  <c r="Z53" i="3" s="1"/>
  <c r="Z10" i="3"/>
  <c r="Z54" i="3" s="1"/>
  <c r="Z11" i="3"/>
  <c r="Z55" i="3" s="1"/>
  <c r="Z12" i="3"/>
  <c r="Z56" i="3" s="1"/>
  <c r="Z13" i="3"/>
  <c r="Z57" i="3" s="1"/>
  <c r="Z14" i="3"/>
  <c r="Z58" i="3" s="1"/>
  <c r="Z16" i="3"/>
  <c r="Z60" i="3" s="1"/>
  <c r="Z17" i="3"/>
  <c r="Z61" i="3" s="1"/>
  <c r="Z18" i="3"/>
  <c r="Z62" i="3" s="1"/>
  <c r="Z19" i="3"/>
  <c r="Z63" i="3" s="1"/>
  <c r="Z20" i="3"/>
  <c r="Z64" i="3" s="1"/>
  <c r="Z21" i="3"/>
  <c r="Z65" i="3" s="1"/>
  <c r="Z22" i="3"/>
  <c r="Z66" i="3" s="1"/>
  <c r="Z23" i="3"/>
  <c r="Z67" i="3" s="1"/>
  <c r="Z24" i="3"/>
  <c r="Z68" i="3" s="1"/>
  <c r="Z25" i="3"/>
  <c r="Z69" i="3" s="1"/>
  <c r="Z26" i="3"/>
  <c r="Z70" i="3" s="1"/>
  <c r="Z27" i="3"/>
  <c r="Z71" i="3" s="1"/>
  <c r="Z28" i="3"/>
  <c r="Z72" i="3" s="1"/>
  <c r="Z29" i="3"/>
  <c r="Z73" i="3" s="1"/>
  <c r="Z30" i="3"/>
  <c r="Z74" i="3" s="1"/>
  <c r="Z31" i="3"/>
  <c r="Z75" i="3" s="1"/>
  <c r="Z32" i="3"/>
  <c r="Z76" i="3" s="1"/>
  <c r="Z33" i="3"/>
  <c r="Z77" i="3" s="1"/>
  <c r="AA15" i="3"/>
  <c r="AA59" i="3" s="1"/>
  <c r="AA9" i="3"/>
  <c r="AA53" i="3" s="1"/>
  <c r="AA10" i="3"/>
  <c r="AA54" i="3" s="1"/>
  <c r="AA11" i="3"/>
  <c r="AA55" i="3" s="1"/>
  <c r="AA12" i="3"/>
  <c r="AA56" i="3" s="1"/>
  <c r="AA13" i="3"/>
  <c r="AA57" i="3" s="1"/>
  <c r="AA14" i="3"/>
  <c r="AA58" i="3" s="1"/>
  <c r="AA16" i="3"/>
  <c r="AA60" i="3" s="1"/>
  <c r="AA17" i="3"/>
  <c r="AA61" i="3" s="1"/>
  <c r="AA18" i="3"/>
  <c r="AA62" i="3" s="1"/>
  <c r="AA19" i="3"/>
  <c r="AA63" i="3" s="1"/>
  <c r="AA20" i="3"/>
  <c r="AA64" i="3" s="1"/>
  <c r="AA21" i="3"/>
  <c r="AA65" i="3" s="1"/>
  <c r="AA22" i="3"/>
  <c r="AA66" i="3" s="1"/>
  <c r="AA23" i="3"/>
  <c r="AA67" i="3" s="1"/>
  <c r="AA24" i="3"/>
  <c r="AA68" i="3" s="1"/>
  <c r="AA25" i="3"/>
  <c r="AA69" i="3" s="1"/>
  <c r="AA26" i="3"/>
  <c r="AA70" i="3" s="1"/>
  <c r="AA27" i="3"/>
  <c r="AA71" i="3" s="1"/>
  <c r="AA28" i="3"/>
  <c r="AA72" i="3" s="1"/>
  <c r="AA29" i="3"/>
  <c r="AA73" i="3" s="1"/>
  <c r="AA30" i="3"/>
  <c r="AA74" i="3" s="1"/>
  <c r="AA31" i="3"/>
  <c r="AA75" i="3" s="1"/>
  <c r="AA32" i="3"/>
  <c r="AA76" i="3" s="1"/>
  <c r="AA33" i="3"/>
  <c r="AA77" i="3" s="1"/>
  <c r="AB15" i="3"/>
  <c r="AB59" i="3" s="1"/>
  <c r="AB9" i="3"/>
  <c r="AB53" i="3" s="1"/>
  <c r="AB10" i="3"/>
  <c r="AB54" i="3" s="1"/>
  <c r="AB11" i="3"/>
  <c r="AB55" i="3" s="1"/>
  <c r="AB12" i="3"/>
  <c r="AB56" i="3" s="1"/>
  <c r="AB13" i="3"/>
  <c r="AB57" i="3" s="1"/>
  <c r="AB14" i="3"/>
  <c r="AB58" i="3" s="1"/>
  <c r="AB16" i="3"/>
  <c r="AB60" i="3" s="1"/>
  <c r="AB17" i="3"/>
  <c r="AB61" i="3" s="1"/>
  <c r="AB18" i="3"/>
  <c r="AB62" i="3" s="1"/>
  <c r="AB19" i="3"/>
  <c r="AB63" i="3" s="1"/>
  <c r="AB20" i="3"/>
  <c r="AB64" i="3" s="1"/>
  <c r="AB21" i="3"/>
  <c r="AB65" i="3" s="1"/>
  <c r="AB22" i="3"/>
  <c r="AB66" i="3" s="1"/>
  <c r="AB23" i="3"/>
  <c r="AB67" i="3" s="1"/>
  <c r="AB24" i="3"/>
  <c r="AB68" i="3" s="1"/>
  <c r="AB25" i="3"/>
  <c r="AB69" i="3" s="1"/>
  <c r="AB26" i="3"/>
  <c r="AB70" i="3" s="1"/>
  <c r="AB27" i="3"/>
  <c r="AB71" i="3" s="1"/>
  <c r="AB28" i="3"/>
  <c r="AB72" i="3" s="1"/>
  <c r="AB29" i="3"/>
  <c r="AB73" i="3" s="1"/>
  <c r="AB30" i="3"/>
  <c r="AB74" i="3" s="1"/>
  <c r="AB31" i="3"/>
  <c r="AB75" i="3" s="1"/>
  <c r="AB32" i="3"/>
  <c r="AB76" i="3" s="1"/>
  <c r="AB33" i="3"/>
  <c r="AB77" i="3" s="1"/>
  <c r="AC15" i="3"/>
  <c r="AC59" i="3" s="1"/>
  <c r="AC9" i="3"/>
  <c r="AC53" i="3" s="1"/>
  <c r="AC10" i="3"/>
  <c r="AC54" i="3" s="1"/>
  <c r="AC11" i="3"/>
  <c r="AC55" i="3" s="1"/>
  <c r="AC12" i="3"/>
  <c r="AC56" i="3" s="1"/>
  <c r="AC13" i="3"/>
  <c r="AC57" i="3" s="1"/>
  <c r="AC14" i="3"/>
  <c r="AC58" i="3" s="1"/>
  <c r="AC16" i="3"/>
  <c r="AC60" i="3" s="1"/>
  <c r="AC17" i="3"/>
  <c r="AC61" i="3" s="1"/>
  <c r="AC18" i="3"/>
  <c r="AC62" i="3" s="1"/>
  <c r="AC19" i="3"/>
  <c r="AC63" i="3" s="1"/>
  <c r="AC20" i="3"/>
  <c r="AC64" i="3" s="1"/>
  <c r="AC21" i="3"/>
  <c r="AC65" i="3" s="1"/>
  <c r="AC22" i="3"/>
  <c r="AC66" i="3" s="1"/>
  <c r="AC23" i="3"/>
  <c r="AC67" i="3" s="1"/>
  <c r="AC24" i="3"/>
  <c r="AC68" i="3" s="1"/>
  <c r="AC25" i="3"/>
  <c r="AC69" i="3" s="1"/>
  <c r="AC26" i="3"/>
  <c r="AC70" i="3" s="1"/>
  <c r="AC27" i="3"/>
  <c r="AC71" i="3" s="1"/>
  <c r="AC28" i="3"/>
  <c r="AC72" i="3" s="1"/>
  <c r="AC29" i="3"/>
  <c r="AC73" i="3" s="1"/>
  <c r="AC30" i="3"/>
  <c r="AC74" i="3" s="1"/>
  <c r="AC31" i="3"/>
  <c r="AC75" i="3" s="1"/>
  <c r="AC32" i="3"/>
  <c r="AC76" i="3" s="1"/>
  <c r="AC33" i="3"/>
  <c r="AC77" i="3" s="1"/>
  <c r="AD15" i="3"/>
  <c r="AD59" i="3" s="1"/>
  <c r="AD9" i="3"/>
  <c r="AD53" i="3" s="1"/>
  <c r="AD10" i="3"/>
  <c r="AD54" i="3" s="1"/>
  <c r="AD11" i="3"/>
  <c r="AD55" i="3" s="1"/>
  <c r="AD12" i="3"/>
  <c r="AD56" i="3" s="1"/>
  <c r="AD13" i="3"/>
  <c r="AD57" i="3" s="1"/>
  <c r="AD14" i="3"/>
  <c r="AD58" i="3" s="1"/>
  <c r="AD16" i="3"/>
  <c r="AD60" i="3" s="1"/>
  <c r="AD17" i="3"/>
  <c r="AD61" i="3" s="1"/>
  <c r="AD18" i="3"/>
  <c r="AD62" i="3" s="1"/>
  <c r="AD19" i="3"/>
  <c r="AD63" i="3" s="1"/>
  <c r="AD20" i="3"/>
  <c r="AD64" i="3" s="1"/>
  <c r="AD21" i="3"/>
  <c r="AD65" i="3" s="1"/>
  <c r="AD22" i="3"/>
  <c r="AD66" i="3" s="1"/>
  <c r="AD23" i="3"/>
  <c r="AD67" i="3" s="1"/>
  <c r="AD24" i="3"/>
  <c r="AD68" i="3" s="1"/>
  <c r="AD25" i="3"/>
  <c r="AD69" i="3" s="1"/>
  <c r="AD26" i="3"/>
  <c r="AD70" i="3" s="1"/>
  <c r="AD27" i="3"/>
  <c r="AD71" i="3" s="1"/>
  <c r="AD28" i="3"/>
  <c r="AD72" i="3" s="1"/>
  <c r="AD29" i="3"/>
  <c r="AD73" i="3" s="1"/>
  <c r="AD30" i="3"/>
  <c r="AD74" i="3" s="1"/>
  <c r="AD31" i="3"/>
  <c r="AD75" i="3" s="1"/>
  <c r="AD32" i="3"/>
  <c r="AD76" i="3" s="1"/>
  <c r="AD33" i="3"/>
  <c r="AD77" i="3" s="1"/>
  <c r="AE15" i="3"/>
  <c r="AE59" i="3" s="1"/>
  <c r="AE9" i="3"/>
  <c r="AE53" i="3" s="1"/>
  <c r="AE10" i="3"/>
  <c r="AE54" i="3" s="1"/>
  <c r="AE11" i="3"/>
  <c r="AE55" i="3" s="1"/>
  <c r="AE12" i="3"/>
  <c r="AE13" i="3"/>
  <c r="AE57" i="3" s="1"/>
  <c r="AE14" i="3"/>
  <c r="AE58" i="3" s="1"/>
  <c r="AE16" i="3"/>
  <c r="AE60" i="3" s="1"/>
  <c r="AE17" i="3"/>
  <c r="AE61" i="3" s="1"/>
  <c r="AE18" i="3"/>
  <c r="AE62" i="3" s="1"/>
  <c r="AE19" i="3"/>
  <c r="AE63" i="3" s="1"/>
  <c r="AE20" i="3"/>
  <c r="AE64" i="3" s="1"/>
  <c r="AE21" i="3"/>
  <c r="AE65" i="3" s="1"/>
  <c r="AE22" i="3"/>
  <c r="AE66" i="3" s="1"/>
  <c r="AE23" i="3"/>
  <c r="AE67" i="3" s="1"/>
  <c r="AE24" i="3"/>
  <c r="AE68" i="3" s="1"/>
  <c r="AE25" i="3"/>
  <c r="AE69" i="3" s="1"/>
  <c r="AE26" i="3"/>
  <c r="AE70" i="3" s="1"/>
  <c r="AE27" i="3"/>
  <c r="AE71" i="3" s="1"/>
  <c r="AE28" i="3"/>
  <c r="AE72" i="3" s="1"/>
  <c r="AE29" i="3"/>
  <c r="AE73" i="3" s="1"/>
  <c r="AE30" i="3"/>
  <c r="AE74" i="3" s="1"/>
  <c r="AE31" i="3"/>
  <c r="AE75" i="3" s="1"/>
  <c r="AE32" i="3"/>
  <c r="AE76" i="3" s="1"/>
  <c r="AE33" i="3"/>
  <c r="AE77" i="3" s="1"/>
  <c r="AF15" i="3"/>
  <c r="AF59" i="3" s="1"/>
  <c r="AF9" i="3"/>
  <c r="AF53" i="3" s="1"/>
  <c r="AF10" i="3"/>
  <c r="AF54" i="3" s="1"/>
  <c r="AF11" i="3"/>
  <c r="AF55" i="3" s="1"/>
  <c r="AF12" i="3"/>
  <c r="AF56" i="3" s="1"/>
  <c r="AF13" i="3"/>
  <c r="AF57" i="3" s="1"/>
  <c r="AF14" i="3"/>
  <c r="AF58" i="3" s="1"/>
  <c r="AF16" i="3"/>
  <c r="AF60" i="3" s="1"/>
  <c r="AF17" i="3"/>
  <c r="AF61" i="3" s="1"/>
  <c r="AF18" i="3"/>
  <c r="AF62" i="3" s="1"/>
  <c r="AF19" i="3"/>
  <c r="AF63" i="3" s="1"/>
  <c r="AF20" i="3"/>
  <c r="AF64" i="3" s="1"/>
  <c r="AF21" i="3"/>
  <c r="AF65" i="3" s="1"/>
  <c r="AF22" i="3"/>
  <c r="AF66" i="3" s="1"/>
  <c r="AF23" i="3"/>
  <c r="AF67" i="3" s="1"/>
  <c r="AF24" i="3"/>
  <c r="AF68" i="3" s="1"/>
  <c r="AF25" i="3"/>
  <c r="AF69" i="3" s="1"/>
  <c r="AF26" i="3"/>
  <c r="AF70" i="3" s="1"/>
  <c r="AF27" i="3"/>
  <c r="AF71" i="3" s="1"/>
  <c r="AF28" i="3"/>
  <c r="AF72" i="3" s="1"/>
  <c r="AF29" i="3"/>
  <c r="AF73" i="3" s="1"/>
  <c r="AF30" i="3"/>
  <c r="AF74" i="3" s="1"/>
  <c r="AF31" i="3"/>
  <c r="AF75" i="3" s="1"/>
  <c r="AF32" i="3"/>
  <c r="AF76" i="3" s="1"/>
  <c r="AF33" i="3"/>
  <c r="AF77" i="3" s="1"/>
  <c r="BB9" i="2"/>
  <c r="BB10" i="2"/>
  <c r="AG15" i="3"/>
  <c r="AG59" i="3" s="1"/>
  <c r="AG9" i="3"/>
  <c r="AG53" i="3" s="1"/>
  <c r="AG10" i="3"/>
  <c r="AG54" i="3" s="1"/>
  <c r="AG11" i="3"/>
  <c r="AG55" i="3" s="1"/>
  <c r="AG12" i="3"/>
  <c r="AG56" i="3" s="1"/>
  <c r="AG13" i="3"/>
  <c r="AG57" i="3" s="1"/>
  <c r="AG58" i="3"/>
  <c r="AG16" i="3"/>
  <c r="AG60" i="3" s="1"/>
  <c r="AG17" i="3"/>
  <c r="AG61" i="3" s="1"/>
  <c r="AG18" i="3"/>
  <c r="AG62" i="3" s="1"/>
  <c r="AG19" i="3"/>
  <c r="AG63" i="3" s="1"/>
  <c r="AG20" i="3"/>
  <c r="AG64" i="3" s="1"/>
  <c r="AG21" i="3"/>
  <c r="AG65" i="3" s="1"/>
  <c r="AG22" i="3"/>
  <c r="AG66" i="3" s="1"/>
  <c r="AG23" i="3"/>
  <c r="AG67" i="3" s="1"/>
  <c r="AG24" i="3"/>
  <c r="AG68" i="3" s="1"/>
  <c r="AG25" i="3"/>
  <c r="AG69" i="3" s="1"/>
  <c r="AG26" i="3"/>
  <c r="AG70" i="3" s="1"/>
  <c r="AG27" i="3"/>
  <c r="AG71" i="3" s="1"/>
  <c r="AG28" i="3"/>
  <c r="AG72" i="3" s="1"/>
  <c r="AG29" i="3"/>
  <c r="AG73" i="3" s="1"/>
  <c r="AG30" i="3"/>
  <c r="AG74" i="3" s="1"/>
  <c r="AG31" i="3"/>
  <c r="AG75" i="3" s="1"/>
  <c r="AG32" i="3"/>
  <c r="AG76" i="3" s="1"/>
  <c r="AG33" i="3"/>
  <c r="AG77" i="3" s="1"/>
  <c r="AH15" i="3"/>
  <c r="AH59" i="3" s="1"/>
  <c r="AH9" i="3"/>
  <c r="AH53" i="3" s="1"/>
  <c r="AH10" i="3"/>
  <c r="AH54" i="3" s="1"/>
  <c r="AH11" i="3"/>
  <c r="AH55" i="3" s="1"/>
  <c r="AH12" i="3"/>
  <c r="AH56" i="3" s="1"/>
  <c r="AH13" i="3"/>
  <c r="AH57" i="3" s="1"/>
  <c r="AH14" i="3"/>
  <c r="AH58" i="3" s="1"/>
  <c r="AH16" i="3"/>
  <c r="AH60" i="3" s="1"/>
  <c r="AH17" i="3"/>
  <c r="AH61" i="3" s="1"/>
  <c r="AH18" i="3"/>
  <c r="AH62" i="3" s="1"/>
  <c r="AH19" i="3"/>
  <c r="AH63" i="3" s="1"/>
  <c r="AH20" i="3"/>
  <c r="AH64" i="3" s="1"/>
  <c r="AH21" i="3"/>
  <c r="AH65" i="3" s="1"/>
  <c r="AH22" i="3"/>
  <c r="AH66" i="3" s="1"/>
  <c r="AH23" i="3"/>
  <c r="AH67" i="3" s="1"/>
  <c r="AH24" i="3"/>
  <c r="AH68" i="3" s="1"/>
  <c r="AH25" i="3"/>
  <c r="AH69" i="3" s="1"/>
  <c r="AH26" i="3"/>
  <c r="AH70" i="3" s="1"/>
  <c r="AH27" i="3"/>
  <c r="AH71" i="3" s="1"/>
  <c r="AH28" i="3"/>
  <c r="AH72" i="3" s="1"/>
  <c r="AH29" i="3"/>
  <c r="AH73" i="3" s="1"/>
  <c r="AH30" i="3"/>
  <c r="AH74" i="3" s="1"/>
  <c r="AH31" i="3"/>
  <c r="AH75" i="3" s="1"/>
  <c r="AH32" i="3"/>
  <c r="AH76" i="3" s="1"/>
  <c r="AH33" i="3"/>
  <c r="AH77" i="3" s="1"/>
  <c r="AI15" i="3"/>
  <c r="AI59" i="3" s="1"/>
  <c r="AI9" i="3"/>
  <c r="AI53" i="3" s="1"/>
  <c r="AI10" i="3"/>
  <c r="AI54" i="3" s="1"/>
  <c r="AI11" i="3"/>
  <c r="AI55" i="3" s="1"/>
  <c r="AI12" i="3"/>
  <c r="AI56" i="3" s="1"/>
  <c r="AI13" i="3"/>
  <c r="AI57" i="3" s="1"/>
  <c r="AI14" i="3"/>
  <c r="AI58" i="3" s="1"/>
  <c r="AI16" i="3"/>
  <c r="AI60" i="3" s="1"/>
  <c r="AI17" i="3"/>
  <c r="AI61" i="3" s="1"/>
  <c r="AI18" i="3"/>
  <c r="AI62" i="3" s="1"/>
  <c r="AI19" i="3"/>
  <c r="AI63" i="3" s="1"/>
  <c r="AI20" i="3"/>
  <c r="AI64" i="3" s="1"/>
  <c r="AI21" i="3"/>
  <c r="AI65" i="3" s="1"/>
  <c r="AI22" i="3"/>
  <c r="AI66" i="3" s="1"/>
  <c r="AI23" i="3"/>
  <c r="AI67" i="3" s="1"/>
  <c r="AI24" i="3"/>
  <c r="AI68" i="3" s="1"/>
  <c r="AI25" i="3"/>
  <c r="AI69" i="3" s="1"/>
  <c r="AI26" i="3"/>
  <c r="AI70" i="3" s="1"/>
  <c r="AI27" i="3"/>
  <c r="AI71" i="3" s="1"/>
  <c r="AI28" i="3"/>
  <c r="AI72" i="3" s="1"/>
  <c r="AI29" i="3"/>
  <c r="AI73" i="3" s="1"/>
  <c r="AI30" i="3"/>
  <c r="AI74" i="3" s="1"/>
  <c r="AI31" i="3"/>
  <c r="AI75" i="3" s="1"/>
  <c r="AI32" i="3"/>
  <c r="AI76" i="3" s="1"/>
  <c r="AI33" i="3"/>
  <c r="AI77" i="3" s="1"/>
  <c r="AJ15" i="3"/>
  <c r="AJ59" i="3" s="1"/>
  <c r="AJ9" i="3"/>
  <c r="AJ53" i="3" s="1"/>
  <c r="AJ10" i="3"/>
  <c r="AJ54" i="3" s="1"/>
  <c r="AJ11" i="3"/>
  <c r="AJ55" i="3" s="1"/>
  <c r="AJ12" i="3"/>
  <c r="AJ56" i="3" s="1"/>
  <c r="AJ13" i="3"/>
  <c r="AJ57" i="3" s="1"/>
  <c r="AJ14" i="3"/>
  <c r="AJ58" i="3" s="1"/>
  <c r="AJ16" i="3"/>
  <c r="AJ60" i="3" s="1"/>
  <c r="AJ17" i="3"/>
  <c r="AJ61" i="3" s="1"/>
  <c r="AJ18" i="3"/>
  <c r="AJ62" i="3" s="1"/>
  <c r="AJ19" i="3"/>
  <c r="AJ63" i="3" s="1"/>
  <c r="AJ20" i="3"/>
  <c r="AJ64" i="3" s="1"/>
  <c r="AJ21" i="3"/>
  <c r="AJ65" i="3" s="1"/>
  <c r="AJ22" i="3"/>
  <c r="AJ66" i="3" s="1"/>
  <c r="AJ23" i="3"/>
  <c r="AJ67" i="3" s="1"/>
  <c r="AJ24" i="3"/>
  <c r="AJ68" i="3" s="1"/>
  <c r="AJ25" i="3"/>
  <c r="AJ69" i="3" s="1"/>
  <c r="AJ26" i="3"/>
  <c r="AJ70" i="3" s="1"/>
  <c r="AJ27" i="3"/>
  <c r="AJ71" i="3" s="1"/>
  <c r="AJ28" i="3"/>
  <c r="AJ72" i="3" s="1"/>
  <c r="AJ29" i="3"/>
  <c r="AJ73" i="3" s="1"/>
  <c r="AJ30" i="3"/>
  <c r="AJ74" i="3" s="1"/>
  <c r="AJ31" i="3"/>
  <c r="AJ75" i="3" s="1"/>
  <c r="AJ32" i="3"/>
  <c r="AJ76" i="3" s="1"/>
  <c r="AJ33" i="3"/>
  <c r="AJ77" i="3" s="1"/>
  <c r="AK15" i="3"/>
  <c r="AK59" i="3" s="1"/>
  <c r="AK9" i="3"/>
  <c r="AK53" i="3" s="1"/>
  <c r="AK10" i="3"/>
  <c r="AK54" i="3" s="1"/>
  <c r="AK11" i="3"/>
  <c r="AK55" i="3" s="1"/>
  <c r="AK12" i="3"/>
  <c r="AK56" i="3" s="1"/>
  <c r="AK13" i="3"/>
  <c r="AK57" i="3" s="1"/>
  <c r="AK14" i="3"/>
  <c r="AK58" i="3" s="1"/>
  <c r="AK16" i="3"/>
  <c r="AK60" i="3" s="1"/>
  <c r="AK17" i="3"/>
  <c r="AK61" i="3" s="1"/>
  <c r="AK18" i="3"/>
  <c r="AK62" i="3" s="1"/>
  <c r="AK19" i="3"/>
  <c r="AK63" i="3" s="1"/>
  <c r="AK20" i="3"/>
  <c r="AK64" i="3" s="1"/>
  <c r="AK21" i="3"/>
  <c r="AK65" i="3" s="1"/>
  <c r="AK22" i="3"/>
  <c r="AK66" i="3" s="1"/>
  <c r="AK23" i="3"/>
  <c r="AK67" i="3" s="1"/>
  <c r="AK24" i="3"/>
  <c r="AK68" i="3" s="1"/>
  <c r="AK25" i="3"/>
  <c r="AK69" i="3" s="1"/>
  <c r="AK26" i="3"/>
  <c r="AK70" i="3" s="1"/>
  <c r="AK27" i="3"/>
  <c r="AK71" i="3" s="1"/>
  <c r="AK28" i="3"/>
  <c r="AK72" i="3" s="1"/>
  <c r="AK29" i="3"/>
  <c r="AK73" i="3" s="1"/>
  <c r="AK30" i="3"/>
  <c r="AK74" i="3" s="1"/>
  <c r="AK31" i="3"/>
  <c r="AK75" i="3" s="1"/>
  <c r="AK32" i="3"/>
  <c r="AK76" i="3" s="1"/>
  <c r="AK33" i="3"/>
  <c r="AK77" i="3" s="1"/>
  <c r="AL15" i="3"/>
  <c r="AL59" i="3" s="1"/>
  <c r="AL9" i="3"/>
  <c r="AL53" i="3" s="1"/>
  <c r="AL10" i="3"/>
  <c r="AL54" i="3" s="1"/>
  <c r="AL11" i="3"/>
  <c r="AL55" i="3" s="1"/>
  <c r="AL12" i="3"/>
  <c r="AL56" i="3" s="1"/>
  <c r="AL13" i="3"/>
  <c r="AL57" i="3" s="1"/>
  <c r="AL14" i="3"/>
  <c r="AL58" i="3" s="1"/>
  <c r="AL16" i="3"/>
  <c r="AL60" i="3" s="1"/>
  <c r="AL17" i="3"/>
  <c r="AL61" i="3" s="1"/>
  <c r="AL18" i="3"/>
  <c r="AL62" i="3" s="1"/>
  <c r="AL19" i="3"/>
  <c r="AL63" i="3" s="1"/>
  <c r="AL20" i="3"/>
  <c r="AL64" i="3" s="1"/>
  <c r="AL21" i="3"/>
  <c r="AL65" i="3" s="1"/>
  <c r="AL22" i="3"/>
  <c r="AL66" i="3" s="1"/>
  <c r="AL23" i="3"/>
  <c r="AL67" i="3" s="1"/>
  <c r="AL24" i="3"/>
  <c r="AL68" i="3" s="1"/>
  <c r="AL25" i="3"/>
  <c r="AL69" i="3" s="1"/>
  <c r="AL26" i="3"/>
  <c r="AL70" i="3" s="1"/>
  <c r="AL27" i="3"/>
  <c r="AL71" i="3" s="1"/>
  <c r="AL28" i="3"/>
  <c r="AL72" i="3" s="1"/>
  <c r="AL29" i="3"/>
  <c r="AL73" i="3" s="1"/>
  <c r="AL30" i="3"/>
  <c r="AL74" i="3" s="1"/>
  <c r="AL31" i="3"/>
  <c r="AL75" i="3" s="1"/>
  <c r="AL32" i="3"/>
  <c r="AL76" i="3" s="1"/>
  <c r="AL33" i="3"/>
  <c r="AL77" i="3" s="1"/>
  <c r="AM15" i="3"/>
  <c r="AM59" i="3" s="1"/>
  <c r="AM9" i="3"/>
  <c r="AM53" i="3" s="1"/>
  <c r="AM10" i="3"/>
  <c r="AM54" i="3" s="1"/>
  <c r="AM11" i="3"/>
  <c r="AM55" i="3" s="1"/>
  <c r="AM12" i="3"/>
  <c r="AM56" i="3" s="1"/>
  <c r="AM13" i="3"/>
  <c r="AM57" i="3" s="1"/>
  <c r="AM14" i="3"/>
  <c r="AM58" i="3" s="1"/>
  <c r="AM16" i="3"/>
  <c r="AM60" i="3" s="1"/>
  <c r="AM17" i="3"/>
  <c r="AM61" i="3" s="1"/>
  <c r="AM18" i="3"/>
  <c r="AM62" i="3" s="1"/>
  <c r="AM19" i="3"/>
  <c r="AM63" i="3" s="1"/>
  <c r="AM20" i="3"/>
  <c r="AM64" i="3" s="1"/>
  <c r="AM21" i="3"/>
  <c r="AM65" i="3" s="1"/>
  <c r="AM22" i="3"/>
  <c r="AM66" i="3" s="1"/>
  <c r="AM23" i="3"/>
  <c r="AM67" i="3" s="1"/>
  <c r="AM24" i="3"/>
  <c r="AM68" i="3" s="1"/>
  <c r="AM25" i="3"/>
  <c r="AM69" i="3" s="1"/>
  <c r="AM26" i="3"/>
  <c r="AM70" i="3" s="1"/>
  <c r="AM27" i="3"/>
  <c r="AM71" i="3" s="1"/>
  <c r="AM28" i="3"/>
  <c r="AM72" i="3" s="1"/>
  <c r="AM29" i="3"/>
  <c r="AM73" i="3" s="1"/>
  <c r="AM30" i="3"/>
  <c r="AM74" i="3" s="1"/>
  <c r="AM31" i="3"/>
  <c r="AM75" i="3" s="1"/>
  <c r="AM32" i="3"/>
  <c r="AM76" i="3" s="1"/>
  <c r="AM33" i="3"/>
  <c r="AM77" i="3" s="1"/>
  <c r="AN15" i="3"/>
  <c r="AN59" i="3" s="1"/>
  <c r="AN9" i="3"/>
  <c r="AN53" i="3" s="1"/>
  <c r="AN10" i="3"/>
  <c r="AN54" i="3" s="1"/>
  <c r="AN11" i="3"/>
  <c r="AN55" i="3" s="1"/>
  <c r="AN12" i="3"/>
  <c r="AN13" i="3"/>
  <c r="AN57" i="3" s="1"/>
  <c r="AN14" i="3"/>
  <c r="AN58" i="3" s="1"/>
  <c r="AN16" i="3"/>
  <c r="AN60" i="3" s="1"/>
  <c r="AN17" i="3"/>
  <c r="AN61" i="3" s="1"/>
  <c r="AN18" i="3"/>
  <c r="AN62" i="3" s="1"/>
  <c r="AN19" i="3"/>
  <c r="AN63" i="3" s="1"/>
  <c r="AN20" i="3"/>
  <c r="AN64" i="3" s="1"/>
  <c r="AN21" i="3"/>
  <c r="AN65" i="3" s="1"/>
  <c r="AN22" i="3"/>
  <c r="AN66" i="3" s="1"/>
  <c r="AN23" i="3"/>
  <c r="AN67" i="3" s="1"/>
  <c r="AN24" i="3"/>
  <c r="AN68" i="3" s="1"/>
  <c r="AN25" i="3"/>
  <c r="AN69" i="3" s="1"/>
  <c r="AN26" i="3"/>
  <c r="AN70" i="3" s="1"/>
  <c r="AN27" i="3"/>
  <c r="AN71" i="3" s="1"/>
  <c r="AN28" i="3"/>
  <c r="AN72" i="3" s="1"/>
  <c r="AN29" i="3"/>
  <c r="AN73" i="3" s="1"/>
  <c r="AN30" i="3"/>
  <c r="AN74" i="3" s="1"/>
  <c r="AN31" i="3"/>
  <c r="AN75" i="3" s="1"/>
  <c r="AN32" i="3"/>
  <c r="AN76" i="3" s="1"/>
  <c r="AN33" i="3"/>
  <c r="AN77" i="3" s="1"/>
  <c r="AO15" i="3"/>
  <c r="AO59" i="3" s="1"/>
  <c r="AO9" i="3"/>
  <c r="AO53" i="3" s="1"/>
  <c r="AO10" i="3"/>
  <c r="AO54" i="3" s="1"/>
  <c r="AO11" i="3"/>
  <c r="AO55" i="3" s="1"/>
  <c r="AO12" i="3"/>
  <c r="AO56" i="3" s="1"/>
  <c r="AO13" i="3"/>
  <c r="AO57" i="3" s="1"/>
  <c r="AO14" i="3"/>
  <c r="AO58" i="3" s="1"/>
  <c r="AO16" i="3"/>
  <c r="AO60" i="3" s="1"/>
  <c r="AO17" i="3"/>
  <c r="AO61" i="3" s="1"/>
  <c r="AO18" i="3"/>
  <c r="AO62" i="3" s="1"/>
  <c r="AO19" i="3"/>
  <c r="AO63" i="3" s="1"/>
  <c r="AO20" i="3"/>
  <c r="AO64" i="3" s="1"/>
  <c r="AO21" i="3"/>
  <c r="AO65" i="3" s="1"/>
  <c r="AO22" i="3"/>
  <c r="AO66" i="3" s="1"/>
  <c r="AO23" i="3"/>
  <c r="AO67" i="3" s="1"/>
  <c r="AO24" i="3"/>
  <c r="AO68" i="3" s="1"/>
  <c r="AO25" i="3"/>
  <c r="AO69" i="3" s="1"/>
  <c r="AO26" i="3"/>
  <c r="AO70" i="3" s="1"/>
  <c r="AO27" i="3"/>
  <c r="AO71" i="3" s="1"/>
  <c r="AO28" i="3"/>
  <c r="AO72" i="3" s="1"/>
  <c r="AO29" i="3"/>
  <c r="AO73" i="3" s="1"/>
  <c r="AO30" i="3"/>
  <c r="AO74" i="3" s="1"/>
  <c r="AO31" i="3"/>
  <c r="AO75" i="3" s="1"/>
  <c r="AO32" i="3"/>
  <c r="AO76" i="3" s="1"/>
  <c r="AO33" i="3"/>
  <c r="AO77" i="3" s="1"/>
  <c r="AP15" i="3"/>
  <c r="AP59" i="3" s="1"/>
  <c r="AP9" i="3"/>
  <c r="AP53" i="3" s="1"/>
  <c r="AP10" i="3"/>
  <c r="AP54" i="3" s="1"/>
  <c r="AP11" i="3"/>
  <c r="AP55" i="3" s="1"/>
  <c r="AP12" i="3"/>
  <c r="AP56" i="3" s="1"/>
  <c r="AP13" i="3"/>
  <c r="AP57" i="3" s="1"/>
  <c r="AP14" i="3"/>
  <c r="AP58" i="3" s="1"/>
  <c r="AP16" i="3"/>
  <c r="AP60" i="3" s="1"/>
  <c r="AP17" i="3"/>
  <c r="AP61" i="3" s="1"/>
  <c r="AP18" i="3"/>
  <c r="AP62" i="3" s="1"/>
  <c r="AP19" i="3"/>
  <c r="AP63" i="3" s="1"/>
  <c r="AP20" i="3"/>
  <c r="AP64" i="3" s="1"/>
  <c r="AP21" i="3"/>
  <c r="AP65" i="3" s="1"/>
  <c r="AP22" i="3"/>
  <c r="AP66" i="3" s="1"/>
  <c r="AP23" i="3"/>
  <c r="AP67" i="3" s="1"/>
  <c r="AP24" i="3"/>
  <c r="AP68" i="3" s="1"/>
  <c r="AP25" i="3"/>
  <c r="AP69" i="3" s="1"/>
  <c r="AP26" i="3"/>
  <c r="AP70" i="3" s="1"/>
  <c r="AP27" i="3"/>
  <c r="AP71" i="3" s="1"/>
  <c r="AP28" i="3"/>
  <c r="AP72" i="3" s="1"/>
  <c r="AP29" i="3"/>
  <c r="AP73" i="3" s="1"/>
  <c r="AP30" i="3"/>
  <c r="AP74" i="3" s="1"/>
  <c r="AP31" i="3"/>
  <c r="AP75" i="3" s="1"/>
  <c r="AP32" i="3"/>
  <c r="AP76" i="3" s="1"/>
  <c r="AP33" i="3"/>
  <c r="AP77" i="3" s="1"/>
  <c r="AQ15" i="3"/>
  <c r="AQ59" i="3" s="1"/>
  <c r="AQ9" i="3"/>
  <c r="AQ53" i="3" s="1"/>
  <c r="AQ10" i="3"/>
  <c r="AQ54" i="3" s="1"/>
  <c r="AQ11" i="3"/>
  <c r="AQ55" i="3" s="1"/>
  <c r="AQ12" i="3"/>
  <c r="AQ56" i="3" s="1"/>
  <c r="AQ13" i="3"/>
  <c r="AQ57" i="3" s="1"/>
  <c r="AQ14" i="3"/>
  <c r="AQ58" i="3" s="1"/>
  <c r="AQ16" i="3"/>
  <c r="AQ60" i="3" s="1"/>
  <c r="AQ17" i="3"/>
  <c r="AQ61" i="3" s="1"/>
  <c r="AQ18" i="3"/>
  <c r="AQ62" i="3" s="1"/>
  <c r="AQ19" i="3"/>
  <c r="AQ63" i="3" s="1"/>
  <c r="AQ20" i="3"/>
  <c r="AQ64" i="3" s="1"/>
  <c r="AQ21" i="3"/>
  <c r="AQ65" i="3" s="1"/>
  <c r="AQ22" i="3"/>
  <c r="AQ66" i="3" s="1"/>
  <c r="AQ23" i="3"/>
  <c r="AQ67" i="3" s="1"/>
  <c r="AQ24" i="3"/>
  <c r="AQ68" i="3" s="1"/>
  <c r="AQ25" i="3"/>
  <c r="AQ69" i="3" s="1"/>
  <c r="AQ26" i="3"/>
  <c r="AQ70" i="3" s="1"/>
  <c r="AQ27" i="3"/>
  <c r="AQ71" i="3" s="1"/>
  <c r="AQ28" i="3"/>
  <c r="AQ72" i="3" s="1"/>
  <c r="AQ29" i="3"/>
  <c r="AQ73" i="3" s="1"/>
  <c r="AQ30" i="3"/>
  <c r="AQ74" i="3" s="1"/>
  <c r="AQ31" i="3"/>
  <c r="AQ75" i="3" s="1"/>
  <c r="AQ32" i="3"/>
  <c r="AQ76" i="3" s="1"/>
  <c r="AQ33" i="3"/>
  <c r="AQ77" i="3" s="1"/>
  <c r="AR15" i="3"/>
  <c r="AR59" i="3" s="1"/>
  <c r="AR9" i="3"/>
  <c r="AR53" i="3" s="1"/>
  <c r="AR10" i="3"/>
  <c r="AR54" i="3" s="1"/>
  <c r="AR11" i="3"/>
  <c r="AR55" i="3" s="1"/>
  <c r="AR12" i="3"/>
  <c r="AR56" i="3" s="1"/>
  <c r="AR13" i="3"/>
  <c r="AR57" i="3" s="1"/>
  <c r="AR14" i="3"/>
  <c r="AR58" i="3" s="1"/>
  <c r="AR16" i="3"/>
  <c r="AR60" i="3" s="1"/>
  <c r="AR17" i="3"/>
  <c r="AR61" i="3" s="1"/>
  <c r="AR18" i="3"/>
  <c r="AR62" i="3" s="1"/>
  <c r="AR19" i="3"/>
  <c r="AR63" i="3" s="1"/>
  <c r="AR20" i="3"/>
  <c r="AR64" i="3" s="1"/>
  <c r="AR21" i="3"/>
  <c r="AR65" i="3" s="1"/>
  <c r="AR22" i="3"/>
  <c r="AR66" i="3" s="1"/>
  <c r="AR23" i="3"/>
  <c r="AR67" i="3" s="1"/>
  <c r="AR24" i="3"/>
  <c r="AR68" i="3" s="1"/>
  <c r="AR25" i="3"/>
  <c r="AR69" i="3" s="1"/>
  <c r="AR26" i="3"/>
  <c r="AR70" i="3" s="1"/>
  <c r="AR27" i="3"/>
  <c r="AR71" i="3" s="1"/>
  <c r="AR28" i="3"/>
  <c r="AR72" i="3" s="1"/>
  <c r="AR29" i="3"/>
  <c r="AR73" i="3" s="1"/>
  <c r="AR30" i="3"/>
  <c r="AR74" i="3" s="1"/>
  <c r="AR31" i="3"/>
  <c r="AR75" i="3" s="1"/>
  <c r="AR32" i="3"/>
  <c r="AR76" i="3" s="1"/>
  <c r="AR33" i="3"/>
  <c r="AR77" i="3" s="1"/>
  <c r="AS15" i="3"/>
  <c r="AS59" i="3" s="1"/>
  <c r="AS9" i="3"/>
  <c r="AS53" i="3" s="1"/>
  <c r="AS10" i="3"/>
  <c r="AS54" i="3" s="1"/>
  <c r="AS11" i="3"/>
  <c r="AS55" i="3" s="1"/>
  <c r="AS12" i="3"/>
  <c r="AS56" i="3" s="1"/>
  <c r="AS13" i="3"/>
  <c r="AS57" i="3" s="1"/>
  <c r="AS14" i="3"/>
  <c r="AS58" i="3" s="1"/>
  <c r="AS16" i="3"/>
  <c r="AS60" i="3" s="1"/>
  <c r="AS17" i="3"/>
  <c r="AS61" i="3" s="1"/>
  <c r="AS18" i="3"/>
  <c r="AS62" i="3" s="1"/>
  <c r="AS19" i="3"/>
  <c r="AS63" i="3" s="1"/>
  <c r="AS20" i="3"/>
  <c r="AS64" i="3" s="1"/>
  <c r="AS21" i="3"/>
  <c r="AS65" i="3" s="1"/>
  <c r="AS22" i="3"/>
  <c r="AS66" i="3" s="1"/>
  <c r="AS23" i="3"/>
  <c r="AS67" i="3" s="1"/>
  <c r="AS24" i="3"/>
  <c r="AS68" i="3" s="1"/>
  <c r="AS25" i="3"/>
  <c r="AS69" i="3" s="1"/>
  <c r="AS26" i="3"/>
  <c r="AS70" i="3" s="1"/>
  <c r="AS27" i="3"/>
  <c r="AS71" i="3" s="1"/>
  <c r="AS28" i="3"/>
  <c r="AS72" i="3" s="1"/>
  <c r="AS29" i="3"/>
  <c r="AS73" i="3" s="1"/>
  <c r="AS30" i="3"/>
  <c r="AS74" i="3" s="1"/>
  <c r="AS31" i="3"/>
  <c r="AS75" i="3" s="1"/>
  <c r="AS32" i="3"/>
  <c r="AS76" i="3" s="1"/>
  <c r="AS33" i="3"/>
  <c r="AS77" i="3" s="1"/>
  <c r="AT15" i="3"/>
  <c r="AT59" i="3" s="1"/>
  <c r="AT9" i="3"/>
  <c r="AT53" i="3" s="1"/>
  <c r="AT10" i="3"/>
  <c r="AT54" i="3" s="1"/>
  <c r="AT11" i="3"/>
  <c r="AT55" i="3" s="1"/>
  <c r="AT12" i="3"/>
  <c r="AT13" i="3"/>
  <c r="AT57" i="3" s="1"/>
  <c r="AT14" i="3"/>
  <c r="AT58" i="3" s="1"/>
  <c r="AT16" i="3"/>
  <c r="AT60" i="3" s="1"/>
  <c r="AT17" i="3"/>
  <c r="AT61" i="3" s="1"/>
  <c r="AT18" i="3"/>
  <c r="AT62" i="3" s="1"/>
  <c r="AT19" i="3"/>
  <c r="AT63" i="3" s="1"/>
  <c r="AT20" i="3"/>
  <c r="AT64" i="3" s="1"/>
  <c r="AT21" i="3"/>
  <c r="AT65" i="3" s="1"/>
  <c r="AT22" i="3"/>
  <c r="AT66" i="3" s="1"/>
  <c r="AT23" i="3"/>
  <c r="AT67" i="3" s="1"/>
  <c r="AT24" i="3"/>
  <c r="AT68" i="3" s="1"/>
  <c r="AT25" i="3"/>
  <c r="AT69" i="3" s="1"/>
  <c r="AT26" i="3"/>
  <c r="AT70" i="3" s="1"/>
  <c r="AT27" i="3"/>
  <c r="AT71" i="3" s="1"/>
  <c r="AT28" i="3"/>
  <c r="AT72" i="3" s="1"/>
  <c r="AT29" i="3"/>
  <c r="AT73" i="3" s="1"/>
  <c r="AT30" i="3"/>
  <c r="AT74" i="3" s="1"/>
  <c r="AT31" i="3"/>
  <c r="AT75" i="3" s="1"/>
  <c r="AT32" i="3"/>
  <c r="AT76" i="3" s="1"/>
  <c r="AT33" i="3"/>
  <c r="AT77" i="3" s="1"/>
  <c r="AU15" i="3"/>
  <c r="AU59" i="3" s="1"/>
  <c r="AU9" i="3"/>
  <c r="AU53" i="3" s="1"/>
  <c r="AU10" i="3"/>
  <c r="AU54" i="3" s="1"/>
  <c r="AU11" i="3"/>
  <c r="AU55" i="3" s="1"/>
  <c r="AU12" i="3"/>
  <c r="AU56" i="3" s="1"/>
  <c r="AU13" i="3"/>
  <c r="AU57" i="3" s="1"/>
  <c r="AU14" i="3"/>
  <c r="AU58" i="3" s="1"/>
  <c r="AU16" i="3"/>
  <c r="AU60" i="3" s="1"/>
  <c r="AU17" i="3"/>
  <c r="AU61" i="3" s="1"/>
  <c r="AU18" i="3"/>
  <c r="AU62" i="3" s="1"/>
  <c r="AU19" i="3"/>
  <c r="AU63" i="3" s="1"/>
  <c r="AU20" i="3"/>
  <c r="AU64" i="3" s="1"/>
  <c r="AU21" i="3"/>
  <c r="AU65" i="3" s="1"/>
  <c r="AU22" i="3"/>
  <c r="AU66" i="3" s="1"/>
  <c r="AU23" i="3"/>
  <c r="AU67" i="3" s="1"/>
  <c r="AU24" i="3"/>
  <c r="AU68" i="3" s="1"/>
  <c r="AU25" i="3"/>
  <c r="AU69" i="3" s="1"/>
  <c r="AU26" i="3"/>
  <c r="AU70" i="3" s="1"/>
  <c r="AU27" i="3"/>
  <c r="AU71" i="3" s="1"/>
  <c r="AU28" i="3"/>
  <c r="AU72" i="3" s="1"/>
  <c r="AU29" i="3"/>
  <c r="AU73" i="3" s="1"/>
  <c r="AU30" i="3"/>
  <c r="AU74" i="3" s="1"/>
  <c r="AU31" i="3"/>
  <c r="AU75" i="3" s="1"/>
  <c r="AU32" i="3"/>
  <c r="AU76" i="3" s="1"/>
  <c r="AU33" i="3"/>
  <c r="AU77" i="3" s="1"/>
  <c r="AV15" i="3"/>
  <c r="AV59" i="3" s="1"/>
  <c r="AV9" i="3"/>
  <c r="AV53" i="3" s="1"/>
  <c r="AV10" i="3"/>
  <c r="AV54" i="3" s="1"/>
  <c r="AV11" i="3"/>
  <c r="AV55" i="3" s="1"/>
  <c r="AV12" i="3"/>
  <c r="AV56" i="3" s="1"/>
  <c r="AV13" i="3"/>
  <c r="AV57" i="3" s="1"/>
  <c r="AV14" i="3"/>
  <c r="AV58" i="3" s="1"/>
  <c r="AV16" i="3"/>
  <c r="AV60" i="3" s="1"/>
  <c r="AV17" i="3"/>
  <c r="AV61" i="3" s="1"/>
  <c r="AV18" i="3"/>
  <c r="AV62" i="3" s="1"/>
  <c r="AV19" i="3"/>
  <c r="AV63" i="3" s="1"/>
  <c r="AV20" i="3"/>
  <c r="AV64" i="3" s="1"/>
  <c r="AV21" i="3"/>
  <c r="AV65" i="3" s="1"/>
  <c r="AV22" i="3"/>
  <c r="AV66" i="3" s="1"/>
  <c r="AV23" i="3"/>
  <c r="AV67" i="3" s="1"/>
  <c r="AV24" i="3"/>
  <c r="AV68" i="3" s="1"/>
  <c r="AV25" i="3"/>
  <c r="AV69" i="3" s="1"/>
  <c r="AV26" i="3"/>
  <c r="AV70" i="3" s="1"/>
  <c r="AV27" i="3"/>
  <c r="AV71" i="3" s="1"/>
  <c r="AV28" i="3"/>
  <c r="AV72" i="3" s="1"/>
  <c r="AV29" i="3"/>
  <c r="AV73" i="3" s="1"/>
  <c r="AV30" i="3"/>
  <c r="AV74" i="3" s="1"/>
  <c r="AV31" i="3"/>
  <c r="AV75" i="3" s="1"/>
  <c r="AV32" i="3"/>
  <c r="AV76" i="3" s="1"/>
  <c r="AV33" i="3"/>
  <c r="AV77" i="3" s="1"/>
  <c r="AW15" i="3"/>
  <c r="AW59" i="3" s="1"/>
  <c r="AW9" i="3"/>
  <c r="AW53" i="3" s="1"/>
  <c r="AW10" i="3"/>
  <c r="AW54" i="3" s="1"/>
  <c r="AW11" i="3"/>
  <c r="AW55" i="3" s="1"/>
  <c r="AW12" i="3"/>
  <c r="AW56" i="3" s="1"/>
  <c r="AW13" i="3"/>
  <c r="AW57" i="3" s="1"/>
  <c r="AW14" i="3"/>
  <c r="AW58" i="3" s="1"/>
  <c r="AW16" i="3"/>
  <c r="AW60" i="3" s="1"/>
  <c r="AW17" i="3"/>
  <c r="AW61" i="3" s="1"/>
  <c r="AW18" i="3"/>
  <c r="AW62" i="3" s="1"/>
  <c r="AW19" i="3"/>
  <c r="AW63" i="3" s="1"/>
  <c r="AW20" i="3"/>
  <c r="AW64" i="3" s="1"/>
  <c r="AW21" i="3"/>
  <c r="AW65" i="3" s="1"/>
  <c r="AW22" i="3"/>
  <c r="AW66" i="3" s="1"/>
  <c r="AW23" i="3"/>
  <c r="AW67" i="3" s="1"/>
  <c r="AW24" i="3"/>
  <c r="AW68" i="3" s="1"/>
  <c r="AW25" i="3"/>
  <c r="AW69" i="3" s="1"/>
  <c r="AW26" i="3"/>
  <c r="AW70" i="3" s="1"/>
  <c r="AW27" i="3"/>
  <c r="AW71" i="3" s="1"/>
  <c r="AW28" i="3"/>
  <c r="AW72" i="3" s="1"/>
  <c r="AW29" i="3"/>
  <c r="AW73" i="3" s="1"/>
  <c r="AW30" i="3"/>
  <c r="AW74" i="3" s="1"/>
  <c r="AW31" i="3"/>
  <c r="AW75" i="3" s="1"/>
  <c r="AW32" i="3"/>
  <c r="AW76" i="3" s="1"/>
  <c r="AW33" i="3"/>
  <c r="AW77" i="3" s="1"/>
  <c r="AX15" i="3"/>
  <c r="AX59" i="3" s="1"/>
  <c r="AX9" i="3"/>
  <c r="AX53" i="3" s="1"/>
  <c r="AX10" i="3"/>
  <c r="AX54" i="3" s="1"/>
  <c r="AX11" i="3"/>
  <c r="AX55" i="3" s="1"/>
  <c r="AX12" i="3"/>
  <c r="AX56" i="3" s="1"/>
  <c r="AX13" i="3"/>
  <c r="AX57" i="3" s="1"/>
  <c r="AX14" i="3"/>
  <c r="AX58" i="3" s="1"/>
  <c r="AX16" i="3"/>
  <c r="AX60" i="3" s="1"/>
  <c r="AX17" i="3"/>
  <c r="AX61" i="3" s="1"/>
  <c r="AX18" i="3"/>
  <c r="AX62" i="3" s="1"/>
  <c r="AX19" i="3"/>
  <c r="AX63" i="3" s="1"/>
  <c r="AX20" i="3"/>
  <c r="AX64" i="3" s="1"/>
  <c r="AX21" i="3"/>
  <c r="AX65" i="3" s="1"/>
  <c r="AX22" i="3"/>
  <c r="AX66" i="3" s="1"/>
  <c r="AX23" i="3"/>
  <c r="AX67" i="3" s="1"/>
  <c r="AX24" i="3"/>
  <c r="AX68" i="3" s="1"/>
  <c r="AX25" i="3"/>
  <c r="AX69" i="3" s="1"/>
  <c r="AX26" i="3"/>
  <c r="AX70" i="3" s="1"/>
  <c r="AX27" i="3"/>
  <c r="AX71" i="3" s="1"/>
  <c r="AX28" i="3"/>
  <c r="AX72" i="3" s="1"/>
  <c r="AX29" i="3"/>
  <c r="AX73" i="3" s="1"/>
  <c r="AX30" i="3"/>
  <c r="AX74" i="3" s="1"/>
  <c r="AX31" i="3"/>
  <c r="AX75" i="3" s="1"/>
  <c r="AX32" i="3"/>
  <c r="AX76" i="3" s="1"/>
  <c r="AX33" i="3"/>
  <c r="AX77" i="3" s="1"/>
  <c r="AY15" i="3"/>
  <c r="AY59" i="3" s="1"/>
  <c r="AY9" i="3"/>
  <c r="AY53" i="3" s="1"/>
  <c r="AY10" i="3"/>
  <c r="AY54" i="3" s="1"/>
  <c r="AY11" i="3"/>
  <c r="AY55" i="3" s="1"/>
  <c r="AY12" i="3"/>
  <c r="AY56" i="3" s="1"/>
  <c r="AY13" i="3"/>
  <c r="AY57" i="3" s="1"/>
  <c r="AY14" i="3"/>
  <c r="AY58" i="3" s="1"/>
  <c r="AY16" i="3"/>
  <c r="AY60" i="3" s="1"/>
  <c r="AY17" i="3"/>
  <c r="AY61" i="3" s="1"/>
  <c r="AY18" i="3"/>
  <c r="AY62" i="3" s="1"/>
  <c r="AY19" i="3"/>
  <c r="AY63" i="3" s="1"/>
  <c r="AY20" i="3"/>
  <c r="AY64" i="3" s="1"/>
  <c r="AY21" i="3"/>
  <c r="AY65" i="3" s="1"/>
  <c r="AY22" i="3"/>
  <c r="AY66" i="3" s="1"/>
  <c r="AY23" i="3"/>
  <c r="AY67" i="3" s="1"/>
  <c r="AY24" i="3"/>
  <c r="AY68" i="3" s="1"/>
  <c r="AY25" i="3"/>
  <c r="AY69" i="3" s="1"/>
  <c r="AY26" i="3"/>
  <c r="AY70" i="3" s="1"/>
  <c r="AY27" i="3"/>
  <c r="AY71" i="3" s="1"/>
  <c r="AY28" i="3"/>
  <c r="AY72" i="3" s="1"/>
  <c r="AY29" i="3"/>
  <c r="AY73" i="3" s="1"/>
  <c r="AY30" i="3"/>
  <c r="AY74" i="3" s="1"/>
  <c r="AY31" i="3"/>
  <c r="AY75" i="3" s="1"/>
  <c r="AY32" i="3"/>
  <c r="AY76" i="3" s="1"/>
  <c r="AY33" i="3"/>
  <c r="AY77" i="3" s="1"/>
  <c r="AZ15" i="3"/>
  <c r="AZ59" i="3" s="1"/>
  <c r="AZ9" i="3"/>
  <c r="AZ53" i="3" s="1"/>
  <c r="AZ10" i="3"/>
  <c r="AZ54" i="3" s="1"/>
  <c r="AZ11" i="3"/>
  <c r="AZ55" i="3" s="1"/>
  <c r="AZ12" i="3"/>
  <c r="AZ56" i="3" s="1"/>
  <c r="AZ13" i="3"/>
  <c r="AZ57" i="3" s="1"/>
  <c r="AZ14" i="3"/>
  <c r="AZ58" i="3" s="1"/>
  <c r="AZ16" i="3"/>
  <c r="AZ60" i="3" s="1"/>
  <c r="AZ17" i="3"/>
  <c r="AZ61" i="3" s="1"/>
  <c r="AZ18" i="3"/>
  <c r="AZ62" i="3" s="1"/>
  <c r="AZ19" i="3"/>
  <c r="AZ63" i="3" s="1"/>
  <c r="AZ20" i="3"/>
  <c r="AZ64" i="3" s="1"/>
  <c r="AZ21" i="3"/>
  <c r="AZ65" i="3" s="1"/>
  <c r="AZ22" i="3"/>
  <c r="AZ66" i="3" s="1"/>
  <c r="AZ23" i="3"/>
  <c r="AZ67" i="3" s="1"/>
  <c r="AZ24" i="3"/>
  <c r="AZ68" i="3" s="1"/>
  <c r="AZ25" i="3"/>
  <c r="AZ69" i="3" s="1"/>
  <c r="AZ26" i="3"/>
  <c r="AZ70" i="3" s="1"/>
  <c r="AZ27" i="3"/>
  <c r="AZ71" i="3" s="1"/>
  <c r="AZ28" i="3"/>
  <c r="AZ72" i="3" s="1"/>
  <c r="AZ29" i="3"/>
  <c r="AZ73" i="3" s="1"/>
  <c r="AZ30" i="3"/>
  <c r="AZ74" i="3" s="1"/>
  <c r="AZ31" i="3"/>
  <c r="AZ75" i="3" s="1"/>
  <c r="AZ32" i="3"/>
  <c r="AZ76" i="3" s="1"/>
  <c r="AZ33" i="3"/>
  <c r="AZ77" i="3" s="1"/>
  <c r="BA15" i="3"/>
  <c r="BA59" i="3" s="1"/>
  <c r="BA9" i="3"/>
  <c r="BA53" i="3" s="1"/>
  <c r="BA10" i="3"/>
  <c r="BA54" i="3" s="1"/>
  <c r="BA11" i="3"/>
  <c r="BA55" i="3" s="1"/>
  <c r="BA12" i="3"/>
  <c r="BA13" i="3"/>
  <c r="BA57" i="3" s="1"/>
  <c r="BA14" i="3"/>
  <c r="BA58" i="3" s="1"/>
  <c r="BA16" i="3"/>
  <c r="BA60" i="3" s="1"/>
  <c r="BA17" i="3"/>
  <c r="BA61" i="3" s="1"/>
  <c r="BA18" i="3"/>
  <c r="BA62" i="3" s="1"/>
  <c r="BA19" i="3"/>
  <c r="BA63" i="3" s="1"/>
  <c r="BA20" i="3"/>
  <c r="BA64" i="3" s="1"/>
  <c r="BA21" i="3"/>
  <c r="BA65" i="3" s="1"/>
  <c r="BA22" i="3"/>
  <c r="BA66" i="3" s="1"/>
  <c r="BA23" i="3"/>
  <c r="BA67" i="3" s="1"/>
  <c r="BA24" i="3"/>
  <c r="BA68" i="3" s="1"/>
  <c r="BA25" i="3"/>
  <c r="BA69" i="3" s="1"/>
  <c r="BA26" i="3"/>
  <c r="BA70" i="3" s="1"/>
  <c r="BA27" i="3"/>
  <c r="BA71" i="3" s="1"/>
  <c r="BA28" i="3"/>
  <c r="BA72" i="3" s="1"/>
  <c r="BA29" i="3"/>
  <c r="BA73" i="3" s="1"/>
  <c r="BA30" i="3"/>
  <c r="BA74" i="3" s="1"/>
  <c r="BA31" i="3"/>
  <c r="BA75" i="3" s="1"/>
  <c r="BA32" i="3"/>
  <c r="BA76" i="3" s="1"/>
  <c r="BA33" i="3"/>
  <c r="BA77" i="3" s="1"/>
  <c r="BB290" i="4"/>
  <c r="BB289" i="4"/>
  <c r="BB288" i="4"/>
  <c r="BB287" i="4"/>
  <c r="B62" i="6"/>
  <c r="C62" i="6" s="1"/>
  <c r="B64" i="6"/>
  <c r="C64" i="6" s="1"/>
  <c r="B65" i="6"/>
  <c r="B68" i="6"/>
  <c r="C68" i="6" s="1"/>
  <c r="B66" i="6"/>
  <c r="C66" i="6" s="1"/>
  <c r="B69" i="6"/>
  <c r="B70" i="6"/>
  <c r="C70" i="6" s="1"/>
  <c r="B71" i="6"/>
  <c r="B72" i="6"/>
  <c r="C72" i="6" s="1"/>
  <c r="B73" i="6"/>
  <c r="B74" i="6"/>
  <c r="C74" i="6" s="1"/>
  <c r="B75" i="6"/>
  <c r="C75" i="6" s="1"/>
  <c r="B76" i="6"/>
  <c r="C76" i="6" s="1"/>
  <c r="B77" i="6"/>
  <c r="C77" i="6" s="1"/>
  <c r="B78" i="6"/>
  <c r="C78" i="6" s="1"/>
  <c r="B79" i="6"/>
  <c r="C79" i="6" s="1"/>
  <c r="B80" i="6"/>
  <c r="C80" i="6" s="1"/>
  <c r="B81" i="6"/>
  <c r="C81" i="6" s="1"/>
  <c r="B82" i="6"/>
  <c r="C82" i="6" s="1"/>
  <c r="B83" i="6"/>
  <c r="C83" i="6" s="1"/>
  <c r="B84" i="6"/>
  <c r="C84" i="6" s="1"/>
  <c r="B85" i="6"/>
  <c r="C85" i="6" s="1"/>
  <c r="B86" i="6"/>
  <c r="C86" i="6" s="1"/>
  <c r="B87" i="6"/>
  <c r="C87" i="6" s="1"/>
  <c r="B88" i="6"/>
  <c r="C88" i="6" s="1"/>
  <c r="B89" i="6"/>
  <c r="C89" i="6" s="1"/>
  <c r="B90" i="6"/>
  <c r="C90" i="6" s="1"/>
  <c r="B91" i="6"/>
  <c r="C91" i="6" s="1"/>
  <c r="B92" i="6"/>
  <c r="C92" i="6" s="1"/>
  <c r="B93" i="6"/>
  <c r="C93" i="6" s="1"/>
  <c r="B94" i="6"/>
  <c r="C94" i="6" s="1"/>
  <c r="B95" i="6"/>
  <c r="C95" i="6" s="1"/>
  <c r="B96" i="6"/>
  <c r="C96" i="6" s="1"/>
  <c r="B97" i="6"/>
  <c r="C97" i="6" s="1"/>
  <c r="B98" i="6"/>
  <c r="C98" i="6" s="1"/>
  <c r="B99" i="6"/>
  <c r="C99" i="6" s="1"/>
  <c r="B100" i="6"/>
  <c r="C100" i="6" s="1"/>
  <c r="B101" i="6"/>
  <c r="C101" i="6" s="1"/>
  <c r="B102" i="6"/>
  <c r="C102" i="6" s="1"/>
  <c r="B103" i="6"/>
  <c r="C103" i="6" s="1"/>
  <c r="B104" i="6"/>
  <c r="C104" i="6" s="1"/>
  <c r="B105" i="6"/>
  <c r="C105" i="6" s="1"/>
  <c r="B106" i="6"/>
  <c r="C106" i="6" s="1"/>
  <c r="B107" i="6"/>
  <c r="C107" i="6" s="1"/>
  <c r="B108" i="6"/>
  <c r="C108" i="6" s="1"/>
  <c r="B109" i="6"/>
  <c r="C109" i="6" s="1"/>
  <c r="B110" i="6"/>
  <c r="C110" i="6" s="1"/>
  <c r="BB13" i="2"/>
  <c r="BB14" i="2"/>
  <c r="BB15" i="2"/>
  <c r="BB16" i="2"/>
  <c r="BB17" i="2"/>
  <c r="BB18" i="2"/>
  <c r="BB19" i="2"/>
  <c r="BB20" i="2"/>
  <c r="BB21" i="2"/>
  <c r="BB22" i="2"/>
  <c r="BB23" i="2"/>
  <c r="BB24" i="2"/>
  <c r="BB25" i="2"/>
  <c r="BB26" i="2"/>
  <c r="BB27" i="2"/>
  <c r="BB28" i="2"/>
  <c r="BB29" i="2"/>
  <c r="BB30" i="2"/>
  <c r="BB31" i="2"/>
  <c r="BB32" i="2"/>
  <c r="BB33" i="2"/>
  <c r="BB34" i="2"/>
  <c r="BB35" i="2"/>
  <c r="BB36" i="2"/>
  <c r="BB5" i="4"/>
  <c r="G9" i="3"/>
  <c r="BF9" i="3" s="1"/>
  <c r="D5" i="6" s="1"/>
  <c r="BB6" i="4"/>
  <c r="BB7" i="4"/>
  <c r="BB8" i="4"/>
  <c r="BB9" i="4"/>
  <c r="BB10" i="4"/>
  <c r="BB12" i="4"/>
  <c r="BB13" i="4"/>
  <c r="BB14" i="4"/>
  <c r="BB15" i="4"/>
  <c r="BB16" i="4"/>
  <c r="BB17" i="4"/>
  <c r="BB18" i="4"/>
  <c r="BB19" i="4"/>
  <c r="BB20" i="4"/>
  <c r="BB21" i="4"/>
  <c r="BB22" i="4"/>
  <c r="BB23" i="4"/>
  <c r="BB24" i="4"/>
  <c r="BB25" i="4"/>
  <c r="BB26" i="4"/>
  <c r="BB27" i="4"/>
  <c r="BB28" i="4"/>
  <c r="BB29" i="4"/>
  <c r="BB30" i="4"/>
  <c r="BB31" i="4"/>
  <c r="BB32" i="4"/>
  <c r="BB33" i="4"/>
  <c r="BB34" i="4"/>
  <c r="BB35" i="4"/>
  <c r="BB36" i="4"/>
  <c r="BB37" i="4"/>
  <c r="BB38" i="4"/>
  <c r="BB39" i="4"/>
  <c r="BB40" i="4"/>
  <c r="BB41" i="4"/>
  <c r="BB42" i="4"/>
  <c r="BB43" i="4"/>
  <c r="BB44" i="4"/>
  <c r="BB45" i="4"/>
  <c r="BB46" i="4"/>
  <c r="BB47" i="4"/>
  <c r="BB48" i="4"/>
  <c r="BB49" i="4"/>
  <c r="BB50" i="4"/>
  <c r="BB51" i="4"/>
  <c r="BB52" i="4"/>
  <c r="BB53" i="4"/>
  <c r="BB54" i="4"/>
  <c r="BB55" i="4"/>
  <c r="BB56" i="4"/>
  <c r="BB57" i="4"/>
  <c r="BB58" i="4"/>
  <c r="BB59" i="4"/>
  <c r="BB60" i="4"/>
  <c r="BB61" i="4"/>
  <c r="BB62" i="4"/>
  <c r="BB63" i="4"/>
  <c r="BB64" i="4"/>
  <c r="BB65" i="4"/>
  <c r="BB66" i="4"/>
  <c r="BB67" i="4"/>
  <c r="BB68" i="4"/>
  <c r="BB69" i="4"/>
  <c r="BB70" i="4"/>
  <c r="BB71" i="4"/>
  <c r="BB72" i="4"/>
  <c r="BB73" i="4"/>
  <c r="BB74" i="4"/>
  <c r="BB75" i="4"/>
  <c r="BB76" i="4"/>
  <c r="BB77" i="4"/>
  <c r="BB78" i="4"/>
  <c r="BB79" i="4"/>
  <c r="BB80" i="4"/>
  <c r="BB81" i="4"/>
  <c r="BB82" i="4"/>
  <c r="BB83" i="4"/>
  <c r="BB84" i="4"/>
  <c r="BB85" i="4"/>
  <c r="BB86" i="4"/>
  <c r="BB87" i="4"/>
  <c r="BB88" i="4"/>
  <c r="BB89" i="4"/>
  <c r="BB90" i="4"/>
  <c r="BB91" i="4"/>
  <c r="BB92" i="4"/>
  <c r="BB93" i="4"/>
  <c r="BB94" i="4"/>
  <c r="BB95" i="4"/>
  <c r="BB96" i="4"/>
  <c r="BB97" i="4"/>
  <c r="BB98" i="4"/>
  <c r="BB99" i="4"/>
  <c r="BB100" i="4"/>
  <c r="BB101" i="4"/>
  <c r="BB102" i="4"/>
  <c r="BB103" i="4"/>
  <c r="BB104" i="4"/>
  <c r="BB105" i="4"/>
  <c r="BB106" i="4"/>
  <c r="BB107" i="4"/>
  <c r="BB108" i="4"/>
  <c r="BB109" i="4"/>
  <c r="BB110" i="4"/>
  <c r="BB111" i="4"/>
  <c r="BB112" i="4"/>
  <c r="BB113" i="4"/>
  <c r="BB114" i="4"/>
  <c r="BB115" i="4"/>
  <c r="BB116" i="4"/>
  <c r="BB117" i="4"/>
  <c r="BB118" i="4"/>
  <c r="BB119" i="4"/>
  <c r="BB120" i="4"/>
  <c r="BB121" i="4"/>
  <c r="BB122" i="4"/>
  <c r="BB123" i="4"/>
  <c r="BB124" i="4"/>
  <c r="BB125" i="4"/>
  <c r="BB126" i="4"/>
  <c r="BB127" i="4"/>
  <c r="BB128" i="4"/>
  <c r="BB129" i="4"/>
  <c r="BB130" i="4"/>
  <c r="BB131" i="4"/>
  <c r="BB132" i="4"/>
  <c r="BB133" i="4"/>
  <c r="BB134" i="4"/>
  <c r="BB135" i="4"/>
  <c r="BB136" i="4"/>
  <c r="BB137" i="4"/>
  <c r="BB138" i="4"/>
  <c r="BB139" i="4"/>
  <c r="BB140" i="4"/>
  <c r="BB141" i="4"/>
  <c r="BB142" i="4"/>
  <c r="BB143" i="4"/>
  <c r="BB144" i="4"/>
  <c r="BB145" i="4"/>
  <c r="BB146" i="4"/>
  <c r="BB147" i="4"/>
  <c r="BB148" i="4"/>
  <c r="BB149" i="4"/>
  <c r="BB150" i="4"/>
  <c r="BB151" i="4"/>
  <c r="BB152" i="4"/>
  <c r="BB153" i="4"/>
  <c r="BB154" i="4"/>
  <c r="BB155" i="4"/>
  <c r="BB156" i="4"/>
  <c r="BB157" i="4"/>
  <c r="BB158" i="4"/>
  <c r="BB159" i="4"/>
  <c r="BB160" i="4"/>
  <c r="BB161" i="4"/>
  <c r="BB162" i="4"/>
  <c r="BB163" i="4"/>
  <c r="BB164" i="4"/>
  <c r="BB165" i="4"/>
  <c r="BB166" i="4"/>
  <c r="BB167" i="4"/>
  <c r="BB168" i="4"/>
  <c r="BB169" i="4"/>
  <c r="BB170" i="4"/>
  <c r="BB171" i="4"/>
  <c r="BB172" i="4"/>
  <c r="BB173" i="4"/>
  <c r="BB174" i="4"/>
  <c r="BB175" i="4"/>
  <c r="BB176" i="4"/>
  <c r="BB177" i="4"/>
  <c r="BB178" i="4"/>
  <c r="BB179" i="4"/>
  <c r="BB180" i="4"/>
  <c r="BB181" i="4"/>
  <c r="BB182" i="4"/>
  <c r="BB183" i="4"/>
  <c r="BB184" i="4"/>
  <c r="BB185" i="4"/>
  <c r="BB186" i="4"/>
  <c r="BB187" i="4"/>
  <c r="BB188" i="4"/>
  <c r="BB189" i="4"/>
  <c r="BB190" i="4"/>
  <c r="BB191" i="4"/>
  <c r="BB192" i="4"/>
  <c r="BB193" i="4"/>
  <c r="BB194" i="4"/>
  <c r="BB195" i="4"/>
  <c r="BB196" i="4"/>
  <c r="BB197" i="4"/>
  <c r="BB198" i="4"/>
  <c r="BB199" i="4"/>
  <c r="BB200" i="4"/>
  <c r="BB201" i="4"/>
  <c r="BB202" i="4"/>
  <c r="BB203" i="4"/>
  <c r="BB204" i="4"/>
  <c r="BB205" i="4"/>
  <c r="BB206" i="4"/>
  <c r="BB207" i="4"/>
  <c r="BB208" i="4"/>
  <c r="BB209" i="4"/>
  <c r="BB210" i="4"/>
  <c r="BB211" i="4"/>
  <c r="BB212" i="4"/>
  <c r="BB213" i="4"/>
  <c r="BB214" i="4"/>
  <c r="BB215" i="4"/>
  <c r="BB216" i="4"/>
  <c r="BB217" i="4"/>
  <c r="BB218" i="4"/>
  <c r="BB219" i="4"/>
  <c r="BB220" i="4"/>
  <c r="BB221" i="4"/>
  <c r="BB222" i="4"/>
  <c r="BB223" i="4"/>
  <c r="BB224" i="4"/>
  <c r="BB225" i="4"/>
  <c r="BB226" i="4"/>
  <c r="BB227" i="4"/>
  <c r="BB228" i="4"/>
  <c r="BB229" i="4"/>
  <c r="BB230" i="4"/>
  <c r="BB231" i="4"/>
  <c r="BB232" i="4"/>
  <c r="BB233" i="4"/>
  <c r="BB234" i="4"/>
  <c r="BB235" i="4"/>
  <c r="BB236" i="4"/>
  <c r="BB237" i="4"/>
  <c r="BB238" i="4"/>
  <c r="BB239" i="4"/>
  <c r="BB240" i="4"/>
  <c r="BB241" i="4"/>
  <c r="BB242" i="4"/>
  <c r="BB243" i="4"/>
  <c r="BB244" i="4"/>
  <c r="BB245" i="4"/>
  <c r="BB246" i="4"/>
  <c r="BB247" i="4"/>
  <c r="BB248" i="4"/>
  <c r="BB249" i="4"/>
  <c r="BB250" i="4"/>
  <c r="BB251" i="4"/>
  <c r="BB252" i="4"/>
  <c r="BB253" i="4"/>
  <c r="BB254" i="4"/>
  <c r="BB255" i="4"/>
  <c r="BB256" i="4"/>
  <c r="BB257" i="4"/>
  <c r="BB258" i="4"/>
  <c r="BB259" i="4"/>
  <c r="BB260" i="4"/>
  <c r="BB261" i="4"/>
  <c r="BB262" i="4"/>
  <c r="BB263" i="4"/>
  <c r="BB264" i="4"/>
  <c r="BB265" i="4"/>
  <c r="BB266" i="4"/>
  <c r="BB267" i="4"/>
  <c r="BB268" i="4"/>
  <c r="BB269" i="4"/>
  <c r="BB270" i="4"/>
  <c r="BB271" i="4"/>
  <c r="BB272" i="4"/>
  <c r="BB273" i="4"/>
  <c r="BB274" i="4"/>
  <c r="BB275" i="4"/>
  <c r="BB276" i="4"/>
  <c r="BB277" i="4"/>
  <c r="BB278" i="4"/>
  <c r="BB279" i="4"/>
  <c r="BB280" i="4"/>
  <c r="BB281" i="4"/>
  <c r="BB282" i="4"/>
  <c r="BB283" i="4"/>
  <c r="BB284" i="4"/>
  <c r="BB285" i="4"/>
  <c r="BB286" i="4"/>
  <c r="BB291" i="4"/>
  <c r="BB292" i="4"/>
  <c r="BB293" i="4"/>
  <c r="BB294" i="4"/>
  <c r="BB295" i="4"/>
  <c r="BB296" i="4"/>
  <c r="BB297" i="4"/>
  <c r="BB298" i="4"/>
  <c r="BB299" i="4"/>
  <c r="BB300" i="4"/>
  <c r="BB301" i="4"/>
  <c r="BB302" i="4"/>
  <c r="BB303" i="4"/>
  <c r="BB304" i="4"/>
  <c r="BB305" i="4"/>
  <c r="BB306" i="4"/>
  <c r="BB307" i="4"/>
  <c r="BB308" i="4"/>
  <c r="BB309" i="4"/>
  <c r="BB310" i="4"/>
  <c r="AV4" i="2"/>
  <c r="AW4" i="2"/>
  <c r="AX4" i="2"/>
  <c r="AY4" i="2"/>
  <c r="AZ4" i="2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E19" i="3"/>
  <c r="C15" i="6" s="1"/>
  <c r="F15" i="6"/>
  <c r="F44" i="6" s="1"/>
  <c r="BE20" i="3"/>
  <c r="C16" i="6" s="1"/>
  <c r="G16" i="6" s="1"/>
  <c r="F16" i="6"/>
  <c r="F45" i="6" s="1"/>
  <c r="BE21" i="3"/>
  <c r="C17" i="6" s="1"/>
  <c r="F17" i="6"/>
  <c r="F46" i="6" s="1"/>
  <c r="BE22" i="3"/>
  <c r="C18" i="6" s="1"/>
  <c r="G18" i="6" s="1"/>
  <c r="F18" i="6"/>
  <c r="F47" i="6" s="1"/>
  <c r="BE23" i="3"/>
  <c r="C19" i="6" s="1"/>
  <c r="F19" i="6"/>
  <c r="F48" i="6" s="1"/>
  <c r="BE24" i="3"/>
  <c r="C20" i="6" s="1"/>
  <c r="F20" i="6"/>
  <c r="F49" i="6" s="1"/>
  <c r="BE25" i="3"/>
  <c r="C21" i="6" s="1"/>
  <c r="G21" i="6" s="1"/>
  <c r="F21" i="6"/>
  <c r="F50" i="6" s="1"/>
  <c r="BE26" i="3"/>
  <c r="C22" i="6" s="1"/>
  <c r="G22" i="6" s="1"/>
  <c r="F22" i="6"/>
  <c r="F51" i="6" s="1"/>
  <c r="BE27" i="3"/>
  <c r="C23" i="6" s="1"/>
  <c r="G23" i="6" s="1"/>
  <c r="F23" i="6"/>
  <c r="F52" i="6" s="1"/>
  <c r="B52" i="6" s="1"/>
  <c r="BE28" i="3"/>
  <c r="C24" i="6" s="1"/>
  <c r="G24" i="6" s="1"/>
  <c r="F24" i="6"/>
  <c r="F53" i="6" s="1"/>
  <c r="BE29" i="3"/>
  <c r="C25" i="6" s="1"/>
  <c r="G25" i="6" s="1"/>
  <c r="F25" i="6"/>
  <c r="F54" i="6" s="1"/>
  <c r="BE30" i="3"/>
  <c r="C26" i="6" s="1"/>
  <c r="G26" i="6" s="1"/>
  <c r="F26" i="6"/>
  <c r="F55" i="6" s="1"/>
  <c r="BE31" i="3"/>
  <c r="C27" i="6" s="1"/>
  <c r="G27" i="6" s="1"/>
  <c r="F27" i="6"/>
  <c r="F56" i="6" s="1"/>
  <c r="BE32" i="3"/>
  <c r="C28" i="6" s="1"/>
  <c r="G28" i="6" s="1"/>
  <c r="F28" i="6"/>
  <c r="F57" i="6" s="1"/>
  <c r="BE33" i="3"/>
  <c r="C29" i="6" s="1"/>
  <c r="G29" i="6" s="1"/>
  <c r="F29" i="6"/>
  <c r="F58" i="6" s="1"/>
  <c r="B6" i="6"/>
  <c r="B7" i="6"/>
  <c r="B8" i="6"/>
  <c r="B5" i="6"/>
  <c r="BE10" i="3"/>
  <c r="C6" i="6" s="1"/>
  <c r="BE11" i="3"/>
  <c r="C7" i="6" s="1"/>
  <c r="G7" i="6" s="1"/>
  <c r="BE12" i="3"/>
  <c r="C8" i="6" s="1"/>
  <c r="BE14" i="3"/>
  <c r="C10" i="6" s="1"/>
  <c r="G10" i="6" s="1"/>
  <c r="BE15" i="3"/>
  <c r="C11" i="6" s="1"/>
  <c r="G11" i="6" s="1"/>
  <c r="BE16" i="3"/>
  <c r="C12" i="6" s="1"/>
  <c r="G12" i="6" s="1"/>
  <c r="BE17" i="3"/>
  <c r="C13" i="6" s="1"/>
  <c r="G13" i="6" s="1"/>
  <c r="BE18" i="3"/>
  <c r="C14" i="6" s="1"/>
  <c r="G14" i="6" s="1"/>
  <c r="BE9" i="3"/>
  <c r="F7" i="6"/>
  <c r="F36" i="6" s="1"/>
  <c r="F8" i="6"/>
  <c r="F37" i="6" s="1"/>
  <c r="F9" i="6"/>
  <c r="F38" i="6" s="1"/>
  <c r="F10" i="6"/>
  <c r="F39" i="6" s="1"/>
  <c r="F11" i="6"/>
  <c r="F40" i="6" s="1"/>
  <c r="F12" i="6"/>
  <c r="F41" i="6" s="1"/>
  <c r="F13" i="6"/>
  <c r="F42" i="6" s="1"/>
  <c r="F14" i="6"/>
  <c r="F43" i="6" s="1"/>
  <c r="F5" i="6"/>
  <c r="F34" i="6" s="1"/>
  <c r="I4" i="2"/>
  <c r="J4" i="2"/>
  <c r="K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H4" i="2"/>
  <c r="L46" i="3"/>
  <c r="M46" i="3" s="1"/>
  <c r="N46" i="3" s="1"/>
  <c r="O46" i="3" s="1"/>
  <c r="P46" i="3" s="1"/>
  <c r="Q46" i="3" s="1"/>
  <c r="R46" i="3" s="1"/>
  <c r="S46" i="3" s="1"/>
  <c r="T46" i="3" s="1"/>
  <c r="U46" i="3" s="1"/>
  <c r="V46" i="3" s="1"/>
  <c r="W46" i="3" s="1"/>
  <c r="X46" i="3" s="1"/>
  <c r="Y46" i="3" s="1"/>
  <c r="Z46" i="3" s="1"/>
  <c r="AA46" i="3" s="1"/>
  <c r="AB46" i="3" s="1"/>
  <c r="AC46" i="3" s="1"/>
  <c r="AD46" i="3" s="1"/>
  <c r="AE46" i="3" s="1"/>
  <c r="AF46" i="3" s="1"/>
  <c r="AG46" i="3" s="1"/>
  <c r="AH46" i="3" s="1"/>
  <c r="AI46" i="3" s="1"/>
  <c r="AJ46" i="3" s="1"/>
  <c r="AK46" i="3" s="1"/>
  <c r="AL46" i="3" s="1"/>
  <c r="AM46" i="3" s="1"/>
  <c r="AN46" i="3" s="1"/>
  <c r="AO46" i="3" s="1"/>
  <c r="AP46" i="3" s="1"/>
  <c r="AQ46" i="3" s="1"/>
  <c r="AR46" i="3" s="1"/>
  <c r="AS46" i="3" s="1"/>
  <c r="AT46" i="3" s="1"/>
  <c r="AU46" i="3" s="1"/>
  <c r="AV46" i="3" s="1"/>
  <c r="AW46" i="3" s="1"/>
  <c r="AX46" i="3" s="1"/>
  <c r="AY46" i="3" s="1"/>
  <c r="AZ46" i="3" s="1"/>
  <c r="BA46" i="3" s="1"/>
  <c r="BB46" i="3" s="1"/>
  <c r="BB50" i="2"/>
  <c r="BB49" i="2"/>
  <c r="BB54" i="2"/>
  <c r="BB53" i="2"/>
  <c r="BB52" i="2"/>
  <c r="BB51" i="2"/>
  <c r="BB48" i="2"/>
  <c r="BB47" i="2"/>
  <c r="BB46" i="2"/>
  <c r="BB45" i="2"/>
  <c r="BB44" i="2"/>
  <c r="BB43" i="2"/>
  <c r="BB42" i="2"/>
  <c r="BB41" i="2"/>
  <c r="BB40" i="2"/>
  <c r="BB39" i="2"/>
  <c r="BB38" i="2"/>
  <c r="BB37" i="2"/>
  <c r="BM29" i="3"/>
  <c r="BM27" i="3"/>
  <c r="BM18" i="3"/>
  <c r="BM25" i="3"/>
  <c r="BM28" i="3"/>
  <c r="BM26" i="3"/>
  <c r="BM19" i="3"/>
  <c r="BM21" i="3"/>
  <c r="BM24" i="3"/>
  <c r="BM23" i="3"/>
  <c r="BM22" i="3"/>
  <c r="J71" i="3"/>
  <c r="J63" i="3"/>
  <c r="BF18" i="3"/>
  <c r="D14" i="6" s="1"/>
  <c r="AM34" i="3"/>
  <c r="AM35" i="3"/>
  <c r="BE13" i="3"/>
  <c r="C9" i="6" s="1"/>
  <c r="C34" i="3"/>
  <c r="BD25" i="3" s="1"/>
  <c r="G20" i="6" l="1"/>
  <c r="G17" i="6"/>
  <c r="G19" i="6"/>
  <c r="G8" i="6"/>
  <c r="G6" i="6"/>
  <c r="G9" i="6"/>
  <c r="E27" i="40"/>
  <c r="G27" i="40"/>
  <c r="E26" i="40"/>
  <c r="G26" i="40"/>
  <c r="C49" i="36"/>
  <c r="G49" i="36" s="1"/>
  <c r="C49" i="40"/>
  <c r="G15" i="6"/>
  <c r="G48" i="40"/>
  <c r="E48" i="40"/>
  <c r="G46" i="40"/>
  <c r="E46" i="40"/>
  <c r="G18" i="40"/>
  <c r="E18" i="40"/>
  <c r="E20" i="40"/>
  <c r="G20" i="40"/>
  <c r="G58" i="40"/>
  <c r="E58" i="40"/>
  <c r="G55" i="40"/>
  <c r="E55" i="40"/>
  <c r="G54" i="40"/>
  <c r="E53" i="40"/>
  <c r="G53" i="40"/>
  <c r="G52" i="40"/>
  <c r="BF30" i="3"/>
  <c r="D26" i="6" s="1"/>
  <c r="D55" i="6" s="1"/>
  <c r="J73" i="3"/>
  <c r="C18" i="36"/>
  <c r="C53" i="27"/>
  <c r="C53" i="36"/>
  <c r="C36" i="27"/>
  <c r="C36" i="36"/>
  <c r="C20" i="27"/>
  <c r="C20" i="36"/>
  <c r="C16" i="27"/>
  <c r="C16" i="36"/>
  <c r="C52" i="27"/>
  <c r="C52" i="36"/>
  <c r="C27" i="27"/>
  <c r="C27" i="36"/>
  <c r="C34" i="36"/>
  <c r="C26" i="27"/>
  <c r="C26" i="36"/>
  <c r="C58" i="36"/>
  <c r="C25" i="27"/>
  <c r="C25" i="36"/>
  <c r="E49" i="36"/>
  <c r="C41" i="36"/>
  <c r="C48" i="36"/>
  <c r="C40" i="36"/>
  <c r="C55" i="27"/>
  <c r="C55" i="36"/>
  <c r="C30" i="27"/>
  <c r="C30" i="36"/>
  <c r="C54" i="27"/>
  <c r="C54" i="36"/>
  <c r="C46" i="27"/>
  <c r="E46" i="27" s="1"/>
  <c r="C46" i="36"/>
  <c r="BB65" i="3"/>
  <c r="BB40" i="3"/>
  <c r="BI21" i="3"/>
  <c r="C49" i="27"/>
  <c r="G49" i="27" s="1"/>
  <c r="D12" i="31"/>
  <c r="D32" i="31"/>
  <c r="E51" i="31"/>
  <c r="E36" i="31"/>
  <c r="C93" i="10"/>
  <c r="C41" i="27"/>
  <c r="C70" i="10"/>
  <c r="C18" i="27"/>
  <c r="C86" i="10"/>
  <c r="C34" i="27"/>
  <c r="B50" i="10"/>
  <c r="B58" i="40" s="1"/>
  <c r="C58" i="27"/>
  <c r="C100" i="10"/>
  <c r="C48" i="27"/>
  <c r="C92" i="10"/>
  <c r="C40" i="27"/>
  <c r="E32" i="31"/>
  <c r="E44" i="31"/>
  <c r="E50" i="31"/>
  <c r="E47" i="31"/>
  <c r="E42" i="31"/>
  <c r="E39" i="31"/>
  <c r="E43" i="31"/>
  <c r="E49" i="31"/>
  <c r="E31" i="31"/>
  <c r="E35" i="31"/>
  <c r="E17" i="31"/>
  <c r="E41" i="31"/>
  <c r="E14" i="31"/>
  <c r="E13" i="31"/>
  <c r="E33" i="31"/>
  <c r="E46" i="31"/>
  <c r="E45" i="31"/>
  <c r="E48" i="31"/>
  <c r="E38" i="31"/>
  <c r="E37" i="31"/>
  <c r="E40" i="31"/>
  <c r="D46" i="31"/>
  <c r="E53" i="27" s="1"/>
  <c r="D34" i="31"/>
  <c r="D40" i="31"/>
  <c r="D48" i="31"/>
  <c r="D38" i="31"/>
  <c r="D51" i="31"/>
  <c r="D39" i="31"/>
  <c r="D43" i="31"/>
  <c r="D49" i="31"/>
  <c r="D45" i="31"/>
  <c r="D33" i="31"/>
  <c r="D41" i="31"/>
  <c r="D35" i="31"/>
  <c r="D50" i="31"/>
  <c r="D31" i="31"/>
  <c r="D44" i="31"/>
  <c r="D19" i="31"/>
  <c r="D42" i="31"/>
  <c r="D47" i="31"/>
  <c r="D37" i="31"/>
  <c r="I2" i="8"/>
  <c r="H2" i="8"/>
  <c r="AL2" i="8"/>
  <c r="AG2" i="8"/>
  <c r="Y2" i="8"/>
  <c r="Q2" i="8"/>
  <c r="R2" i="8"/>
  <c r="AO2" i="8"/>
  <c r="AM2" i="8"/>
  <c r="AE2" i="8"/>
  <c r="X2" i="8"/>
  <c r="P2" i="8"/>
  <c r="J2" i="8"/>
  <c r="AP2" i="8"/>
  <c r="AN2" i="8"/>
  <c r="AF2" i="8"/>
  <c r="W2" i="8"/>
  <c r="O2" i="8"/>
  <c r="Z2" i="8"/>
  <c r="AQ2" i="8"/>
  <c r="AD2" i="8"/>
  <c r="V2" i="8"/>
  <c r="N2" i="8"/>
  <c r="AU2" i="8"/>
  <c r="AR2" i="8"/>
  <c r="AC2" i="8"/>
  <c r="U2" i="8"/>
  <c r="M2" i="8"/>
  <c r="AH2" i="8"/>
  <c r="AS2" i="8"/>
  <c r="AB2" i="8"/>
  <c r="T2" i="8"/>
  <c r="L2" i="8"/>
  <c r="AK2" i="8"/>
  <c r="AT2" i="8"/>
  <c r="AJ2" i="8"/>
  <c r="AI2" i="8"/>
  <c r="AA2" i="8"/>
  <c r="S2" i="8"/>
  <c r="K2" i="8"/>
  <c r="G2" i="8"/>
  <c r="F2" i="8"/>
  <c r="E2" i="8"/>
  <c r="D2" i="8"/>
  <c r="B36" i="11"/>
  <c r="B5" i="11"/>
  <c r="B21" i="11"/>
  <c r="B13" i="11"/>
  <c r="B44" i="11"/>
  <c r="B38" i="11"/>
  <c r="C34" i="10"/>
  <c r="C42" i="40" s="1"/>
  <c r="B37" i="11"/>
  <c r="B12" i="11"/>
  <c r="B30" i="11"/>
  <c r="C42" i="10"/>
  <c r="B46" i="11"/>
  <c r="C16" i="10"/>
  <c r="P34" i="3"/>
  <c r="B40" i="11"/>
  <c r="C49" i="10"/>
  <c r="C57" i="40" s="1"/>
  <c r="Q35" i="3"/>
  <c r="AU35" i="3"/>
  <c r="G72" i="3"/>
  <c r="C24" i="10"/>
  <c r="B3" i="11"/>
  <c r="D42" i="10"/>
  <c r="D50" i="40" s="1"/>
  <c r="C7" i="10"/>
  <c r="B7" i="10" s="1"/>
  <c r="AQ35" i="3"/>
  <c r="BI23" i="3"/>
  <c r="BF26" i="3"/>
  <c r="D22" i="6" s="1"/>
  <c r="D51" i="6" s="1"/>
  <c r="BF20" i="3"/>
  <c r="D16" i="6" s="1"/>
  <c r="D45" i="6" s="1"/>
  <c r="B56" i="8"/>
  <c r="AC6" i="6"/>
  <c r="C68" i="10"/>
  <c r="AC44" i="6"/>
  <c r="C106" i="10"/>
  <c r="AC36" i="6"/>
  <c r="C98" i="10"/>
  <c r="AC43" i="6"/>
  <c r="C105" i="10"/>
  <c r="AC26" i="6"/>
  <c r="C88" i="10"/>
  <c r="AC10" i="6"/>
  <c r="C72" i="10"/>
  <c r="AC17" i="6"/>
  <c r="C79" i="10"/>
  <c r="B10" i="10"/>
  <c r="B18" i="40" s="1"/>
  <c r="AC39" i="6"/>
  <c r="C101" i="10"/>
  <c r="AC48" i="6"/>
  <c r="C110" i="10"/>
  <c r="B23" i="8"/>
  <c r="C77" i="10"/>
  <c r="AC16" i="6"/>
  <c r="C78" i="10"/>
  <c r="AC42" i="6"/>
  <c r="C104" i="10"/>
  <c r="AC45" i="6"/>
  <c r="C107" i="10"/>
  <c r="AC20" i="6"/>
  <c r="C82" i="10"/>
  <c r="C5" i="6"/>
  <c r="G5" i="6" s="1"/>
  <c r="L61" i="5"/>
  <c r="B29" i="11"/>
  <c r="D50" i="10"/>
  <c r="D58" i="40" s="1"/>
  <c r="B18" i="10"/>
  <c r="D26" i="10"/>
  <c r="AC24" i="6"/>
  <c r="B38" i="8"/>
  <c r="AC30" i="6"/>
  <c r="B16" i="8"/>
  <c r="AC8" i="6"/>
  <c r="B33" i="10"/>
  <c r="AC31" i="6"/>
  <c r="D17" i="10"/>
  <c r="AC15" i="6"/>
  <c r="B46" i="8"/>
  <c r="AC38" i="6"/>
  <c r="D5" i="2"/>
  <c r="B5" i="2" s="1"/>
  <c r="BB6" i="2" s="1"/>
  <c r="BM17" i="3"/>
  <c r="BM20" i="3"/>
  <c r="BF22" i="3"/>
  <c r="D18" i="6" s="1"/>
  <c r="D47" i="6" s="1"/>
  <c r="G73" i="3"/>
  <c r="BJ29" i="3"/>
  <c r="BK29" i="3" s="1"/>
  <c r="BF21" i="3"/>
  <c r="D17" i="6" s="1"/>
  <c r="D46" i="6" s="1"/>
  <c r="BJ21" i="3"/>
  <c r="BM16" i="3"/>
  <c r="BM15" i="3"/>
  <c r="J56" i="3"/>
  <c r="BJ22" i="3"/>
  <c r="BK22" i="3" s="1"/>
  <c r="J74" i="3"/>
  <c r="J66" i="3"/>
  <c r="BJ30" i="3"/>
  <c r="BK30" i="3" s="1"/>
  <c r="C73" i="6"/>
  <c r="BC7" i="4"/>
  <c r="G67" i="3"/>
  <c r="BF33" i="3"/>
  <c r="D29" i="6" s="1"/>
  <c r="D58" i="6" s="1"/>
  <c r="BF15" i="3"/>
  <c r="D11" i="6" s="1"/>
  <c r="D40" i="6" s="1"/>
  <c r="BC8" i="4"/>
  <c r="BC23" i="4"/>
  <c r="BC24" i="4"/>
  <c r="BC95" i="4"/>
  <c r="BC154" i="4"/>
  <c r="BJ20" i="3"/>
  <c r="BC9" i="4"/>
  <c r="BC36" i="4"/>
  <c r="BC66" i="4"/>
  <c r="BC40" i="4"/>
  <c r="BC15" i="4"/>
  <c r="BC10" i="4"/>
  <c r="BC163" i="4"/>
  <c r="BC142" i="4"/>
  <c r="BC22" i="4"/>
  <c r="BC21" i="4"/>
  <c r="BC149" i="4"/>
  <c r="BC13" i="4"/>
  <c r="BC174" i="4"/>
  <c r="BC20" i="4"/>
  <c r="J72" i="3"/>
  <c r="BC153" i="4"/>
  <c r="BC47" i="4"/>
  <c r="BC144" i="4"/>
  <c r="BC127" i="4"/>
  <c r="BC19" i="4"/>
  <c r="BI20" i="3"/>
  <c r="BC25" i="4"/>
  <c r="BC112" i="4"/>
  <c r="BC14" i="4"/>
  <c r="BJ28" i="3"/>
  <c r="BK28" i="3" s="1"/>
  <c r="BC267" i="4"/>
  <c r="BC250" i="4"/>
  <c r="BC147" i="4"/>
  <c r="BC130" i="4"/>
  <c r="BC166" i="4"/>
  <c r="BF14" i="3"/>
  <c r="D10" i="6" s="1"/>
  <c r="D39" i="6" s="1"/>
  <c r="D10" i="10"/>
  <c r="BF13" i="3"/>
  <c r="D9" i="6" s="1"/>
  <c r="D38" i="6" s="1"/>
  <c r="BI13" i="3"/>
  <c r="BJ13" i="3"/>
  <c r="BJ23" i="3"/>
  <c r="BI24" i="3"/>
  <c r="AN35" i="3"/>
  <c r="AV35" i="3"/>
  <c r="D41" i="10"/>
  <c r="D49" i="40" s="1"/>
  <c r="B41" i="10"/>
  <c r="B47" i="8"/>
  <c r="C48" i="10"/>
  <c r="BI33" i="3"/>
  <c r="J77" i="3"/>
  <c r="C36" i="10"/>
  <c r="C44" i="40" s="1"/>
  <c r="BI32" i="3"/>
  <c r="J76" i="3"/>
  <c r="B24" i="11"/>
  <c r="BI10" i="3"/>
  <c r="BM9" i="3"/>
  <c r="BN9" i="3" s="1"/>
  <c r="B34" i="11"/>
  <c r="AP35" i="3"/>
  <c r="B18" i="11"/>
  <c r="C25" i="10"/>
  <c r="C33" i="40" s="1"/>
  <c r="B42" i="11"/>
  <c r="AZ34" i="3"/>
  <c r="B10" i="11"/>
  <c r="B26" i="11"/>
  <c r="BM11" i="3"/>
  <c r="B28" i="10"/>
  <c r="B34" i="8"/>
  <c r="D28" i="10"/>
  <c r="D36" i="40" s="1"/>
  <c r="BC87" i="4"/>
  <c r="BC148" i="4"/>
  <c r="BC34" i="4"/>
  <c r="BC81" i="4"/>
  <c r="BC184" i="4"/>
  <c r="BC56" i="4"/>
  <c r="BC239" i="4"/>
  <c r="BC204" i="4"/>
  <c r="BC217" i="4"/>
  <c r="BC123" i="4"/>
  <c r="BC90" i="4"/>
  <c r="BC151" i="4"/>
  <c r="BC85" i="4"/>
  <c r="BC50" i="4"/>
  <c r="BC54" i="4"/>
  <c r="BC92" i="4"/>
  <c r="B11" i="11"/>
  <c r="AY35" i="3"/>
  <c r="BC249" i="4"/>
  <c r="BC109" i="4"/>
  <c r="BC223" i="4"/>
  <c r="B43" i="11"/>
  <c r="BC286" i="4"/>
  <c r="BC211" i="4"/>
  <c r="BC78" i="4"/>
  <c r="BC44" i="4"/>
  <c r="BC159" i="4"/>
  <c r="BC106" i="4"/>
  <c r="BC248" i="4"/>
  <c r="B4" i="11"/>
  <c r="B27" i="11"/>
  <c r="C9" i="10"/>
  <c r="C17" i="40" s="1"/>
  <c r="BC258" i="4"/>
  <c r="BC187" i="4"/>
  <c r="BC105" i="4"/>
  <c r="BC214" i="4"/>
  <c r="BC136" i="4"/>
  <c r="BC196" i="4"/>
  <c r="BC99" i="4"/>
  <c r="BC177" i="4"/>
  <c r="BC122" i="4"/>
  <c r="BC86" i="4"/>
  <c r="BC268" i="4"/>
  <c r="BC79" i="4"/>
  <c r="BC103" i="4"/>
  <c r="BC168" i="4"/>
  <c r="BC102" i="4"/>
  <c r="BC76" i="4"/>
  <c r="BC69" i="4"/>
  <c r="BC100" i="4"/>
  <c r="BC33" i="4"/>
  <c r="BC287" i="4"/>
  <c r="B16" i="11"/>
  <c r="B35" i="11"/>
  <c r="C37" i="10"/>
  <c r="C45" i="40" s="1"/>
  <c r="O35" i="3"/>
  <c r="BC161" i="4"/>
  <c r="BC290" i="4"/>
  <c r="BC143" i="4"/>
  <c r="BC257" i="4"/>
  <c r="BC88" i="4"/>
  <c r="BC135" i="4"/>
  <c r="BC180" i="4"/>
  <c r="BC145" i="4"/>
  <c r="BC271" i="4"/>
  <c r="BC115" i="4"/>
  <c r="BC137" i="4"/>
  <c r="BC197" i="4"/>
  <c r="BC146" i="4"/>
  <c r="BC97" i="4"/>
  <c r="BC119" i="4"/>
  <c r="C39" i="10"/>
  <c r="C47" i="40" s="1"/>
  <c r="C15" i="10"/>
  <c r="C23" i="40" s="1"/>
  <c r="E23" i="40" s="1"/>
  <c r="BC246" i="4"/>
  <c r="BC141" i="4"/>
  <c r="BC73" i="4"/>
  <c r="BC107" i="4"/>
  <c r="BC160" i="4"/>
  <c r="BC202" i="4"/>
  <c r="BC91" i="4"/>
  <c r="BC150" i="4"/>
  <c r="BC60" i="4"/>
  <c r="BC126" i="4"/>
  <c r="BC140" i="4"/>
  <c r="BC162" i="4"/>
  <c r="BC124" i="4"/>
  <c r="BC296" i="4"/>
  <c r="BC170" i="4"/>
  <c r="BC156" i="4"/>
  <c r="BC133" i="4"/>
  <c r="BC117" i="4"/>
  <c r="BC110" i="4"/>
  <c r="BC29" i="4"/>
  <c r="BC68" i="4"/>
  <c r="BC35" i="4"/>
  <c r="B8" i="11"/>
  <c r="B19" i="11"/>
  <c r="C31" i="10"/>
  <c r="C39" i="40" s="1"/>
  <c r="E39" i="40" s="1"/>
  <c r="B45" i="10"/>
  <c r="B53" i="8"/>
  <c r="D47" i="10"/>
  <c r="D55" i="40" s="1"/>
  <c r="B47" i="10"/>
  <c r="B52" i="8"/>
  <c r="D46" i="10"/>
  <c r="D54" i="40" s="1"/>
  <c r="B46" i="10"/>
  <c r="B38" i="10"/>
  <c r="B44" i="8"/>
  <c r="D38" i="10"/>
  <c r="D46" i="40" s="1"/>
  <c r="D22" i="10"/>
  <c r="B22" i="10"/>
  <c r="B28" i="8"/>
  <c r="J69" i="3"/>
  <c r="BI15" i="3"/>
  <c r="C27" i="10"/>
  <c r="C35" i="40" s="1"/>
  <c r="E35" i="40" s="1"/>
  <c r="B17" i="11"/>
  <c r="B41" i="11"/>
  <c r="C13" i="10"/>
  <c r="C21" i="40" s="1"/>
  <c r="B9" i="11"/>
  <c r="C43" i="10"/>
  <c r="C51" i="40" s="1"/>
  <c r="C29" i="10"/>
  <c r="C37" i="40" s="1"/>
  <c r="E37" i="40" s="1"/>
  <c r="AT34" i="3"/>
  <c r="G68" i="3"/>
  <c r="BF32" i="3"/>
  <c r="D28" i="6" s="1"/>
  <c r="D57" i="6" s="1"/>
  <c r="C14" i="10"/>
  <c r="C22" i="40" s="1"/>
  <c r="C21" i="10"/>
  <c r="C29" i="40" s="1"/>
  <c r="G29" i="40" s="1"/>
  <c r="BM10" i="3"/>
  <c r="BJ33" i="3"/>
  <c r="C23" i="10"/>
  <c r="C31" i="40" s="1"/>
  <c r="AO35" i="3"/>
  <c r="D16" i="10"/>
  <c r="B26" i="10"/>
  <c r="B32" i="8"/>
  <c r="B17" i="10"/>
  <c r="B14" i="8"/>
  <c r="D8" i="10"/>
  <c r="B8" i="10"/>
  <c r="B18" i="8"/>
  <c r="D12" i="10"/>
  <c r="D20" i="40" s="1"/>
  <c r="BJ27" i="3"/>
  <c r="BK27" i="3" s="1"/>
  <c r="BM14" i="3"/>
  <c r="BF27" i="3"/>
  <c r="D23" i="6" s="1"/>
  <c r="D52" i="6" s="1"/>
  <c r="D45" i="10"/>
  <c r="D53" i="40" s="1"/>
  <c r="B39" i="11"/>
  <c r="G63" i="3"/>
  <c r="B51" i="8"/>
  <c r="B32" i="10"/>
  <c r="C51" i="10"/>
  <c r="C35" i="10"/>
  <c r="C43" i="40" s="1"/>
  <c r="D40" i="10"/>
  <c r="D48" i="40" s="1"/>
  <c r="D32" i="10"/>
  <c r="D40" i="40" s="1"/>
  <c r="C20" i="10"/>
  <c r="C28" i="40" s="1"/>
  <c r="B15" i="11"/>
  <c r="B47" i="11"/>
  <c r="AW35" i="3"/>
  <c r="AX34" i="3"/>
  <c r="B40" i="10"/>
  <c r="C11" i="10"/>
  <c r="C19" i="40" s="1"/>
  <c r="G19" i="40" s="1"/>
  <c r="B7" i="11"/>
  <c r="BJ19" i="3"/>
  <c r="BK19" i="3" s="1"/>
  <c r="BJ32" i="3"/>
  <c r="D18" i="10"/>
  <c r="B44" i="10"/>
  <c r="B39" i="8"/>
  <c r="B24" i="8"/>
  <c r="B50" i="8"/>
  <c r="D33" i="10"/>
  <c r="D41" i="40" s="1"/>
  <c r="D44" i="10"/>
  <c r="D52" i="40" s="1"/>
  <c r="B19" i="10"/>
  <c r="D19" i="10"/>
  <c r="B25" i="8"/>
  <c r="BF16" i="3"/>
  <c r="D12" i="6" s="1"/>
  <c r="D41" i="6" s="1"/>
  <c r="BJ15" i="3"/>
  <c r="BF11" i="3"/>
  <c r="D7" i="6" s="1"/>
  <c r="D36" i="6" s="1"/>
  <c r="BM12" i="3"/>
  <c r="BM13" i="3"/>
  <c r="C99" i="20"/>
  <c r="C96" i="20"/>
  <c r="E99" i="20"/>
  <c r="BJ14" i="3"/>
  <c r="BK14" i="3" s="1"/>
  <c r="J58" i="3"/>
  <c r="G53" i="3"/>
  <c r="B56" i="6"/>
  <c r="B40" i="6"/>
  <c r="B48" i="6"/>
  <c r="BJ26" i="3"/>
  <c r="BI26" i="3"/>
  <c r="BJ24" i="3"/>
  <c r="B55" i="6"/>
  <c r="B50" i="6"/>
  <c r="BJ31" i="3"/>
  <c r="B54" i="6"/>
  <c r="B43" i="6"/>
  <c r="B49" i="6"/>
  <c r="B46" i="6"/>
  <c r="B41" i="6"/>
  <c r="B45" i="6"/>
  <c r="B58" i="6"/>
  <c r="J62" i="3"/>
  <c r="B47" i="6"/>
  <c r="BJ18" i="3"/>
  <c r="BK18" i="3" s="1"/>
  <c r="D44" i="6"/>
  <c r="J40" i="3"/>
  <c r="BJ16" i="3"/>
  <c r="BI16" i="3"/>
  <c r="B36" i="6"/>
  <c r="AX40" i="3"/>
  <c r="B51" i="6"/>
  <c r="D54" i="6"/>
  <c r="AF40" i="3"/>
  <c r="D53" i="6"/>
  <c r="Y40" i="3"/>
  <c r="F22" i="10" s="1"/>
  <c r="D49" i="6"/>
  <c r="J61" i="3"/>
  <c r="BI31" i="3"/>
  <c r="B3" i="8"/>
  <c r="AG40" i="3"/>
  <c r="F30" i="10" s="1"/>
  <c r="D25" i="33" s="1"/>
  <c r="BJ11" i="3"/>
  <c r="BI11" i="3"/>
  <c r="Q40" i="3"/>
  <c r="F6" i="6"/>
  <c r="F35" i="6" s="1"/>
  <c r="AI40" i="3"/>
  <c r="F32" i="10" s="1"/>
  <c r="D27" i="33" s="1"/>
  <c r="AH40" i="3"/>
  <c r="K40" i="3"/>
  <c r="X40" i="3"/>
  <c r="AC40" i="3"/>
  <c r="F26" i="10" s="1"/>
  <c r="D21" i="33" s="1"/>
  <c r="AO40" i="3"/>
  <c r="F38" i="10" s="1"/>
  <c r="D99" i="20"/>
  <c r="D97" i="20"/>
  <c r="B42" i="6"/>
  <c r="BC279" i="4"/>
  <c r="J53" i="3"/>
  <c r="BJ9" i="3"/>
  <c r="G61" i="3"/>
  <c r="BF17" i="3"/>
  <c r="D13" i="6" s="1"/>
  <c r="D42" i="6" s="1"/>
  <c r="BJ17" i="3"/>
  <c r="BK17" i="3" s="1"/>
  <c r="B53" i="6"/>
  <c r="BC195" i="4"/>
  <c r="BC190" i="4"/>
  <c r="BC182" i="4"/>
  <c r="BC269" i="4"/>
  <c r="BC206" i="4"/>
  <c r="BC189" i="4"/>
  <c r="BC198" i="4"/>
  <c r="BC175" i="4"/>
  <c r="BC181" i="4"/>
  <c r="BC172" i="4"/>
  <c r="G69" i="3"/>
  <c r="BF25" i="3"/>
  <c r="D21" i="6" s="1"/>
  <c r="D50" i="6" s="1"/>
  <c r="BC293" i="4"/>
  <c r="BC226" i="4"/>
  <c r="BC237" i="4"/>
  <c r="BC300" i="4"/>
  <c r="BC303" i="4"/>
  <c r="BC307" i="4"/>
  <c r="D34" i="6"/>
  <c r="BC200" i="4"/>
  <c r="BC265" i="4"/>
  <c r="BC255" i="4"/>
  <c r="BC304" i="4"/>
  <c r="BC231" i="4"/>
  <c r="BC284" i="4"/>
  <c r="AV40" i="3"/>
  <c r="AS40" i="3"/>
  <c r="AS34" i="3" s="1"/>
  <c r="BC241" i="4"/>
  <c r="BC280" i="4"/>
  <c r="BC261" i="4"/>
  <c r="BC205" i="4"/>
  <c r="BC274" i="4"/>
  <c r="BC273" i="4"/>
  <c r="BC256" i="4"/>
  <c r="BC213" i="4"/>
  <c r="BC251" i="4"/>
  <c r="BC215" i="4"/>
  <c r="B57" i="6"/>
  <c r="B34" i="6"/>
  <c r="BC309" i="4"/>
  <c r="BC308" i="4"/>
  <c r="BC219" i="4"/>
  <c r="BC171" i="4"/>
  <c r="BC244" i="4"/>
  <c r="BC188" i="4"/>
  <c r="D43" i="6"/>
  <c r="AL40" i="3"/>
  <c r="B44" i="6"/>
  <c r="BJ25" i="3"/>
  <c r="BK25" i="3" s="1"/>
  <c r="BF31" i="3"/>
  <c r="D27" i="6" s="1"/>
  <c r="D56" i="6" s="1"/>
  <c r="BC277" i="4"/>
  <c r="BI9" i="3"/>
  <c r="BC275" i="4"/>
  <c r="BC263" i="4"/>
  <c r="BC229" i="4"/>
  <c r="BC264" i="4"/>
  <c r="BC278" i="4"/>
  <c r="BC283" i="4"/>
  <c r="BC247" i="4"/>
  <c r="BC306" i="4"/>
  <c r="D48" i="6"/>
  <c r="BC301" i="4"/>
  <c r="BC242" i="4"/>
  <c r="BC270" i="4"/>
  <c r="BC297" i="4"/>
  <c r="BC302" i="4"/>
  <c r="BC266" i="4"/>
  <c r="BC232" i="4"/>
  <c r="BC245" i="4"/>
  <c r="BC295" i="4"/>
  <c r="BC220" i="4"/>
  <c r="BC238" i="4"/>
  <c r="BC288" i="4"/>
  <c r="BC294" i="4"/>
  <c r="BC259" i="4"/>
  <c r="BC114" i="4"/>
  <c r="BC183" i="4"/>
  <c r="BC298" i="4"/>
  <c r="BC157" i="4"/>
  <c r="BC203" i="4"/>
  <c r="BC194" i="4"/>
  <c r="BC121" i="4"/>
  <c r="BC173" i="4"/>
  <c r="BC185" i="4"/>
  <c r="BC167" i="4"/>
  <c r="BC207" i="4"/>
  <c r="BC111" i="4"/>
  <c r="BC165" i="4"/>
  <c r="BC71" i="4"/>
  <c r="BC240" i="4"/>
  <c r="BC208" i="4"/>
  <c r="BC131" i="4"/>
  <c r="BC70" i="4"/>
  <c r="BC218" i="4"/>
  <c r="BC17" i="4"/>
  <c r="BC30" i="4"/>
  <c r="BC125" i="4"/>
  <c r="BC83" i="4"/>
  <c r="BC289" i="4"/>
  <c r="BC272" i="4"/>
  <c r="BC210" i="4"/>
  <c r="BC224" i="4"/>
  <c r="BC228" i="4"/>
  <c r="BC186" i="4"/>
  <c r="BC65" i="4"/>
  <c r="BC58" i="4"/>
  <c r="BC43" i="4"/>
  <c r="BC39" i="4"/>
  <c r="BC63" i="4"/>
  <c r="BC28" i="4"/>
  <c r="BC192" i="4"/>
  <c r="BC93" i="4"/>
  <c r="BC38" i="4"/>
  <c r="BC12" i="4"/>
  <c r="BC61" i="4"/>
  <c r="BC75" i="4"/>
  <c r="BC26" i="4"/>
  <c r="BC152" i="4"/>
  <c r="BC59" i="4"/>
  <c r="BC27" i="4"/>
  <c r="BC41" i="4"/>
  <c r="BC98" i="4"/>
  <c r="BC46" i="4"/>
  <c r="BC57" i="4"/>
  <c r="BC74" i="4"/>
  <c r="BC42" i="4"/>
  <c r="BC52" i="4"/>
  <c r="BC55" i="4"/>
  <c r="BC45" i="4"/>
  <c r="BC51" i="4"/>
  <c r="BC37" i="4"/>
  <c r="BC139" i="4"/>
  <c r="BC18" i="4"/>
  <c r="BC82" i="4"/>
  <c r="BC132" i="4"/>
  <c r="BC89" i="4"/>
  <c r="BC84" i="4"/>
  <c r="BC80" i="4"/>
  <c r="BC53" i="4"/>
  <c r="BC16" i="4"/>
  <c r="BC216" i="4"/>
  <c r="BC62" i="4"/>
  <c r="BC48" i="4"/>
  <c r="BC67" i="4"/>
  <c r="BC254" i="4"/>
  <c r="BC282" i="4"/>
  <c r="BC138" i="4"/>
  <c r="BC155" i="4"/>
  <c r="BC225" i="4"/>
  <c r="BC222" i="4"/>
  <c r="BC281" i="4"/>
  <c r="BC310" i="4"/>
  <c r="BC221" i="4"/>
  <c r="BC201" i="4"/>
  <c r="BC234" i="4"/>
  <c r="BC236" i="4"/>
  <c r="BC118" i="4"/>
  <c r="BC169" i="4"/>
  <c r="BC291" i="4"/>
  <c r="BC96" i="4"/>
  <c r="BC108" i="4"/>
  <c r="BC235" i="4"/>
  <c r="BC94" i="4"/>
  <c r="BC31" i="4"/>
  <c r="BC49" i="4"/>
  <c r="BC6" i="4"/>
  <c r="BC209" i="4"/>
  <c r="BC5" i="4"/>
  <c r="BC262" i="4"/>
  <c r="BC305" i="4"/>
  <c r="BC252" i="4"/>
  <c r="BC230" i="4"/>
  <c r="BC260" i="4"/>
  <c r="BC299" i="4"/>
  <c r="BC212" i="4"/>
  <c r="BC233" i="4"/>
  <c r="BC292" i="4"/>
  <c r="BC243" i="4"/>
  <c r="BC179" i="4"/>
  <c r="BC193" i="4"/>
  <c r="BC134" i="4"/>
  <c r="BC227" i="4"/>
  <c r="BC199" i="4"/>
  <c r="BC104" i="4"/>
  <c r="BC120" i="4"/>
  <c r="BC176" i="4"/>
  <c r="BC101" i="4"/>
  <c r="BC72" i="4"/>
  <c r="BC129" i="4"/>
  <c r="BC191" i="4"/>
  <c r="BC253" i="4"/>
  <c r="BC276" i="4"/>
  <c r="BC285" i="4"/>
  <c r="BC113" i="4"/>
  <c r="BC158" i="4"/>
  <c r="BC116" i="4"/>
  <c r="BC128" i="4"/>
  <c r="BC164" i="4"/>
  <c r="BC178" i="4"/>
  <c r="BC64" i="4"/>
  <c r="BC11" i="4"/>
  <c r="BC32" i="4"/>
  <c r="BC77" i="4"/>
  <c r="C41" i="6"/>
  <c r="T40" i="3"/>
  <c r="W40" i="3"/>
  <c r="B39" i="6"/>
  <c r="AM40" i="3"/>
  <c r="AN40" i="3"/>
  <c r="P40" i="3"/>
  <c r="F13" i="10" s="1"/>
  <c r="B38" i="6"/>
  <c r="W57" i="3"/>
  <c r="AE40" i="3"/>
  <c r="F28" i="10" s="1"/>
  <c r="D23" i="33" s="1"/>
  <c r="S40" i="3"/>
  <c r="AU40" i="3"/>
  <c r="BA40" i="3"/>
  <c r="F50" i="10" s="1"/>
  <c r="AT40" i="3"/>
  <c r="R40" i="3"/>
  <c r="BG28" i="3"/>
  <c r="E24" i="6" s="1"/>
  <c r="E53" i="6" s="1"/>
  <c r="Z40" i="3"/>
  <c r="AN56" i="3"/>
  <c r="R56" i="3"/>
  <c r="BJ12" i="3"/>
  <c r="BK12" i="3" s="1"/>
  <c r="BF12" i="3"/>
  <c r="D8" i="6" s="1"/>
  <c r="D37" i="6" s="1"/>
  <c r="AB40" i="3"/>
  <c r="N40" i="3"/>
  <c r="AW40" i="3"/>
  <c r="BA56" i="3"/>
  <c r="AP40" i="3"/>
  <c r="AA40" i="3"/>
  <c r="M40" i="3"/>
  <c r="F10" i="10" s="1"/>
  <c r="AY40" i="3"/>
  <c r="L62" i="5"/>
  <c r="L40" i="3"/>
  <c r="AJ40" i="3"/>
  <c r="U40" i="3"/>
  <c r="F18" i="10" s="1"/>
  <c r="BB56" i="3"/>
  <c r="AQ40" i="3"/>
  <c r="F40" i="10" s="1"/>
  <c r="B37" i="6"/>
  <c r="AT56" i="3"/>
  <c r="AE56" i="3"/>
  <c r="P56" i="3"/>
  <c r="AK40" i="3"/>
  <c r="AZ40" i="3"/>
  <c r="F49" i="10" s="1"/>
  <c r="AR40" i="3"/>
  <c r="AD40" i="3"/>
  <c r="V40" i="3"/>
  <c r="F19" i="10" s="1"/>
  <c r="O40" i="3"/>
  <c r="F12" i="10" s="1"/>
  <c r="BG29" i="3"/>
  <c r="E25" i="6" s="1"/>
  <c r="E54" i="6" s="1"/>
  <c r="BG23" i="3"/>
  <c r="E19" i="6" s="1"/>
  <c r="E48" i="6" s="1"/>
  <c r="BG18" i="3"/>
  <c r="E14" i="6" s="1"/>
  <c r="E43" i="6" s="1"/>
  <c r="BG19" i="3"/>
  <c r="E15" i="6" s="1"/>
  <c r="E44" i="6" s="1"/>
  <c r="BD18" i="3"/>
  <c r="BE34" i="3"/>
  <c r="I34" i="3" s="1"/>
  <c r="BD24" i="3"/>
  <c r="BD27" i="3"/>
  <c r="BD17" i="3"/>
  <c r="BD26" i="3"/>
  <c r="BD15" i="3"/>
  <c r="BD31" i="3"/>
  <c r="BD12" i="3"/>
  <c r="BD11" i="3"/>
  <c r="BD28" i="3"/>
  <c r="BD32" i="3"/>
  <c r="BD21" i="3"/>
  <c r="BD34" i="3"/>
  <c r="BD23" i="3"/>
  <c r="BD14" i="3"/>
  <c r="BG9" i="3"/>
  <c r="E5" i="6" s="1"/>
  <c r="E34" i="6" s="1"/>
  <c r="BD16" i="3"/>
  <c r="BD30" i="3"/>
  <c r="C36" i="6"/>
  <c r="C47" i="6"/>
  <c r="BD33" i="3"/>
  <c r="BD9" i="3"/>
  <c r="BD19" i="3"/>
  <c r="BD10" i="3"/>
  <c r="BD22" i="3"/>
  <c r="BD29" i="3"/>
  <c r="BD13" i="3"/>
  <c r="BD20" i="3"/>
  <c r="BG24" i="3"/>
  <c r="E20" i="6" s="1"/>
  <c r="E49" i="6" s="1"/>
  <c r="C39" i="6"/>
  <c r="C57" i="6"/>
  <c r="G57" i="6" s="1"/>
  <c r="C40" i="6"/>
  <c r="C55" i="6"/>
  <c r="G55" i="6" s="1"/>
  <c r="C51" i="6"/>
  <c r="G51" i="6" s="1"/>
  <c r="C49" i="6"/>
  <c r="C46" i="6"/>
  <c r="G46" i="6" s="1"/>
  <c r="C56" i="6"/>
  <c r="G56" i="6" s="1"/>
  <c r="C53" i="6"/>
  <c r="G53" i="6" s="1"/>
  <c r="C38" i="6"/>
  <c r="C54" i="6"/>
  <c r="G54" i="6" s="1"/>
  <c r="C48" i="6"/>
  <c r="G48" i="6" s="1"/>
  <c r="C44" i="6"/>
  <c r="C42" i="6"/>
  <c r="C50" i="6"/>
  <c r="G50" i="6" s="1"/>
  <c r="C45" i="6"/>
  <c r="G45" i="6" s="1"/>
  <c r="C43" i="6"/>
  <c r="G91" i="20"/>
  <c r="G92" i="20" s="1"/>
  <c r="I68" i="20"/>
  <c r="S71" i="20"/>
  <c r="D217" i="20"/>
  <c r="H217" i="20" s="1"/>
  <c r="F221" i="20"/>
  <c r="F220" i="20"/>
  <c r="C221" i="20"/>
  <c r="G221" i="20" s="1"/>
  <c r="D221" i="20"/>
  <c r="H221" i="20" s="1"/>
  <c r="C215" i="20"/>
  <c r="S67" i="20"/>
  <c r="C161" i="20" s="1"/>
  <c r="C164" i="20" s="1"/>
  <c r="D195" i="20"/>
  <c r="H195" i="20" s="1"/>
  <c r="D181" i="20"/>
  <c r="D228" i="20"/>
  <c r="H228" i="20" s="1"/>
  <c r="F228" i="20"/>
  <c r="I47" i="20"/>
  <c r="F181" i="20"/>
  <c r="F183" i="20" s="1"/>
  <c r="F184" i="20" s="1"/>
  <c r="F188" i="20" s="1"/>
  <c r="I75" i="20"/>
  <c r="F215" i="20"/>
  <c r="C226" i="20"/>
  <c r="G226" i="20" s="1"/>
  <c r="D207" i="20"/>
  <c r="D208" i="20" s="1"/>
  <c r="D209" i="20" s="1"/>
  <c r="I53" i="20"/>
  <c r="F227" i="20"/>
  <c r="C181" i="20"/>
  <c r="C212" i="20"/>
  <c r="G212" i="20" s="1"/>
  <c r="I44" i="20"/>
  <c r="C217" i="20"/>
  <c r="G217" i="20" s="1"/>
  <c r="D215" i="20"/>
  <c r="C228" i="20"/>
  <c r="C207" i="20"/>
  <c r="C208" i="20" s="1"/>
  <c r="D226" i="20"/>
  <c r="H226" i="20" s="1"/>
  <c r="F212" i="20"/>
  <c r="I56" i="20"/>
  <c r="I78" i="20"/>
  <c r="G215" i="20"/>
  <c r="F207" i="20"/>
  <c r="F208" i="20" s="1"/>
  <c r="F222" i="20" s="1"/>
  <c r="F195" i="20"/>
  <c r="D91" i="20"/>
  <c r="I59" i="20"/>
  <c r="I81" i="20"/>
  <c r="C195" i="20"/>
  <c r="G195" i="20" s="1"/>
  <c r="C227" i="20"/>
  <c r="G227" i="20" s="1"/>
  <c r="I62" i="20"/>
  <c r="I41" i="20"/>
  <c r="H215" i="20"/>
  <c r="C91" i="20"/>
  <c r="I65" i="20"/>
  <c r="S9" i="20"/>
  <c r="D227" i="20"/>
  <c r="H227" i="20" s="1"/>
  <c r="F226" i="20"/>
  <c r="D212" i="20"/>
  <c r="H212" i="20" s="1"/>
  <c r="E97" i="20"/>
  <c r="I50" i="20"/>
  <c r="I72" i="20"/>
  <c r="C34" i="6" l="1"/>
  <c r="BG30" i="3"/>
  <c r="E26" i="6" s="1"/>
  <c r="E55" i="6" s="1"/>
  <c r="B49" i="10"/>
  <c r="B57" i="40" s="1"/>
  <c r="K3" i="8"/>
  <c r="T3" i="8"/>
  <c r="C59" i="36"/>
  <c r="C59" i="40"/>
  <c r="AC22" i="6"/>
  <c r="C32" i="40"/>
  <c r="G32" i="40" s="1"/>
  <c r="C50" i="36"/>
  <c r="G50" i="36" s="1"/>
  <c r="C50" i="40"/>
  <c r="B24" i="10"/>
  <c r="B32" i="36" s="1"/>
  <c r="D24" i="10"/>
  <c r="D32" i="36" s="1"/>
  <c r="G49" i="40"/>
  <c r="E49" i="40"/>
  <c r="E22" i="40"/>
  <c r="G22" i="40"/>
  <c r="E28" i="40"/>
  <c r="G28" i="40"/>
  <c r="G47" i="40"/>
  <c r="E47" i="40"/>
  <c r="E17" i="40"/>
  <c r="G17" i="40"/>
  <c r="E45" i="40"/>
  <c r="G45" i="40"/>
  <c r="B30" i="8"/>
  <c r="AC5" i="6"/>
  <c r="C15" i="40"/>
  <c r="K7" i="2" s="1"/>
  <c r="E42" i="40"/>
  <c r="G42" i="40"/>
  <c r="E43" i="40"/>
  <c r="G43" i="40"/>
  <c r="G21" i="40"/>
  <c r="E21" i="40"/>
  <c r="E44" i="40"/>
  <c r="G44" i="40"/>
  <c r="AC14" i="6"/>
  <c r="C24" i="40"/>
  <c r="G24" i="40" s="1"/>
  <c r="G57" i="40"/>
  <c r="E57" i="40"/>
  <c r="E51" i="40"/>
  <c r="G51" i="40"/>
  <c r="G53" i="27"/>
  <c r="F46" i="10"/>
  <c r="F106" i="10" s="1"/>
  <c r="F45" i="10"/>
  <c r="F105" i="10" s="1"/>
  <c r="F44" i="10"/>
  <c r="F104" i="10" s="1"/>
  <c r="F47" i="10"/>
  <c r="F107" i="10" s="1"/>
  <c r="G55" i="27"/>
  <c r="D48" i="10"/>
  <c r="D56" i="40" s="1"/>
  <c r="C56" i="40"/>
  <c r="G52" i="27"/>
  <c r="D26" i="36"/>
  <c r="D26" i="40"/>
  <c r="B30" i="36"/>
  <c r="B30" i="40"/>
  <c r="B55" i="36"/>
  <c r="B55" i="40"/>
  <c r="B36" i="36"/>
  <c r="B36" i="40"/>
  <c r="D27" i="36"/>
  <c r="D27" i="40"/>
  <c r="B48" i="36"/>
  <c r="B48" i="40"/>
  <c r="B25" i="36"/>
  <c r="B25" i="40"/>
  <c r="D30" i="36"/>
  <c r="D30" i="40"/>
  <c r="B52" i="36"/>
  <c r="B52" i="40"/>
  <c r="B40" i="36"/>
  <c r="B40" i="40"/>
  <c r="B34" i="36"/>
  <c r="B34" i="40"/>
  <c r="B53" i="36"/>
  <c r="B53" i="40"/>
  <c r="B15" i="36"/>
  <c r="B15" i="40"/>
  <c r="B46" i="36"/>
  <c r="B46" i="40"/>
  <c r="B27" i="36"/>
  <c r="B27" i="40"/>
  <c r="B20" i="36"/>
  <c r="B20" i="40"/>
  <c r="B54" i="36"/>
  <c r="B54" i="40"/>
  <c r="D25" i="36"/>
  <c r="D25" i="40"/>
  <c r="D24" i="36"/>
  <c r="D24" i="40"/>
  <c r="B16" i="36"/>
  <c r="B16" i="40"/>
  <c r="B49" i="36"/>
  <c r="B49" i="40"/>
  <c r="D34" i="36"/>
  <c r="D34" i="40"/>
  <c r="D16" i="36"/>
  <c r="D16" i="40"/>
  <c r="D18" i="36"/>
  <c r="D18" i="40"/>
  <c r="B41" i="36"/>
  <c r="B41" i="40"/>
  <c r="B26" i="36"/>
  <c r="B26" i="40"/>
  <c r="B13" i="8"/>
  <c r="D7" i="10"/>
  <c r="D15" i="27" s="1"/>
  <c r="E49" i="27"/>
  <c r="C19" i="27"/>
  <c r="G19" i="27" s="1"/>
  <c r="C19" i="36"/>
  <c r="D48" i="36"/>
  <c r="D49" i="36"/>
  <c r="C32" i="36"/>
  <c r="E55" i="36"/>
  <c r="G55" i="36"/>
  <c r="E26" i="36"/>
  <c r="G26" i="36"/>
  <c r="G52" i="36"/>
  <c r="E52" i="36"/>
  <c r="C43" i="27"/>
  <c r="C43" i="36"/>
  <c r="C29" i="27"/>
  <c r="C29" i="36"/>
  <c r="C21" i="27"/>
  <c r="E21" i="27" s="1"/>
  <c r="C21" i="36"/>
  <c r="D55" i="36"/>
  <c r="E36" i="36"/>
  <c r="G36" i="36"/>
  <c r="G59" i="36"/>
  <c r="E59" i="36"/>
  <c r="C22" i="27"/>
  <c r="E22" i="27" s="1"/>
  <c r="C22" i="36"/>
  <c r="D46" i="36"/>
  <c r="C44" i="27"/>
  <c r="C44" i="36"/>
  <c r="G54" i="36"/>
  <c r="E54" i="36"/>
  <c r="D20" i="36"/>
  <c r="A46" i="11"/>
  <c r="B58" i="36"/>
  <c r="G40" i="36"/>
  <c r="E40" i="36"/>
  <c r="G25" i="36"/>
  <c r="E25" i="36"/>
  <c r="E34" i="36"/>
  <c r="G34" i="36"/>
  <c r="G16" i="36"/>
  <c r="E16" i="36"/>
  <c r="C35" i="27"/>
  <c r="C35" i="36"/>
  <c r="C39" i="36"/>
  <c r="D58" i="36"/>
  <c r="C57" i="27"/>
  <c r="G57" i="27" s="1"/>
  <c r="C57" i="36"/>
  <c r="G46" i="27"/>
  <c r="G53" i="36"/>
  <c r="E53" i="36"/>
  <c r="C23" i="36"/>
  <c r="C56" i="27"/>
  <c r="E56" i="27" s="1"/>
  <c r="C56" i="36"/>
  <c r="C42" i="27"/>
  <c r="G42" i="27" s="1"/>
  <c r="C42" i="36"/>
  <c r="C46" i="8"/>
  <c r="E30" i="36"/>
  <c r="G30" i="36"/>
  <c r="E48" i="36"/>
  <c r="G48" i="36"/>
  <c r="G58" i="36"/>
  <c r="E58" i="36"/>
  <c r="E27" i="36"/>
  <c r="G27" i="36"/>
  <c r="D52" i="36"/>
  <c r="C28" i="27"/>
  <c r="E28" i="27" s="1"/>
  <c r="C28" i="36"/>
  <c r="C31" i="27"/>
  <c r="C31" i="36"/>
  <c r="C37" i="27"/>
  <c r="C37" i="36"/>
  <c r="D54" i="36"/>
  <c r="C47" i="36"/>
  <c r="C17" i="27"/>
  <c r="G17" i="27" s="1"/>
  <c r="J6" i="2" s="1"/>
  <c r="C17" i="36"/>
  <c r="D36" i="36"/>
  <c r="C33" i="36"/>
  <c r="B57" i="36"/>
  <c r="D50" i="36"/>
  <c r="G20" i="36"/>
  <c r="E20" i="36"/>
  <c r="D41" i="36"/>
  <c r="D40" i="36"/>
  <c r="D53" i="36"/>
  <c r="C51" i="36"/>
  <c r="C45" i="36"/>
  <c r="B18" i="36"/>
  <c r="C24" i="36"/>
  <c r="G46" i="36"/>
  <c r="E46" i="36"/>
  <c r="E41" i="36"/>
  <c r="G41" i="36"/>
  <c r="G18" i="36"/>
  <c r="E18" i="36"/>
  <c r="C15" i="36"/>
  <c r="BG26" i="3"/>
  <c r="E22" i="6" s="1"/>
  <c r="E51" i="6" s="1"/>
  <c r="BG21" i="3"/>
  <c r="E17" i="6" s="1"/>
  <c r="E46" i="6" s="1"/>
  <c r="G47" i="6"/>
  <c r="G49" i="6"/>
  <c r="G44" i="6"/>
  <c r="BG20" i="3"/>
  <c r="E16" i="6" s="1"/>
  <c r="E45" i="6" s="1"/>
  <c r="BK21" i="3"/>
  <c r="BA35" i="3"/>
  <c r="BB34" i="3"/>
  <c r="BA34" i="3"/>
  <c r="C59" i="27"/>
  <c r="E59" i="27" s="1"/>
  <c r="AS35" i="3"/>
  <c r="B42" i="10"/>
  <c r="B50" i="40" s="1"/>
  <c r="B30" i="27"/>
  <c r="B55" i="27"/>
  <c r="B26" i="27"/>
  <c r="D16" i="27"/>
  <c r="B48" i="27"/>
  <c r="D30" i="27"/>
  <c r="F42" i="10"/>
  <c r="F102" i="10" s="1"/>
  <c r="B25" i="27"/>
  <c r="AC40" i="6"/>
  <c r="B58" i="27"/>
  <c r="B52" i="27"/>
  <c r="B40" i="27"/>
  <c r="B34" i="27"/>
  <c r="B53" i="27"/>
  <c r="B36" i="27"/>
  <c r="D25" i="27"/>
  <c r="B15" i="27"/>
  <c r="B48" i="8"/>
  <c r="D27" i="27"/>
  <c r="D26" i="27"/>
  <c r="D24" i="27"/>
  <c r="B46" i="27"/>
  <c r="B49" i="27"/>
  <c r="B16" i="27"/>
  <c r="B27" i="27"/>
  <c r="B20" i="27"/>
  <c r="B54" i="27"/>
  <c r="D18" i="27"/>
  <c r="B41" i="27"/>
  <c r="D34" i="27"/>
  <c r="O163" i="31"/>
  <c r="J163" i="31"/>
  <c r="J165" i="31" s="1"/>
  <c r="E27" i="27"/>
  <c r="G27" i="27"/>
  <c r="E26" i="27"/>
  <c r="E20" i="27"/>
  <c r="G20" i="27"/>
  <c r="G26" i="27"/>
  <c r="G25" i="27"/>
  <c r="E18" i="27"/>
  <c r="E42" i="27"/>
  <c r="G18" i="27"/>
  <c r="K6" i="2" s="1"/>
  <c r="C91" i="10"/>
  <c r="C39" i="27"/>
  <c r="C67" i="10"/>
  <c r="C15" i="27"/>
  <c r="E15" i="27" s="1"/>
  <c r="G58" i="27"/>
  <c r="E58" i="27"/>
  <c r="C76" i="10"/>
  <c r="C24" i="27"/>
  <c r="G24" i="27" s="1"/>
  <c r="B43" i="10"/>
  <c r="B51" i="40" s="1"/>
  <c r="C51" i="27"/>
  <c r="C75" i="10"/>
  <c r="C23" i="27"/>
  <c r="B22" i="8"/>
  <c r="B16" i="10"/>
  <c r="B76" i="10" s="1"/>
  <c r="C16" i="8"/>
  <c r="C47" i="8"/>
  <c r="G44" i="27"/>
  <c r="G41" i="6"/>
  <c r="B39" i="10"/>
  <c r="B47" i="40" s="1"/>
  <c r="C47" i="27"/>
  <c r="AC47" i="6"/>
  <c r="C102" i="10"/>
  <c r="C50" i="27"/>
  <c r="B55" i="8"/>
  <c r="C55" i="8" s="1"/>
  <c r="C109" i="10"/>
  <c r="G43" i="27"/>
  <c r="C97" i="10"/>
  <c r="C45" i="27"/>
  <c r="G45" i="27" s="1"/>
  <c r="C85" i="10"/>
  <c r="C33" i="27"/>
  <c r="E43" i="27"/>
  <c r="D49" i="10"/>
  <c r="D57" i="40" s="1"/>
  <c r="B110" i="10"/>
  <c r="C84" i="10"/>
  <c r="C32" i="27"/>
  <c r="G21" i="27"/>
  <c r="N6" i="2" s="1"/>
  <c r="E48" i="27"/>
  <c r="G48" i="27"/>
  <c r="E44" i="27"/>
  <c r="F41" i="10"/>
  <c r="F101" i="10" s="1"/>
  <c r="J189" i="31"/>
  <c r="BC163" i="31"/>
  <c r="AY163" i="31"/>
  <c r="AY164" i="31" s="1"/>
  <c r="AG17" i="31" s="1"/>
  <c r="AU163" i="31"/>
  <c r="AS163" i="31"/>
  <c r="R163" i="31"/>
  <c r="M163" i="31"/>
  <c r="AP163" i="31"/>
  <c r="AK163" i="31"/>
  <c r="AD163" i="31"/>
  <c r="Y163" i="31"/>
  <c r="AB163" i="31"/>
  <c r="V163" i="31"/>
  <c r="T163" i="31"/>
  <c r="AH163" i="31"/>
  <c r="AH164" i="31" s="1"/>
  <c r="AR35" i="3"/>
  <c r="AR34" i="3"/>
  <c r="D107" i="10"/>
  <c r="D55" i="27"/>
  <c r="D88" i="10"/>
  <c r="D36" i="27"/>
  <c r="D102" i="10"/>
  <c r="D50" i="27"/>
  <c r="D98" i="10"/>
  <c r="D46" i="27"/>
  <c r="D72" i="10"/>
  <c r="D20" i="27"/>
  <c r="D110" i="10"/>
  <c r="D58" i="27"/>
  <c r="B109" i="10"/>
  <c r="B57" i="27"/>
  <c r="B70" i="10"/>
  <c r="B18" i="27"/>
  <c r="D100" i="10"/>
  <c r="D48" i="27"/>
  <c r="D104" i="10"/>
  <c r="D52" i="27"/>
  <c r="D106" i="10"/>
  <c r="D54" i="27"/>
  <c r="D108" i="10"/>
  <c r="D56" i="27"/>
  <c r="D101" i="10"/>
  <c r="D49" i="27"/>
  <c r="D93" i="10"/>
  <c r="D41" i="27"/>
  <c r="D92" i="10"/>
  <c r="D40" i="27"/>
  <c r="D105" i="10"/>
  <c r="D53" i="27"/>
  <c r="C28" i="8"/>
  <c r="G3" i="8"/>
  <c r="AO3" i="8"/>
  <c r="AB3" i="8"/>
  <c r="D38" i="8" s="1"/>
  <c r="N3" i="8"/>
  <c r="D24" i="8" s="1"/>
  <c r="AN3" i="8"/>
  <c r="R3" i="8"/>
  <c r="D28" i="8" s="1"/>
  <c r="AU3" i="8"/>
  <c r="AF3" i="8"/>
  <c r="AA3" i="8"/>
  <c r="AS3" i="8"/>
  <c r="V3" i="8"/>
  <c r="AP3" i="8"/>
  <c r="Q3" i="8"/>
  <c r="S3" i="8"/>
  <c r="C56" i="8"/>
  <c r="AI3" i="8"/>
  <c r="AH3" i="8"/>
  <c r="D44" i="8" s="1"/>
  <c r="AD3" i="8"/>
  <c r="J3" i="8"/>
  <c r="Y3" i="8"/>
  <c r="D3" i="8"/>
  <c r="AJ3" i="8"/>
  <c r="D46" i="8" s="1"/>
  <c r="M3" i="8"/>
  <c r="AQ3" i="8"/>
  <c r="P3" i="8"/>
  <c r="AG3" i="8"/>
  <c r="E3" i="8"/>
  <c r="AT3" i="8"/>
  <c r="D56" i="8" s="1"/>
  <c r="U3" i="8"/>
  <c r="Z3" i="8"/>
  <c r="X3" i="8"/>
  <c r="AL3" i="8"/>
  <c r="F3" i="8"/>
  <c r="AK3" i="8"/>
  <c r="D47" i="8" s="1"/>
  <c r="AC3" i="8"/>
  <c r="O3" i="8"/>
  <c r="D25" i="8" s="1"/>
  <c r="AE3" i="8"/>
  <c r="H3" i="8"/>
  <c r="D18" i="8" s="1"/>
  <c r="L3" i="8"/>
  <c r="D22" i="8" s="1"/>
  <c r="AR3" i="8"/>
  <c r="W3" i="8"/>
  <c r="AM3" i="8"/>
  <c r="I3" i="8"/>
  <c r="BK23" i="3"/>
  <c r="C94" i="10"/>
  <c r="D34" i="10"/>
  <c r="AC32" i="6"/>
  <c r="F34" i="10"/>
  <c r="B34" i="10"/>
  <c r="B40" i="8"/>
  <c r="C40" i="8" s="1"/>
  <c r="C48" i="8"/>
  <c r="F48" i="10"/>
  <c r="C52" i="8"/>
  <c r="C38" i="8"/>
  <c r="C18" i="8"/>
  <c r="C51" i="8"/>
  <c r="C30" i="8"/>
  <c r="C34" i="8"/>
  <c r="C22" i="8"/>
  <c r="C23" i="8"/>
  <c r="G43" i="6"/>
  <c r="D67" i="10"/>
  <c r="F39" i="10"/>
  <c r="F99" i="10" s="1"/>
  <c r="F9" i="10"/>
  <c r="A45" i="11"/>
  <c r="F23" i="10"/>
  <c r="D18" i="33" s="1"/>
  <c r="A6" i="11"/>
  <c r="F35" i="10"/>
  <c r="F31" i="10"/>
  <c r="D26" i="33" s="1"/>
  <c r="AC27" i="6"/>
  <c r="C89" i="10"/>
  <c r="AC12" i="6"/>
  <c r="C74" i="10"/>
  <c r="AC41" i="6"/>
  <c r="C103" i="10"/>
  <c r="AC46" i="6"/>
  <c r="C108" i="10"/>
  <c r="AC9" i="6"/>
  <c r="C71" i="10"/>
  <c r="F51" i="10"/>
  <c r="F14" i="10"/>
  <c r="F74" i="10" s="1"/>
  <c r="B27" i="10"/>
  <c r="C87" i="10"/>
  <c r="AC11" i="6"/>
  <c r="C73" i="10"/>
  <c r="AC37" i="6"/>
  <c r="C99" i="10"/>
  <c r="AC33" i="6"/>
  <c r="C95" i="10"/>
  <c r="AC21" i="6"/>
  <c r="C83" i="10"/>
  <c r="AC49" i="6"/>
  <c r="C111" i="10"/>
  <c r="AC7" i="6"/>
  <c r="C69" i="10"/>
  <c r="AC34" i="6"/>
  <c r="C96" i="10"/>
  <c r="G40" i="6"/>
  <c r="AC18" i="6"/>
  <c r="C80" i="10"/>
  <c r="AC19" i="6"/>
  <c r="C81" i="10"/>
  <c r="G22" i="8"/>
  <c r="A29" i="11"/>
  <c r="B93" i="10"/>
  <c r="A3" i="11"/>
  <c r="B67" i="10"/>
  <c r="A15" i="11"/>
  <c r="B79" i="10"/>
  <c r="A12" i="11"/>
  <c r="A13" i="11"/>
  <c r="B77" i="10"/>
  <c r="A36" i="11"/>
  <c r="B100" i="10"/>
  <c r="A40" i="11"/>
  <c r="B104" i="10"/>
  <c r="A34" i="11"/>
  <c r="B98" i="10"/>
  <c r="A43" i="11"/>
  <c r="B107" i="10"/>
  <c r="A37" i="11"/>
  <c r="B101" i="10"/>
  <c r="A42" i="11"/>
  <c r="B106" i="10"/>
  <c r="A24" i="11"/>
  <c r="B88" i="10"/>
  <c r="A20" i="11"/>
  <c r="B84" i="10"/>
  <c r="A14" i="11"/>
  <c r="B78" i="10"/>
  <c r="A8" i="11"/>
  <c r="B72" i="10"/>
  <c r="A18" i="11"/>
  <c r="B82" i="10"/>
  <c r="A28" i="11"/>
  <c r="B92" i="10"/>
  <c r="A4" i="11"/>
  <c r="B68" i="10"/>
  <c r="A22" i="11"/>
  <c r="B86" i="10"/>
  <c r="A41" i="11"/>
  <c r="B105" i="10"/>
  <c r="F73" i="10"/>
  <c r="F92" i="10"/>
  <c r="F100" i="10"/>
  <c r="F98" i="10"/>
  <c r="F72" i="10"/>
  <c r="F88" i="10"/>
  <c r="F90" i="10"/>
  <c r="F110" i="10"/>
  <c r="F109" i="10"/>
  <c r="D27" i="10"/>
  <c r="D35" i="40" s="1"/>
  <c r="AC25" i="6"/>
  <c r="B43" i="8"/>
  <c r="C43" i="8" s="1"/>
  <c r="AC35" i="6"/>
  <c r="B31" i="8"/>
  <c r="C31" i="8" s="1"/>
  <c r="AC23" i="6"/>
  <c r="B31" i="10"/>
  <c r="AC29" i="6"/>
  <c r="F37" i="10"/>
  <c r="F36" i="10"/>
  <c r="B36" i="10"/>
  <c r="D15" i="10"/>
  <c r="AC13" i="6"/>
  <c r="F21" i="10"/>
  <c r="D25" i="10"/>
  <c r="D37" i="10"/>
  <c r="D45" i="40" s="1"/>
  <c r="C32" i="8"/>
  <c r="G42" i="6"/>
  <c r="BG22" i="3"/>
  <c r="E18" i="6" s="1"/>
  <c r="E47" i="6" s="1"/>
  <c r="BG15" i="3"/>
  <c r="E11" i="6" s="1"/>
  <c r="E40" i="6" s="1"/>
  <c r="G38" i="6"/>
  <c r="BN17" i="3"/>
  <c r="BN23" i="3"/>
  <c r="BN24" i="3"/>
  <c r="BN21" i="3"/>
  <c r="BN30" i="3"/>
  <c r="BN31" i="3"/>
  <c r="BN33" i="3"/>
  <c r="BN28" i="3"/>
  <c r="BN32" i="3"/>
  <c r="BN29" i="3"/>
  <c r="BN26" i="3"/>
  <c r="BN25" i="3"/>
  <c r="BN27" i="3"/>
  <c r="BN16" i="3"/>
  <c r="F8" i="10"/>
  <c r="F16" i="10"/>
  <c r="F11" i="10"/>
  <c r="F17" i="10"/>
  <c r="F7" i="10"/>
  <c r="F79" i="10" s="1"/>
  <c r="BN15" i="3"/>
  <c r="BG33" i="3"/>
  <c r="E29" i="6" s="1"/>
  <c r="E58" i="6" s="1"/>
  <c r="BG13" i="3"/>
  <c r="E9" i="6" s="1"/>
  <c r="E38" i="6" s="1"/>
  <c r="BK20" i="3"/>
  <c r="BG14" i="3"/>
  <c r="E10" i="6" s="1"/>
  <c r="E39" i="6" s="1"/>
  <c r="BK32" i="3"/>
  <c r="BK13" i="3"/>
  <c r="BG32" i="3"/>
  <c r="E28" i="6" s="1"/>
  <c r="E57" i="6" s="1"/>
  <c r="BK24" i="3"/>
  <c r="BK33" i="3"/>
  <c r="B54" i="8"/>
  <c r="C54" i="8" s="1"/>
  <c r="B48" i="10"/>
  <c r="BG31" i="3"/>
  <c r="E27" i="6" s="1"/>
  <c r="E56" i="6" s="1"/>
  <c r="B25" i="10"/>
  <c r="B42" i="8"/>
  <c r="C42" i="8" s="1"/>
  <c r="D36" i="10"/>
  <c r="D44" i="40" s="1"/>
  <c r="D39" i="10"/>
  <c r="D47" i="40" s="1"/>
  <c r="B37" i="10"/>
  <c r="BH41" i="3"/>
  <c r="BH40" i="3"/>
  <c r="BN12" i="3"/>
  <c r="BN22" i="3"/>
  <c r="BN20" i="3"/>
  <c r="BN19" i="3"/>
  <c r="BN18" i="3"/>
  <c r="C24" i="8"/>
  <c r="C44" i="8"/>
  <c r="BN10" i="3"/>
  <c r="BN11" i="3"/>
  <c r="C25" i="8"/>
  <c r="F29" i="10"/>
  <c r="D24" i="33" s="1"/>
  <c r="F15" i="10"/>
  <c r="BG27" i="3"/>
  <c r="E23" i="6" s="1"/>
  <c r="E52" i="6" s="1"/>
  <c r="F43" i="10"/>
  <c r="F20" i="10"/>
  <c r="C53" i="8"/>
  <c r="C14" i="8"/>
  <c r="BG11" i="3"/>
  <c r="E7" i="6" s="1"/>
  <c r="E36" i="6" s="1"/>
  <c r="BG25" i="3"/>
  <c r="E21" i="6" s="1"/>
  <c r="E50" i="6" s="1"/>
  <c r="BG16" i="3"/>
  <c r="E12" i="6" s="1"/>
  <c r="E41" i="6" s="1"/>
  <c r="G36" i="6"/>
  <c r="BK15" i="3"/>
  <c r="B45" i="8"/>
  <c r="C45" i="8" s="1"/>
  <c r="B37" i="8"/>
  <c r="C37" i="8" s="1"/>
  <c r="D31" i="10"/>
  <c r="D39" i="40" s="1"/>
  <c r="D9" i="10"/>
  <c r="B9" i="10"/>
  <c r="B15" i="8"/>
  <c r="C15" i="8" s="1"/>
  <c r="B33" i="8"/>
  <c r="C33" i="8" s="1"/>
  <c r="B15" i="10"/>
  <c r="B21" i="8"/>
  <c r="C21" i="8" s="1"/>
  <c r="B21" i="10"/>
  <c r="B27" i="8"/>
  <c r="C27" i="8" s="1"/>
  <c r="D21" i="10"/>
  <c r="B20" i="8"/>
  <c r="C20" i="8" s="1"/>
  <c r="D14" i="10"/>
  <c r="D22" i="40" s="1"/>
  <c r="B14" i="10"/>
  <c r="D13" i="10"/>
  <c r="D21" i="40" s="1"/>
  <c r="B13" i="10"/>
  <c r="B19" i="8"/>
  <c r="B29" i="8"/>
  <c r="C29" i="8" s="1"/>
  <c r="B23" i="10"/>
  <c r="D23" i="10"/>
  <c r="D30" i="10"/>
  <c r="D38" i="40" s="1"/>
  <c r="B36" i="8"/>
  <c r="C36" i="8" s="1"/>
  <c r="B30" i="10"/>
  <c r="D29" i="10"/>
  <c r="D37" i="40" s="1"/>
  <c r="B29" i="10"/>
  <c r="B35" i="8"/>
  <c r="C35" i="8" s="1"/>
  <c r="D43" i="10"/>
  <c r="D51" i="40" s="1"/>
  <c r="B49" i="8"/>
  <c r="C49" i="8" s="1"/>
  <c r="L66" i="5"/>
  <c r="G39" i="6"/>
  <c r="C50" i="8"/>
  <c r="C39" i="8"/>
  <c r="B41" i="8"/>
  <c r="C41" i="8" s="1"/>
  <c r="D35" i="10"/>
  <c r="B35" i="10"/>
  <c r="D51" i="10"/>
  <c r="D59" i="40" s="1"/>
  <c r="B57" i="8"/>
  <c r="C57" i="8" s="1"/>
  <c r="B51" i="10"/>
  <c r="B26" i="8"/>
  <c r="D20" i="10"/>
  <c r="B20" i="10"/>
  <c r="B17" i="8"/>
  <c r="C17" i="8" s="1"/>
  <c r="D11" i="10"/>
  <c r="B11" i="10"/>
  <c r="G34" i="6"/>
  <c r="BN14" i="3"/>
  <c r="BN13" i="3"/>
  <c r="I13" i="20"/>
  <c r="AR12" i="31" s="1"/>
  <c r="BK26" i="3"/>
  <c r="BG17" i="3"/>
  <c r="E13" i="6" s="1"/>
  <c r="E42" i="6" s="1"/>
  <c r="BK16" i="3"/>
  <c r="BK9" i="3"/>
  <c r="BK31" i="3"/>
  <c r="L65" i="5"/>
  <c r="BI34" i="3"/>
  <c r="J188" i="31" s="1"/>
  <c r="AL35" i="3"/>
  <c r="AL34" i="3"/>
  <c r="BE40" i="3"/>
  <c r="BK11" i="3"/>
  <c r="B4" i="8"/>
  <c r="T4" i="8" s="1"/>
  <c r="T5" i="8" s="1"/>
  <c r="T6" i="8" s="1"/>
  <c r="T7" i="8" s="1"/>
  <c r="T8" i="8" s="1"/>
  <c r="T9" i="8" s="1"/>
  <c r="T10" i="8" s="1"/>
  <c r="T11" i="8" s="1"/>
  <c r="D30" i="8"/>
  <c r="B35" i="6"/>
  <c r="C35" i="6"/>
  <c r="I9" i="20"/>
  <c r="J9" i="20" s="1"/>
  <c r="S50" i="20"/>
  <c r="BG12" i="3"/>
  <c r="E8" i="6" s="1"/>
  <c r="E37" i="6" s="1"/>
  <c r="B61" i="6"/>
  <c r="BB5" i="2"/>
  <c r="S34" i="3"/>
  <c r="F33" i="10"/>
  <c r="F27" i="10"/>
  <c r="D22" i="33" s="1"/>
  <c r="F25" i="10"/>
  <c r="D20" i="33" s="1"/>
  <c r="F24" i="10"/>
  <c r="D19" i="33" s="1"/>
  <c r="K34" i="3"/>
  <c r="C52" i="6"/>
  <c r="G52" i="6" s="1"/>
  <c r="AK35" i="3"/>
  <c r="AK34" i="3"/>
  <c r="AA34" i="3"/>
  <c r="AG34" i="3"/>
  <c r="V34" i="3"/>
  <c r="J34" i="3"/>
  <c r="U34" i="3"/>
  <c r="Z34" i="3"/>
  <c r="N34" i="3"/>
  <c r="AJ34" i="3"/>
  <c r="X34" i="3"/>
  <c r="Y34" i="3"/>
  <c r="L34" i="3"/>
  <c r="R34" i="3"/>
  <c r="T34" i="3"/>
  <c r="AD34" i="3"/>
  <c r="AC34" i="3"/>
  <c r="AB34" i="3"/>
  <c r="AI34" i="3"/>
  <c r="AE34" i="3"/>
  <c r="M34" i="3"/>
  <c r="C58" i="6"/>
  <c r="G58" i="6" s="1"/>
  <c r="AH34" i="3"/>
  <c r="AF34" i="3"/>
  <c r="W34" i="3"/>
  <c r="C37" i="6"/>
  <c r="G37" i="6" s="1"/>
  <c r="S44" i="20"/>
  <c r="H222" i="20"/>
  <c r="H223" i="20" s="1"/>
  <c r="F209" i="20"/>
  <c r="F214" i="20" s="1"/>
  <c r="F192" i="20"/>
  <c r="F194" i="20" s="1"/>
  <c r="G222" i="20"/>
  <c r="G223" i="20" s="1"/>
  <c r="S40" i="20"/>
  <c r="S32" i="20"/>
  <c r="F161" i="20"/>
  <c r="F164" i="20" s="1"/>
  <c r="D161" i="20"/>
  <c r="D163" i="20" s="1"/>
  <c r="S37" i="20"/>
  <c r="C183" i="20"/>
  <c r="C192" i="20" s="1"/>
  <c r="F218" i="20"/>
  <c r="F219" i="20" s="1"/>
  <c r="C163" i="20"/>
  <c r="C167" i="20" s="1"/>
  <c r="D222" i="20"/>
  <c r="D223" i="20" s="1"/>
  <c r="D218" i="20"/>
  <c r="H218" i="20" s="1"/>
  <c r="H219" i="20" s="1"/>
  <c r="S54" i="20"/>
  <c r="I70" i="20" s="1"/>
  <c r="AQ28" i="31" s="1"/>
  <c r="S58" i="20"/>
  <c r="S61" i="20"/>
  <c r="S64" i="20"/>
  <c r="D225" i="20"/>
  <c r="S13" i="20"/>
  <c r="S55" i="20"/>
  <c r="S10" i="20"/>
  <c r="C225" i="20"/>
  <c r="G225" i="20" s="1"/>
  <c r="S51" i="20"/>
  <c r="S11" i="20"/>
  <c r="S52" i="20"/>
  <c r="F225" i="20"/>
  <c r="F230" i="20" s="1"/>
  <c r="S12" i="20"/>
  <c r="S53" i="20"/>
  <c r="C93" i="20"/>
  <c r="C105" i="20" s="1"/>
  <c r="C92" i="20"/>
  <c r="C94" i="20"/>
  <c r="C106" i="20" s="1"/>
  <c r="D92" i="20"/>
  <c r="D93" i="20"/>
  <c r="D94" i="20"/>
  <c r="C209" i="20"/>
  <c r="C218" i="20"/>
  <c r="C222" i="20"/>
  <c r="C223" i="20" s="1"/>
  <c r="G228" i="20"/>
  <c r="F223" i="20"/>
  <c r="D211" i="20"/>
  <c r="D214" i="20"/>
  <c r="D224" i="20"/>
  <c r="S19" i="33" l="1"/>
  <c r="O23" i="33" s="1"/>
  <c r="O78" i="40"/>
  <c r="AJ5" i="2"/>
  <c r="D32" i="27"/>
  <c r="Q8" i="2"/>
  <c r="L8" i="2"/>
  <c r="N7" i="2"/>
  <c r="G59" i="27"/>
  <c r="AZ6" i="2" s="1"/>
  <c r="K5" i="2"/>
  <c r="B32" i="27"/>
  <c r="Q6" i="2"/>
  <c r="E50" i="36"/>
  <c r="AX78" i="40"/>
  <c r="K8" i="2"/>
  <c r="O7" i="2"/>
  <c r="S5" i="2"/>
  <c r="B32" i="40"/>
  <c r="AT7" i="2"/>
  <c r="AL6" i="2"/>
  <c r="T6" i="2"/>
  <c r="M9" i="2"/>
  <c r="I9" i="2"/>
  <c r="D32" i="40"/>
  <c r="J7" i="2"/>
  <c r="AK5" i="2"/>
  <c r="G56" i="27"/>
  <c r="AW6" i="2" s="1"/>
  <c r="U5" i="2"/>
  <c r="AB7" i="2"/>
  <c r="AJ6" i="2"/>
  <c r="D55" i="8"/>
  <c r="AO5" i="2"/>
  <c r="G22" i="27"/>
  <c r="R78" i="27" s="1"/>
  <c r="AK6" i="2"/>
  <c r="S6" i="2"/>
  <c r="K10" i="2"/>
  <c r="AT8" i="2"/>
  <c r="AI6" i="2"/>
  <c r="T9" i="2"/>
  <c r="O5" i="2"/>
  <c r="S10" i="2"/>
  <c r="AR8" i="2"/>
  <c r="AW77" i="40"/>
  <c r="V8" i="2"/>
  <c r="T8" i="2"/>
  <c r="U7" i="2"/>
  <c r="AM8" i="2"/>
  <c r="E50" i="40"/>
  <c r="AQ7" i="2" s="1"/>
  <c r="G50" i="40"/>
  <c r="AQ8" i="2" s="1"/>
  <c r="AO6" i="2"/>
  <c r="AW5" i="2"/>
  <c r="R6" i="2"/>
  <c r="K9" i="2"/>
  <c r="S9" i="2"/>
  <c r="AP5" i="2"/>
  <c r="AU8" i="2"/>
  <c r="AR7" i="2"/>
  <c r="AM7" i="2"/>
  <c r="AO7" i="2"/>
  <c r="O8" i="2"/>
  <c r="S7" i="2"/>
  <c r="L6" i="2"/>
  <c r="M6" i="2"/>
  <c r="AV7" i="2"/>
  <c r="AP7" i="2"/>
  <c r="AF7" i="2"/>
  <c r="Y8" i="2"/>
  <c r="M5" i="2"/>
  <c r="U78" i="40"/>
  <c r="AY77" i="40"/>
  <c r="AW78" i="40"/>
  <c r="AK8" i="2"/>
  <c r="T7" i="2"/>
  <c r="AN7" i="2"/>
  <c r="AP8" i="2"/>
  <c r="D56" i="36"/>
  <c r="T78" i="40"/>
  <c r="AV8" i="2"/>
  <c r="AY78" i="40"/>
  <c r="AK7" i="2"/>
  <c r="AO8" i="2"/>
  <c r="AR77" i="40"/>
  <c r="Q78" i="40"/>
  <c r="AR78" i="40"/>
  <c r="N78" i="40"/>
  <c r="N77" i="40"/>
  <c r="W78" i="40"/>
  <c r="W77" i="40"/>
  <c r="AN77" i="40"/>
  <c r="V77" i="40"/>
  <c r="AQ78" i="40"/>
  <c r="AS78" i="40"/>
  <c r="AP77" i="40"/>
  <c r="R77" i="40"/>
  <c r="V78" i="40"/>
  <c r="AP78" i="40"/>
  <c r="AS77" i="40"/>
  <c r="AQ77" i="40"/>
  <c r="Q77" i="40"/>
  <c r="AN78" i="40"/>
  <c r="R78" i="40"/>
  <c r="AO77" i="40"/>
  <c r="E15" i="40"/>
  <c r="P77" i="40"/>
  <c r="AL77" i="40"/>
  <c r="AM77" i="40"/>
  <c r="AM78" i="40"/>
  <c r="AL78" i="40"/>
  <c r="M78" i="40"/>
  <c r="P78" i="40"/>
  <c r="AO78" i="40"/>
  <c r="I8" i="2"/>
  <c r="M8" i="2"/>
  <c r="AJ7" i="2"/>
  <c r="AJ8" i="2"/>
  <c r="AL7" i="2"/>
  <c r="AG7" i="2"/>
  <c r="AC7" i="2"/>
  <c r="AL8" i="2"/>
  <c r="R8" i="2"/>
  <c r="AH7" i="2"/>
  <c r="J8" i="2"/>
  <c r="M7" i="2"/>
  <c r="AI7" i="2"/>
  <c r="W8" i="2"/>
  <c r="AE7" i="2"/>
  <c r="AI8" i="2"/>
  <c r="AN8" i="2"/>
  <c r="S77" i="40"/>
  <c r="E59" i="40"/>
  <c r="AZ7" i="2" s="1"/>
  <c r="G59" i="40"/>
  <c r="AZ8" i="2" s="1"/>
  <c r="AD7" i="2"/>
  <c r="S8" i="2"/>
  <c r="AI5" i="2"/>
  <c r="T5" i="2"/>
  <c r="M10" i="2"/>
  <c r="T10" i="2"/>
  <c r="AM6" i="2"/>
  <c r="I10" i="2"/>
  <c r="X77" i="40"/>
  <c r="AV78" i="40"/>
  <c r="AS8" i="2"/>
  <c r="N8" i="2"/>
  <c r="AM5" i="2"/>
  <c r="U8" i="2"/>
  <c r="P7" i="2"/>
  <c r="AP6" i="2"/>
  <c r="AU78" i="40"/>
  <c r="AX6" i="2"/>
  <c r="AU77" i="40"/>
  <c r="E57" i="27"/>
  <c r="AX5" i="2" s="1"/>
  <c r="AZ5" i="2"/>
  <c r="AY5" i="2"/>
  <c r="AY6" i="2"/>
  <c r="AU9" i="2"/>
  <c r="R9" i="2"/>
  <c r="AU10" i="2"/>
  <c r="R10" i="2"/>
  <c r="AT10" i="2"/>
  <c r="AT9" i="2"/>
  <c r="D52" i="8"/>
  <c r="D53" i="8"/>
  <c r="AT6" i="2"/>
  <c r="AS6" i="2"/>
  <c r="D51" i="8"/>
  <c r="AV6" i="2"/>
  <c r="AT5" i="2"/>
  <c r="D50" i="8"/>
  <c r="AZ10" i="2"/>
  <c r="AY10" i="2"/>
  <c r="AY9" i="2"/>
  <c r="AZ9" i="2"/>
  <c r="G56" i="40"/>
  <c r="AZ78" i="40" s="1"/>
  <c r="E56" i="40"/>
  <c r="AZ77" i="40" s="1"/>
  <c r="AX7" i="2"/>
  <c r="BA77" i="40"/>
  <c r="AX8" i="2"/>
  <c r="AY7" i="2"/>
  <c r="BB77" i="40"/>
  <c r="BA78" i="40"/>
  <c r="AY8" i="2"/>
  <c r="BB78" i="40"/>
  <c r="B103" i="10"/>
  <c r="B35" i="36"/>
  <c r="B35" i="40"/>
  <c r="B28" i="36"/>
  <c r="B28" i="40"/>
  <c r="B37" i="36"/>
  <c r="B37" i="40"/>
  <c r="B29" i="36"/>
  <c r="B29" i="40"/>
  <c r="B56" i="36"/>
  <c r="B56" i="40"/>
  <c r="D23" i="36"/>
  <c r="D23" i="40"/>
  <c r="B42" i="36"/>
  <c r="B42" i="40"/>
  <c r="D28" i="36"/>
  <c r="D28" i="40"/>
  <c r="B21" i="36"/>
  <c r="B44" i="36"/>
  <c r="B44" i="40"/>
  <c r="B38" i="36"/>
  <c r="B38" i="40"/>
  <c r="B23" i="36"/>
  <c r="B23" i="40"/>
  <c r="B45" i="36"/>
  <c r="B45" i="40"/>
  <c r="B24" i="36"/>
  <c r="B24" i="40"/>
  <c r="D15" i="36"/>
  <c r="D15" i="40"/>
  <c r="D43" i="36"/>
  <c r="D43" i="40"/>
  <c r="B59" i="36"/>
  <c r="B59" i="40"/>
  <c r="B22" i="36"/>
  <c r="B22" i="40"/>
  <c r="D42" i="36"/>
  <c r="D42" i="40"/>
  <c r="B19" i="36"/>
  <c r="B19" i="40"/>
  <c r="D31" i="36"/>
  <c r="D31" i="40"/>
  <c r="B17" i="36"/>
  <c r="D33" i="36"/>
  <c r="D33" i="40"/>
  <c r="B39" i="36"/>
  <c r="B39" i="40"/>
  <c r="D19" i="36"/>
  <c r="D19" i="40"/>
  <c r="B43" i="36"/>
  <c r="B43" i="40"/>
  <c r="B31" i="36"/>
  <c r="B31" i="40"/>
  <c r="D29" i="36"/>
  <c r="D29" i="40"/>
  <c r="D17" i="36"/>
  <c r="D17" i="40"/>
  <c r="B33" i="36"/>
  <c r="B33" i="40"/>
  <c r="Q77" i="27"/>
  <c r="N5" i="2"/>
  <c r="K77" i="27"/>
  <c r="H5" i="2"/>
  <c r="U78" i="36"/>
  <c r="D59" i="36"/>
  <c r="D57" i="36"/>
  <c r="B50" i="36"/>
  <c r="G37" i="36"/>
  <c r="E37" i="36"/>
  <c r="G32" i="36"/>
  <c r="E32" i="36"/>
  <c r="G45" i="36"/>
  <c r="E45" i="36"/>
  <c r="G17" i="36"/>
  <c r="E17" i="36"/>
  <c r="E56" i="36"/>
  <c r="G56" i="36"/>
  <c r="AZ78" i="36" s="1"/>
  <c r="G21" i="36"/>
  <c r="E21" i="36"/>
  <c r="D39" i="36"/>
  <c r="D40" i="8"/>
  <c r="A35" i="11"/>
  <c r="B47" i="36"/>
  <c r="G51" i="36"/>
  <c r="E51" i="36"/>
  <c r="E31" i="36"/>
  <c r="G31" i="36"/>
  <c r="D37" i="36"/>
  <c r="E47" i="36"/>
  <c r="G47" i="36"/>
  <c r="E23" i="36"/>
  <c r="G23" i="36"/>
  <c r="P10" i="2" s="1"/>
  <c r="E39" i="36"/>
  <c r="G39" i="36"/>
  <c r="G22" i="36"/>
  <c r="E22" i="36"/>
  <c r="G29" i="36"/>
  <c r="E29" i="36"/>
  <c r="D21" i="36"/>
  <c r="A39" i="11"/>
  <c r="B51" i="36"/>
  <c r="G24" i="36"/>
  <c r="E24" i="36"/>
  <c r="Q9" i="2" s="1"/>
  <c r="G33" i="36"/>
  <c r="E33" i="36"/>
  <c r="G44" i="36"/>
  <c r="E44" i="36"/>
  <c r="D51" i="36"/>
  <c r="D47" i="36"/>
  <c r="D35" i="36"/>
  <c r="E28" i="36"/>
  <c r="G28" i="36"/>
  <c r="U10" i="2" s="1"/>
  <c r="G42" i="36"/>
  <c r="E42" i="36"/>
  <c r="E35" i="36"/>
  <c r="G35" i="36"/>
  <c r="G19" i="36"/>
  <c r="E19" i="36"/>
  <c r="L9" i="2" s="1"/>
  <c r="D38" i="36"/>
  <c r="D22" i="36"/>
  <c r="D44" i="36"/>
  <c r="D45" i="36"/>
  <c r="E57" i="36"/>
  <c r="BA77" i="36" s="1"/>
  <c r="G57" i="36"/>
  <c r="BA78" i="36" s="1"/>
  <c r="G43" i="36"/>
  <c r="E43" i="36"/>
  <c r="Q78" i="27"/>
  <c r="R77" i="27"/>
  <c r="P78" i="27"/>
  <c r="AS77" i="36"/>
  <c r="AR78" i="36"/>
  <c r="AW77" i="36"/>
  <c r="AX78" i="36"/>
  <c r="W78" i="36"/>
  <c r="AY77" i="36"/>
  <c r="AW78" i="36"/>
  <c r="V78" i="36"/>
  <c r="AY78" i="36"/>
  <c r="AP78" i="36"/>
  <c r="AT78" i="36"/>
  <c r="AV77" i="36"/>
  <c r="BC77" i="36"/>
  <c r="P78" i="36"/>
  <c r="AS78" i="36"/>
  <c r="P77" i="36"/>
  <c r="AV78" i="36"/>
  <c r="BB78" i="36"/>
  <c r="BC78" i="36"/>
  <c r="AP77" i="36"/>
  <c r="AR77" i="36"/>
  <c r="AX77" i="36"/>
  <c r="BB77" i="36"/>
  <c r="W77" i="36"/>
  <c r="V77" i="36"/>
  <c r="N77" i="36"/>
  <c r="N78" i="36"/>
  <c r="E15" i="36"/>
  <c r="G15" i="36"/>
  <c r="H10" i="2" s="1"/>
  <c r="O33" i="33"/>
  <c r="O32" i="33"/>
  <c r="N23" i="33"/>
  <c r="O31" i="33"/>
  <c r="O30" i="33"/>
  <c r="O22" i="33"/>
  <c r="O29" i="33"/>
  <c r="N28" i="33"/>
  <c r="O28" i="33"/>
  <c r="O20" i="33"/>
  <c r="N25" i="33"/>
  <c r="N24" i="33"/>
  <c r="F93" i="10"/>
  <c r="D28" i="33"/>
  <c r="BB35" i="3"/>
  <c r="B102" i="10"/>
  <c r="D57" i="27"/>
  <c r="D109" i="10"/>
  <c r="B50" i="27"/>
  <c r="B99" i="10"/>
  <c r="A38" i="11"/>
  <c r="AL33" i="6"/>
  <c r="AF33" i="6" s="1"/>
  <c r="AL36" i="6"/>
  <c r="AF36" i="6" s="1"/>
  <c r="AL38" i="6"/>
  <c r="AF38" i="6" s="1"/>
  <c r="D48" i="8"/>
  <c r="B38" i="27"/>
  <c r="B51" i="27"/>
  <c r="B59" i="27"/>
  <c r="B22" i="27"/>
  <c r="B19" i="27"/>
  <c r="D31" i="27"/>
  <c r="B17" i="27"/>
  <c r="D33" i="27"/>
  <c r="B39" i="27"/>
  <c r="D19" i="27"/>
  <c r="B43" i="27"/>
  <c r="B31" i="27"/>
  <c r="D17" i="27"/>
  <c r="B33" i="27"/>
  <c r="D29" i="27"/>
  <c r="D43" i="27"/>
  <c r="B42" i="27"/>
  <c r="B24" i="27"/>
  <c r="B23" i="27"/>
  <c r="B28" i="27"/>
  <c r="B37" i="27"/>
  <c r="B29" i="27"/>
  <c r="B56" i="27"/>
  <c r="D23" i="27"/>
  <c r="B87" i="10"/>
  <c r="D28" i="27"/>
  <c r="B21" i="27"/>
  <c r="B44" i="27"/>
  <c r="B45" i="27"/>
  <c r="D42" i="27"/>
  <c r="B47" i="27"/>
  <c r="V78" i="27"/>
  <c r="N78" i="27"/>
  <c r="O78" i="27"/>
  <c r="AM77" i="27"/>
  <c r="AO78" i="27"/>
  <c r="AZ77" i="27"/>
  <c r="AR77" i="27"/>
  <c r="AP77" i="27"/>
  <c r="AS78" i="27"/>
  <c r="AS77" i="27"/>
  <c r="E45" i="27"/>
  <c r="AW78" i="27"/>
  <c r="AL31" i="6"/>
  <c r="AF31" i="6" s="1"/>
  <c r="AL77" i="27"/>
  <c r="AV78" i="27"/>
  <c r="N77" i="27"/>
  <c r="X77" i="27"/>
  <c r="AL32" i="6"/>
  <c r="AF32" i="6" s="1"/>
  <c r="AW77" i="27"/>
  <c r="U78" i="27"/>
  <c r="E23" i="27"/>
  <c r="E47" i="27"/>
  <c r="G47" i="27"/>
  <c r="AN6" i="2" s="1"/>
  <c r="AL37" i="6"/>
  <c r="AF37" i="6" s="1"/>
  <c r="AM78" i="27"/>
  <c r="AL78" i="27"/>
  <c r="AP78" i="27"/>
  <c r="AL34" i="6"/>
  <c r="AF34" i="6" s="1"/>
  <c r="AN77" i="27"/>
  <c r="P77" i="27"/>
  <c r="W77" i="27"/>
  <c r="AY78" i="27"/>
  <c r="AL35" i="6"/>
  <c r="AF35" i="6" s="1"/>
  <c r="W78" i="27"/>
  <c r="V77" i="27"/>
  <c r="G50" i="27"/>
  <c r="AQ6" i="2" s="1"/>
  <c r="E50" i="27"/>
  <c r="T78" i="27"/>
  <c r="G51" i="27"/>
  <c r="AR6" i="2" s="1"/>
  <c r="E51" i="27"/>
  <c r="BA78" i="27"/>
  <c r="BC77" i="27"/>
  <c r="AN78" i="27"/>
  <c r="BB77" i="27"/>
  <c r="AR78" i="27"/>
  <c r="BB78" i="27"/>
  <c r="M78" i="27"/>
  <c r="AB164" i="31"/>
  <c r="W17" i="31" s="1"/>
  <c r="AB165" i="31"/>
  <c r="R164" i="31"/>
  <c r="O17" i="31" s="1"/>
  <c r="R165" i="31"/>
  <c r="J164" i="31"/>
  <c r="AS164" i="31"/>
  <c r="AM17" i="31" s="1"/>
  <c r="AS165" i="31"/>
  <c r="I35" i="3"/>
  <c r="K209" i="31"/>
  <c r="K208" i="31"/>
  <c r="K207" i="31"/>
  <c r="K214" i="31"/>
  <c r="K211" i="31"/>
  <c r="K210" i="31"/>
  <c r="K213" i="31"/>
  <c r="K212" i="31"/>
  <c r="T150" i="31"/>
  <c r="T151" i="31" s="1"/>
  <c r="Q13" i="31" s="1"/>
  <c r="M150" i="31"/>
  <c r="M151" i="31" s="1"/>
  <c r="K13" i="31" s="1"/>
  <c r="R150" i="31"/>
  <c r="R151" i="31" s="1"/>
  <c r="O13" i="31" s="1"/>
  <c r="O150" i="31"/>
  <c r="O151" i="31" s="1"/>
  <c r="M13" i="31" s="1"/>
  <c r="AB150" i="31"/>
  <c r="AB151" i="31" s="1"/>
  <c r="W13" i="31" s="1"/>
  <c r="AS150" i="31"/>
  <c r="AS151" i="31" s="1"/>
  <c r="AM13" i="31" s="1"/>
  <c r="V150" i="31"/>
  <c r="V151" i="31" s="1"/>
  <c r="S13" i="31" s="1"/>
  <c r="AP150" i="31"/>
  <c r="AP151" i="31" s="1"/>
  <c r="AK13" i="31" s="1"/>
  <c r="AU150" i="31"/>
  <c r="AU151" i="31" s="1"/>
  <c r="AO13" i="31" s="1"/>
  <c r="AD150" i="31"/>
  <c r="AD151" i="31" s="1"/>
  <c r="Y13" i="31" s="1"/>
  <c r="Y150" i="31"/>
  <c r="Y151" i="31" s="1"/>
  <c r="U13" i="31" s="1"/>
  <c r="J150" i="31"/>
  <c r="J151" i="31" s="1"/>
  <c r="I13" i="31" s="1"/>
  <c r="Y164" i="31"/>
  <c r="U17" i="31" s="1"/>
  <c r="Y165" i="31"/>
  <c r="AU164" i="31"/>
  <c r="AO17" i="31" s="1"/>
  <c r="AU165" i="31"/>
  <c r="AD164" i="31"/>
  <c r="Y17" i="31" s="1"/>
  <c r="AD165" i="31"/>
  <c r="AK164" i="31"/>
  <c r="AC17" i="31" s="1"/>
  <c r="AK165" i="31"/>
  <c r="BC164" i="31"/>
  <c r="AI17" i="31" s="1"/>
  <c r="BC165" i="31"/>
  <c r="AA17" i="31"/>
  <c r="AH165" i="31"/>
  <c r="AH166" i="31" s="1"/>
  <c r="AA14" i="31" s="1"/>
  <c r="AP164" i="31"/>
  <c r="AK17" i="31" s="1"/>
  <c r="AP165" i="31"/>
  <c r="J152" i="31"/>
  <c r="J12" i="31" s="1"/>
  <c r="E12" i="31" s="1"/>
  <c r="T164" i="31"/>
  <c r="Q17" i="31" s="1"/>
  <c r="T165" i="31"/>
  <c r="M164" i="31"/>
  <c r="K17" i="31" s="1"/>
  <c r="M165" i="31"/>
  <c r="V164" i="31"/>
  <c r="S17" i="31" s="1"/>
  <c r="V165" i="31"/>
  <c r="O164" i="31"/>
  <c r="M17" i="31" s="1"/>
  <c r="O165" i="31"/>
  <c r="B94" i="10"/>
  <c r="D99" i="10"/>
  <c r="D47" i="27"/>
  <c r="D87" i="10"/>
  <c r="D35" i="27"/>
  <c r="A30" i="11"/>
  <c r="D111" i="10"/>
  <c r="D59" i="27"/>
  <c r="D103" i="10"/>
  <c r="D51" i="27"/>
  <c r="D73" i="10"/>
  <c r="D21" i="27"/>
  <c r="D74" i="10"/>
  <c r="D22" i="27"/>
  <c r="D97" i="10"/>
  <c r="D45" i="27"/>
  <c r="D91" i="10"/>
  <c r="D39" i="27"/>
  <c r="A23" i="11"/>
  <c r="B35" i="27"/>
  <c r="D90" i="10"/>
  <c r="D38" i="27"/>
  <c r="D96" i="10"/>
  <c r="D44" i="27"/>
  <c r="D89" i="10"/>
  <c r="D37" i="27"/>
  <c r="AQ36" i="31"/>
  <c r="AT12" i="31"/>
  <c r="AV12" i="31" s="1"/>
  <c r="AX12" i="31" s="1"/>
  <c r="AR16" i="31"/>
  <c r="AT16" i="31" s="1"/>
  <c r="AV16" i="31" s="1"/>
  <c r="AX16" i="31" s="1"/>
  <c r="AZ16" i="31" s="1"/>
  <c r="AR15" i="31"/>
  <c r="AT15" i="31" s="1"/>
  <c r="AV15" i="31" s="1"/>
  <c r="AX15" i="31" s="1"/>
  <c r="AZ15" i="31" s="1"/>
  <c r="AR20" i="31"/>
  <c r="AT20" i="31" s="1"/>
  <c r="AV20" i="31" s="1"/>
  <c r="AX20" i="31" s="1"/>
  <c r="AZ20" i="31" s="1"/>
  <c r="AU28" i="31"/>
  <c r="AW28" i="31" s="1"/>
  <c r="AY28" i="31" s="1"/>
  <c r="AS28" i="31"/>
  <c r="I4" i="8"/>
  <c r="I5" i="8" s="1"/>
  <c r="I6" i="8" s="1"/>
  <c r="I7" i="8" s="1"/>
  <c r="I8" i="8" s="1"/>
  <c r="I9" i="8" s="1"/>
  <c r="I10" i="8" s="1"/>
  <c r="I11" i="8" s="1"/>
  <c r="G4" i="8"/>
  <c r="G5" i="8" s="1"/>
  <c r="G6" i="8" s="1"/>
  <c r="G7" i="8" s="1"/>
  <c r="G8" i="8" s="1"/>
  <c r="G9" i="8" s="1"/>
  <c r="G10" i="8" s="1"/>
  <c r="G11" i="8" s="1"/>
  <c r="X4" i="8"/>
  <c r="X5" i="8" s="1"/>
  <c r="X6" i="8" s="1"/>
  <c r="X7" i="8" s="1"/>
  <c r="X8" i="8" s="1"/>
  <c r="X9" i="8" s="1"/>
  <c r="X10" i="8" s="1"/>
  <c r="X11" i="8" s="1"/>
  <c r="AE4" i="8"/>
  <c r="AE5" i="8" s="1"/>
  <c r="AE6" i="8" s="1"/>
  <c r="AE7" i="8" s="1"/>
  <c r="AE8" i="8" s="1"/>
  <c r="AE9" i="8" s="1"/>
  <c r="AE10" i="8" s="1"/>
  <c r="AE11" i="8" s="1"/>
  <c r="U4" i="8"/>
  <c r="U5" i="8" s="1"/>
  <c r="U6" i="8" s="1"/>
  <c r="U7" i="8" s="1"/>
  <c r="U8" i="8" s="1"/>
  <c r="U9" i="8" s="1"/>
  <c r="U10" i="8" s="1"/>
  <c r="U11" i="8" s="1"/>
  <c r="D4" i="8"/>
  <c r="D5" i="8" s="1"/>
  <c r="D6" i="8" s="1"/>
  <c r="D7" i="8" s="1"/>
  <c r="D8" i="8" s="1"/>
  <c r="D9" i="8" s="1"/>
  <c r="D10" i="8" s="1"/>
  <c r="D11" i="8" s="1"/>
  <c r="AC4" i="8"/>
  <c r="AC5" i="8" s="1"/>
  <c r="AC6" i="8" s="1"/>
  <c r="AC7" i="8" s="1"/>
  <c r="AC8" i="8" s="1"/>
  <c r="AC9" i="8" s="1"/>
  <c r="AC10" i="8" s="1"/>
  <c r="AC11" i="8" s="1"/>
  <c r="M4" i="8"/>
  <c r="M5" i="8" s="1"/>
  <c r="M6" i="8" s="1"/>
  <c r="M7" i="8" s="1"/>
  <c r="M8" i="8" s="1"/>
  <c r="M9" i="8" s="1"/>
  <c r="M10" i="8" s="1"/>
  <c r="M11" i="8" s="1"/>
  <c r="AU4" i="8"/>
  <c r="AU5" i="8" s="1"/>
  <c r="AU6" i="8" s="1"/>
  <c r="AU7" i="8" s="1"/>
  <c r="AU8" i="8" s="1"/>
  <c r="AU9" i="8" s="1"/>
  <c r="AU10" i="8" s="1"/>
  <c r="AU11" i="8" s="1"/>
  <c r="D39" i="8"/>
  <c r="H4" i="8"/>
  <c r="H5" i="8" s="1"/>
  <c r="H6" i="8" s="1"/>
  <c r="H7" i="8" s="1"/>
  <c r="H8" i="8" s="1"/>
  <c r="H9" i="8" s="1"/>
  <c r="H10" i="8" s="1"/>
  <c r="H11" i="8" s="1"/>
  <c r="Z4" i="8"/>
  <c r="Z5" i="8" s="1"/>
  <c r="Z6" i="8" s="1"/>
  <c r="Z7" i="8" s="1"/>
  <c r="Z8" i="8" s="1"/>
  <c r="Z9" i="8" s="1"/>
  <c r="Z10" i="8" s="1"/>
  <c r="Z11" i="8" s="1"/>
  <c r="AJ4" i="8"/>
  <c r="AJ5" i="8" s="1"/>
  <c r="AJ6" i="8" s="1"/>
  <c r="AJ7" i="8" s="1"/>
  <c r="AJ8" i="8" s="1"/>
  <c r="AJ9" i="8" s="1"/>
  <c r="AJ10" i="8" s="1"/>
  <c r="AJ11" i="8" s="1"/>
  <c r="S4" i="8"/>
  <c r="S5" i="8" s="1"/>
  <c r="S6" i="8" s="1"/>
  <c r="S7" i="8" s="1"/>
  <c r="S8" i="8" s="1"/>
  <c r="S9" i="8" s="1"/>
  <c r="S10" i="8" s="1"/>
  <c r="S11" i="8" s="1"/>
  <c r="K4" i="8"/>
  <c r="K5" i="8" s="1"/>
  <c r="K6" i="8" s="1"/>
  <c r="K7" i="8" s="1"/>
  <c r="K8" i="8" s="1"/>
  <c r="K9" i="8" s="1"/>
  <c r="K10" i="8" s="1"/>
  <c r="K11" i="8" s="1"/>
  <c r="Q4" i="8"/>
  <c r="Q5" i="8" s="1"/>
  <c r="Q6" i="8" s="1"/>
  <c r="Q7" i="8" s="1"/>
  <c r="Q8" i="8" s="1"/>
  <c r="Q9" i="8" s="1"/>
  <c r="Q10" i="8" s="1"/>
  <c r="Q11" i="8" s="1"/>
  <c r="R4" i="8"/>
  <c r="R5" i="8" s="1"/>
  <c r="R6" i="8" s="1"/>
  <c r="R7" i="8" s="1"/>
  <c r="R8" i="8" s="1"/>
  <c r="R9" i="8" s="1"/>
  <c r="R10" i="8" s="1"/>
  <c r="R11" i="8" s="1"/>
  <c r="O4" i="8"/>
  <c r="O5" i="8" s="1"/>
  <c r="O6" i="8" s="1"/>
  <c r="O7" i="8" s="1"/>
  <c r="O8" i="8" s="1"/>
  <c r="O9" i="8" s="1"/>
  <c r="O10" i="8" s="1"/>
  <c r="O11" i="8" s="1"/>
  <c r="AT4" i="8"/>
  <c r="AT5" i="8" s="1"/>
  <c r="AT6" i="8" s="1"/>
  <c r="AT7" i="8" s="1"/>
  <c r="AT8" i="8" s="1"/>
  <c r="AT9" i="8" s="1"/>
  <c r="AT10" i="8" s="1"/>
  <c r="AT11" i="8" s="1"/>
  <c r="Y4" i="8"/>
  <c r="Y5" i="8" s="1"/>
  <c r="Y6" i="8" s="1"/>
  <c r="Y7" i="8" s="1"/>
  <c r="Y8" i="8" s="1"/>
  <c r="Y9" i="8" s="1"/>
  <c r="Y10" i="8" s="1"/>
  <c r="Y11" i="8" s="1"/>
  <c r="AP4" i="8"/>
  <c r="AP5" i="8" s="1"/>
  <c r="AP6" i="8" s="1"/>
  <c r="AP7" i="8" s="1"/>
  <c r="AP8" i="8" s="1"/>
  <c r="AP9" i="8" s="1"/>
  <c r="AP10" i="8" s="1"/>
  <c r="AP11" i="8" s="1"/>
  <c r="AN4" i="8"/>
  <c r="AN5" i="8" s="1"/>
  <c r="AN6" i="8" s="1"/>
  <c r="AN7" i="8" s="1"/>
  <c r="AN8" i="8" s="1"/>
  <c r="AN9" i="8" s="1"/>
  <c r="AN10" i="8" s="1"/>
  <c r="AN11" i="8" s="1"/>
  <c r="E4" i="8"/>
  <c r="E5" i="8" s="1"/>
  <c r="E6" i="8" s="1"/>
  <c r="E7" i="8" s="1"/>
  <c r="E8" i="8" s="1"/>
  <c r="E9" i="8" s="1"/>
  <c r="E10" i="8" s="1"/>
  <c r="E11" i="8" s="1"/>
  <c r="J4" i="8"/>
  <c r="J5" i="8" s="1"/>
  <c r="J6" i="8" s="1"/>
  <c r="J7" i="8" s="1"/>
  <c r="J8" i="8" s="1"/>
  <c r="J9" i="8" s="1"/>
  <c r="J10" i="8" s="1"/>
  <c r="J11" i="8" s="1"/>
  <c r="V4" i="8"/>
  <c r="V5" i="8" s="1"/>
  <c r="V6" i="8" s="1"/>
  <c r="V7" i="8" s="1"/>
  <c r="V8" i="8" s="1"/>
  <c r="V9" i="8" s="1"/>
  <c r="V10" i="8" s="1"/>
  <c r="V11" i="8" s="1"/>
  <c r="N4" i="8"/>
  <c r="N5" i="8" s="1"/>
  <c r="N6" i="8" s="1"/>
  <c r="N7" i="8" s="1"/>
  <c r="N8" i="8" s="1"/>
  <c r="N9" i="8" s="1"/>
  <c r="N10" i="8" s="1"/>
  <c r="N11" i="8" s="1"/>
  <c r="W4" i="8"/>
  <c r="W5" i="8" s="1"/>
  <c r="W6" i="8" s="1"/>
  <c r="W7" i="8" s="1"/>
  <c r="W8" i="8" s="1"/>
  <c r="W9" i="8" s="1"/>
  <c r="W10" i="8" s="1"/>
  <c r="W11" i="8" s="1"/>
  <c r="AK4" i="8"/>
  <c r="AK5" i="8" s="1"/>
  <c r="AK6" i="8" s="1"/>
  <c r="AK7" i="8" s="1"/>
  <c r="AK8" i="8" s="1"/>
  <c r="AK9" i="8" s="1"/>
  <c r="AK10" i="8" s="1"/>
  <c r="AK11" i="8" s="1"/>
  <c r="AG4" i="8"/>
  <c r="AG5" i="8" s="1"/>
  <c r="AG6" i="8" s="1"/>
  <c r="AG7" i="8" s="1"/>
  <c r="AG8" i="8" s="1"/>
  <c r="AG9" i="8" s="1"/>
  <c r="AG10" i="8" s="1"/>
  <c r="AG11" i="8" s="1"/>
  <c r="AD4" i="8"/>
  <c r="AD5" i="8" s="1"/>
  <c r="AD6" i="8" s="1"/>
  <c r="AD7" i="8" s="1"/>
  <c r="AD8" i="8" s="1"/>
  <c r="AD9" i="8" s="1"/>
  <c r="AD10" i="8" s="1"/>
  <c r="AD11" i="8" s="1"/>
  <c r="AS4" i="8"/>
  <c r="AS5" i="8" s="1"/>
  <c r="AS6" i="8" s="1"/>
  <c r="AS7" i="8" s="1"/>
  <c r="AS8" i="8" s="1"/>
  <c r="AS9" i="8" s="1"/>
  <c r="AS10" i="8" s="1"/>
  <c r="AS11" i="8" s="1"/>
  <c r="AB4" i="8"/>
  <c r="AB5" i="8" s="1"/>
  <c r="AB6" i="8" s="1"/>
  <c r="AB7" i="8" s="1"/>
  <c r="AB8" i="8" s="1"/>
  <c r="AB9" i="8" s="1"/>
  <c r="AB10" i="8" s="1"/>
  <c r="AB11" i="8" s="1"/>
  <c r="AM4" i="8"/>
  <c r="AM5" i="8" s="1"/>
  <c r="AM6" i="8" s="1"/>
  <c r="AM7" i="8" s="1"/>
  <c r="AM8" i="8" s="1"/>
  <c r="AM9" i="8" s="1"/>
  <c r="AM10" i="8" s="1"/>
  <c r="AM11" i="8" s="1"/>
  <c r="F4" i="8"/>
  <c r="F5" i="8" s="1"/>
  <c r="F6" i="8" s="1"/>
  <c r="F7" i="8" s="1"/>
  <c r="F8" i="8" s="1"/>
  <c r="F9" i="8" s="1"/>
  <c r="F10" i="8" s="1"/>
  <c r="F11" i="8" s="1"/>
  <c r="P4" i="8"/>
  <c r="P5" i="8" s="1"/>
  <c r="P6" i="8" s="1"/>
  <c r="P7" i="8" s="1"/>
  <c r="P8" i="8" s="1"/>
  <c r="P9" i="8" s="1"/>
  <c r="P10" i="8" s="1"/>
  <c r="P11" i="8" s="1"/>
  <c r="AH4" i="8"/>
  <c r="AH5" i="8" s="1"/>
  <c r="AH6" i="8" s="1"/>
  <c r="AH7" i="8" s="1"/>
  <c r="AH8" i="8" s="1"/>
  <c r="AH9" i="8" s="1"/>
  <c r="AH10" i="8" s="1"/>
  <c r="AH11" i="8" s="1"/>
  <c r="AA4" i="8"/>
  <c r="AA5" i="8" s="1"/>
  <c r="AA6" i="8" s="1"/>
  <c r="AA7" i="8" s="1"/>
  <c r="AA8" i="8" s="1"/>
  <c r="AA9" i="8" s="1"/>
  <c r="AA10" i="8" s="1"/>
  <c r="AA11" i="8" s="1"/>
  <c r="AO4" i="8"/>
  <c r="AO5" i="8" s="1"/>
  <c r="AO6" i="8" s="1"/>
  <c r="AO7" i="8" s="1"/>
  <c r="AO8" i="8" s="1"/>
  <c r="AO9" i="8" s="1"/>
  <c r="AO10" i="8" s="1"/>
  <c r="AO11" i="8" s="1"/>
  <c r="D31" i="8"/>
  <c r="D23" i="8"/>
  <c r="AR4" i="8"/>
  <c r="AR5" i="8" s="1"/>
  <c r="AR6" i="8" s="1"/>
  <c r="AR7" i="8" s="1"/>
  <c r="AR8" i="8" s="1"/>
  <c r="AR9" i="8" s="1"/>
  <c r="AR10" i="8" s="1"/>
  <c r="AR11" i="8" s="1"/>
  <c r="D34" i="8"/>
  <c r="D16" i="8"/>
  <c r="D14" i="8"/>
  <c r="L4" i="8"/>
  <c r="L5" i="8" s="1"/>
  <c r="L6" i="8" s="1"/>
  <c r="L7" i="8" s="1"/>
  <c r="L8" i="8" s="1"/>
  <c r="L9" i="8" s="1"/>
  <c r="L10" i="8" s="1"/>
  <c r="L11" i="8" s="1"/>
  <c r="AL4" i="8"/>
  <c r="AL5" i="8" s="1"/>
  <c r="AL6" i="8" s="1"/>
  <c r="AL7" i="8" s="1"/>
  <c r="AL8" i="8" s="1"/>
  <c r="AL9" i="8" s="1"/>
  <c r="AL10" i="8" s="1"/>
  <c r="AL11" i="8" s="1"/>
  <c r="AQ4" i="8"/>
  <c r="AQ5" i="8" s="1"/>
  <c r="AQ6" i="8" s="1"/>
  <c r="AQ7" i="8" s="1"/>
  <c r="AQ8" i="8" s="1"/>
  <c r="AQ9" i="8" s="1"/>
  <c r="AQ10" i="8" s="1"/>
  <c r="AQ11" i="8" s="1"/>
  <c r="AI4" i="8"/>
  <c r="AI5" i="8" s="1"/>
  <c r="AI6" i="8" s="1"/>
  <c r="AI7" i="8" s="1"/>
  <c r="AI8" i="8" s="1"/>
  <c r="AI9" i="8" s="1"/>
  <c r="AI10" i="8" s="1"/>
  <c r="AI11" i="8" s="1"/>
  <c r="AF4" i="8"/>
  <c r="AF5" i="8" s="1"/>
  <c r="AF6" i="8" s="1"/>
  <c r="AF7" i="8" s="1"/>
  <c r="AF8" i="8" s="1"/>
  <c r="AF9" i="8" s="1"/>
  <c r="AF10" i="8" s="1"/>
  <c r="AF11" i="8" s="1"/>
  <c r="F108" i="10"/>
  <c r="D45" i="8"/>
  <c r="G23" i="8"/>
  <c r="F111" i="10"/>
  <c r="D54" i="8"/>
  <c r="D42" i="8"/>
  <c r="D27" i="8"/>
  <c r="D35" i="8"/>
  <c r="D41" i="8"/>
  <c r="F91" i="10"/>
  <c r="D43" i="8"/>
  <c r="I10" i="6"/>
  <c r="L10" i="6" s="1"/>
  <c r="F75" i="10"/>
  <c r="A25" i="11"/>
  <c r="B89" i="10"/>
  <c r="F84" i="10"/>
  <c r="A10" i="11"/>
  <c r="B74" i="10"/>
  <c r="F76" i="10"/>
  <c r="A5" i="11"/>
  <c r="B69" i="10"/>
  <c r="A9" i="11"/>
  <c r="B73" i="10"/>
  <c r="A26" i="11"/>
  <c r="B90" i="10"/>
  <c r="F85" i="10"/>
  <c r="A16" i="11"/>
  <c r="B80" i="10"/>
  <c r="A31" i="11"/>
  <c r="B95" i="10"/>
  <c r="F80" i="10"/>
  <c r="A44" i="11"/>
  <c r="B108" i="10"/>
  <c r="A7" i="11"/>
  <c r="B71" i="10"/>
  <c r="A21" i="11"/>
  <c r="B85" i="10"/>
  <c r="A11" i="11"/>
  <c r="B75" i="10"/>
  <c r="A32" i="11"/>
  <c r="B96" i="10"/>
  <c r="A19" i="11"/>
  <c r="B83" i="10"/>
  <c r="A47" i="11"/>
  <c r="B111" i="10"/>
  <c r="A17" i="11"/>
  <c r="B81" i="10"/>
  <c r="A33" i="11"/>
  <c r="B97" i="10"/>
  <c r="A27" i="11"/>
  <c r="B91" i="10"/>
  <c r="F69" i="10"/>
  <c r="F68" i="10"/>
  <c r="F87" i="10"/>
  <c r="F103" i="10"/>
  <c r="F95" i="10"/>
  <c r="F96" i="10"/>
  <c r="F86" i="10"/>
  <c r="F70" i="10"/>
  <c r="F97" i="10"/>
  <c r="F67" i="10"/>
  <c r="F83" i="10"/>
  <c r="F82" i="10"/>
  <c r="F77" i="10"/>
  <c r="F78" i="10"/>
  <c r="F89" i="10"/>
  <c r="F71" i="10"/>
  <c r="F81" i="10"/>
  <c r="F94" i="10"/>
  <c r="D21" i="8"/>
  <c r="E34" i="8"/>
  <c r="D32" i="8"/>
  <c r="C19" i="8"/>
  <c r="D26" i="8"/>
  <c r="G35" i="6"/>
  <c r="I48" i="6" s="1"/>
  <c r="K48" i="6" s="1"/>
  <c r="D33" i="8"/>
  <c r="D37" i="8"/>
  <c r="D36" i="8"/>
  <c r="D15" i="8"/>
  <c r="BE54" i="3"/>
  <c r="BE55" i="3"/>
  <c r="BI55" i="3"/>
  <c r="BI53" i="3"/>
  <c r="BJ55" i="3"/>
  <c r="BL55" i="3"/>
  <c r="BL54" i="3"/>
  <c r="BE53" i="3"/>
  <c r="BF55" i="3"/>
  <c r="BI54" i="3"/>
  <c r="BL53" i="3"/>
  <c r="W35" i="3"/>
  <c r="D49" i="8"/>
  <c r="D29" i="8"/>
  <c r="D20" i="8"/>
  <c r="D19" i="8"/>
  <c r="D57" i="8"/>
  <c r="D17" i="8"/>
  <c r="BK55" i="3"/>
  <c r="C26" i="8"/>
  <c r="BK62" i="3"/>
  <c r="BF75" i="3"/>
  <c r="BG74" i="3"/>
  <c r="BL60" i="3"/>
  <c r="BJ70" i="3"/>
  <c r="BE58" i="3"/>
  <c r="BL75" i="3"/>
  <c r="BI68" i="3"/>
  <c r="BF66" i="3"/>
  <c r="BK65" i="3"/>
  <c r="BG76" i="3"/>
  <c r="BK59" i="3"/>
  <c r="BE56" i="3"/>
  <c r="BE73" i="3"/>
  <c r="BL65" i="3"/>
  <c r="BL64" i="3"/>
  <c r="BJ74" i="3"/>
  <c r="BG60" i="3"/>
  <c r="BE65" i="3"/>
  <c r="BK57" i="3"/>
  <c r="BF76" i="3"/>
  <c r="BF74" i="3"/>
  <c r="BF73" i="3"/>
  <c r="BL66" i="3"/>
  <c r="BL61" i="3"/>
  <c r="BE69" i="3"/>
  <c r="BI58" i="3"/>
  <c r="BF71" i="3"/>
  <c r="BI59" i="3"/>
  <c r="BK75" i="3"/>
  <c r="BJ65" i="3"/>
  <c r="BF59" i="3"/>
  <c r="BK61" i="3"/>
  <c r="BJ62" i="3"/>
  <c r="BI76" i="3"/>
  <c r="BI56" i="3"/>
  <c r="BI69" i="3"/>
  <c r="BJ67" i="3"/>
  <c r="BG75" i="3"/>
  <c r="BI61" i="3"/>
  <c r="BK66" i="3"/>
  <c r="BI62" i="3"/>
  <c r="BE59" i="3"/>
  <c r="BJ56" i="3"/>
  <c r="BJ64" i="3"/>
  <c r="BI73" i="3"/>
  <c r="BG58" i="3"/>
  <c r="BK70" i="3"/>
  <c r="BI64" i="3"/>
  <c r="BJ71" i="3"/>
  <c r="BJ75" i="3"/>
  <c r="BI57" i="3"/>
  <c r="BI75" i="3"/>
  <c r="BE62" i="3"/>
  <c r="BI66" i="3"/>
  <c r="BJ60" i="3"/>
  <c r="BG72" i="3"/>
  <c r="BK76" i="3"/>
  <c r="BF67" i="3"/>
  <c r="BL63" i="3"/>
  <c r="BE63" i="3"/>
  <c r="BF64" i="3"/>
  <c r="BI74" i="3"/>
  <c r="BF62" i="3"/>
  <c r="BF68" i="3"/>
  <c r="BL76" i="3"/>
  <c r="BI71" i="3"/>
  <c r="BF69" i="3"/>
  <c r="BE60" i="3"/>
  <c r="BJ72" i="3"/>
  <c r="BF61" i="3"/>
  <c r="BF63" i="3"/>
  <c r="BE70" i="3"/>
  <c r="BL71" i="3"/>
  <c r="BK71" i="3"/>
  <c r="BJ57" i="3"/>
  <c r="BG62" i="3"/>
  <c r="BL73" i="3"/>
  <c r="BL58" i="3"/>
  <c r="BL68" i="3"/>
  <c r="BG63" i="3"/>
  <c r="BL57" i="3"/>
  <c r="BE74" i="3"/>
  <c r="BI67" i="3"/>
  <c r="BG64" i="3"/>
  <c r="BL74" i="3"/>
  <c r="BL72" i="3"/>
  <c r="BF65" i="3"/>
  <c r="BI65" i="3"/>
  <c r="BG68" i="3"/>
  <c r="BE68" i="3"/>
  <c r="BK74" i="3"/>
  <c r="BE64" i="3"/>
  <c r="BI72" i="3"/>
  <c r="BL62" i="3"/>
  <c r="BK69" i="3"/>
  <c r="BG71" i="3"/>
  <c r="BI70" i="3"/>
  <c r="BK68" i="3"/>
  <c r="BF60" i="3"/>
  <c r="BK56" i="3"/>
  <c r="BJ63" i="3"/>
  <c r="BE75" i="3"/>
  <c r="BG70" i="3"/>
  <c r="BF56" i="3"/>
  <c r="BL59" i="3"/>
  <c r="BK64" i="3"/>
  <c r="BF57" i="3"/>
  <c r="BJ66" i="3"/>
  <c r="BL70" i="3"/>
  <c r="BG67" i="3"/>
  <c r="BK72" i="3"/>
  <c r="BE57" i="3"/>
  <c r="BE61" i="3"/>
  <c r="BK58" i="3"/>
  <c r="BG65" i="3"/>
  <c r="BJ68" i="3"/>
  <c r="BI63" i="3"/>
  <c r="BJ69" i="3"/>
  <c r="BG56" i="3"/>
  <c r="BK60" i="3"/>
  <c r="BE72" i="3"/>
  <c r="BK67" i="3"/>
  <c r="BJ73" i="3"/>
  <c r="BJ61" i="3"/>
  <c r="BJ59" i="3"/>
  <c r="BK73" i="3"/>
  <c r="BG61" i="3"/>
  <c r="BJ58" i="3"/>
  <c r="BL67" i="3"/>
  <c r="BG73" i="3"/>
  <c r="BJ76" i="3"/>
  <c r="BG59" i="3"/>
  <c r="BI60" i="3"/>
  <c r="BK63" i="3"/>
  <c r="BG69" i="3"/>
  <c r="BE76" i="3"/>
  <c r="BE67" i="3"/>
  <c r="BG66" i="3"/>
  <c r="BG57" i="3"/>
  <c r="BL69" i="3"/>
  <c r="BF72" i="3"/>
  <c r="BF58" i="3"/>
  <c r="BE66" i="3"/>
  <c r="BF70" i="3"/>
  <c r="BL56" i="3"/>
  <c r="BE71" i="3"/>
  <c r="F224" i="20"/>
  <c r="F229" i="20" s="1"/>
  <c r="AC35" i="3"/>
  <c r="C125" i="20"/>
  <c r="G125" i="20"/>
  <c r="BG55" i="3"/>
  <c r="K35" i="3"/>
  <c r="AH35" i="3"/>
  <c r="AB35" i="3"/>
  <c r="BH16" i="3"/>
  <c r="BH24" i="3"/>
  <c r="BH20" i="3"/>
  <c r="C35" i="3"/>
  <c r="BH13" i="3"/>
  <c r="BH31" i="3"/>
  <c r="AD35" i="3"/>
  <c r="BH11" i="3"/>
  <c r="X35" i="3"/>
  <c r="BH12" i="3"/>
  <c r="Z35" i="3"/>
  <c r="AI35" i="3"/>
  <c r="BH17" i="3"/>
  <c r="M35" i="3"/>
  <c r="AF35" i="3"/>
  <c r="R35" i="3"/>
  <c r="BH32" i="3"/>
  <c r="BE39" i="3"/>
  <c r="AE35" i="3"/>
  <c r="BH25" i="3"/>
  <c r="BH30" i="3"/>
  <c r="BH15" i="3"/>
  <c r="BH23" i="3"/>
  <c r="L35" i="3"/>
  <c r="T35" i="3"/>
  <c r="AA35" i="3"/>
  <c r="U35" i="3"/>
  <c r="AJ35" i="3"/>
  <c r="AG35" i="3"/>
  <c r="BH28" i="3"/>
  <c r="BH22" i="3"/>
  <c r="BH9" i="3"/>
  <c r="V35" i="3"/>
  <c r="BH21" i="3"/>
  <c r="BH19" i="3"/>
  <c r="BH10" i="3"/>
  <c r="Y35" i="3"/>
  <c r="BH26" i="3"/>
  <c r="N35" i="3"/>
  <c r="J35" i="3"/>
  <c r="BH14" i="3"/>
  <c r="BH18" i="3"/>
  <c r="BH27" i="3"/>
  <c r="BH33" i="3"/>
  <c r="S35" i="3"/>
  <c r="BH29" i="3"/>
  <c r="E30" i="8"/>
  <c r="F211" i="20"/>
  <c r="F213" i="20" s="1"/>
  <c r="S49" i="20"/>
  <c r="I15" i="6"/>
  <c r="L15" i="6" s="1"/>
  <c r="I9" i="6"/>
  <c r="L9" i="6" s="1"/>
  <c r="I14" i="6"/>
  <c r="J14" i="6" s="1"/>
  <c r="L95" i="6" s="1"/>
  <c r="I26" i="6"/>
  <c r="K26" i="6" s="1"/>
  <c r="C31" i="5" s="1"/>
  <c r="I11" i="6"/>
  <c r="L11" i="6" s="1"/>
  <c r="I5" i="6"/>
  <c r="I16" i="6"/>
  <c r="J16" i="6" s="1"/>
  <c r="L97" i="6" s="1"/>
  <c r="I12" i="6"/>
  <c r="I22" i="6"/>
  <c r="J22" i="6" s="1"/>
  <c r="L103" i="6" s="1"/>
  <c r="I13" i="6"/>
  <c r="J13" i="6" s="1"/>
  <c r="L94" i="6" s="1"/>
  <c r="I7" i="6"/>
  <c r="I23" i="6"/>
  <c r="M23" i="6" s="1"/>
  <c r="I25" i="6"/>
  <c r="J25" i="6" s="1"/>
  <c r="L106" i="6" s="1"/>
  <c r="M106" i="6" s="1"/>
  <c r="I24" i="6"/>
  <c r="M24" i="6" s="1"/>
  <c r="I17" i="6"/>
  <c r="I27" i="6"/>
  <c r="K27" i="6" s="1"/>
  <c r="C32" i="5" s="1"/>
  <c r="I20" i="6"/>
  <c r="I21" i="6"/>
  <c r="L21" i="6" s="1"/>
  <c r="I29" i="6"/>
  <c r="I8" i="6"/>
  <c r="J8" i="6" s="1"/>
  <c r="L89" i="6" s="1"/>
  <c r="I19" i="6"/>
  <c r="I6" i="6"/>
  <c r="I28" i="6"/>
  <c r="I18" i="6"/>
  <c r="I16" i="20"/>
  <c r="AR18" i="31" s="1"/>
  <c r="AT18" i="31" s="1"/>
  <c r="AV18" i="31" s="1"/>
  <c r="AX18" i="31" s="1"/>
  <c r="AZ18" i="31" s="1"/>
  <c r="J13" i="20"/>
  <c r="J70" i="20"/>
  <c r="I17" i="20"/>
  <c r="AQ18" i="31" s="1"/>
  <c r="J47" i="20"/>
  <c r="I15" i="20"/>
  <c r="J44" i="20"/>
  <c r="J41" i="20"/>
  <c r="S70" i="20"/>
  <c r="J53" i="20"/>
  <c r="J50" i="20"/>
  <c r="I14" i="20"/>
  <c r="AR19" i="31" s="1"/>
  <c r="AT19" i="31" s="1"/>
  <c r="AV19" i="31" s="1"/>
  <c r="AX19" i="31" s="1"/>
  <c r="AZ19" i="31" s="1"/>
  <c r="C230" i="20"/>
  <c r="D164" i="20"/>
  <c r="S20" i="20" s="1"/>
  <c r="D183" i="20"/>
  <c r="D185" i="20" s="1"/>
  <c r="F163" i="20"/>
  <c r="F165" i="20" s="1"/>
  <c r="C184" i="20"/>
  <c r="C188" i="20" s="1"/>
  <c r="C185" i="20"/>
  <c r="C189" i="20" s="1"/>
  <c r="C186" i="20"/>
  <c r="C190" i="20" s="1"/>
  <c r="C166" i="20"/>
  <c r="C165" i="20"/>
  <c r="S48" i="20"/>
  <c r="D219" i="20"/>
  <c r="G218" i="20"/>
  <c r="G219" i="20" s="1"/>
  <c r="C219" i="20"/>
  <c r="C224" i="20"/>
  <c r="C211" i="20"/>
  <c r="C214" i="20"/>
  <c r="E106" i="20"/>
  <c r="D106" i="20"/>
  <c r="H225" i="20"/>
  <c r="H230" i="20" s="1"/>
  <c r="D230" i="20"/>
  <c r="E105" i="20"/>
  <c r="D105" i="20"/>
  <c r="E104" i="20"/>
  <c r="D104" i="20"/>
  <c r="D95" i="20"/>
  <c r="D108" i="20" s="1"/>
  <c r="C104" i="20"/>
  <c r="C107" i="20" s="1"/>
  <c r="C95" i="20"/>
  <c r="G230" i="20"/>
  <c r="D229" i="20"/>
  <c r="H224" i="20"/>
  <c r="H196" i="20"/>
  <c r="F196" i="20"/>
  <c r="G196" i="20"/>
  <c r="D216" i="20"/>
  <c r="H214" i="20"/>
  <c r="H216" i="20" s="1"/>
  <c r="H211" i="20"/>
  <c r="H213" i="20" s="1"/>
  <c r="D213" i="20"/>
  <c r="D167" i="20"/>
  <c r="D165" i="20"/>
  <c r="D166" i="20"/>
  <c r="F216" i="20"/>
  <c r="O27" i="33" l="1"/>
  <c r="O25" i="33"/>
  <c r="N31" i="33"/>
  <c r="N27" i="33"/>
  <c r="N29" i="33"/>
  <c r="O24" i="33"/>
  <c r="N32" i="33"/>
  <c r="O26" i="33"/>
  <c r="N33" i="33"/>
  <c r="N30" i="33"/>
  <c r="N22" i="33"/>
  <c r="N20" i="33"/>
  <c r="N21" i="33"/>
  <c r="N26" i="33"/>
  <c r="O21" i="33"/>
  <c r="AT77" i="36"/>
  <c r="BC78" i="27"/>
  <c r="AZ78" i="27"/>
  <c r="O6" i="2"/>
  <c r="AT77" i="40"/>
  <c r="BC78" i="40"/>
  <c r="BC77" i="40"/>
  <c r="AT78" i="40"/>
  <c r="H7" i="2"/>
  <c r="K77" i="40"/>
  <c r="BA77" i="27"/>
  <c r="AL78" i="36"/>
  <c r="AQ77" i="36"/>
  <c r="AO77" i="36"/>
  <c r="R77" i="36"/>
  <c r="O9" i="2"/>
  <c r="AO78" i="36"/>
  <c r="X77" i="36"/>
  <c r="U9" i="2"/>
  <c r="R78" i="36"/>
  <c r="O10" i="2"/>
  <c r="Q77" i="36"/>
  <c r="N9" i="2"/>
  <c r="K77" i="36"/>
  <c r="H9" i="2"/>
  <c r="AM77" i="36"/>
  <c r="T78" i="36"/>
  <c r="Q10" i="2"/>
  <c r="Q78" i="36"/>
  <c r="N10" i="2"/>
  <c r="AM78" i="36"/>
  <c r="O78" i="36"/>
  <c r="L10" i="2"/>
  <c r="AU77" i="36"/>
  <c r="AX9" i="2"/>
  <c r="AU78" i="36"/>
  <c r="AX10" i="2"/>
  <c r="AN77" i="36"/>
  <c r="S77" i="36"/>
  <c r="P9" i="2"/>
  <c r="J9" i="2"/>
  <c r="AV9" i="2"/>
  <c r="AL77" i="36"/>
  <c r="AN78" i="36"/>
  <c r="AQ78" i="36"/>
  <c r="M78" i="36"/>
  <c r="J10" i="2"/>
  <c r="AV10" i="2"/>
  <c r="AW7" i="2"/>
  <c r="AW8" i="2"/>
  <c r="AZ77" i="36"/>
  <c r="AW9" i="2"/>
  <c r="AW10" i="2"/>
  <c r="E29" i="8"/>
  <c r="G25" i="8"/>
  <c r="AQ77" i="27"/>
  <c r="AN5" i="2"/>
  <c r="S77" i="27"/>
  <c r="P5" i="2"/>
  <c r="AU77" i="27"/>
  <c r="AR5" i="2"/>
  <c r="AO77" i="27"/>
  <c r="AL5" i="2"/>
  <c r="AT77" i="27"/>
  <c r="AQ5" i="2"/>
  <c r="E43" i="8"/>
  <c r="E52" i="8"/>
  <c r="E19" i="8"/>
  <c r="E18" i="8"/>
  <c r="H44" i="36"/>
  <c r="H33" i="36"/>
  <c r="F24" i="36"/>
  <c r="F17" i="36"/>
  <c r="H32" i="36"/>
  <c r="H36" i="36"/>
  <c r="H56" i="36"/>
  <c r="F19" i="36"/>
  <c r="F34" i="36"/>
  <c r="H54" i="36"/>
  <c r="F27" i="36"/>
  <c r="H37" i="36"/>
  <c r="F33" i="36"/>
  <c r="H55" i="36"/>
  <c r="H29" i="36"/>
  <c r="H47" i="36"/>
  <c r="H59" i="36"/>
  <c r="F26" i="36"/>
  <c r="H45" i="36"/>
  <c r="H31" i="36"/>
  <c r="H34" i="36"/>
  <c r="H30" i="36"/>
  <c r="H48" i="36"/>
  <c r="H50" i="36"/>
  <c r="F30" i="36"/>
  <c r="H17" i="36"/>
  <c r="F28" i="36"/>
  <c r="H51" i="36"/>
  <c r="H25" i="36"/>
  <c r="F29" i="36"/>
  <c r="H26" i="36"/>
  <c r="H19" i="36"/>
  <c r="F18" i="36"/>
  <c r="F31" i="36"/>
  <c r="H28" i="36"/>
  <c r="H57" i="36"/>
  <c r="H39" i="36"/>
  <c r="F16" i="36"/>
  <c r="H49" i="36"/>
  <c r="H41" i="36"/>
  <c r="H53" i="36"/>
  <c r="H35" i="36"/>
  <c r="H46" i="36"/>
  <c r="H38" i="36"/>
  <c r="F32" i="36"/>
  <c r="H58" i="36"/>
  <c r="F25" i="36"/>
  <c r="H16" i="36"/>
  <c r="H23" i="36"/>
  <c r="H42" i="36"/>
  <c r="H43" i="36"/>
  <c r="H52" i="36"/>
  <c r="H24" i="36"/>
  <c r="H40" i="36"/>
  <c r="H27" i="36"/>
  <c r="H18" i="36"/>
  <c r="E51" i="8"/>
  <c r="E48" i="8"/>
  <c r="I17" i="31"/>
  <c r="J166" i="31"/>
  <c r="I14" i="31" s="1"/>
  <c r="AU78" i="27"/>
  <c r="AT78" i="27"/>
  <c r="AQ78" i="27"/>
  <c r="T166" i="31"/>
  <c r="Q14" i="31" s="1"/>
  <c r="BC166" i="31"/>
  <c r="AI14" i="31" s="1"/>
  <c r="Y166" i="31"/>
  <c r="U14" i="31" s="1"/>
  <c r="O166" i="31"/>
  <c r="M14" i="31" s="1"/>
  <c r="R166" i="31"/>
  <c r="O14" i="31" s="1"/>
  <c r="AP166" i="31"/>
  <c r="AK14" i="31" s="1"/>
  <c r="AD166" i="31"/>
  <c r="Y14" i="31" s="1"/>
  <c r="AU166" i="31"/>
  <c r="AO14" i="31" s="1"/>
  <c r="M166" i="31"/>
  <c r="K14" i="31" s="1"/>
  <c r="AA25" i="31"/>
  <c r="AI25" i="31"/>
  <c r="AC25" i="31"/>
  <c r="M25" i="31"/>
  <c r="O25" i="31"/>
  <c r="U25" i="31"/>
  <c r="Y25" i="31"/>
  <c r="W25" i="31"/>
  <c r="S25" i="31"/>
  <c r="Q25" i="31"/>
  <c r="AK25" i="31"/>
  <c r="K25" i="31"/>
  <c r="AO25" i="31"/>
  <c r="AM25" i="31"/>
  <c r="I25" i="31"/>
  <c r="AG25" i="31"/>
  <c r="AS166" i="31"/>
  <c r="AM14" i="31" s="1"/>
  <c r="AO26" i="31"/>
  <c r="I26" i="31"/>
  <c r="Y26" i="31"/>
  <c r="W26" i="31"/>
  <c r="S26" i="31"/>
  <c r="AC26" i="31"/>
  <c r="Q26" i="31"/>
  <c r="M26" i="31"/>
  <c r="AM26" i="31"/>
  <c r="U26" i="31"/>
  <c r="AK26" i="31"/>
  <c r="O26" i="31"/>
  <c r="AI26" i="31"/>
  <c r="K26" i="31"/>
  <c r="AA26" i="31"/>
  <c r="AG26" i="31"/>
  <c r="AM27" i="31"/>
  <c r="AK27" i="31"/>
  <c r="Q27" i="31"/>
  <c r="AI27" i="31"/>
  <c r="O27" i="31"/>
  <c r="M27" i="31"/>
  <c r="AC27" i="31"/>
  <c r="AA27" i="31"/>
  <c r="I27" i="31"/>
  <c r="S27" i="31"/>
  <c r="K27" i="31"/>
  <c r="Y27" i="31"/>
  <c r="W27" i="31"/>
  <c r="AO27" i="31"/>
  <c r="U27" i="31"/>
  <c r="AG27" i="31"/>
  <c r="AK166" i="31"/>
  <c r="AC14" i="31" s="1"/>
  <c r="AB152" i="31"/>
  <c r="X12" i="31" s="1"/>
  <c r="R152" i="31"/>
  <c r="P12" i="31" s="1"/>
  <c r="AY193" i="31"/>
  <c r="Y152" i="31"/>
  <c r="V12" i="31" s="1"/>
  <c r="M152" i="31"/>
  <c r="L12" i="31" s="1"/>
  <c r="O152" i="31"/>
  <c r="N12" i="31" s="1"/>
  <c r="V152" i="31"/>
  <c r="T12" i="31" s="1"/>
  <c r="AD152" i="31"/>
  <c r="Z12" i="31" s="1"/>
  <c r="T152" i="31"/>
  <c r="R12" i="31" s="1"/>
  <c r="BC193" i="31"/>
  <c r="AJ12" i="31" s="1"/>
  <c r="AK29" i="31"/>
  <c r="Q29" i="31"/>
  <c r="AI29" i="31"/>
  <c r="O29" i="31"/>
  <c r="K29" i="31"/>
  <c r="AC29" i="31"/>
  <c r="M29" i="31"/>
  <c r="AA29" i="31"/>
  <c r="Y29" i="31"/>
  <c r="I29" i="31"/>
  <c r="W29" i="31"/>
  <c r="AM29" i="31"/>
  <c r="AO29" i="31"/>
  <c r="U29" i="31"/>
  <c r="S29" i="31"/>
  <c r="AG29" i="31"/>
  <c r="Y24" i="31"/>
  <c r="AA24" i="31"/>
  <c r="O24" i="31"/>
  <c r="AM24" i="31"/>
  <c r="AK24" i="31"/>
  <c r="AC24" i="31"/>
  <c r="Q24" i="31"/>
  <c r="AI24" i="31"/>
  <c r="S24" i="31"/>
  <c r="M24" i="31"/>
  <c r="I24" i="31"/>
  <c r="K24" i="31"/>
  <c r="U24" i="31"/>
  <c r="W24" i="31"/>
  <c r="AO24" i="31"/>
  <c r="AG24" i="31"/>
  <c r="V166" i="31"/>
  <c r="S14" i="31" s="1"/>
  <c r="AK28" i="31"/>
  <c r="U28" i="31"/>
  <c r="AM28" i="31"/>
  <c r="AI28" i="31"/>
  <c r="W28" i="31"/>
  <c r="M28" i="31"/>
  <c r="AC28" i="31"/>
  <c r="O28" i="31"/>
  <c r="AO28" i="31"/>
  <c r="S28" i="31"/>
  <c r="I28" i="31"/>
  <c r="Y28" i="31"/>
  <c r="K28" i="31"/>
  <c r="AA28" i="31"/>
  <c r="Q28" i="31"/>
  <c r="AG28" i="31"/>
  <c r="AB166" i="31"/>
  <c r="W14" i="31" s="1"/>
  <c r="AM30" i="31"/>
  <c r="S30" i="31"/>
  <c r="AK30" i="31"/>
  <c r="Q30" i="31"/>
  <c r="AC30" i="31"/>
  <c r="AO30" i="31"/>
  <c r="AI30" i="31"/>
  <c r="O30" i="31"/>
  <c r="M30" i="31"/>
  <c r="AA30" i="31"/>
  <c r="K30" i="31"/>
  <c r="U30" i="31"/>
  <c r="Y30" i="31"/>
  <c r="I30" i="31"/>
  <c r="W30" i="31"/>
  <c r="AG30" i="31"/>
  <c r="BA28" i="31"/>
  <c r="BB19" i="31"/>
  <c r="BB20" i="31"/>
  <c r="BB15" i="31"/>
  <c r="BB18" i="31"/>
  <c r="E18" i="31"/>
  <c r="BB16" i="31"/>
  <c r="AZ12" i="31"/>
  <c r="AW36" i="31"/>
  <c r="AS18" i="31"/>
  <c r="AU18" i="31"/>
  <c r="AW18" i="31" s="1"/>
  <c r="AY18" i="31" s="1"/>
  <c r="AS36" i="31"/>
  <c r="AU36" i="31"/>
  <c r="E36" i="8"/>
  <c r="E44" i="8"/>
  <c r="E15" i="8"/>
  <c r="E49" i="8"/>
  <c r="E16" i="8"/>
  <c r="E55" i="8"/>
  <c r="E38" i="8"/>
  <c r="E22" i="8"/>
  <c r="E14" i="8"/>
  <c r="E35" i="8"/>
  <c r="E46" i="8"/>
  <c r="G31" i="8"/>
  <c r="G26" i="8"/>
  <c r="G30" i="8"/>
  <c r="E37" i="8"/>
  <c r="E27" i="8"/>
  <c r="E56" i="8"/>
  <c r="E50" i="8"/>
  <c r="E24" i="8"/>
  <c r="E20" i="8"/>
  <c r="E25" i="8"/>
  <c r="E40" i="8"/>
  <c r="E26" i="8"/>
  <c r="E21" i="8"/>
  <c r="E41" i="8"/>
  <c r="E45" i="8"/>
  <c r="G28" i="8"/>
  <c r="G24" i="8"/>
  <c r="G29" i="8"/>
  <c r="E28" i="8"/>
  <c r="E54" i="8"/>
  <c r="G27" i="8"/>
  <c r="E32" i="8"/>
  <c r="E57" i="8"/>
  <c r="E31" i="8"/>
  <c r="E47" i="8"/>
  <c r="E17" i="8"/>
  <c r="E23" i="8"/>
  <c r="E39" i="8"/>
  <c r="E42" i="8"/>
  <c r="E33" i="8"/>
  <c r="E53" i="8"/>
  <c r="B18" i="5"/>
  <c r="B19" i="5"/>
  <c r="B27" i="5"/>
  <c r="B21" i="5"/>
  <c r="B30" i="5"/>
  <c r="K5" i="6"/>
  <c r="C10" i="5" s="1"/>
  <c r="I36" i="20"/>
  <c r="I41" i="6"/>
  <c r="L41" i="6" s="1"/>
  <c r="E51" i="5" s="1"/>
  <c r="I55" i="6"/>
  <c r="J55" i="6" s="1"/>
  <c r="B65" i="5" s="1"/>
  <c r="I58" i="6"/>
  <c r="M58" i="6" s="1"/>
  <c r="I57" i="6"/>
  <c r="M57" i="6" s="1"/>
  <c r="I56" i="6"/>
  <c r="M56" i="6" s="1"/>
  <c r="I54" i="6"/>
  <c r="K54" i="6" s="1"/>
  <c r="I45" i="6"/>
  <c r="K45" i="6" s="1"/>
  <c r="I42" i="6"/>
  <c r="L42" i="6" s="1"/>
  <c r="E52" i="5" s="1"/>
  <c r="F15" i="23" s="1"/>
  <c r="I39" i="6"/>
  <c r="L39" i="6" s="1"/>
  <c r="E49" i="5" s="1"/>
  <c r="I35" i="6"/>
  <c r="I50" i="6"/>
  <c r="K50" i="6" s="1"/>
  <c r="I52" i="6"/>
  <c r="L52" i="6" s="1"/>
  <c r="E62" i="5" s="1"/>
  <c r="F25" i="23" s="1"/>
  <c r="I40" i="6"/>
  <c r="J40" i="6" s="1"/>
  <c r="B50" i="5" s="1"/>
  <c r="I34" i="6"/>
  <c r="I38" i="6"/>
  <c r="L38" i="6" s="1"/>
  <c r="E48" i="5" s="1"/>
  <c r="I46" i="6"/>
  <c r="M46" i="6" s="1"/>
  <c r="I47" i="6"/>
  <c r="K47" i="6" s="1"/>
  <c r="I49" i="6"/>
  <c r="L49" i="6" s="1"/>
  <c r="E59" i="5" s="1"/>
  <c r="F22" i="23" s="1"/>
  <c r="I37" i="6"/>
  <c r="J37" i="6" s="1"/>
  <c r="B47" i="5" s="1"/>
  <c r="I51" i="6"/>
  <c r="K51" i="6" s="1"/>
  <c r="I44" i="6"/>
  <c r="L44" i="6" s="1"/>
  <c r="E54" i="5" s="1"/>
  <c r="F17" i="23" s="1"/>
  <c r="I36" i="6"/>
  <c r="I53" i="6"/>
  <c r="M53" i="6" s="1"/>
  <c r="I43" i="6"/>
  <c r="K43" i="6" s="1"/>
  <c r="BI40" i="3"/>
  <c r="BM39" i="3" s="1"/>
  <c r="S74" i="20"/>
  <c r="BI41" i="3"/>
  <c r="BE77" i="3"/>
  <c r="BD61" i="3" s="1"/>
  <c r="BI77" i="3"/>
  <c r="BH57" i="3" s="1"/>
  <c r="BH34" i="3"/>
  <c r="S43" i="20"/>
  <c r="K14" i="6"/>
  <c r="C19" i="5" s="1"/>
  <c r="I19" i="5" s="1"/>
  <c r="K22" i="6"/>
  <c r="C27" i="5" s="1"/>
  <c r="L48" i="6"/>
  <c r="E58" i="5" s="1"/>
  <c r="F21" i="23" s="1"/>
  <c r="L22" i="6"/>
  <c r="K9" i="6"/>
  <c r="J11" i="6"/>
  <c r="L92" i="6" s="1"/>
  <c r="J9" i="6"/>
  <c r="L90" i="6" s="1"/>
  <c r="K7" i="6"/>
  <c r="C12" i="5" s="1"/>
  <c r="I12" i="5" s="1"/>
  <c r="K11" i="6"/>
  <c r="C16" i="5" s="1"/>
  <c r="D16" i="5" s="1"/>
  <c r="J48" i="6"/>
  <c r="B58" i="5" s="1"/>
  <c r="J7" i="6"/>
  <c r="L25" i="6"/>
  <c r="M25" i="6"/>
  <c r="K25" i="6"/>
  <c r="C30" i="5" s="1"/>
  <c r="J5" i="6"/>
  <c r="L86" i="6" s="1"/>
  <c r="M86" i="6" s="1"/>
  <c r="M26" i="6"/>
  <c r="K10" i="6"/>
  <c r="C15" i="5" s="1"/>
  <c r="J15" i="6"/>
  <c r="L96" i="6" s="1"/>
  <c r="J10" i="6"/>
  <c r="L91" i="6" s="1"/>
  <c r="K15" i="6"/>
  <c r="C20" i="5" s="1"/>
  <c r="I20" i="5" s="1"/>
  <c r="L26" i="6"/>
  <c r="J26" i="6"/>
  <c r="L107" i="6" s="1"/>
  <c r="M107" i="6" s="1"/>
  <c r="J24" i="6"/>
  <c r="L105" i="6" s="1"/>
  <c r="M105" i="6" s="1"/>
  <c r="L14" i="6"/>
  <c r="K16" i="6"/>
  <c r="C21" i="5" s="1"/>
  <c r="L23" i="6"/>
  <c r="J21" i="6"/>
  <c r="L102" i="6" s="1"/>
  <c r="K21" i="6"/>
  <c r="C26" i="5" s="1"/>
  <c r="D26" i="5" s="1"/>
  <c r="L16" i="6"/>
  <c r="K13" i="6"/>
  <c r="C18" i="5" s="1"/>
  <c r="L13" i="6"/>
  <c r="L12" i="6"/>
  <c r="J23" i="6"/>
  <c r="L104" i="6" s="1"/>
  <c r="J12" i="6"/>
  <c r="L93" i="6" s="1"/>
  <c r="K12" i="6"/>
  <c r="C17" i="5" s="1"/>
  <c r="D32" i="5"/>
  <c r="I32" i="5"/>
  <c r="H32" i="5" s="1"/>
  <c r="M17" i="6"/>
  <c r="K17" i="6"/>
  <c r="C22" i="5" s="1"/>
  <c r="J17" i="6"/>
  <c r="L98" i="6" s="1"/>
  <c r="L24" i="6"/>
  <c r="K24" i="6"/>
  <c r="C29" i="5" s="1"/>
  <c r="L17" i="6"/>
  <c r="K23" i="6"/>
  <c r="C28" i="5" s="1"/>
  <c r="K20" i="6"/>
  <c r="C25" i="5" s="1"/>
  <c r="J20" i="6"/>
  <c r="L101" i="6" s="1"/>
  <c r="L20" i="6"/>
  <c r="J27" i="6"/>
  <c r="L108" i="6" s="1"/>
  <c r="M108" i="6" s="1"/>
  <c r="L27" i="6"/>
  <c r="M27" i="6"/>
  <c r="J6" i="6"/>
  <c r="L87" i="6" s="1"/>
  <c r="K6" i="6"/>
  <c r="C11" i="5" s="1"/>
  <c r="L18" i="6"/>
  <c r="K18" i="6"/>
  <c r="C23" i="5" s="1"/>
  <c r="J18" i="6"/>
  <c r="L99" i="6" s="1"/>
  <c r="L19" i="6"/>
  <c r="J19" i="6"/>
  <c r="L100" i="6" s="1"/>
  <c r="K19" i="6"/>
  <c r="C24" i="5" s="1"/>
  <c r="K28" i="6"/>
  <c r="C33" i="5" s="1"/>
  <c r="L28" i="6"/>
  <c r="M28" i="6"/>
  <c r="J28" i="6"/>
  <c r="L109" i="6" s="1"/>
  <c r="M109" i="6" s="1"/>
  <c r="B13" i="5"/>
  <c r="L8" i="6"/>
  <c r="K8" i="6"/>
  <c r="C13" i="5" s="1"/>
  <c r="J29" i="6"/>
  <c r="L110" i="6" s="1"/>
  <c r="M110" i="6" s="1"/>
  <c r="M29" i="6"/>
  <c r="L29" i="6"/>
  <c r="K29" i="6"/>
  <c r="C34" i="5" s="1"/>
  <c r="D31" i="5"/>
  <c r="I31" i="5"/>
  <c r="J15" i="20"/>
  <c r="J14" i="20"/>
  <c r="J17" i="20"/>
  <c r="J16" i="20"/>
  <c r="D107" i="20"/>
  <c r="D109" i="20" s="1"/>
  <c r="C168" i="20"/>
  <c r="C169" i="20" s="1"/>
  <c r="C170" i="20" s="1"/>
  <c r="C171" i="20" s="1"/>
  <c r="D184" i="20"/>
  <c r="D188" i="20" s="1"/>
  <c r="E107" i="20"/>
  <c r="E109" i="20" s="1"/>
  <c r="S42" i="20"/>
  <c r="D189" i="20"/>
  <c r="S46" i="20"/>
  <c r="D186" i="20"/>
  <c r="D190" i="20" s="1"/>
  <c r="D192" i="20"/>
  <c r="S35" i="20" s="1"/>
  <c r="C175" i="20"/>
  <c r="C187" i="20"/>
  <c r="C108" i="20"/>
  <c r="I24" i="20" s="1"/>
  <c r="I10" i="20"/>
  <c r="I69" i="20" s="1"/>
  <c r="C194" i="20"/>
  <c r="C191" i="20"/>
  <c r="H229" i="20"/>
  <c r="G214" i="20"/>
  <c r="G216" i="20" s="1"/>
  <c r="C216" i="20"/>
  <c r="C109" i="20"/>
  <c r="G104" i="20"/>
  <c r="G211" i="20"/>
  <c r="G213" i="20" s="1"/>
  <c r="C213" i="20"/>
  <c r="C229" i="20"/>
  <c r="G224" i="20"/>
  <c r="G229" i="20" s="1"/>
  <c r="D168" i="20"/>
  <c r="D169" i="20" s="1"/>
  <c r="D175" i="20"/>
  <c r="S19" i="20"/>
  <c r="F168" i="20"/>
  <c r="F169" i="20" s="1"/>
  <c r="F172" i="20" s="1"/>
  <c r="G54" i="27" l="1"/>
  <c r="AX78" i="27" s="1"/>
  <c r="G16" i="27"/>
  <c r="L78" i="40"/>
  <c r="L78" i="36"/>
  <c r="D28" i="31"/>
  <c r="AI77" i="40" s="1"/>
  <c r="BB12" i="31"/>
  <c r="BA36" i="31" s="1"/>
  <c r="AY36" i="31"/>
  <c r="BA18" i="31"/>
  <c r="S36" i="20"/>
  <c r="S39" i="20"/>
  <c r="L88" i="6"/>
  <c r="M88" i="6" s="1"/>
  <c r="B12" i="5"/>
  <c r="M87" i="6"/>
  <c r="E27" i="5"/>
  <c r="K27" i="5" s="1"/>
  <c r="E19" i="5"/>
  <c r="K19" i="5" s="1"/>
  <c r="E18" i="5"/>
  <c r="K18" i="5" s="1"/>
  <c r="E30" i="5"/>
  <c r="K30" i="5" s="1"/>
  <c r="E21" i="5"/>
  <c r="K21" i="5" s="1"/>
  <c r="B34" i="5"/>
  <c r="E34" i="5" s="1"/>
  <c r="K34" i="5" s="1"/>
  <c r="B26" i="5"/>
  <c r="E26" i="5" s="1"/>
  <c r="K26" i="5" s="1"/>
  <c r="B10" i="5"/>
  <c r="B32" i="5"/>
  <c r="E32" i="5" s="1"/>
  <c r="K32" i="5" s="1"/>
  <c r="B31" i="5"/>
  <c r="E31" i="5" s="1"/>
  <c r="B14" i="5"/>
  <c r="E14" i="5" s="1"/>
  <c r="K14" i="5" s="1"/>
  <c r="B25" i="5"/>
  <c r="E25" i="5" s="1"/>
  <c r="K25" i="5" s="1"/>
  <c r="B24" i="5"/>
  <c r="E24" i="5" s="1"/>
  <c r="K24" i="5" s="1"/>
  <c r="B15" i="5"/>
  <c r="E15" i="5" s="1"/>
  <c r="K15" i="5" s="1"/>
  <c r="B16" i="5"/>
  <c r="E16" i="5" s="1"/>
  <c r="K16" i="5" s="1"/>
  <c r="B20" i="5"/>
  <c r="E20" i="5" s="1"/>
  <c r="K20" i="5" s="1"/>
  <c r="B33" i="5"/>
  <c r="E33" i="5" s="1"/>
  <c r="K33" i="5" s="1"/>
  <c r="B17" i="5"/>
  <c r="E17" i="5" s="1"/>
  <c r="K17" i="5" s="1"/>
  <c r="B29" i="5"/>
  <c r="E29" i="5" s="1"/>
  <c r="K29" i="5" s="1"/>
  <c r="B22" i="5"/>
  <c r="E22" i="5" s="1"/>
  <c r="K22" i="5" s="1"/>
  <c r="B11" i="5"/>
  <c r="B23" i="5"/>
  <c r="E23" i="5" s="1"/>
  <c r="K23" i="5" s="1"/>
  <c r="B28" i="5"/>
  <c r="E28" i="5" s="1"/>
  <c r="K28" i="5" s="1"/>
  <c r="B21" i="23"/>
  <c r="B28" i="23"/>
  <c r="F12" i="23"/>
  <c r="F11" i="23"/>
  <c r="B13" i="23"/>
  <c r="B10" i="23"/>
  <c r="F14" i="23"/>
  <c r="K52" i="6"/>
  <c r="L57" i="6"/>
  <c r="E67" i="5" s="1"/>
  <c r="F30" i="23" s="1"/>
  <c r="M41" i="6"/>
  <c r="J41" i="6"/>
  <c r="B51" i="5" s="1"/>
  <c r="K57" i="6"/>
  <c r="L51" i="6"/>
  <c r="E61" i="5" s="1"/>
  <c r="F24" i="23" s="1"/>
  <c r="J51" i="6"/>
  <c r="B61" i="5" s="1"/>
  <c r="J58" i="6"/>
  <c r="B68" i="5" s="1"/>
  <c r="K41" i="6"/>
  <c r="K58" i="6"/>
  <c r="L58" i="6"/>
  <c r="E68" i="5" s="1"/>
  <c r="F31" i="23" s="1"/>
  <c r="J52" i="6"/>
  <c r="B62" i="5" s="1"/>
  <c r="K55" i="6"/>
  <c r="D65" i="5" s="1"/>
  <c r="J65" i="5" s="1"/>
  <c r="J57" i="6"/>
  <c r="B67" i="5" s="1"/>
  <c r="M51" i="6"/>
  <c r="K40" i="6"/>
  <c r="D50" i="5" s="1"/>
  <c r="J50" i="5" s="1"/>
  <c r="M52" i="6"/>
  <c r="L40" i="6"/>
  <c r="E50" i="5" s="1"/>
  <c r="J56" i="6"/>
  <c r="B66" i="5" s="1"/>
  <c r="K56" i="6"/>
  <c r="M44" i="6"/>
  <c r="J54" i="6"/>
  <c r="B64" i="5" s="1"/>
  <c r="J34" i="6"/>
  <c r="B44" i="5" s="1"/>
  <c r="L54" i="6"/>
  <c r="E64" i="5" s="1"/>
  <c r="F27" i="23" s="1"/>
  <c r="K34" i="6"/>
  <c r="J46" i="6"/>
  <c r="B56" i="5" s="1"/>
  <c r="K46" i="6"/>
  <c r="L43" i="6"/>
  <c r="E53" i="5" s="1"/>
  <c r="F16" i="23" s="1"/>
  <c r="K42" i="6"/>
  <c r="J43" i="6"/>
  <c r="B53" i="5" s="1"/>
  <c r="L56" i="6"/>
  <c r="E66" i="5" s="1"/>
  <c r="F29" i="23" s="1"/>
  <c r="M40" i="6"/>
  <c r="J42" i="6"/>
  <c r="B52" i="5" s="1"/>
  <c r="K44" i="6"/>
  <c r="L46" i="6"/>
  <c r="E56" i="5" s="1"/>
  <c r="F19" i="23" s="1"/>
  <c r="J44" i="6"/>
  <c r="B54" i="5" s="1"/>
  <c r="K36" i="6"/>
  <c r="J35" i="6"/>
  <c r="B45" i="5" s="1"/>
  <c r="M54" i="6"/>
  <c r="J36" i="6"/>
  <c r="B46" i="5" s="1"/>
  <c r="M42" i="6"/>
  <c r="M55" i="6"/>
  <c r="K49" i="6"/>
  <c r="L55" i="6"/>
  <c r="E65" i="5" s="1"/>
  <c r="F28" i="23" s="1"/>
  <c r="J49" i="6"/>
  <c r="B59" i="5" s="1"/>
  <c r="K35" i="6"/>
  <c r="J53" i="6"/>
  <c r="B63" i="5" s="1"/>
  <c r="M45" i="6"/>
  <c r="L45" i="6"/>
  <c r="E55" i="5" s="1"/>
  <c r="F18" i="23" s="1"/>
  <c r="J45" i="6"/>
  <c r="B55" i="5" s="1"/>
  <c r="L53" i="6"/>
  <c r="E63" i="5" s="1"/>
  <c r="F26" i="23" s="1"/>
  <c r="K53" i="6"/>
  <c r="K38" i="6"/>
  <c r="J38" i="6"/>
  <c r="B48" i="5" s="1"/>
  <c r="J39" i="6"/>
  <c r="B49" i="5" s="1"/>
  <c r="J47" i="6"/>
  <c r="B57" i="5" s="1"/>
  <c r="K39" i="6"/>
  <c r="L47" i="6"/>
  <c r="E57" i="5" s="1"/>
  <c r="F20" i="23" s="1"/>
  <c r="L50" i="6"/>
  <c r="E60" i="5" s="1"/>
  <c r="F23" i="23" s="1"/>
  <c r="L37" i="6"/>
  <c r="E47" i="5" s="1"/>
  <c r="M50" i="6"/>
  <c r="J50" i="6"/>
  <c r="B60" i="5" s="1"/>
  <c r="K37" i="6"/>
  <c r="D47" i="5" s="1"/>
  <c r="J47" i="5" s="1"/>
  <c r="BL51" i="3"/>
  <c r="BM40" i="3"/>
  <c r="BD73" i="3"/>
  <c r="BH66" i="3"/>
  <c r="BH53" i="3"/>
  <c r="BH62" i="3"/>
  <c r="BH59" i="3"/>
  <c r="BH70" i="3"/>
  <c r="BH60" i="3"/>
  <c r="BH65" i="3"/>
  <c r="BH56" i="3"/>
  <c r="BH71" i="3"/>
  <c r="BH61" i="3"/>
  <c r="BH58" i="3"/>
  <c r="BD58" i="3"/>
  <c r="BH54" i="3"/>
  <c r="BH73" i="3"/>
  <c r="BH67" i="3"/>
  <c r="BH69" i="3"/>
  <c r="BH75" i="3"/>
  <c r="BD72" i="3"/>
  <c r="BD68" i="3"/>
  <c r="BD57" i="3"/>
  <c r="BD74" i="3"/>
  <c r="BD55" i="3"/>
  <c r="BH72" i="3"/>
  <c r="BH76" i="3"/>
  <c r="BH63" i="3"/>
  <c r="BH68" i="3"/>
  <c r="BH55" i="3"/>
  <c r="BD70" i="3"/>
  <c r="BD69" i="3"/>
  <c r="BD67" i="3"/>
  <c r="BD75" i="3"/>
  <c r="BD71" i="3"/>
  <c r="BD65" i="3"/>
  <c r="BD64" i="3"/>
  <c r="BD63" i="3"/>
  <c r="BD59" i="3"/>
  <c r="BD76" i="3"/>
  <c r="BD53" i="3"/>
  <c r="BD56" i="3"/>
  <c r="BD62" i="3"/>
  <c r="BD66" i="3"/>
  <c r="BD60" i="3"/>
  <c r="BD54" i="3"/>
  <c r="BH64" i="3"/>
  <c r="BH74" i="3"/>
  <c r="C14" i="5"/>
  <c r="C36" i="5" s="1"/>
  <c r="S47" i="20"/>
  <c r="S41" i="20"/>
  <c r="S38" i="20"/>
  <c r="J19" i="5"/>
  <c r="H19" i="5"/>
  <c r="D19" i="5"/>
  <c r="S45" i="20"/>
  <c r="E13" i="5"/>
  <c r="K13" i="5" s="1"/>
  <c r="D58" i="5"/>
  <c r="J58" i="5" s="1"/>
  <c r="D27" i="5"/>
  <c r="I27" i="5"/>
  <c r="I30" i="5"/>
  <c r="H30" i="5" s="1"/>
  <c r="D30" i="5"/>
  <c r="I26" i="5"/>
  <c r="I16" i="5"/>
  <c r="H16" i="5" s="1"/>
  <c r="I21" i="5"/>
  <c r="J21" i="5" s="1"/>
  <c r="D21" i="5"/>
  <c r="D20" i="5"/>
  <c r="J32" i="5"/>
  <c r="D15" i="5"/>
  <c r="D12" i="5"/>
  <c r="I15" i="5"/>
  <c r="D18" i="5"/>
  <c r="I18" i="5"/>
  <c r="D10" i="5"/>
  <c r="I10" i="5"/>
  <c r="D17" i="5"/>
  <c r="I17" i="5"/>
  <c r="I22" i="5"/>
  <c r="D22" i="5"/>
  <c r="D28" i="5"/>
  <c r="I28" i="5"/>
  <c r="D29" i="5"/>
  <c r="I29" i="5"/>
  <c r="D25" i="5"/>
  <c r="I25" i="5"/>
  <c r="I34" i="5"/>
  <c r="D34" i="5"/>
  <c r="I13" i="5"/>
  <c r="D13" i="5"/>
  <c r="I23" i="5"/>
  <c r="D23" i="5"/>
  <c r="I33" i="5"/>
  <c r="D33" i="5"/>
  <c r="I24" i="5"/>
  <c r="D24" i="5"/>
  <c r="I11" i="5"/>
  <c r="D11" i="5"/>
  <c r="J20" i="5"/>
  <c r="H20" i="5"/>
  <c r="J12" i="5"/>
  <c r="H12" i="5"/>
  <c r="J31" i="5"/>
  <c r="H31" i="5"/>
  <c r="D187" i="20"/>
  <c r="D191" i="20"/>
  <c r="S34" i="20" s="1"/>
  <c r="I104" i="20"/>
  <c r="C172" i="20"/>
  <c r="C173" i="20" s="1"/>
  <c r="C174" i="20" s="1"/>
  <c r="C197" i="20" s="1"/>
  <c r="G172" i="20"/>
  <c r="I12" i="20"/>
  <c r="J12" i="20" s="1"/>
  <c r="C110" i="20"/>
  <c r="H104" i="20"/>
  <c r="D194" i="20"/>
  <c r="D196" i="20" s="1"/>
  <c r="S21" i="20"/>
  <c r="C196" i="20"/>
  <c r="D140" i="20"/>
  <c r="I73" i="20"/>
  <c r="C137" i="20"/>
  <c r="J10" i="20"/>
  <c r="I67" i="20"/>
  <c r="I77" i="20"/>
  <c r="I61" i="20"/>
  <c r="D136" i="20"/>
  <c r="I63" i="20"/>
  <c r="D138" i="20"/>
  <c r="D139" i="20"/>
  <c r="D137" i="20"/>
  <c r="I79" i="20"/>
  <c r="I55" i="20"/>
  <c r="C136" i="20"/>
  <c r="C140" i="20"/>
  <c r="I82" i="20"/>
  <c r="I80" i="20"/>
  <c r="I71" i="20"/>
  <c r="I76" i="20"/>
  <c r="I74" i="20"/>
  <c r="I66" i="20"/>
  <c r="I57" i="20"/>
  <c r="C139" i="20"/>
  <c r="I60" i="20"/>
  <c r="I58" i="20"/>
  <c r="C138" i="20"/>
  <c r="I64" i="20"/>
  <c r="G171" i="20"/>
  <c r="F170" i="20"/>
  <c r="S23" i="20"/>
  <c r="D172" i="20"/>
  <c r="H172" i="20"/>
  <c r="D170" i="20"/>
  <c r="D171" i="20" s="1"/>
  <c r="AU6" i="2" l="1"/>
  <c r="L78" i="27"/>
  <c r="I6" i="2"/>
  <c r="M104" i="6"/>
  <c r="E39" i="27"/>
  <c r="AI77" i="36"/>
  <c r="M101" i="6"/>
  <c r="M100" i="6"/>
  <c r="M99" i="6"/>
  <c r="M98" i="6"/>
  <c r="M103" i="6"/>
  <c r="M102" i="6"/>
  <c r="M97" i="6"/>
  <c r="M96" i="6"/>
  <c r="M89" i="6"/>
  <c r="AQ24" i="31"/>
  <c r="AQ26" i="31"/>
  <c r="AQ25" i="31"/>
  <c r="AQ27" i="31"/>
  <c r="AQ29" i="31"/>
  <c r="AQ23" i="31"/>
  <c r="AQ30" i="31"/>
  <c r="M95" i="6"/>
  <c r="M94" i="6"/>
  <c r="M93" i="6"/>
  <c r="M90" i="6"/>
  <c r="M91" i="6"/>
  <c r="M92" i="6"/>
  <c r="F20" i="5"/>
  <c r="L27" i="5"/>
  <c r="F27" i="5"/>
  <c r="F30" i="5"/>
  <c r="L19" i="5"/>
  <c r="L26" i="5"/>
  <c r="F19" i="5"/>
  <c r="F26" i="5"/>
  <c r="F18" i="5"/>
  <c r="F21" i="5"/>
  <c r="F16" i="5"/>
  <c r="F15" i="5"/>
  <c r="L20" i="5"/>
  <c r="L15" i="5"/>
  <c r="K31" i="5"/>
  <c r="B30" i="23"/>
  <c r="B19" i="23"/>
  <c r="B26" i="23"/>
  <c r="B15" i="23"/>
  <c r="B29" i="23"/>
  <c r="B25" i="23"/>
  <c r="B17" i="23"/>
  <c r="B22" i="23"/>
  <c r="B16" i="23"/>
  <c r="B18" i="23"/>
  <c r="B27" i="23"/>
  <c r="B31" i="23"/>
  <c r="B7" i="23"/>
  <c r="B12" i="23"/>
  <c r="F10" i="23"/>
  <c r="B11" i="23"/>
  <c r="B14" i="23"/>
  <c r="B9" i="23"/>
  <c r="F13" i="23"/>
  <c r="B8" i="23"/>
  <c r="J74" i="20"/>
  <c r="J64" i="20"/>
  <c r="D57" i="5"/>
  <c r="J57" i="5" s="1"/>
  <c r="B20" i="23"/>
  <c r="D60" i="5"/>
  <c r="C60" i="5" s="1"/>
  <c r="B23" i="23"/>
  <c r="D61" i="5"/>
  <c r="J61" i="5" s="1"/>
  <c r="B24" i="23"/>
  <c r="D68" i="5"/>
  <c r="F24" i="5"/>
  <c r="D56" i="5"/>
  <c r="J56" i="5" s="1"/>
  <c r="L31" i="5"/>
  <c r="F22" i="5"/>
  <c r="F32" i="5"/>
  <c r="L32" i="5"/>
  <c r="F29" i="5"/>
  <c r="F34" i="5"/>
  <c r="F28" i="5"/>
  <c r="F33" i="5"/>
  <c r="F23" i="5"/>
  <c r="F31" i="5"/>
  <c r="F25" i="5"/>
  <c r="F50" i="5"/>
  <c r="C50" i="5"/>
  <c r="D63" i="5"/>
  <c r="J63" i="5" s="1"/>
  <c r="D52" i="5"/>
  <c r="J52" i="5" s="1"/>
  <c r="D62" i="5"/>
  <c r="J62" i="5" s="1"/>
  <c r="F65" i="5"/>
  <c r="F58" i="5"/>
  <c r="D49" i="5"/>
  <c r="J49" i="5" s="1"/>
  <c r="D48" i="5"/>
  <c r="J48" i="5" s="1"/>
  <c r="D51" i="5"/>
  <c r="C51" i="5" s="1"/>
  <c r="D67" i="5"/>
  <c r="J67" i="5" s="1"/>
  <c r="D66" i="5"/>
  <c r="J66" i="5" s="1"/>
  <c r="D64" i="5"/>
  <c r="J64" i="5" s="1"/>
  <c r="C65" i="5"/>
  <c r="D44" i="5"/>
  <c r="J44" i="5" s="1"/>
  <c r="D46" i="5"/>
  <c r="J46" i="5" s="1"/>
  <c r="D54" i="5"/>
  <c r="J54" i="5" s="1"/>
  <c r="D53" i="5"/>
  <c r="J53" i="5" s="1"/>
  <c r="C47" i="5"/>
  <c r="D55" i="5"/>
  <c r="J55" i="5" s="1"/>
  <c r="D59" i="5"/>
  <c r="J59" i="5" s="1"/>
  <c r="D45" i="5"/>
  <c r="J45" i="5" s="1"/>
  <c r="F47" i="5"/>
  <c r="F17" i="5"/>
  <c r="BD77" i="3"/>
  <c r="BH77" i="3"/>
  <c r="G105" i="20"/>
  <c r="G106" i="20" s="1"/>
  <c r="F14" i="5"/>
  <c r="I14" i="5"/>
  <c r="I36" i="5" s="1"/>
  <c r="D14" i="5"/>
  <c r="D36" i="5" s="1"/>
  <c r="S33" i="20"/>
  <c r="S31" i="20" s="1"/>
  <c r="F13" i="5"/>
  <c r="I39" i="20"/>
  <c r="C58" i="5"/>
  <c r="J15" i="5"/>
  <c r="J30" i="5"/>
  <c r="L30" i="5"/>
  <c r="J27" i="5"/>
  <c r="H27" i="5"/>
  <c r="J26" i="5"/>
  <c r="H26" i="5"/>
  <c r="H21" i="5"/>
  <c r="L21" i="5"/>
  <c r="L16" i="5"/>
  <c r="J16" i="5"/>
  <c r="H15" i="5"/>
  <c r="L18" i="5"/>
  <c r="J18" i="5"/>
  <c r="H18" i="5"/>
  <c r="J10" i="5"/>
  <c r="H10" i="5"/>
  <c r="J17" i="5"/>
  <c r="H17" i="5"/>
  <c r="L17" i="5"/>
  <c r="L28" i="5"/>
  <c r="H28" i="5"/>
  <c r="J28" i="5"/>
  <c r="L29" i="5"/>
  <c r="H29" i="5"/>
  <c r="J29" i="5"/>
  <c r="H22" i="5"/>
  <c r="J22" i="5"/>
  <c r="L22" i="5"/>
  <c r="H25" i="5"/>
  <c r="L25" i="5"/>
  <c r="J25" i="5"/>
  <c r="J23" i="5"/>
  <c r="L23" i="5"/>
  <c r="H23" i="5"/>
  <c r="H24" i="5"/>
  <c r="L24" i="5"/>
  <c r="J24" i="5"/>
  <c r="J13" i="5"/>
  <c r="L13" i="5"/>
  <c r="H13" i="5"/>
  <c r="H33" i="5"/>
  <c r="L33" i="5"/>
  <c r="J33" i="5"/>
  <c r="H11" i="5"/>
  <c r="J11" i="5"/>
  <c r="L34" i="5"/>
  <c r="H34" i="5"/>
  <c r="J34" i="5"/>
  <c r="C111" i="20"/>
  <c r="J55" i="20"/>
  <c r="J77" i="20"/>
  <c r="J67" i="20"/>
  <c r="J71" i="20"/>
  <c r="J58" i="20"/>
  <c r="J80" i="20"/>
  <c r="J61" i="20"/>
  <c r="S18" i="20"/>
  <c r="C112" i="20"/>
  <c r="C117" i="20" s="1"/>
  <c r="I48" i="20"/>
  <c r="I51" i="20"/>
  <c r="I54" i="20"/>
  <c r="I42" i="20"/>
  <c r="I45" i="20"/>
  <c r="H171" i="20"/>
  <c r="D173" i="20"/>
  <c r="D174" i="20" s="1"/>
  <c r="D197" i="20" s="1"/>
  <c r="C198" i="20"/>
  <c r="C199" i="20"/>
  <c r="S22" i="20"/>
  <c r="F171" i="20"/>
  <c r="AI77" i="27" l="1"/>
  <c r="AF5" i="2"/>
  <c r="AS24" i="31"/>
  <c r="AU24" i="31"/>
  <c r="AW24" i="31" s="1"/>
  <c r="AY24" i="31" s="1"/>
  <c r="AS27" i="31"/>
  <c r="AU27" i="31"/>
  <c r="AW27" i="31" s="1"/>
  <c r="AY27" i="31" s="1"/>
  <c r="AS29" i="31"/>
  <c r="AU29" i="31"/>
  <c r="AW29" i="31" s="1"/>
  <c r="AY29" i="31" s="1"/>
  <c r="AU25" i="31"/>
  <c r="AW25" i="31" s="1"/>
  <c r="AY25" i="31" s="1"/>
  <c r="AS25" i="31"/>
  <c r="AU23" i="31"/>
  <c r="AW23" i="31" s="1"/>
  <c r="AY23" i="31" s="1"/>
  <c r="AS23" i="31"/>
  <c r="AS26" i="31"/>
  <c r="AU26" i="31"/>
  <c r="AW26" i="31" s="1"/>
  <c r="AY26" i="31" s="1"/>
  <c r="AU30" i="31"/>
  <c r="AW30" i="31" s="1"/>
  <c r="AY30" i="31" s="1"/>
  <c r="AS30" i="31"/>
  <c r="H68" i="5"/>
  <c r="I31" i="23" s="1"/>
  <c r="D31" i="23" s="1"/>
  <c r="K83" i="6"/>
  <c r="J61" i="6"/>
  <c r="J62" i="6"/>
  <c r="L76" i="6"/>
  <c r="K77" i="6"/>
  <c r="L72" i="6"/>
  <c r="M79" i="6"/>
  <c r="K75" i="6"/>
  <c r="L65" i="6"/>
  <c r="K84" i="6"/>
  <c r="K70" i="6"/>
  <c r="J82" i="6"/>
  <c r="J85" i="6"/>
  <c r="J63" i="6"/>
  <c r="K85" i="6"/>
  <c r="M65" i="6"/>
  <c r="M81" i="6"/>
  <c r="K80" i="6"/>
  <c r="J79" i="6"/>
  <c r="J70" i="6"/>
  <c r="M75" i="6"/>
  <c r="L64" i="6"/>
  <c r="K65" i="6"/>
  <c r="K66" i="6"/>
  <c r="L84" i="6"/>
  <c r="K76" i="6"/>
  <c r="J64" i="6"/>
  <c r="L78" i="6"/>
  <c r="L66" i="6"/>
  <c r="J75" i="6"/>
  <c r="J76" i="6"/>
  <c r="K71" i="6"/>
  <c r="L80" i="6"/>
  <c r="M83" i="6"/>
  <c r="M73" i="6"/>
  <c r="K81" i="6"/>
  <c r="L71" i="6"/>
  <c r="M74" i="6"/>
  <c r="J80" i="6"/>
  <c r="K73" i="6"/>
  <c r="M72" i="6"/>
  <c r="J81" i="6"/>
  <c r="M69" i="6"/>
  <c r="L83" i="6"/>
  <c r="L74" i="6"/>
  <c r="J73" i="6"/>
  <c r="K74" i="6"/>
  <c r="J69" i="6"/>
  <c r="J84" i="6"/>
  <c r="K78" i="6"/>
  <c r="M68" i="6"/>
  <c r="J78" i="6"/>
  <c r="L81" i="6"/>
  <c r="L70" i="6"/>
  <c r="M76" i="6"/>
  <c r="L79" i="6"/>
  <c r="M84" i="6"/>
  <c r="K67" i="6"/>
  <c r="K72" i="6"/>
  <c r="L77" i="6"/>
  <c r="M70" i="6"/>
  <c r="M77" i="6"/>
  <c r="M85" i="6"/>
  <c r="K79" i="6"/>
  <c r="J77" i="6"/>
  <c r="K82" i="6"/>
  <c r="J65" i="6"/>
  <c r="J68" i="6"/>
  <c r="K62" i="6"/>
  <c r="L73" i="6"/>
  <c r="L85" i="6"/>
  <c r="L67" i="6"/>
  <c r="J74" i="6"/>
  <c r="J66" i="6"/>
  <c r="J83" i="6"/>
  <c r="M67" i="6"/>
  <c r="L82" i="6"/>
  <c r="K63" i="6"/>
  <c r="M80" i="6"/>
  <c r="K68" i="6"/>
  <c r="K61" i="6"/>
  <c r="M71" i="6"/>
  <c r="M82" i="6"/>
  <c r="J71" i="6"/>
  <c r="L69" i="6"/>
  <c r="J72" i="6"/>
  <c r="L75" i="6"/>
  <c r="L68" i="6"/>
  <c r="K64" i="6"/>
  <c r="K69" i="6"/>
  <c r="J67" i="6"/>
  <c r="M78" i="6"/>
  <c r="M66" i="6"/>
  <c r="J68" i="5"/>
  <c r="J51" i="5"/>
  <c r="J60" i="5"/>
  <c r="H45" i="5"/>
  <c r="I8" i="23" s="1"/>
  <c r="D8" i="23" s="1"/>
  <c r="E8" i="23" s="1"/>
  <c r="M18" i="5"/>
  <c r="M12" i="5"/>
  <c r="B92" i="5"/>
  <c r="A92" i="5" s="1"/>
  <c r="M13" i="5"/>
  <c r="J48" i="20"/>
  <c r="I49" i="20"/>
  <c r="J54" i="20"/>
  <c r="J45" i="20"/>
  <c r="I40" i="20"/>
  <c r="F57" i="5"/>
  <c r="C57" i="5"/>
  <c r="F60" i="5"/>
  <c r="F61" i="5"/>
  <c r="C61" i="5"/>
  <c r="F68" i="5"/>
  <c r="C68" i="5"/>
  <c r="H67" i="5"/>
  <c r="I30" i="23" s="1"/>
  <c r="D30" i="23" s="1"/>
  <c r="E30" i="23" s="1"/>
  <c r="F67" i="5"/>
  <c r="F56" i="5"/>
  <c r="C56" i="5"/>
  <c r="F52" i="5"/>
  <c r="C52" i="5"/>
  <c r="C63" i="5"/>
  <c r="F63" i="5"/>
  <c r="F62" i="5"/>
  <c r="F64" i="5"/>
  <c r="F54" i="5"/>
  <c r="H56" i="5"/>
  <c r="I19" i="23" s="1"/>
  <c r="D19" i="23" s="1"/>
  <c r="E19" i="23" s="1"/>
  <c r="H52" i="5"/>
  <c r="I15" i="23" s="1"/>
  <c r="D15" i="23" s="1"/>
  <c r="E15" i="23" s="1"/>
  <c r="F55" i="5"/>
  <c r="F66" i="5"/>
  <c r="H63" i="5"/>
  <c r="I26" i="23" s="1"/>
  <c r="D26" i="23" s="1"/>
  <c r="E26" i="23" s="1"/>
  <c r="H58" i="5"/>
  <c r="I21" i="23" s="1"/>
  <c r="D21" i="23" s="1"/>
  <c r="E21" i="23" s="1"/>
  <c r="H60" i="5"/>
  <c r="I23" i="23" s="1"/>
  <c r="D23" i="23" s="1"/>
  <c r="E23" i="23" s="1"/>
  <c r="H61" i="5"/>
  <c r="I24" i="23" s="1"/>
  <c r="D24" i="23" s="1"/>
  <c r="E24" i="23" s="1"/>
  <c r="F53" i="5"/>
  <c r="H65" i="5"/>
  <c r="I28" i="23" s="1"/>
  <c r="D28" i="23" s="1"/>
  <c r="E28" i="23" s="1"/>
  <c r="H50" i="5"/>
  <c r="I13" i="23" s="1"/>
  <c r="D13" i="23" s="1"/>
  <c r="E13" i="23" s="1"/>
  <c r="H57" i="5"/>
  <c r="I20" i="23" s="1"/>
  <c r="D20" i="23" s="1"/>
  <c r="E20" i="23" s="1"/>
  <c r="C62" i="5"/>
  <c r="F59" i="5"/>
  <c r="F49" i="5"/>
  <c r="H62" i="5"/>
  <c r="I25" i="23" s="1"/>
  <c r="D25" i="23" s="1"/>
  <c r="E25" i="23" s="1"/>
  <c r="F51" i="5"/>
  <c r="C49" i="5"/>
  <c r="F48" i="5"/>
  <c r="H49" i="5"/>
  <c r="I12" i="23" s="1"/>
  <c r="D12" i="23" s="1"/>
  <c r="E12" i="23" s="1"/>
  <c r="C48" i="5"/>
  <c r="H48" i="5"/>
  <c r="I11" i="23" s="1"/>
  <c r="D11" i="23" s="1"/>
  <c r="E11" i="23" s="1"/>
  <c r="G14" i="10"/>
  <c r="O39" i="3"/>
  <c r="AV39" i="3"/>
  <c r="G18" i="10"/>
  <c r="G19" i="10"/>
  <c r="AO39" i="3"/>
  <c r="AW39" i="3"/>
  <c r="Q39" i="3"/>
  <c r="G20" i="10"/>
  <c r="AP39" i="3"/>
  <c r="AL39" i="3"/>
  <c r="AX39" i="3"/>
  <c r="BB39" i="3"/>
  <c r="AU39" i="3"/>
  <c r="P39" i="3"/>
  <c r="E13" i="10" s="1"/>
  <c r="G10" i="10"/>
  <c r="G34" i="10"/>
  <c r="AQ39" i="3"/>
  <c r="AY39" i="3"/>
  <c r="U39" i="3"/>
  <c r="G13" i="10"/>
  <c r="AK39" i="3"/>
  <c r="BA39" i="3"/>
  <c r="M39" i="3"/>
  <c r="AN39" i="3"/>
  <c r="G12" i="10"/>
  <c r="G35" i="10"/>
  <c r="AR39" i="3"/>
  <c r="AZ39" i="3"/>
  <c r="V39" i="3"/>
  <c r="AS39" i="3"/>
  <c r="W39" i="3"/>
  <c r="AT39" i="3"/>
  <c r="AT43" i="3" s="1"/>
  <c r="AM39" i="3"/>
  <c r="H51" i="5"/>
  <c r="I14" i="23" s="1"/>
  <c r="D14" i="23" s="1"/>
  <c r="E14" i="23" s="1"/>
  <c r="C67" i="5"/>
  <c r="H66" i="5"/>
  <c r="I29" i="23" s="1"/>
  <c r="D29" i="23" s="1"/>
  <c r="E29" i="23" s="1"/>
  <c r="C66" i="5"/>
  <c r="H64" i="5"/>
  <c r="I27" i="23" s="1"/>
  <c r="D27" i="23" s="1"/>
  <c r="E27" i="23" s="1"/>
  <c r="C64" i="5"/>
  <c r="H54" i="5"/>
  <c r="I17" i="23" s="1"/>
  <c r="D17" i="23" s="1"/>
  <c r="E17" i="23" s="1"/>
  <c r="C46" i="5"/>
  <c r="H55" i="5"/>
  <c r="I18" i="23" s="1"/>
  <c r="D18" i="23" s="1"/>
  <c r="E18" i="23" s="1"/>
  <c r="C44" i="5"/>
  <c r="C54" i="5"/>
  <c r="C59" i="5"/>
  <c r="H47" i="5"/>
  <c r="I10" i="23" s="1"/>
  <c r="D10" i="23" s="1"/>
  <c r="E10" i="23" s="1"/>
  <c r="H59" i="5"/>
  <c r="I22" i="23" s="1"/>
  <c r="D22" i="23" s="1"/>
  <c r="E22" i="23" s="1"/>
  <c r="H46" i="5"/>
  <c r="I9" i="23" s="1"/>
  <c r="D9" i="23" s="1"/>
  <c r="H44" i="5"/>
  <c r="C45" i="5"/>
  <c r="C53" i="5"/>
  <c r="H53" i="5"/>
  <c r="I16" i="23" s="1"/>
  <c r="D16" i="23" s="1"/>
  <c r="E16" i="23" s="1"/>
  <c r="D69" i="5"/>
  <c r="C55" i="5"/>
  <c r="G107" i="20"/>
  <c r="G111" i="20" s="1"/>
  <c r="I22" i="20" s="1"/>
  <c r="I25" i="20"/>
  <c r="J14" i="5"/>
  <c r="H14" i="5"/>
  <c r="H36" i="5" s="1"/>
  <c r="L14" i="5"/>
  <c r="M26" i="5"/>
  <c r="M11" i="5"/>
  <c r="M17" i="5"/>
  <c r="M15" i="5"/>
  <c r="M14" i="5"/>
  <c r="M20" i="5"/>
  <c r="M19" i="5"/>
  <c r="M22" i="5"/>
  <c r="M21" i="5"/>
  <c r="M33" i="5"/>
  <c r="M32" i="5"/>
  <c r="M30" i="5"/>
  <c r="M23" i="5"/>
  <c r="M25" i="5"/>
  <c r="M16" i="5"/>
  <c r="M28" i="5"/>
  <c r="M34" i="5"/>
  <c r="M24" i="5"/>
  <c r="M27" i="5"/>
  <c r="M31" i="5"/>
  <c r="M29" i="5"/>
  <c r="M10" i="5"/>
  <c r="C113" i="20"/>
  <c r="E113" i="20"/>
  <c r="D113" i="20"/>
  <c r="I46" i="20"/>
  <c r="I52" i="20"/>
  <c r="J51" i="20"/>
  <c r="I43" i="20"/>
  <c r="J42" i="20"/>
  <c r="S17" i="20"/>
  <c r="S16" i="20" s="1"/>
  <c r="S15" i="20" s="1"/>
  <c r="S14" i="20" s="1"/>
  <c r="S27" i="20" s="1"/>
  <c r="F173" i="20"/>
  <c r="F174" i="20" s="1"/>
  <c r="F197" i="20" s="1"/>
  <c r="C200" i="20"/>
  <c r="D198" i="20"/>
  <c r="D199" i="20"/>
  <c r="BA29" i="31" l="1"/>
  <c r="D29" i="31" s="1"/>
  <c r="BA30" i="31"/>
  <c r="D30" i="31" s="1"/>
  <c r="BA26" i="31"/>
  <c r="D26" i="31"/>
  <c r="BA27" i="31"/>
  <c r="D27" i="31"/>
  <c r="BA23" i="31"/>
  <c r="BA24" i="31"/>
  <c r="D24" i="31" s="1"/>
  <c r="BA25" i="31"/>
  <c r="D25" i="31" s="1"/>
  <c r="AQ16" i="31"/>
  <c r="AQ21" i="31"/>
  <c r="AQ20" i="31"/>
  <c r="AQ22" i="31"/>
  <c r="AQ15" i="31"/>
  <c r="G31" i="23"/>
  <c r="E31" i="23"/>
  <c r="C31" i="23"/>
  <c r="J69" i="5"/>
  <c r="I7" i="23"/>
  <c r="D7" i="23" s="1"/>
  <c r="E7" i="23" s="1"/>
  <c r="H69" i="5"/>
  <c r="AZ43" i="3"/>
  <c r="AZ38" i="3" s="1"/>
  <c r="AZ42" i="3" s="1"/>
  <c r="C9" i="23"/>
  <c r="E9" i="23"/>
  <c r="G50" i="10"/>
  <c r="G110" i="10"/>
  <c r="G72" i="10"/>
  <c r="G36" i="10"/>
  <c r="G96" i="10"/>
  <c r="G38" i="10"/>
  <c r="G98" i="10"/>
  <c r="G39" i="10"/>
  <c r="G99" i="10"/>
  <c r="G45" i="10"/>
  <c r="G105" i="10"/>
  <c r="G49" i="10"/>
  <c r="G109" i="10"/>
  <c r="G42" i="10"/>
  <c r="G102" i="10"/>
  <c r="G51" i="10"/>
  <c r="G111" i="10"/>
  <c r="G48" i="10"/>
  <c r="G108" i="10"/>
  <c r="G37" i="10"/>
  <c r="G97" i="10"/>
  <c r="G41" i="10"/>
  <c r="G101" i="10"/>
  <c r="G43" i="10"/>
  <c r="G103" i="10"/>
  <c r="G73" i="10"/>
  <c r="G40" i="10"/>
  <c r="G100" i="10"/>
  <c r="G74" i="10"/>
  <c r="J40" i="20"/>
  <c r="J49" i="20"/>
  <c r="E127" i="20"/>
  <c r="G25" i="23"/>
  <c r="G19" i="23"/>
  <c r="G21" i="23"/>
  <c r="G27" i="23"/>
  <c r="C18" i="23"/>
  <c r="C20" i="23"/>
  <c r="G24" i="23"/>
  <c r="G23" i="23"/>
  <c r="C23" i="23"/>
  <c r="C25" i="23"/>
  <c r="C27" i="23"/>
  <c r="AN43" i="3"/>
  <c r="AN38" i="3" s="1"/>
  <c r="AN42" i="3" s="1"/>
  <c r="V43" i="3"/>
  <c r="V38" i="3" s="1"/>
  <c r="V42" i="3" s="1"/>
  <c r="AS43" i="3"/>
  <c r="AS38" i="3" s="1"/>
  <c r="AS42" i="3" s="1"/>
  <c r="AR43" i="3"/>
  <c r="AR38" i="3" s="1"/>
  <c r="AR42" i="3" s="1"/>
  <c r="AQ43" i="3"/>
  <c r="AQ38" i="3" s="1"/>
  <c r="AQ42" i="3" s="1"/>
  <c r="Q43" i="3"/>
  <c r="Q38" i="3" s="1"/>
  <c r="Q42" i="3" s="1"/>
  <c r="AO43" i="3"/>
  <c r="AO38" i="3" s="1"/>
  <c r="AO42" i="3" s="1"/>
  <c r="AX43" i="3"/>
  <c r="AX38" i="3" s="1"/>
  <c r="AX42" i="3" s="1"/>
  <c r="BA43" i="3"/>
  <c r="BA38" i="3" s="1"/>
  <c r="BA42" i="3" s="1"/>
  <c r="W43" i="3"/>
  <c r="W38" i="3" s="1"/>
  <c r="W42" i="3" s="1"/>
  <c r="O43" i="3"/>
  <c r="O38" i="3" s="1"/>
  <c r="O42" i="3" s="1"/>
  <c r="AL43" i="3"/>
  <c r="AL38" i="3" s="1"/>
  <c r="AL42" i="3" s="1"/>
  <c r="P43" i="3"/>
  <c r="P38" i="3" s="1"/>
  <c r="P42" i="3" s="1"/>
  <c r="M43" i="3"/>
  <c r="AV43" i="3"/>
  <c r="AK43" i="3"/>
  <c r="AM43" i="3"/>
  <c r="AT38" i="3"/>
  <c r="AT42" i="3" s="1"/>
  <c r="U43" i="3"/>
  <c r="AU43" i="3"/>
  <c r="AP43" i="3"/>
  <c r="AW43" i="3"/>
  <c r="AY43" i="3"/>
  <c r="BB43" i="3"/>
  <c r="E49" i="10"/>
  <c r="E109" i="10" s="1"/>
  <c r="E14" i="10"/>
  <c r="E74" i="10" s="1"/>
  <c r="E45" i="10"/>
  <c r="E105" i="10" s="1"/>
  <c r="E41" i="10"/>
  <c r="E101" i="10" s="1"/>
  <c r="E50" i="10"/>
  <c r="E110" i="10" s="1"/>
  <c r="E12" i="10"/>
  <c r="E72" i="10" s="1"/>
  <c r="E36" i="10"/>
  <c r="E96" i="10" s="1"/>
  <c r="E34" i="10"/>
  <c r="E35" i="10"/>
  <c r="E38" i="10"/>
  <c r="E98" i="10" s="1"/>
  <c r="E19" i="10"/>
  <c r="E43" i="10"/>
  <c r="E103" i="10" s="1"/>
  <c r="E73" i="10"/>
  <c r="E20" i="10"/>
  <c r="E18" i="10"/>
  <c r="E39" i="10"/>
  <c r="E99" i="10" s="1"/>
  <c r="E10" i="10"/>
  <c r="E42" i="10"/>
  <c r="E102" i="10" s="1"/>
  <c r="E48" i="10"/>
  <c r="E108" i="10" s="1"/>
  <c r="E51" i="10"/>
  <c r="E111" i="10" s="1"/>
  <c r="E37" i="10"/>
  <c r="E97" i="10" s="1"/>
  <c r="E40" i="10"/>
  <c r="E100" i="10" s="1"/>
  <c r="I27" i="20"/>
  <c r="C69" i="5"/>
  <c r="G108" i="20"/>
  <c r="G109" i="20" s="1"/>
  <c r="C128" i="20"/>
  <c r="D128" i="20"/>
  <c r="D126" i="20"/>
  <c r="C126" i="20"/>
  <c r="E126" i="20"/>
  <c r="E128" i="20"/>
  <c r="I23" i="20"/>
  <c r="C127" i="20"/>
  <c r="D127" i="20"/>
  <c r="G126" i="20"/>
  <c r="M36" i="5"/>
  <c r="C114" i="20"/>
  <c r="D115" i="20" s="1"/>
  <c r="J43" i="20"/>
  <c r="J52" i="20"/>
  <c r="J46" i="20"/>
  <c r="D200" i="20"/>
  <c r="F198" i="20"/>
  <c r="H199" i="20"/>
  <c r="H200" i="20" s="1"/>
  <c r="G199" i="20"/>
  <c r="G200" i="20" s="1"/>
  <c r="F199" i="20"/>
  <c r="AE77" i="36" l="1"/>
  <c r="AE77" i="40"/>
  <c r="AH77" i="36"/>
  <c r="AH77" i="40"/>
  <c r="AG77" i="36"/>
  <c r="AG77" i="40"/>
  <c r="AK77" i="36"/>
  <c r="AK77" i="40"/>
  <c r="AF77" i="36"/>
  <c r="AF77" i="40"/>
  <c r="AJ77" i="36"/>
  <c r="AJ77" i="40"/>
  <c r="E38" i="27"/>
  <c r="E37" i="27"/>
  <c r="E36" i="27"/>
  <c r="E41" i="27"/>
  <c r="E35" i="27"/>
  <c r="E40" i="27"/>
  <c r="AU22" i="31"/>
  <c r="AW22" i="31" s="1"/>
  <c r="AY22" i="31" s="1"/>
  <c r="AS22" i="31"/>
  <c r="AS20" i="31"/>
  <c r="AU20" i="31"/>
  <c r="AW20" i="31" s="1"/>
  <c r="AY20" i="31" s="1"/>
  <c r="AU21" i="31"/>
  <c r="AW21" i="31" s="1"/>
  <c r="AY21" i="31" s="1"/>
  <c r="AS21" i="31"/>
  <c r="AS15" i="31"/>
  <c r="AU15" i="31"/>
  <c r="AW15" i="31" s="1"/>
  <c r="AY15" i="31" s="1"/>
  <c r="AU16" i="31"/>
  <c r="AW16" i="31" s="1"/>
  <c r="AY16" i="31" s="1"/>
  <c r="AS16" i="31"/>
  <c r="I45" i="5"/>
  <c r="J8" i="23" s="1"/>
  <c r="I32" i="23"/>
  <c r="I48" i="5"/>
  <c r="J11" i="23" s="1"/>
  <c r="I67" i="5"/>
  <c r="J30" i="23" s="1"/>
  <c r="C7" i="23"/>
  <c r="I65" i="5"/>
  <c r="J28" i="23" s="1"/>
  <c r="I54" i="5"/>
  <c r="J17" i="23" s="1"/>
  <c r="I55" i="5"/>
  <c r="J18" i="23" s="1"/>
  <c r="I63" i="5"/>
  <c r="J26" i="23" s="1"/>
  <c r="I51" i="5"/>
  <c r="J14" i="23" s="1"/>
  <c r="I62" i="5"/>
  <c r="J25" i="23" s="1"/>
  <c r="I47" i="5"/>
  <c r="J10" i="23" s="1"/>
  <c r="I59" i="5"/>
  <c r="J22" i="23" s="1"/>
  <c r="I52" i="5"/>
  <c r="J15" i="23" s="1"/>
  <c r="I56" i="5"/>
  <c r="J19" i="23" s="1"/>
  <c r="I44" i="5"/>
  <c r="J7" i="23" s="1"/>
  <c r="I53" i="5"/>
  <c r="J16" i="23" s="1"/>
  <c r="I46" i="5"/>
  <c r="J9" i="23" s="1"/>
  <c r="I60" i="5"/>
  <c r="J23" i="23" s="1"/>
  <c r="I68" i="5"/>
  <c r="J31" i="23" s="1"/>
  <c r="I64" i="5"/>
  <c r="J27" i="23" s="1"/>
  <c r="I57" i="5"/>
  <c r="J20" i="23" s="1"/>
  <c r="I66" i="5"/>
  <c r="J29" i="23" s="1"/>
  <c r="I49" i="5"/>
  <c r="J12" i="23" s="1"/>
  <c r="I58" i="5"/>
  <c r="J21" i="23" s="1"/>
  <c r="I61" i="5"/>
  <c r="J24" i="23" s="1"/>
  <c r="I50" i="5"/>
  <c r="J13" i="23" s="1"/>
  <c r="H19" i="10"/>
  <c r="K19" i="10" s="1"/>
  <c r="H79" i="10"/>
  <c r="I79" i="10"/>
  <c r="J79" i="10" s="1"/>
  <c r="K79" i="10" s="1"/>
  <c r="H49" i="10"/>
  <c r="I109" i="10"/>
  <c r="J109" i="10" s="1"/>
  <c r="K109" i="10" s="1"/>
  <c r="H109" i="10"/>
  <c r="H38" i="10"/>
  <c r="I98" i="10"/>
  <c r="J98" i="10" s="1"/>
  <c r="K98" i="10" s="1"/>
  <c r="H98" i="10"/>
  <c r="I72" i="10"/>
  <c r="J72" i="10" s="1"/>
  <c r="K72" i="10" s="1"/>
  <c r="H72" i="10"/>
  <c r="H41" i="10"/>
  <c r="H101" i="10"/>
  <c r="I101" i="10"/>
  <c r="J101" i="10" s="1"/>
  <c r="K101" i="10" s="1"/>
  <c r="H37" i="10"/>
  <c r="I97" i="10"/>
  <c r="J97" i="10" s="1"/>
  <c r="K97" i="10" s="1"/>
  <c r="H97" i="10"/>
  <c r="C15" i="11"/>
  <c r="D15" i="11" s="1"/>
  <c r="H14" i="10"/>
  <c r="K14" i="10" s="1"/>
  <c r="H74" i="10"/>
  <c r="I74" i="10"/>
  <c r="J74" i="10" s="1"/>
  <c r="K74" i="10" s="1"/>
  <c r="H42" i="10"/>
  <c r="I102" i="10"/>
  <c r="J102" i="10" s="1"/>
  <c r="K102" i="10" s="1"/>
  <c r="H102" i="10"/>
  <c r="H20" i="10"/>
  <c r="K20" i="10" s="1"/>
  <c r="I80" i="10"/>
  <c r="J80" i="10" s="1"/>
  <c r="K80" i="10" s="1"/>
  <c r="H80" i="10"/>
  <c r="H43" i="10"/>
  <c r="H103" i="10"/>
  <c r="I103" i="10"/>
  <c r="J103" i="10" s="1"/>
  <c r="K103" i="10" s="1"/>
  <c r="H13" i="10"/>
  <c r="K13" i="10" s="1"/>
  <c r="I73" i="10"/>
  <c r="J73" i="10" s="1"/>
  <c r="K73" i="10" s="1"/>
  <c r="H73" i="10"/>
  <c r="H40" i="10"/>
  <c r="I100" i="10"/>
  <c r="J100" i="10" s="1"/>
  <c r="K100" i="10" s="1"/>
  <c r="H100" i="10"/>
  <c r="C16" i="11"/>
  <c r="D16" i="11" s="1"/>
  <c r="H50" i="10"/>
  <c r="I110" i="10"/>
  <c r="J110" i="10" s="1"/>
  <c r="K110" i="10" s="1"/>
  <c r="H110" i="10"/>
  <c r="C14" i="11"/>
  <c r="D14" i="11" s="1"/>
  <c r="H35" i="10"/>
  <c r="I95" i="10"/>
  <c r="J95" i="10" s="1"/>
  <c r="K95" i="10" s="1"/>
  <c r="H95" i="10"/>
  <c r="C19" i="23"/>
  <c r="G18" i="23"/>
  <c r="C21" i="23"/>
  <c r="C24" i="23"/>
  <c r="C8" i="23"/>
  <c r="D32" i="23"/>
  <c r="G20" i="23"/>
  <c r="G29" i="23"/>
  <c r="C29" i="23"/>
  <c r="G11" i="23"/>
  <c r="C11" i="23"/>
  <c r="C12" i="23"/>
  <c r="G12" i="23"/>
  <c r="G26" i="23"/>
  <c r="C26" i="23"/>
  <c r="G17" i="23"/>
  <c r="C17" i="23"/>
  <c r="G14" i="23"/>
  <c r="C14" i="23"/>
  <c r="C22" i="23"/>
  <c r="G22" i="23"/>
  <c r="G16" i="23"/>
  <c r="C16" i="23"/>
  <c r="C28" i="23"/>
  <c r="G28" i="23"/>
  <c r="G13" i="23"/>
  <c r="C13" i="23"/>
  <c r="C15" i="23"/>
  <c r="G15" i="23"/>
  <c r="C30" i="23"/>
  <c r="G30" i="23"/>
  <c r="G10" i="23"/>
  <c r="C10" i="23"/>
  <c r="H12" i="10"/>
  <c r="K12" i="10" s="1"/>
  <c r="I12" i="10"/>
  <c r="AB10" i="6" s="1"/>
  <c r="AV38" i="3"/>
  <c r="M38" i="3"/>
  <c r="AU38" i="3"/>
  <c r="AY38" i="3"/>
  <c r="AP38" i="3"/>
  <c r="BB38" i="3"/>
  <c r="BB42" i="3" s="1"/>
  <c r="AM38" i="3"/>
  <c r="U38" i="3"/>
  <c r="AW38" i="3"/>
  <c r="AK38" i="3"/>
  <c r="D129" i="20"/>
  <c r="C129" i="20"/>
  <c r="E129" i="20"/>
  <c r="AX3" i="3"/>
  <c r="BB3" i="3"/>
  <c r="M3" i="3"/>
  <c r="O3" i="3"/>
  <c r="C37" i="11"/>
  <c r="D37" i="11" s="1"/>
  <c r="C47" i="11"/>
  <c r="D47" i="11" s="1"/>
  <c r="AU3" i="3"/>
  <c r="AL3" i="3"/>
  <c r="I35" i="10"/>
  <c r="AB33" i="6" s="1"/>
  <c r="C8" i="11"/>
  <c r="D8" i="11" s="1"/>
  <c r="Q3" i="3"/>
  <c r="I14" i="10"/>
  <c r="AB12" i="6" s="1"/>
  <c r="C36" i="11"/>
  <c r="D36" i="11" s="1"/>
  <c r="C30" i="11"/>
  <c r="D30" i="11" s="1"/>
  <c r="C44" i="11"/>
  <c r="D44" i="11" s="1"/>
  <c r="C6" i="11"/>
  <c r="D6" i="11" s="1"/>
  <c r="U3" i="3"/>
  <c r="C9" i="11"/>
  <c r="D9" i="11" s="1"/>
  <c r="V3" i="3"/>
  <c r="I19" i="10"/>
  <c r="AB17" i="6" s="1"/>
  <c r="AR3" i="3"/>
  <c r="I41" i="10"/>
  <c r="AB39" i="6" s="1"/>
  <c r="AS3" i="3"/>
  <c r="I42" i="10"/>
  <c r="AB40" i="6" s="1"/>
  <c r="AQ3" i="3"/>
  <c r="I40" i="10"/>
  <c r="AB38" i="6" s="1"/>
  <c r="AY3" i="3"/>
  <c r="C35" i="11"/>
  <c r="D35" i="11" s="1"/>
  <c r="C34" i="11"/>
  <c r="D34" i="11" s="1"/>
  <c r="AK3" i="3"/>
  <c r="AW3" i="3"/>
  <c r="C41" i="11"/>
  <c r="D41" i="11" s="1"/>
  <c r="C33" i="11"/>
  <c r="D33" i="11" s="1"/>
  <c r="P3" i="3"/>
  <c r="I13" i="10"/>
  <c r="AB11" i="6" s="1"/>
  <c r="C32" i="11"/>
  <c r="D32" i="11" s="1"/>
  <c r="C45" i="11"/>
  <c r="D45" i="11" s="1"/>
  <c r="C38" i="11"/>
  <c r="D38" i="11" s="1"/>
  <c r="C39" i="11"/>
  <c r="D39" i="11" s="1"/>
  <c r="AO3" i="3"/>
  <c r="I38" i="10"/>
  <c r="AB36" i="6" s="1"/>
  <c r="AM3" i="3"/>
  <c r="C46" i="11"/>
  <c r="D46" i="11" s="1"/>
  <c r="AV3" i="3"/>
  <c r="AP3" i="3"/>
  <c r="W3" i="3"/>
  <c r="I20" i="10"/>
  <c r="AB18" i="6" s="1"/>
  <c r="AN3" i="3"/>
  <c r="I37" i="10"/>
  <c r="AB35" i="6" s="1"/>
  <c r="AT3" i="3"/>
  <c r="I43" i="10"/>
  <c r="AB41" i="6" s="1"/>
  <c r="C31" i="11"/>
  <c r="D31" i="11" s="1"/>
  <c r="BA3" i="3"/>
  <c r="I50" i="10"/>
  <c r="AB48" i="6" s="1"/>
  <c r="C10" i="11"/>
  <c r="D10" i="11" s="1"/>
  <c r="AZ3" i="3"/>
  <c r="I49" i="10"/>
  <c r="AB47" i="6" s="1"/>
  <c r="I26" i="20"/>
  <c r="H109" i="20"/>
  <c r="G110" i="20" s="1"/>
  <c r="S28" i="20"/>
  <c r="C115" i="20"/>
  <c r="C116" i="20" s="1"/>
  <c r="F200" i="20"/>
  <c r="S25" i="20"/>
  <c r="AK77" i="27" l="1"/>
  <c r="AH5" i="2"/>
  <c r="AF77" i="27"/>
  <c r="AC5" i="2"/>
  <c r="AG77" i="27"/>
  <c r="AD5" i="2"/>
  <c r="AH77" i="27"/>
  <c r="AE5" i="2"/>
  <c r="AJ77" i="27"/>
  <c r="AG5" i="2"/>
  <c r="AE77" i="27"/>
  <c r="AB5" i="2"/>
  <c r="BA15" i="31"/>
  <c r="BA21" i="31"/>
  <c r="BA20" i="31"/>
  <c r="BA16" i="31"/>
  <c r="BA22" i="31"/>
  <c r="I69" i="5"/>
  <c r="I111" i="10"/>
  <c r="J111" i="10" s="1"/>
  <c r="K111" i="10" s="1"/>
  <c r="H111" i="10"/>
  <c r="J38" i="10"/>
  <c r="J19" i="10"/>
  <c r="J20" i="10"/>
  <c r="J42" i="10"/>
  <c r="J43" i="10"/>
  <c r="J13" i="10"/>
  <c r="J12" i="10"/>
  <c r="J40" i="10"/>
  <c r="J35" i="10"/>
  <c r="J41" i="10"/>
  <c r="J37" i="10"/>
  <c r="J14" i="10"/>
  <c r="J49" i="10"/>
  <c r="J50" i="10"/>
  <c r="C32" i="23"/>
  <c r="J32" i="23"/>
  <c r="C130" i="20"/>
  <c r="I38" i="20" s="1"/>
  <c r="I51" i="10"/>
  <c r="AB49" i="6" s="1"/>
  <c r="H51" i="10"/>
  <c r="AK42" i="3"/>
  <c r="AP42" i="3"/>
  <c r="AY42" i="3"/>
  <c r="AW42" i="3"/>
  <c r="AU42" i="3"/>
  <c r="U42" i="3"/>
  <c r="M42" i="3"/>
  <c r="AM42" i="3"/>
  <c r="AV42" i="3"/>
  <c r="I21" i="20"/>
  <c r="K35" i="10"/>
  <c r="N35" i="10" s="1"/>
  <c r="K37" i="10"/>
  <c r="N37" i="10" s="1"/>
  <c r="N12" i="10"/>
  <c r="K50" i="10"/>
  <c r="N50" i="10" s="1"/>
  <c r="N14" i="10"/>
  <c r="K49" i="10"/>
  <c r="N49" i="10" s="1"/>
  <c r="K38" i="10"/>
  <c r="N38" i="10" s="1"/>
  <c r="K40" i="10"/>
  <c r="N40" i="10" s="1"/>
  <c r="N13" i="10"/>
  <c r="K43" i="10"/>
  <c r="N43" i="10" s="1"/>
  <c r="N20" i="10"/>
  <c r="N19" i="10"/>
  <c r="K41" i="10"/>
  <c r="N41" i="10" s="1"/>
  <c r="K42" i="10"/>
  <c r="N42" i="10" s="1"/>
  <c r="S24" i="20"/>
  <c r="S30" i="20" s="1"/>
  <c r="I78" i="10" l="1"/>
  <c r="J78" i="10" s="1"/>
  <c r="K78" i="10" s="1"/>
  <c r="H78" i="10"/>
  <c r="H105" i="10"/>
  <c r="I105" i="10"/>
  <c r="J105" i="10" s="1"/>
  <c r="K105" i="10" s="1"/>
  <c r="I94" i="10"/>
  <c r="J94" i="10" s="1"/>
  <c r="K94" i="10" s="1"/>
  <c r="H94" i="10"/>
  <c r="I70" i="10"/>
  <c r="J70" i="10" s="1"/>
  <c r="K70" i="10" s="1"/>
  <c r="H70" i="10"/>
  <c r="I99" i="10"/>
  <c r="J99" i="10" s="1"/>
  <c r="K99" i="10" s="1"/>
  <c r="H99" i="10"/>
  <c r="H108" i="10"/>
  <c r="I108" i="10"/>
  <c r="J108" i="10" s="1"/>
  <c r="K108" i="10" s="1"/>
  <c r="I96" i="10"/>
  <c r="J96" i="10" s="1"/>
  <c r="K96" i="10" s="1"/>
  <c r="H96" i="10"/>
  <c r="I37" i="20"/>
  <c r="I20" i="20"/>
  <c r="J51" i="10"/>
  <c r="I18" i="10"/>
  <c r="AB16" i="6" s="1"/>
  <c r="H18" i="10"/>
  <c r="K18" i="10" s="1"/>
  <c r="I34" i="10"/>
  <c r="AB32" i="6" s="1"/>
  <c r="H34" i="10"/>
  <c r="K34" i="10" s="1"/>
  <c r="I45" i="10"/>
  <c r="AB43" i="6" s="1"/>
  <c r="H45" i="10"/>
  <c r="I36" i="10"/>
  <c r="AB34" i="6" s="1"/>
  <c r="H36" i="10"/>
  <c r="K36" i="10" s="1"/>
  <c r="I10" i="10"/>
  <c r="AB8" i="6" s="1"/>
  <c r="H10" i="10"/>
  <c r="K10" i="10" s="1"/>
  <c r="I48" i="10"/>
  <c r="AB46" i="6" s="1"/>
  <c r="H48" i="10"/>
  <c r="K48" i="10" s="1"/>
  <c r="I39" i="10"/>
  <c r="AB37" i="6" s="1"/>
  <c r="H39" i="10"/>
  <c r="K39" i="10" s="1"/>
  <c r="K51" i="10"/>
  <c r="M50" i="10"/>
  <c r="P50" i="10"/>
  <c r="O50" i="10"/>
  <c r="M12" i="10"/>
  <c r="P12" i="10"/>
  <c r="O12" i="10"/>
  <c r="M37" i="10"/>
  <c r="P37" i="10"/>
  <c r="O37" i="10"/>
  <c r="M42" i="10"/>
  <c r="O42" i="10"/>
  <c r="P42" i="10"/>
  <c r="M43" i="10"/>
  <c r="P43" i="10"/>
  <c r="O43" i="10"/>
  <c r="M38" i="10"/>
  <c r="O38" i="10"/>
  <c r="P38" i="10"/>
  <c r="M35" i="10"/>
  <c r="P35" i="10"/>
  <c r="O35" i="10"/>
  <c r="M49" i="10"/>
  <c r="P49" i="10"/>
  <c r="O49" i="10"/>
  <c r="M20" i="10"/>
  <c r="P20" i="10"/>
  <c r="O20" i="10"/>
  <c r="M40" i="10"/>
  <c r="O40" i="10"/>
  <c r="P40" i="10"/>
  <c r="M14" i="10"/>
  <c r="O14" i="10"/>
  <c r="P14" i="10"/>
  <c r="M19" i="10"/>
  <c r="O19" i="10"/>
  <c r="P19" i="10"/>
  <c r="M41" i="10"/>
  <c r="P41" i="10"/>
  <c r="O41" i="10"/>
  <c r="M13" i="10"/>
  <c r="O13" i="10"/>
  <c r="P13" i="10"/>
  <c r="S26" i="20"/>
  <c r="I35" i="20" l="1"/>
  <c r="I19" i="20"/>
  <c r="J39" i="10"/>
  <c r="J48" i="10"/>
  <c r="J18" i="10"/>
  <c r="J10" i="10"/>
  <c r="J45" i="10"/>
  <c r="J36" i="10"/>
  <c r="J34" i="10"/>
  <c r="O36" i="10"/>
  <c r="N36" i="10"/>
  <c r="P34" i="10"/>
  <c r="N34" i="10"/>
  <c r="M39" i="10"/>
  <c r="N39" i="10"/>
  <c r="M48" i="10"/>
  <c r="N48" i="10"/>
  <c r="P18" i="10"/>
  <c r="N18" i="10"/>
  <c r="O51" i="10"/>
  <c r="N51" i="10"/>
  <c r="K45" i="10"/>
  <c r="N45" i="10" s="1"/>
  <c r="P51" i="10"/>
  <c r="M51" i="10"/>
  <c r="M34" i="10"/>
  <c r="M36" i="10"/>
  <c r="O34" i="10"/>
  <c r="O48" i="10"/>
  <c r="P48" i="10"/>
  <c r="P36" i="10"/>
  <c r="P39" i="10"/>
  <c r="O39" i="10"/>
  <c r="O18" i="10"/>
  <c r="M18" i="10"/>
  <c r="I18" i="20" l="1"/>
  <c r="AQ13" i="31" s="1"/>
  <c r="P10" i="10"/>
  <c r="N10" i="10"/>
  <c r="O45" i="10"/>
  <c r="M45" i="10"/>
  <c r="P45" i="10"/>
  <c r="O10" i="10"/>
  <c r="M10" i="10"/>
  <c r="AS13" i="31" l="1"/>
  <c r="AU13" i="31"/>
  <c r="AW13" i="31" s="1"/>
  <c r="AY13" i="31" s="1"/>
  <c r="J18" i="20"/>
  <c r="A1" i="21"/>
  <c r="B1" i="21" s="1"/>
  <c r="A2" i="21" s="1"/>
  <c r="B2" i="21" s="1"/>
  <c r="A3" i="21" s="1"/>
  <c r="B3" i="21" s="1"/>
  <c r="A4" i="21" s="1"/>
  <c r="B4" i="21" s="1"/>
  <c r="A5" i="21" s="1"/>
  <c r="B5" i="21" s="1"/>
  <c r="A6" i="21" s="1"/>
  <c r="B6" i="21" s="1"/>
  <c r="A7" i="21" s="1"/>
  <c r="B7" i="21" s="1"/>
  <c r="A8" i="21" s="1"/>
  <c r="B8" i="21" s="1"/>
  <c r="A9" i="21" s="1"/>
  <c r="B9" i="21" s="1"/>
  <c r="A10" i="21" s="1"/>
  <c r="B10" i="21" s="1"/>
  <c r="A11" i="21" s="1"/>
  <c r="B11" i="21" s="1"/>
  <c r="A12" i="21" s="1"/>
  <c r="B12" i="21" s="1"/>
  <c r="A13" i="21" s="1"/>
  <c r="B13" i="21" s="1"/>
  <c r="A14" i="21" s="1"/>
  <c r="B14" i="21" s="1"/>
  <c r="A15" i="21" s="1"/>
  <c r="B15" i="21" s="1"/>
  <c r="A16" i="21" s="1"/>
  <c r="B16" i="21" s="1"/>
  <c r="A17" i="21" s="1"/>
  <c r="B17" i="21" s="1"/>
  <c r="A18" i="21" s="1"/>
  <c r="B18" i="21" s="1"/>
  <c r="A19" i="21" s="1"/>
  <c r="B19" i="21" s="1"/>
  <c r="A20" i="21" s="1"/>
  <c r="B20" i="21" s="1"/>
  <c r="A21" i="21" s="1"/>
  <c r="B21" i="21" s="1"/>
  <c r="A22" i="21" s="1"/>
  <c r="B22" i="21" s="1"/>
  <c r="A23" i="21" s="1"/>
  <c r="B23" i="21" s="1"/>
  <c r="A24" i="21" s="1"/>
  <c r="B24" i="21" s="1"/>
  <c r="A25" i="21" s="1"/>
  <c r="B25" i="21" s="1"/>
  <c r="A26" i="21" s="1"/>
  <c r="B26" i="21" s="1"/>
  <c r="A27" i="21" s="1"/>
  <c r="B27" i="21" s="1"/>
  <c r="A28" i="21" s="1"/>
  <c r="B28" i="21" s="1"/>
  <c r="A29" i="21" s="1"/>
  <c r="B29" i="21" s="1"/>
  <c r="A30" i="21" s="1"/>
  <c r="B30" i="21" s="1"/>
  <c r="A31" i="21" s="1"/>
  <c r="B31" i="21" s="1"/>
  <c r="A32" i="21" s="1"/>
  <c r="B32" i="21" s="1"/>
  <c r="A33" i="21" s="1"/>
  <c r="B33" i="21" s="1"/>
  <c r="A34" i="21" s="1"/>
  <c r="B34" i="21" s="1"/>
  <c r="A35" i="21" s="1"/>
  <c r="B35" i="21" s="1"/>
  <c r="A36" i="21" s="1"/>
  <c r="B36" i="21" s="1"/>
  <c r="A37" i="21" s="1"/>
  <c r="B37" i="21" s="1"/>
  <c r="A38" i="21" s="1"/>
  <c r="B38" i="21" s="1"/>
  <c r="A39" i="21" s="1"/>
  <c r="B39" i="21" s="1"/>
  <c r="A40" i="21" s="1"/>
  <c r="B40" i="21" s="1"/>
  <c r="A41" i="21" s="1"/>
  <c r="B41" i="21" s="1"/>
  <c r="A42" i="21" s="1"/>
  <c r="B42" i="21" s="1"/>
  <c r="A43" i="21" s="1"/>
  <c r="B43" i="21" s="1"/>
  <c r="A44" i="21" s="1"/>
  <c r="B44" i="21" s="1"/>
  <c r="A45" i="21" s="1"/>
  <c r="B45" i="21" s="1"/>
  <c r="A46" i="21" s="1"/>
  <c r="B46" i="21" s="1"/>
  <c r="A47" i="21" s="1"/>
  <c r="B47" i="21" s="1"/>
  <c r="A48" i="21" s="1"/>
  <c r="B48" i="21" s="1"/>
  <c r="A49" i="21" s="1"/>
  <c r="B49" i="21" s="1"/>
  <c r="A50" i="21" s="1"/>
  <c r="B50" i="21" s="1"/>
  <c r="A51" i="21" s="1"/>
  <c r="B51" i="21" s="1"/>
  <c r="A52" i="21" s="1"/>
  <c r="B52" i="21" s="1"/>
  <c r="A53" i="21" s="1"/>
  <c r="B53" i="21" s="1"/>
  <c r="A54" i="21" s="1"/>
  <c r="B54" i="21" s="1"/>
  <c r="A55" i="21" s="1"/>
  <c r="B55" i="21" s="1"/>
  <c r="A56" i="21" s="1"/>
  <c r="B56" i="21" s="1"/>
  <c r="A57" i="21" s="1"/>
  <c r="B57" i="21" s="1"/>
  <c r="A58" i="21" s="1"/>
  <c r="B58" i="21" s="1"/>
  <c r="A59" i="21" s="1"/>
  <c r="B59" i="21" s="1"/>
  <c r="A60" i="21" s="1"/>
  <c r="B60" i="21" s="1"/>
  <c r="A61" i="21" s="1"/>
  <c r="B61" i="21" s="1"/>
  <c r="A62" i="21" s="1"/>
  <c r="B62" i="21" s="1"/>
  <c r="A63" i="21" s="1"/>
  <c r="B63" i="21" s="1"/>
  <c r="A64" i="21" s="1"/>
  <c r="B64" i="21" s="1"/>
  <c r="A65" i="21" s="1"/>
  <c r="B65" i="21" s="1"/>
  <c r="A66" i="21" s="1"/>
  <c r="B66" i="21" s="1"/>
  <c r="A67" i="21" s="1"/>
  <c r="B67" i="21" s="1"/>
  <c r="A68" i="21" s="1"/>
  <c r="B68" i="21" s="1"/>
  <c r="A69" i="21" s="1"/>
  <c r="B69" i="21" s="1"/>
  <c r="A70" i="21" s="1"/>
  <c r="B70" i="21" s="1"/>
  <c r="A71" i="21" s="1"/>
  <c r="B71" i="21" s="1"/>
  <c r="A72" i="21" s="1"/>
  <c r="B72" i="21" s="1"/>
  <c r="A73" i="21" s="1"/>
  <c r="B73" i="21" s="1"/>
  <c r="A74" i="21" s="1"/>
  <c r="B74" i="21" s="1"/>
  <c r="A75" i="21" s="1"/>
  <c r="B75" i="21" s="1"/>
  <c r="A76" i="21" s="1"/>
  <c r="B76" i="21" s="1"/>
  <c r="A77" i="21" s="1"/>
  <c r="B77" i="21" s="1"/>
  <c r="A78" i="21" s="1"/>
  <c r="B78" i="21" s="1"/>
  <c r="A79" i="21" s="1"/>
  <c r="B79" i="21" s="1"/>
  <c r="A80" i="21" s="1"/>
  <c r="B80" i="21" s="1"/>
  <c r="A81" i="21" s="1"/>
  <c r="B81" i="21" s="1"/>
  <c r="A82" i="21" s="1"/>
  <c r="B82" i="21" s="1"/>
  <c r="A83" i="21" s="1"/>
  <c r="B83" i="21" s="1"/>
  <c r="A84" i="21" s="1"/>
  <c r="B84" i="21" s="1"/>
  <c r="A85" i="21" s="1"/>
  <c r="B85" i="21" s="1"/>
  <c r="A86" i="21" s="1"/>
  <c r="B86" i="21" s="1"/>
  <c r="A87" i="21" s="1"/>
  <c r="B87" i="21" s="1"/>
  <c r="A88" i="21" s="1"/>
  <c r="B88" i="21" s="1"/>
  <c r="A89" i="21" s="1"/>
  <c r="B89" i="21" s="1"/>
  <c r="A90" i="21" s="1"/>
  <c r="B90" i="21" s="1"/>
  <c r="A91" i="21" s="1"/>
  <c r="B91" i="21" s="1"/>
  <c r="A92" i="21" s="1"/>
  <c r="B92" i="21" s="1"/>
  <c r="A93" i="21" s="1"/>
  <c r="B93" i="21" s="1"/>
  <c r="A94" i="21" s="1"/>
  <c r="B94" i="21" s="1"/>
  <c r="A95" i="21" s="1"/>
  <c r="B95" i="21" s="1"/>
  <c r="A96" i="21" s="1"/>
  <c r="B96" i="21" s="1"/>
  <c r="A97" i="21" s="1"/>
  <c r="B97" i="21" s="1"/>
  <c r="A98" i="21" s="1"/>
  <c r="B98" i="21" s="1"/>
  <c r="A99" i="21" s="1"/>
  <c r="B99" i="21" s="1"/>
  <c r="A100" i="21" s="1"/>
  <c r="BA13" i="31" l="1"/>
  <c r="B100" i="21"/>
  <c r="I31" i="20" s="1"/>
  <c r="I28" i="20"/>
  <c r="AQ14" i="31" s="1"/>
  <c r="AU14" i="31" l="1"/>
  <c r="AW14" i="31" s="1"/>
  <c r="AY14" i="31" s="1"/>
  <c r="AS14" i="31"/>
  <c r="I33" i="20"/>
  <c r="I29" i="20"/>
  <c r="AQ17" i="31" s="1"/>
  <c r="I32" i="20"/>
  <c r="J28" i="20"/>
  <c r="BA14" i="31" l="1"/>
  <c r="AS17" i="31"/>
  <c r="AR34" i="31"/>
  <c r="AT34" i="31" s="1"/>
  <c r="AV34" i="31" s="1"/>
  <c r="AU17" i="31"/>
  <c r="AW17" i="31" s="1"/>
  <c r="J33" i="20"/>
  <c r="I34" i="20"/>
  <c r="J29" i="20"/>
  <c r="I30" i="20"/>
  <c r="AY17" i="31" l="1"/>
  <c r="AX34" i="31"/>
  <c r="J30" i="20"/>
  <c r="J34" i="20"/>
  <c r="BA17" i="31" l="1"/>
  <c r="AZ34" i="31"/>
  <c r="BB34" i="31" l="1"/>
  <c r="D17" i="31"/>
  <c r="AL34" i="31" l="1"/>
  <c r="E52" i="27"/>
  <c r="P34" i="31"/>
  <c r="AH34" i="31"/>
  <c r="Z34" i="31"/>
  <c r="AJ34" i="31"/>
  <c r="AB34" i="31"/>
  <c r="L34" i="31"/>
  <c r="AD34" i="31"/>
  <c r="T34" i="31"/>
  <c r="V34" i="31"/>
  <c r="J34" i="31"/>
  <c r="R34" i="31"/>
  <c r="X34" i="31"/>
  <c r="AN34" i="31"/>
  <c r="AP34" i="31"/>
  <c r="N34" i="31"/>
  <c r="E34" i="31" l="1"/>
  <c r="G28" i="27" s="1"/>
  <c r="X78" i="40"/>
  <c r="X78" i="36"/>
  <c r="X78" i="27" l="1"/>
  <c r="U6" i="2"/>
  <c r="B67" i="6"/>
  <c r="C71" i="6" s="1"/>
  <c r="BB11" i="2"/>
  <c r="BB12" i="2"/>
  <c r="C69" i="6" l="1"/>
  <c r="B115" i="5" l="1"/>
  <c r="B99" i="5"/>
  <c r="B118" i="5"/>
  <c r="B116" i="5"/>
  <c r="D116" i="5" s="1"/>
  <c r="B117" i="5"/>
  <c r="B105" i="5"/>
  <c r="B103" i="5"/>
  <c r="E103" i="5" s="1"/>
  <c r="B98" i="5"/>
  <c r="B111" i="5"/>
  <c r="F111" i="5" s="1"/>
  <c r="B112" i="5"/>
  <c r="E112" i="5" s="1"/>
  <c r="B100" i="5"/>
  <c r="D100" i="5" s="1"/>
  <c r="B104" i="5"/>
  <c r="B109" i="5"/>
  <c r="B114" i="5"/>
  <c r="E114" i="5" s="1"/>
  <c r="B107" i="5"/>
  <c r="D107" i="5" s="1"/>
  <c r="B96" i="5"/>
  <c r="B94" i="5"/>
  <c r="B108" i="5"/>
  <c r="B101" i="5"/>
  <c r="B95" i="5"/>
  <c r="B97" i="5"/>
  <c r="B113" i="5"/>
  <c r="D113" i="5" s="1"/>
  <c r="B110" i="5"/>
  <c r="B102" i="5"/>
  <c r="B106" i="5"/>
  <c r="D106" i="5" s="1"/>
  <c r="F103" i="5" l="1"/>
  <c r="D103" i="5"/>
  <c r="J103" i="5" s="1"/>
  <c r="I103" i="5" s="1"/>
  <c r="E106" i="5"/>
  <c r="D110" i="5"/>
  <c r="J110" i="5" s="1"/>
  <c r="I110" i="5" s="1"/>
  <c r="F110" i="5"/>
  <c r="E110" i="5"/>
  <c r="D101" i="5"/>
  <c r="E101" i="5"/>
  <c r="F101" i="5"/>
  <c r="D96" i="5"/>
  <c r="F104" i="5"/>
  <c r="D104" i="5"/>
  <c r="J104" i="5" s="1"/>
  <c r="I104" i="5" s="1"/>
  <c r="E104" i="5"/>
  <c r="J100" i="5"/>
  <c r="I100" i="5" s="1"/>
  <c r="F100" i="5"/>
  <c r="E100" i="5"/>
  <c r="D102" i="5"/>
  <c r="J102" i="5" s="1"/>
  <c r="I102" i="5" s="1"/>
  <c r="E102" i="5"/>
  <c r="F102" i="5"/>
  <c r="E97" i="5"/>
  <c r="D97" i="5"/>
  <c r="J97" i="5" s="1"/>
  <c r="I97" i="5" s="1"/>
  <c r="E108" i="5"/>
  <c r="F108" i="5"/>
  <c r="D108" i="5"/>
  <c r="J108" i="5" s="1"/>
  <c r="I108" i="5" s="1"/>
  <c r="C113" i="5"/>
  <c r="H113" i="5"/>
  <c r="C100" i="5"/>
  <c r="H100" i="5"/>
  <c r="D114" i="5"/>
  <c r="J114" i="5" s="1"/>
  <c r="I114" i="5" s="1"/>
  <c r="F114" i="5"/>
  <c r="D94" i="5"/>
  <c r="J94" i="5" s="1"/>
  <c r="F109" i="5"/>
  <c r="E109" i="5"/>
  <c r="D109" i="5"/>
  <c r="J109" i="5" s="1"/>
  <c r="I109" i="5" s="1"/>
  <c r="C107" i="5"/>
  <c r="H107" i="5"/>
  <c r="E113" i="5"/>
  <c r="F113" i="5"/>
  <c r="J113" i="5"/>
  <c r="I113" i="5" s="1"/>
  <c r="D111" i="5"/>
  <c r="J111" i="5" s="1"/>
  <c r="I111" i="5" s="1"/>
  <c r="E111" i="5"/>
  <c r="H116" i="5"/>
  <c r="C116" i="5"/>
  <c r="F117" i="5"/>
  <c r="D117" i="5"/>
  <c r="E117" i="5"/>
  <c r="E98" i="5"/>
  <c r="D98" i="5"/>
  <c r="F98" i="5"/>
  <c r="E116" i="5"/>
  <c r="F116" i="5"/>
  <c r="J116" i="5"/>
  <c r="I116" i="5" s="1"/>
  <c r="F99" i="5"/>
  <c r="E99" i="5"/>
  <c r="D99" i="5"/>
  <c r="D95" i="5"/>
  <c r="J106" i="5"/>
  <c r="I106" i="5" s="1"/>
  <c r="F118" i="5"/>
  <c r="D118" i="5"/>
  <c r="J118" i="5" s="1"/>
  <c r="I118" i="5" s="1"/>
  <c r="D115" i="5"/>
  <c r="F115" i="5"/>
  <c r="E115" i="5"/>
  <c r="H106" i="5"/>
  <c r="C106" i="5"/>
  <c r="E107" i="5"/>
  <c r="F107" i="5"/>
  <c r="J107" i="5"/>
  <c r="I107" i="5" s="1"/>
  <c r="D112" i="5"/>
  <c r="J112" i="5" s="1"/>
  <c r="I112" i="5" s="1"/>
  <c r="E118" i="5"/>
  <c r="F106" i="5"/>
  <c r="F112" i="5"/>
  <c r="D105" i="5"/>
  <c r="J105" i="5" s="1"/>
  <c r="I105" i="5" s="1"/>
  <c r="F105" i="5"/>
  <c r="E105" i="5"/>
  <c r="F97" i="5" l="1"/>
  <c r="H103" i="5"/>
  <c r="C103" i="5"/>
  <c r="C95" i="5"/>
  <c r="H95" i="5"/>
  <c r="H101" i="5"/>
  <c r="C101" i="5"/>
  <c r="J95" i="5"/>
  <c r="I95" i="5" s="1"/>
  <c r="H97" i="5"/>
  <c r="C97" i="5"/>
  <c r="H99" i="5"/>
  <c r="C99" i="5"/>
  <c r="C98" i="5"/>
  <c r="H98" i="5"/>
  <c r="C111" i="5"/>
  <c r="H111" i="5"/>
  <c r="H108" i="5"/>
  <c r="C108" i="5"/>
  <c r="C110" i="5"/>
  <c r="H110" i="5"/>
  <c r="J99" i="5"/>
  <c r="I99" i="5" s="1"/>
  <c r="J98" i="5"/>
  <c r="I98" i="5" s="1"/>
  <c r="H96" i="5"/>
  <c r="C96" i="5"/>
  <c r="J96" i="5"/>
  <c r="I96" i="5" s="1"/>
  <c r="C105" i="5"/>
  <c r="H105" i="5"/>
  <c r="H112" i="5"/>
  <c r="C112" i="5"/>
  <c r="D119" i="5"/>
  <c r="H94" i="5"/>
  <c r="C94" i="5"/>
  <c r="J101" i="5"/>
  <c r="I101" i="5" s="1"/>
  <c r="H115" i="5"/>
  <c r="C115" i="5"/>
  <c r="J115" i="5"/>
  <c r="I115" i="5" s="1"/>
  <c r="H117" i="5"/>
  <c r="C117" i="5"/>
  <c r="J117" i="5"/>
  <c r="I117" i="5" s="1"/>
  <c r="H109" i="5"/>
  <c r="C109" i="5"/>
  <c r="C102" i="5"/>
  <c r="H102" i="5"/>
  <c r="C118" i="5"/>
  <c r="H118" i="5"/>
  <c r="H114" i="5"/>
  <c r="C114" i="5"/>
  <c r="H104" i="5"/>
  <c r="C104" i="5"/>
  <c r="C119" i="5" l="1"/>
  <c r="H119" i="5"/>
  <c r="J119" i="5"/>
  <c r="I94" i="5" s="1"/>
  <c r="I119" i="5" s="1"/>
  <c r="G10" i="3"/>
  <c r="BG34" i="3" l="1"/>
  <c r="BF10" i="3"/>
  <c r="G54" i="3"/>
  <c r="BJ10" i="3"/>
  <c r="BJ53" i="3" s="1"/>
  <c r="F54" i="3"/>
  <c r="BF54" i="3" l="1"/>
  <c r="BF53" i="3"/>
  <c r="BK10" i="3"/>
  <c r="BK53" i="3" s="1"/>
  <c r="BJ54" i="3"/>
  <c r="BJ77" i="3" s="1"/>
  <c r="BG10" i="3"/>
  <c r="BG53" i="3" s="1"/>
  <c r="D6" i="6"/>
  <c r="P6" i="6"/>
  <c r="P13" i="6"/>
  <c r="O45" i="26" s="1"/>
  <c r="O44" i="26" s="1"/>
  <c r="BF34" i="3"/>
  <c r="BF77" i="3" l="1"/>
  <c r="L7" i="6"/>
  <c r="L63" i="6" s="1"/>
  <c r="E96" i="5" s="1"/>
  <c r="F96" i="5" s="1"/>
  <c r="L6" i="6"/>
  <c r="E11" i="5" s="1"/>
  <c r="F45" i="26"/>
  <c r="E6" i="6"/>
  <c r="BG54" i="3"/>
  <c r="BG77" i="3" s="1"/>
  <c r="BK34" i="3"/>
  <c r="BJ34" i="3" s="1"/>
  <c r="BK54" i="3"/>
  <c r="BK77" i="3" s="1"/>
  <c r="M11" i="6"/>
  <c r="M21" i="6"/>
  <c r="M15" i="6"/>
  <c r="M16" i="6"/>
  <c r="L62" i="6"/>
  <c r="E95" i="5" s="1"/>
  <c r="F95" i="5" s="1"/>
  <c r="M7" i="6"/>
  <c r="M13" i="6"/>
  <c r="M14" i="6"/>
  <c r="D35" i="6"/>
  <c r="L35" i="6" s="1"/>
  <c r="E45" i="5" s="1"/>
  <c r="L5" i="6"/>
  <c r="M10" i="6"/>
  <c r="M12" i="6"/>
  <c r="M9" i="6"/>
  <c r="M20" i="6" l="1"/>
  <c r="M18" i="6"/>
  <c r="E35" i="6"/>
  <c r="M49" i="6" s="1"/>
  <c r="E12" i="5"/>
  <c r="K12" i="5" s="1"/>
  <c r="K11" i="5"/>
  <c r="L11" i="5"/>
  <c r="F11" i="5"/>
  <c r="F8" i="23"/>
  <c r="G8" i="23" s="1"/>
  <c r="F45" i="5"/>
  <c r="M39" i="6"/>
  <c r="M22" i="6"/>
  <c r="M19" i="6"/>
  <c r="Q46" i="26"/>
  <c r="Q44" i="26"/>
  <c r="Q45" i="26"/>
  <c r="M8" i="6"/>
  <c r="M64" i="6" s="1"/>
  <c r="M6" i="6"/>
  <c r="M5" i="6"/>
  <c r="M36" i="6"/>
  <c r="L36" i="6"/>
  <c r="E46" i="5" s="1"/>
  <c r="F9" i="23" s="1"/>
  <c r="G9" i="23" s="1"/>
  <c r="L34" i="6"/>
  <c r="E44" i="5" s="1"/>
  <c r="E10" i="5"/>
  <c r="L61" i="6"/>
  <c r="E94" i="5" s="1"/>
  <c r="F94" i="5" s="1"/>
  <c r="F119" i="5" s="1"/>
  <c r="E119" i="5" s="1"/>
  <c r="L57" i="5" s="1"/>
  <c r="L52" i="5" s="1"/>
  <c r="M35" i="6" l="1"/>
  <c r="M48" i="6"/>
  <c r="M43" i="6"/>
  <c r="M47" i="6"/>
  <c r="M37" i="6"/>
  <c r="M38" i="6"/>
  <c r="M34" i="6"/>
  <c r="F12" i="5"/>
  <c r="L12" i="5"/>
  <c r="M62" i="6"/>
  <c r="M63" i="6"/>
  <c r="M61" i="6"/>
  <c r="F46" i="5"/>
  <c r="F44" i="5"/>
  <c r="F7" i="23"/>
  <c r="G7" i="23" s="1"/>
  <c r="G32" i="23" s="1"/>
  <c r="F32" i="23" s="1"/>
  <c r="F10" i="5"/>
  <c r="K10" i="5"/>
  <c r="L10" i="5"/>
  <c r="F36" i="5" l="1"/>
  <c r="O27" i="26" s="1"/>
  <c r="O30" i="26" s="1"/>
  <c r="L36" i="5"/>
  <c r="F46" i="26" s="1"/>
  <c r="F44" i="26" s="1"/>
  <c r="H47" i="26" s="1"/>
  <c r="F69" i="5"/>
  <c r="E69" i="5" s="1"/>
  <c r="L58" i="5" s="1"/>
  <c r="L53" i="5" s="1"/>
  <c r="AY212" i="31"/>
  <c r="AY172" i="31" s="1"/>
  <c r="AG22" i="31" s="1"/>
  <c r="D22" i="31" s="1"/>
  <c r="AY200" i="31"/>
  <c r="AY169" i="31" s="1"/>
  <c r="AG16" i="31" s="1"/>
  <c r="D16" i="31" s="1"/>
  <c r="AY196" i="31"/>
  <c r="AY168" i="31" s="1"/>
  <c r="AG15" i="31" s="1"/>
  <c r="D15" i="31" s="1"/>
  <c r="AY220" i="31"/>
  <c r="AY177" i="31" s="1"/>
  <c r="AY208" i="31"/>
  <c r="AY171" i="31" s="1"/>
  <c r="AG21" i="31" s="1"/>
  <c r="D21" i="31" s="1"/>
  <c r="AY216" i="31"/>
  <c r="AY173" i="31" s="1"/>
  <c r="AG23" i="31" s="1"/>
  <c r="D23" i="31" s="1"/>
  <c r="AY194" i="31"/>
  <c r="AY152" i="31" s="1"/>
  <c r="AY149" i="31" s="1"/>
  <c r="AY150" i="31" s="1"/>
  <c r="AY151" i="31" s="1"/>
  <c r="AG13" i="31" s="1"/>
  <c r="D13" i="31" s="1"/>
  <c r="AY224" i="31"/>
  <c r="AY178" i="31" s="1"/>
  <c r="AY167" i="31"/>
  <c r="AY195" i="31" s="1"/>
  <c r="AY162" i="31" s="1"/>
  <c r="AY165" i="31" s="1"/>
  <c r="AY166" i="31" s="1"/>
  <c r="AG14" i="31" s="1"/>
  <c r="D14" i="31" s="1"/>
  <c r="AY228" i="31"/>
  <c r="AY180" i="31" s="1"/>
  <c r="AY204" i="31"/>
  <c r="AY170" i="31" s="1"/>
  <c r="AG20" i="31" s="1"/>
  <c r="D20" i="31" s="1"/>
  <c r="AY192" i="31"/>
  <c r="AH12" i="31" s="1"/>
  <c r="H18" i="33" s="1"/>
  <c r="E22" i="33" l="1"/>
  <c r="E20" i="33"/>
  <c r="F20" i="33"/>
  <c r="E23" i="33"/>
  <c r="F18" i="33"/>
  <c r="E19" i="33"/>
  <c r="F29" i="33"/>
  <c r="E18" i="33"/>
  <c r="F30" i="33"/>
  <c r="E25" i="33"/>
  <c r="F31" i="33"/>
  <c r="E21" i="33"/>
  <c r="E24" i="33"/>
  <c r="E36" i="5"/>
  <c r="L56" i="5" s="1"/>
  <c r="L51" i="5"/>
  <c r="F27" i="26"/>
  <c r="F30" i="26" s="1"/>
  <c r="O28" i="26"/>
  <c r="O29" i="26" s="1"/>
  <c r="K36" i="5"/>
  <c r="H46" i="26"/>
  <c r="H45" i="26"/>
  <c r="H44" i="26"/>
  <c r="G15" i="27"/>
  <c r="H6" i="2" s="1"/>
  <c r="Y77" i="36"/>
  <c r="Z77" i="36"/>
  <c r="AC77" i="36"/>
  <c r="T77" i="36"/>
  <c r="O77" i="36"/>
  <c r="AD77" i="36"/>
  <c r="AB77" i="36"/>
  <c r="AA77" i="36"/>
  <c r="K78" i="36"/>
  <c r="E31" i="27"/>
  <c r="E29" i="27"/>
  <c r="E32" i="27"/>
  <c r="E24" i="27"/>
  <c r="E33" i="27"/>
  <c r="E30" i="27"/>
  <c r="E19" i="27"/>
  <c r="E34" i="27"/>
  <c r="AK179" i="31"/>
  <c r="L172" i="31"/>
  <c r="L181" i="31"/>
  <c r="BC179" i="31"/>
  <c r="L169" i="31"/>
  <c r="L168" i="31"/>
  <c r="AJ15" i="31" s="1"/>
  <c r="M36" i="31"/>
  <c r="AB179" i="31"/>
  <c r="AC36" i="31"/>
  <c r="Z179" i="31"/>
  <c r="R179" i="31"/>
  <c r="K36" i="31"/>
  <c r="AI36" i="31"/>
  <c r="S36" i="31"/>
  <c r="K179" i="31"/>
  <c r="AY179" i="31"/>
  <c r="U36" i="31"/>
  <c r="AG36" i="31"/>
  <c r="AU179" i="31"/>
  <c r="L179" i="31"/>
  <c r="L192" i="31"/>
  <c r="M194" i="31"/>
  <c r="L180" i="31"/>
  <c r="AI179" i="31"/>
  <c r="O36" i="31"/>
  <c r="L183" i="31"/>
  <c r="L171" i="31"/>
  <c r="T179" i="31"/>
  <c r="AO36" i="31"/>
  <c r="AP179" i="31"/>
  <c r="AM36" i="31"/>
  <c r="Q36" i="31"/>
  <c r="L184" i="31"/>
  <c r="L178" i="31"/>
  <c r="I36" i="31"/>
  <c r="L177" i="31"/>
  <c r="L182" i="31"/>
  <c r="AK36" i="31"/>
  <c r="O179" i="31"/>
  <c r="AS179" i="31"/>
  <c r="W36" i="31"/>
  <c r="AA36" i="31"/>
  <c r="AD179" i="31"/>
  <c r="L170" i="31"/>
  <c r="Y36" i="31"/>
  <c r="L193" i="31"/>
  <c r="M179" i="31"/>
  <c r="L173" i="31"/>
  <c r="Q26" i="34" l="1"/>
  <c r="W26" i="34"/>
  <c r="S26" i="34"/>
  <c r="Y26" i="34"/>
  <c r="U26" i="34"/>
  <c r="U28" i="34"/>
  <c r="S28" i="34"/>
  <c r="W28" i="34"/>
  <c r="Q28" i="34"/>
  <c r="Y28" i="34"/>
  <c r="F28" i="26"/>
  <c r="F29" i="26" s="1"/>
  <c r="O31" i="26"/>
  <c r="Z77" i="27"/>
  <c r="W5" i="2"/>
  <c r="E25" i="27"/>
  <c r="Q5" i="2"/>
  <c r="AB77" i="27"/>
  <c r="Y5" i="2"/>
  <c r="Y77" i="27"/>
  <c r="V5" i="2"/>
  <c r="AA77" i="27"/>
  <c r="X5" i="2"/>
  <c r="AC77" i="27"/>
  <c r="Z5" i="2"/>
  <c r="AD77" i="27"/>
  <c r="AA5" i="2"/>
  <c r="O77" i="27"/>
  <c r="L5" i="2"/>
  <c r="U77" i="36"/>
  <c r="T77" i="27"/>
  <c r="F30" i="27"/>
  <c r="F24" i="27"/>
  <c r="F31" i="27"/>
  <c r="F32" i="27"/>
  <c r="F33" i="27"/>
  <c r="F34" i="27"/>
  <c r="K78" i="27"/>
  <c r="H55" i="27"/>
  <c r="H27" i="27"/>
  <c r="H46" i="27"/>
  <c r="F26" i="27"/>
  <c r="F18" i="27"/>
  <c r="H53" i="27"/>
  <c r="H42" i="27"/>
  <c r="H26" i="27"/>
  <c r="H52" i="27"/>
  <c r="H17" i="27"/>
  <c r="H54" i="27"/>
  <c r="H49" i="27"/>
  <c r="F27" i="27"/>
  <c r="H25" i="27"/>
  <c r="H48" i="27"/>
  <c r="F28" i="27"/>
  <c r="H57" i="27"/>
  <c r="H19" i="27"/>
  <c r="H18" i="27"/>
  <c r="H24" i="27"/>
  <c r="H59" i="27"/>
  <c r="H56" i="27"/>
  <c r="H43" i="27"/>
  <c r="H45" i="27"/>
  <c r="H58" i="27"/>
  <c r="H44" i="27"/>
  <c r="H51" i="27"/>
  <c r="H50" i="27"/>
  <c r="H47" i="27"/>
  <c r="H16" i="27"/>
  <c r="H28" i="27"/>
  <c r="F19" i="27"/>
  <c r="F29" i="27"/>
  <c r="D36" i="31"/>
  <c r="E55" i="27" s="1"/>
  <c r="Z26" i="31"/>
  <c r="L26" i="31"/>
  <c r="AP26" i="31"/>
  <c r="J26" i="31"/>
  <c r="R26" i="31"/>
  <c r="P26" i="31"/>
  <c r="AH26" i="31"/>
  <c r="X26" i="31"/>
  <c r="AR26" i="31"/>
  <c r="AT26" i="31" s="1"/>
  <c r="AV26" i="31" s="1"/>
  <c r="AX26" i="31" s="1"/>
  <c r="AZ26" i="31" s="1"/>
  <c r="BB26" i="31" s="1"/>
  <c r="AN26" i="31"/>
  <c r="V26" i="31"/>
  <c r="AL26" i="31"/>
  <c r="AB26" i="31"/>
  <c r="T26" i="31"/>
  <c r="AJ26" i="31"/>
  <c r="AD26" i="31"/>
  <c r="N26" i="31"/>
  <c r="N19" i="31"/>
  <c r="P19" i="31"/>
  <c r="AJ19" i="31"/>
  <c r="X19" i="31"/>
  <c r="AD19" i="31"/>
  <c r="Z19" i="31"/>
  <c r="AB19" i="31"/>
  <c r="AL19" i="31"/>
  <c r="V19" i="31"/>
  <c r="L19" i="31"/>
  <c r="T19" i="31"/>
  <c r="AN19" i="31"/>
  <c r="J19" i="31"/>
  <c r="AP19" i="31"/>
  <c r="R19" i="31"/>
  <c r="AH19" i="31"/>
  <c r="P15" i="31"/>
  <c r="AN15" i="31"/>
  <c r="AP15" i="31"/>
  <c r="V15" i="31"/>
  <c r="AB15" i="31"/>
  <c r="AH15" i="31"/>
  <c r="AL15" i="31"/>
  <c r="Z15" i="31"/>
  <c r="J15" i="31"/>
  <c r="X15" i="31"/>
  <c r="T15" i="31"/>
  <c r="R15" i="31"/>
  <c r="AD15" i="31"/>
  <c r="N15" i="31"/>
  <c r="L15" i="31"/>
  <c r="AP30" i="31"/>
  <c r="AH30" i="31"/>
  <c r="P30" i="31"/>
  <c r="AD30" i="31"/>
  <c r="L30" i="31"/>
  <c r="AR30" i="31"/>
  <c r="AT30" i="31" s="1"/>
  <c r="AV30" i="31" s="1"/>
  <c r="AX30" i="31" s="1"/>
  <c r="AZ30" i="31" s="1"/>
  <c r="BB30" i="31" s="1"/>
  <c r="N30" i="31"/>
  <c r="T30" i="31"/>
  <c r="Z30" i="31"/>
  <c r="AN30" i="31"/>
  <c r="R30" i="31"/>
  <c r="AL30" i="31"/>
  <c r="J30" i="31"/>
  <c r="X30" i="31"/>
  <c r="AJ30" i="31"/>
  <c r="V30" i="31"/>
  <c r="AB30" i="31"/>
  <c r="AK18" i="31"/>
  <c r="Q18" i="31"/>
  <c r="M18" i="31"/>
  <c r="O18" i="31"/>
  <c r="AA18" i="31"/>
  <c r="S18" i="31"/>
  <c r="W18" i="31"/>
  <c r="Y18" i="31"/>
  <c r="I18" i="31"/>
  <c r="AC18" i="31"/>
  <c r="AI18" i="31"/>
  <c r="AM18" i="31"/>
  <c r="AG18" i="31"/>
  <c r="AO18" i="31"/>
  <c r="K18" i="31"/>
  <c r="U18" i="31"/>
  <c r="Z16" i="31"/>
  <c r="X16" i="31"/>
  <c r="V16" i="31"/>
  <c r="AN16" i="31"/>
  <c r="AL16" i="31"/>
  <c r="AJ16" i="31"/>
  <c r="AP16" i="31"/>
  <c r="J16" i="31"/>
  <c r="T16" i="31"/>
  <c r="AH16" i="31"/>
  <c r="L16" i="31"/>
  <c r="P16" i="31"/>
  <c r="R16" i="31"/>
  <c r="N16" i="31"/>
  <c r="AD16" i="31"/>
  <c r="AB16" i="31"/>
  <c r="AJ20" i="31"/>
  <c r="N20" i="31"/>
  <c r="AB20" i="31"/>
  <c r="L20" i="31"/>
  <c r="AP20" i="31"/>
  <c r="AD20" i="31"/>
  <c r="T20" i="31"/>
  <c r="R20" i="31"/>
  <c r="AH20" i="31"/>
  <c r="AL20" i="31"/>
  <c r="P20" i="31"/>
  <c r="Z20" i="31"/>
  <c r="J20" i="31"/>
  <c r="X20" i="31"/>
  <c r="AN20" i="31"/>
  <c r="V20" i="31"/>
  <c r="AB29" i="31"/>
  <c r="L29" i="31"/>
  <c r="V29" i="31"/>
  <c r="Z29" i="31"/>
  <c r="AJ29" i="31"/>
  <c r="X29" i="31"/>
  <c r="AN29" i="31"/>
  <c r="J29" i="31"/>
  <c r="AR29" i="31"/>
  <c r="AT29" i="31" s="1"/>
  <c r="AV29" i="31" s="1"/>
  <c r="AX29" i="31" s="1"/>
  <c r="AZ29" i="31" s="1"/>
  <c r="BB29" i="31" s="1"/>
  <c r="AP29" i="31"/>
  <c r="N29" i="31"/>
  <c r="AL29" i="31"/>
  <c r="R29" i="31"/>
  <c r="AD29" i="31"/>
  <c r="T29" i="31"/>
  <c r="AH29" i="31"/>
  <c r="P29" i="31"/>
  <c r="AL28" i="31"/>
  <c r="L28" i="31"/>
  <c r="AN28" i="31"/>
  <c r="V28" i="31"/>
  <c r="R28" i="31"/>
  <c r="AH28" i="31"/>
  <c r="AR28" i="31"/>
  <c r="AT28" i="31" s="1"/>
  <c r="AV28" i="31" s="1"/>
  <c r="AX28" i="31" s="1"/>
  <c r="AZ28" i="31" s="1"/>
  <c r="BB28" i="31" s="1"/>
  <c r="Z28" i="31"/>
  <c r="T28" i="31"/>
  <c r="AJ28" i="31"/>
  <c r="J28" i="31"/>
  <c r="AB28" i="31"/>
  <c r="N28" i="31"/>
  <c r="P28" i="31"/>
  <c r="AD28" i="31"/>
  <c r="AP28" i="31"/>
  <c r="X28" i="31"/>
  <c r="N21" i="31"/>
  <c r="AR21" i="31"/>
  <c r="AT21" i="31" s="1"/>
  <c r="AV21" i="31" s="1"/>
  <c r="AX21" i="31" s="1"/>
  <c r="AZ21" i="31" s="1"/>
  <c r="BB21" i="31" s="1"/>
  <c r="L21" i="31"/>
  <c r="AN21" i="31"/>
  <c r="AJ21" i="31"/>
  <c r="Z21" i="31"/>
  <c r="AB21" i="31"/>
  <c r="J21" i="31"/>
  <c r="AH21" i="31"/>
  <c r="AL21" i="31"/>
  <c r="P21" i="31"/>
  <c r="AP21" i="31"/>
  <c r="V21" i="31"/>
  <c r="R21" i="31"/>
  <c r="AD21" i="31"/>
  <c r="X21" i="31"/>
  <c r="T21" i="31"/>
  <c r="AD27" i="31"/>
  <c r="Z27" i="31"/>
  <c r="AN27" i="31"/>
  <c r="L27" i="31"/>
  <c r="AP27" i="31"/>
  <c r="AJ27" i="31"/>
  <c r="AR27" i="31"/>
  <c r="AT27" i="31" s="1"/>
  <c r="AV27" i="31" s="1"/>
  <c r="AX27" i="31" s="1"/>
  <c r="AZ27" i="31" s="1"/>
  <c r="BB27" i="31" s="1"/>
  <c r="AL27" i="31"/>
  <c r="AH27" i="31"/>
  <c r="P27" i="31"/>
  <c r="R27" i="31"/>
  <c r="J27" i="31"/>
  <c r="N27" i="31"/>
  <c r="T27" i="31"/>
  <c r="V27" i="31"/>
  <c r="AB27" i="31"/>
  <c r="X27" i="31"/>
  <c r="AN24" i="31"/>
  <c r="V24" i="31"/>
  <c r="AR24" i="31"/>
  <c r="AT24" i="31" s="1"/>
  <c r="AV24" i="31" s="1"/>
  <c r="AX24" i="31" s="1"/>
  <c r="AZ24" i="31" s="1"/>
  <c r="BB24" i="31" s="1"/>
  <c r="T24" i="31"/>
  <c r="X24" i="31"/>
  <c r="AL24" i="31"/>
  <c r="J24" i="31"/>
  <c r="R24" i="31"/>
  <c r="AD24" i="31"/>
  <c r="P24" i="31"/>
  <c r="L24" i="31"/>
  <c r="AJ24" i="31"/>
  <c r="Z24" i="31"/>
  <c r="N24" i="31"/>
  <c r="AH24" i="31"/>
  <c r="AB24" i="31"/>
  <c r="AP24" i="31"/>
  <c r="T25" i="31"/>
  <c r="AN25" i="31"/>
  <c r="V25" i="31"/>
  <c r="Z25" i="31"/>
  <c r="AH25" i="31"/>
  <c r="P25" i="31"/>
  <c r="R25" i="31"/>
  <c r="X25" i="31"/>
  <c r="N25" i="31"/>
  <c r="AB25" i="31"/>
  <c r="AP25" i="31"/>
  <c r="AD25" i="31"/>
  <c r="AJ25" i="31"/>
  <c r="L25" i="31"/>
  <c r="AR25" i="31"/>
  <c r="AT25" i="31" s="1"/>
  <c r="AV25" i="31" s="1"/>
  <c r="AX25" i="31" s="1"/>
  <c r="AZ25" i="31" s="1"/>
  <c r="BB25" i="31" s="1"/>
  <c r="J25" i="31"/>
  <c r="AL25" i="31"/>
  <c r="J22" i="31"/>
  <c r="AB22" i="31"/>
  <c r="R22" i="31"/>
  <c r="T22" i="31"/>
  <c r="X22" i="31"/>
  <c r="AH22" i="31"/>
  <c r="AP22" i="31"/>
  <c r="N22" i="31"/>
  <c r="Z22" i="31"/>
  <c r="AJ22" i="31"/>
  <c r="AR22" i="31"/>
  <c r="AT22" i="31" s="1"/>
  <c r="AV22" i="31" s="1"/>
  <c r="AX22" i="31" s="1"/>
  <c r="AZ22" i="31" s="1"/>
  <c r="BB22" i="31" s="1"/>
  <c r="AL22" i="31"/>
  <c r="AN22" i="31"/>
  <c r="L22" i="31"/>
  <c r="V22" i="31"/>
  <c r="AD22" i="31"/>
  <c r="P22" i="31"/>
  <c r="AB23" i="31"/>
  <c r="L23" i="31"/>
  <c r="AR23" i="31"/>
  <c r="AT23" i="31" s="1"/>
  <c r="AV23" i="31" s="1"/>
  <c r="AX23" i="31" s="1"/>
  <c r="AZ23" i="31" s="1"/>
  <c r="BB23" i="31" s="1"/>
  <c r="Z23" i="31"/>
  <c r="J23" i="31"/>
  <c r="V23" i="31"/>
  <c r="P23" i="31"/>
  <c r="AH23" i="31"/>
  <c r="N23" i="31"/>
  <c r="AD23" i="31"/>
  <c r="R23" i="31"/>
  <c r="AL23" i="31"/>
  <c r="T23" i="31"/>
  <c r="AJ23" i="31"/>
  <c r="AN23" i="31"/>
  <c r="AP23" i="31"/>
  <c r="X23" i="31"/>
  <c r="F31" i="26" l="1"/>
  <c r="R5" i="2"/>
  <c r="AV77" i="27"/>
  <c r="AS5" i="2"/>
  <c r="U77" i="27"/>
  <c r="M77" i="40"/>
  <c r="M77" i="36"/>
  <c r="F25" i="27"/>
  <c r="E17" i="27"/>
  <c r="E20" i="31"/>
  <c r="D18" i="31"/>
  <c r="E54" i="27" s="1"/>
  <c r="E15" i="31"/>
  <c r="E28" i="31"/>
  <c r="E24" i="31"/>
  <c r="E22" i="31"/>
  <c r="E16" i="31"/>
  <c r="E19" i="31"/>
  <c r="E30" i="31"/>
  <c r="E26" i="31"/>
  <c r="E27" i="31"/>
  <c r="E21" i="31"/>
  <c r="E25" i="31"/>
  <c r="E29" i="31"/>
  <c r="E23" i="31"/>
  <c r="AV5" i="2" l="1"/>
  <c r="AY77" i="27"/>
  <c r="M77" i="27"/>
  <c r="J5" i="2"/>
  <c r="Y78" i="40"/>
  <c r="Z78" i="40"/>
  <c r="AB78" i="40"/>
  <c r="AB78" i="36"/>
  <c r="AI78" i="36"/>
  <c r="Y78" i="36"/>
  <c r="AG78" i="36"/>
  <c r="L77" i="36"/>
  <c r="AA78" i="36"/>
  <c r="S78" i="36"/>
  <c r="AK78" i="36"/>
  <c r="AD78" i="36"/>
  <c r="Z78" i="36"/>
  <c r="AH78" i="36"/>
  <c r="AC78" i="36"/>
  <c r="AJ78" i="36"/>
  <c r="AF78" i="36"/>
  <c r="AE78" i="36"/>
  <c r="F17" i="27"/>
  <c r="G38" i="27"/>
  <c r="G29" i="27"/>
  <c r="G37" i="27"/>
  <c r="E16" i="27"/>
  <c r="G41" i="27"/>
  <c r="G31" i="27"/>
  <c r="G23" i="27"/>
  <c r="G30" i="27"/>
  <c r="G40" i="27"/>
  <c r="G33" i="27"/>
  <c r="G34" i="27"/>
  <c r="G36" i="27"/>
  <c r="G35" i="27"/>
  <c r="G32" i="27"/>
  <c r="G39" i="27"/>
  <c r="AU5" i="2" l="1"/>
  <c r="AX77" i="27"/>
  <c r="H37" i="27"/>
  <c r="AD6" i="2"/>
  <c r="AJ78" i="27"/>
  <c r="AG6" i="2"/>
  <c r="AH78" i="27"/>
  <c r="AE6" i="2"/>
  <c r="Z78" i="27"/>
  <c r="W6" i="2"/>
  <c r="H34" i="27"/>
  <c r="AA6" i="2"/>
  <c r="S78" i="27"/>
  <c r="P6" i="2"/>
  <c r="H33" i="27"/>
  <c r="Z6" i="2"/>
  <c r="H39" i="27"/>
  <c r="AF6" i="2"/>
  <c r="H31" i="27"/>
  <c r="X6" i="2"/>
  <c r="AK78" i="27"/>
  <c r="AH6" i="2"/>
  <c r="H29" i="27"/>
  <c r="V6" i="2"/>
  <c r="AB78" i="27"/>
  <c r="Y6" i="2"/>
  <c r="AE78" i="27"/>
  <c r="AB6" i="2"/>
  <c r="H36" i="27"/>
  <c r="AC6" i="2"/>
  <c r="L77" i="27"/>
  <c r="I5" i="2"/>
  <c r="AA78" i="27"/>
  <c r="AD78" i="27"/>
  <c r="Y78" i="27"/>
  <c r="AC78" i="27"/>
  <c r="H38" i="27"/>
  <c r="H41" i="27"/>
  <c r="AG78" i="27"/>
  <c r="AI78" i="27"/>
  <c r="F16" i="27"/>
  <c r="H30" i="27"/>
  <c r="H40" i="27"/>
  <c r="H35" i="27"/>
  <c r="AF78" i="27"/>
  <c r="H32" i="27"/>
  <c r="H23" i="27"/>
  <c r="F26" i="33" l="1"/>
  <c r="F24" i="33"/>
  <c r="F28" i="33"/>
  <c r="E26" i="33"/>
  <c r="F21" i="33"/>
  <c r="E28" i="33"/>
  <c r="F23" i="33"/>
  <c r="F27" i="33"/>
  <c r="F25" i="33"/>
  <c r="E27" i="33"/>
  <c r="F22" i="33"/>
  <c r="W32" i="34" l="1"/>
  <c r="Y32" i="34"/>
  <c r="U32" i="34"/>
  <c r="Q32" i="34"/>
  <c r="S32" i="34"/>
  <c r="Y29" i="34"/>
  <c r="D29" i="34" s="1"/>
  <c r="U29" i="34"/>
  <c r="Q29" i="34"/>
  <c r="W29" i="34"/>
  <c r="S29" i="34"/>
  <c r="W33" i="34"/>
  <c r="S33" i="34"/>
  <c r="U33" i="34"/>
  <c r="Y33" i="34"/>
  <c r="D33" i="34" s="1"/>
  <c r="Q33" i="34"/>
  <c r="Y35" i="34"/>
  <c r="U35" i="34"/>
  <c r="Q35" i="34"/>
  <c r="W35" i="34"/>
  <c r="S35" i="34"/>
  <c r="Y36" i="34"/>
  <c r="U36" i="34"/>
  <c r="Q36" i="34"/>
  <c r="W36" i="34"/>
  <c r="S36" i="34"/>
  <c r="W30" i="34"/>
  <c r="S30" i="34"/>
  <c r="Y30" i="34"/>
  <c r="U30" i="34"/>
  <c r="Q30" i="34"/>
  <c r="W31" i="34"/>
  <c r="S31" i="34"/>
  <c r="Y31" i="34"/>
  <c r="Q31" i="34"/>
  <c r="U31" i="34"/>
  <c r="S34" i="34"/>
  <c r="Y34" i="34"/>
  <c r="U34" i="34"/>
  <c r="Q34" i="34"/>
  <c r="W34" i="34"/>
  <c r="O29" i="34"/>
  <c r="O30" i="34"/>
  <c r="O33" i="34"/>
  <c r="O35" i="34"/>
  <c r="O36" i="34"/>
  <c r="O31" i="34"/>
  <c r="O32" i="34"/>
  <c r="O34" i="34"/>
  <c r="M26" i="34"/>
  <c r="O26" i="34"/>
  <c r="M28" i="34"/>
  <c r="O28" i="34"/>
  <c r="K29" i="34"/>
  <c r="M29" i="34"/>
  <c r="K30" i="34"/>
  <c r="M30" i="34"/>
  <c r="K33" i="34"/>
  <c r="M33" i="34"/>
  <c r="K32" i="34"/>
  <c r="M32" i="34"/>
  <c r="K34" i="34"/>
  <c r="M34" i="34"/>
  <c r="K35" i="34"/>
  <c r="M35" i="34"/>
  <c r="K36" i="34"/>
  <c r="M36" i="34"/>
  <c r="K31" i="34"/>
  <c r="M31" i="34"/>
  <c r="I28" i="34"/>
  <c r="D28" i="34" s="1"/>
  <c r="K28" i="34"/>
  <c r="I26" i="34"/>
  <c r="D26" i="34" s="1"/>
  <c r="K26" i="34"/>
  <c r="I30" i="34"/>
  <c r="I29" i="34"/>
  <c r="I33" i="34"/>
  <c r="I35" i="34"/>
  <c r="I32" i="34"/>
  <c r="I34" i="34"/>
  <c r="I36" i="34"/>
  <c r="I31" i="34"/>
  <c r="D35" i="34" l="1"/>
  <c r="G40" i="40" s="1"/>
  <c r="AG8" i="2" s="1"/>
  <c r="D30" i="34"/>
  <c r="G35" i="40" s="1"/>
  <c r="AB8" i="2" s="1"/>
  <c r="D36" i="34"/>
  <c r="D34" i="34"/>
  <c r="D32" i="34"/>
  <c r="G37" i="40" s="1"/>
  <c r="AD8" i="2" s="1"/>
  <c r="D31" i="34"/>
  <c r="G34" i="40"/>
  <c r="AA8" i="2" s="1"/>
  <c r="AE78" i="40" l="1"/>
  <c r="AG78" i="40"/>
  <c r="AD78" i="40"/>
  <c r="G41" i="40"/>
  <c r="AH8" i="2" s="1"/>
  <c r="AJ78" i="40"/>
  <c r="G33" i="40"/>
  <c r="Z8" i="2" s="1"/>
  <c r="G31" i="40"/>
  <c r="X8" i="2" s="1"/>
  <c r="G36" i="40"/>
  <c r="AC8" i="2" s="1"/>
  <c r="G39" i="40"/>
  <c r="AF8" i="2" s="1"/>
  <c r="G38" i="40"/>
  <c r="AE8" i="2" s="1"/>
  <c r="AK78" i="40" l="1"/>
  <c r="AF78" i="40"/>
  <c r="AA78" i="40"/>
  <c r="AH78" i="40"/>
  <c r="AC78" i="40"/>
  <c r="AI78" i="40"/>
  <c r="H7" i="40" l="1"/>
  <c r="AM16" i="34" s="1"/>
  <c r="AK7" i="34" s="1"/>
  <c r="B13" i="40" l="1"/>
  <c r="J15" i="40" s="1"/>
  <c r="B7" i="2"/>
  <c r="BB7" i="2" s="1"/>
  <c r="AI16" i="34"/>
  <c r="AI19" i="34" s="1"/>
  <c r="E16" i="34"/>
  <c r="E7" i="2" s="1"/>
  <c r="AM20" i="34"/>
  <c r="AK20" i="34" s="1"/>
  <c r="AM19" i="34"/>
  <c r="AK19" i="34" s="1"/>
  <c r="AM21" i="34"/>
  <c r="AK21" i="34" s="1"/>
  <c r="AM25" i="34"/>
  <c r="AK25" i="34" s="1"/>
  <c r="AM24" i="34"/>
  <c r="AK24" i="34" s="1"/>
  <c r="AI20" i="34" l="1"/>
  <c r="AG7" i="34"/>
  <c r="AI18" i="34"/>
  <c r="AG22" i="34" s="1"/>
  <c r="BB8" i="2"/>
  <c r="B63" i="6"/>
  <c r="AG29" i="34" l="1"/>
  <c r="AG21" i="34"/>
  <c r="AG20" i="34"/>
  <c r="AG25" i="34"/>
  <c r="AG26" i="34"/>
  <c r="AG19" i="34"/>
  <c r="AG27" i="34"/>
  <c r="C27" i="34" s="1"/>
  <c r="E32" i="40" s="1"/>
  <c r="AH18" i="34"/>
  <c r="AH23" i="34" s="1"/>
  <c r="D23" i="34" s="1"/>
  <c r="G23" i="40" s="1"/>
  <c r="P8" i="2" s="1"/>
  <c r="AG28" i="34"/>
  <c r="AG24" i="34"/>
  <c r="C65" i="6"/>
  <c r="C67" i="6"/>
  <c r="C61" i="6"/>
  <c r="C63" i="6"/>
  <c r="D18" i="34"/>
  <c r="G15" i="40" s="1"/>
  <c r="H8" i="2" s="1"/>
  <c r="AO26" i="34" l="1"/>
  <c r="AS24" i="34"/>
  <c r="AS19" i="34"/>
  <c r="C19" i="34" s="1"/>
  <c r="E19" i="40" s="1"/>
  <c r="F19" i="40" s="1"/>
  <c r="AS20" i="34"/>
  <c r="C20" i="34" s="1"/>
  <c r="E24" i="40" s="1"/>
  <c r="T77" i="40" s="1"/>
  <c r="AS26" i="34"/>
  <c r="AS29" i="34"/>
  <c r="C29" i="34" s="1"/>
  <c r="E34" i="40" s="1"/>
  <c r="AD77" i="40" s="1"/>
  <c r="AS22" i="34"/>
  <c r="C22" i="34" s="1"/>
  <c r="E16" i="40" s="1"/>
  <c r="AS28" i="34"/>
  <c r="C28" i="34" s="1"/>
  <c r="E33" i="40" s="1"/>
  <c r="E54" i="40"/>
  <c r="AB77" i="40"/>
  <c r="Y7" i="2"/>
  <c r="AS21" i="34"/>
  <c r="C21" i="34" s="1"/>
  <c r="AS25" i="34"/>
  <c r="C25" i="34" s="1"/>
  <c r="E30" i="40" s="1"/>
  <c r="C24" i="34"/>
  <c r="E29" i="40" s="1"/>
  <c r="C26" i="34"/>
  <c r="E31" i="40" s="1"/>
  <c r="D86" i="6"/>
  <c r="F86" i="6" s="1"/>
  <c r="G86" i="6" s="1"/>
  <c r="D73" i="6"/>
  <c r="F73" i="6" s="1"/>
  <c r="G73" i="6" s="1"/>
  <c r="D76" i="6"/>
  <c r="F76" i="6" s="1"/>
  <c r="G76" i="6" s="1"/>
  <c r="D79" i="6"/>
  <c r="F79" i="6" s="1"/>
  <c r="G79" i="6" s="1"/>
  <c r="D109" i="6"/>
  <c r="F109" i="6" s="1"/>
  <c r="G109" i="6" s="1"/>
  <c r="D91" i="6"/>
  <c r="F91" i="6" s="1"/>
  <c r="G91" i="6" s="1"/>
  <c r="D80" i="6"/>
  <c r="F80" i="6" s="1"/>
  <c r="G80" i="6" s="1"/>
  <c r="D110" i="6"/>
  <c r="F110" i="6" s="1"/>
  <c r="G110" i="6" s="1"/>
  <c r="D100" i="6"/>
  <c r="F100" i="6" s="1"/>
  <c r="G100" i="6" s="1"/>
  <c r="D95" i="6"/>
  <c r="F95" i="6" s="1"/>
  <c r="G95" i="6" s="1"/>
  <c r="D75" i="6"/>
  <c r="F75" i="6" s="1"/>
  <c r="G75" i="6" s="1"/>
  <c r="D66" i="6"/>
  <c r="F66" i="6" s="1"/>
  <c r="G66" i="6" s="1"/>
  <c r="D94" i="6"/>
  <c r="F94" i="6" s="1"/>
  <c r="G94" i="6" s="1"/>
  <c r="D81" i="6"/>
  <c r="F81" i="6" s="1"/>
  <c r="G81" i="6" s="1"/>
  <c r="D84" i="6"/>
  <c r="F84" i="6" s="1"/>
  <c r="G84" i="6" s="1"/>
  <c r="D103" i="6"/>
  <c r="F103" i="6" s="1"/>
  <c r="G103" i="6" s="1"/>
  <c r="D72" i="6"/>
  <c r="F72" i="6" s="1"/>
  <c r="G72" i="6" s="1"/>
  <c r="D83" i="6"/>
  <c r="F83" i="6" s="1"/>
  <c r="G83" i="6" s="1"/>
  <c r="D67" i="6"/>
  <c r="F67" i="6" s="1"/>
  <c r="G67" i="6" s="1"/>
  <c r="D69" i="6"/>
  <c r="F69" i="6" s="1"/>
  <c r="G69" i="6" s="1"/>
  <c r="D105" i="6"/>
  <c r="F105" i="6" s="1"/>
  <c r="G105" i="6" s="1"/>
  <c r="D96" i="6"/>
  <c r="F96" i="6" s="1"/>
  <c r="G96" i="6" s="1"/>
  <c r="D107" i="6"/>
  <c r="F107" i="6" s="1"/>
  <c r="G107" i="6" s="1"/>
  <c r="D101" i="6"/>
  <c r="F101" i="6" s="1"/>
  <c r="G101" i="6" s="1"/>
  <c r="D102" i="6"/>
  <c r="F102" i="6" s="1"/>
  <c r="G102" i="6" s="1"/>
  <c r="D89" i="6"/>
  <c r="F89" i="6" s="1"/>
  <c r="G89" i="6" s="1"/>
  <c r="D92" i="6"/>
  <c r="F92" i="6" s="1"/>
  <c r="G92" i="6" s="1"/>
  <c r="D82" i="6"/>
  <c r="F82" i="6" s="1"/>
  <c r="G82" i="6" s="1"/>
  <c r="D97" i="6"/>
  <c r="F97" i="6" s="1"/>
  <c r="G97" i="6" s="1"/>
  <c r="D88" i="6"/>
  <c r="F88" i="6" s="1"/>
  <c r="G88" i="6" s="1"/>
  <c r="D77" i="6"/>
  <c r="F77" i="6" s="1"/>
  <c r="G77" i="6" s="1"/>
  <c r="D85" i="6"/>
  <c r="F85" i="6" s="1"/>
  <c r="G85" i="6" s="1"/>
  <c r="D90" i="6"/>
  <c r="F90" i="6" s="1"/>
  <c r="G90" i="6" s="1"/>
  <c r="D99" i="6"/>
  <c r="F99" i="6" s="1"/>
  <c r="G99" i="6" s="1"/>
  <c r="D71" i="6"/>
  <c r="F71" i="6" s="1"/>
  <c r="G71" i="6" s="1"/>
  <c r="D62" i="6"/>
  <c r="F62" i="6" s="1"/>
  <c r="G62" i="6" s="1"/>
  <c r="D98" i="6"/>
  <c r="F98" i="6" s="1"/>
  <c r="G98" i="6" s="1"/>
  <c r="D65" i="6"/>
  <c r="F65" i="6" s="1"/>
  <c r="G65" i="6" s="1"/>
  <c r="D74" i="6"/>
  <c r="F74" i="6" s="1"/>
  <c r="G74" i="6" s="1"/>
  <c r="D108" i="6"/>
  <c r="F108" i="6" s="1"/>
  <c r="G108" i="6" s="1"/>
  <c r="D64" i="6"/>
  <c r="F64" i="6" s="1"/>
  <c r="G64" i="6" s="1"/>
  <c r="D104" i="6"/>
  <c r="F104" i="6" s="1"/>
  <c r="G104" i="6" s="1"/>
  <c r="D106" i="6"/>
  <c r="F106" i="6" s="1"/>
  <c r="G106" i="6" s="1"/>
  <c r="D70" i="6"/>
  <c r="F70" i="6" s="1"/>
  <c r="G70" i="6" s="1"/>
  <c r="D61" i="6"/>
  <c r="F61" i="6" s="1"/>
  <c r="D87" i="6"/>
  <c r="F87" i="6" s="1"/>
  <c r="G87" i="6" s="1"/>
  <c r="D93" i="6"/>
  <c r="F93" i="6" s="1"/>
  <c r="G93" i="6" s="1"/>
  <c r="D78" i="6"/>
  <c r="F78" i="6" s="1"/>
  <c r="G78" i="6" s="1"/>
  <c r="D63" i="6"/>
  <c r="F63" i="6" s="1"/>
  <c r="G63" i="6" s="1"/>
  <c r="D68" i="6"/>
  <c r="F68" i="6" s="1"/>
  <c r="G68" i="6" s="1"/>
  <c r="S78" i="40"/>
  <c r="H23" i="40"/>
  <c r="F32" i="40"/>
  <c r="H19" i="40"/>
  <c r="H25" i="40"/>
  <c r="H34" i="40"/>
  <c r="H42" i="40"/>
  <c r="H50" i="40"/>
  <c r="H58" i="40"/>
  <c r="H17" i="40"/>
  <c r="F27" i="40"/>
  <c r="H37" i="40"/>
  <c r="H45" i="40"/>
  <c r="H53" i="40"/>
  <c r="H28" i="40"/>
  <c r="H40" i="40"/>
  <c r="H16" i="40"/>
  <c r="H24" i="40"/>
  <c r="H46" i="40"/>
  <c r="H56" i="40"/>
  <c r="F17" i="40"/>
  <c r="H30" i="40"/>
  <c r="H35" i="40"/>
  <c r="H47" i="40"/>
  <c r="H57" i="40"/>
  <c r="F18" i="40"/>
  <c r="F26" i="40"/>
  <c r="H36" i="40"/>
  <c r="H48" i="40"/>
  <c r="H59" i="40"/>
  <c r="K78" i="40"/>
  <c r="H18" i="40"/>
  <c r="H26" i="40"/>
  <c r="H31" i="40"/>
  <c r="H38" i="40"/>
  <c r="H49" i="40"/>
  <c r="F28" i="40"/>
  <c r="H32" i="40"/>
  <c r="H41" i="40"/>
  <c r="H52" i="40"/>
  <c r="H43" i="40"/>
  <c r="H54" i="40"/>
  <c r="H33" i="40"/>
  <c r="H39" i="40"/>
  <c r="H44" i="40"/>
  <c r="H55" i="40"/>
  <c r="H51" i="40"/>
  <c r="H27" i="40"/>
  <c r="H29" i="40"/>
  <c r="F24" i="40" l="1"/>
  <c r="F34" i="40"/>
  <c r="L7" i="2"/>
  <c r="O77" i="40"/>
  <c r="AA7" i="2"/>
  <c r="Q7" i="2"/>
  <c r="AU7" i="2"/>
  <c r="F16" i="40"/>
  <c r="I7" i="2"/>
  <c r="L77" i="40"/>
  <c r="AX77" i="40"/>
  <c r="E25" i="40"/>
  <c r="E52" i="40"/>
  <c r="Y77" i="40"/>
  <c r="V7" i="2"/>
  <c r="AC77" i="40"/>
  <c r="Z7" i="2"/>
  <c r="Z77" i="40"/>
  <c r="W7" i="2"/>
  <c r="AA77" i="40"/>
  <c r="X7" i="2"/>
  <c r="F33" i="40"/>
  <c r="F29" i="40"/>
  <c r="F30" i="40"/>
  <c r="F31" i="40"/>
  <c r="G61" i="6"/>
  <c r="R5" i="6" s="1"/>
  <c r="F60" i="6"/>
  <c r="Q5" i="6" l="1"/>
  <c r="P8" i="6" s="1"/>
  <c r="P7" i="6" s="1"/>
  <c r="AV77" i="40"/>
  <c r="R7" i="2"/>
  <c r="F25" i="40"/>
  <c r="AS7" i="2"/>
  <c r="U77" i="40"/>
  <c r="A4" i="3"/>
  <c r="D60" i="6"/>
  <c r="D45" i="18" s="1"/>
  <c r="D47" i="18" l="1"/>
  <c r="C57" i="18" s="1"/>
  <c r="C51" i="18"/>
  <c r="P5" i="6"/>
  <c r="Q6" i="6"/>
  <c r="R6" i="6" s="1"/>
  <c r="I3" i="23"/>
  <c r="J39" i="3"/>
  <c r="I41" i="3"/>
  <c r="D11" i="2"/>
  <c r="L41" i="3"/>
  <c r="R41" i="3"/>
  <c r="G15" i="10" s="1"/>
  <c r="AC39" i="3"/>
  <c r="AG41" i="3"/>
  <c r="AB41" i="3"/>
  <c r="G25" i="10" s="1"/>
  <c r="AE39" i="3"/>
  <c r="X41" i="3"/>
  <c r="G21" i="10" s="1"/>
  <c r="AA41" i="3"/>
  <c r="G24" i="10" s="1"/>
  <c r="AC41" i="3"/>
  <c r="G26" i="10" s="1"/>
  <c r="N41" i="3"/>
  <c r="G11" i="10" s="1"/>
  <c r="AI41" i="3"/>
  <c r="L39" i="3"/>
  <c r="E47" i="10" s="1"/>
  <c r="N39" i="3"/>
  <c r="AA39" i="3"/>
  <c r="AF41" i="3"/>
  <c r="T41" i="3"/>
  <c r="AH41" i="3"/>
  <c r="AJ41" i="3"/>
  <c r="C42" i="18"/>
  <c r="Y39" i="3"/>
  <c r="AI39" i="3"/>
  <c r="S39" i="3"/>
  <c r="T39" i="3"/>
  <c r="E44" i="10" s="1"/>
  <c r="AJ39" i="3"/>
  <c r="AD39" i="3"/>
  <c r="AD41" i="3"/>
  <c r="K41" i="3"/>
  <c r="I39" i="3"/>
  <c r="K39" i="3"/>
  <c r="E46" i="10" s="1"/>
  <c r="S41" i="3"/>
  <c r="G16" i="10" s="1"/>
  <c r="Z41" i="3"/>
  <c r="G23" i="10" s="1"/>
  <c r="J41" i="3"/>
  <c r="G7" i="10" s="1"/>
  <c r="X39" i="3"/>
  <c r="Z39" i="3"/>
  <c r="AE41" i="3"/>
  <c r="AF39" i="3"/>
  <c r="AH39" i="3"/>
  <c r="R39" i="3"/>
  <c r="Y41" i="3"/>
  <c r="G22" i="10" s="1"/>
  <c r="AB39" i="3"/>
  <c r="AG39" i="3"/>
  <c r="Q12" i="6"/>
  <c r="O22" i="26" s="1"/>
  <c r="D53" i="18" l="1"/>
  <c r="D54" i="18" s="1"/>
  <c r="B3" i="23"/>
  <c r="B4" i="26"/>
  <c r="B5" i="5"/>
  <c r="O25" i="26"/>
  <c r="O23" i="26"/>
  <c r="O32" i="26"/>
  <c r="F22" i="26"/>
  <c r="P14" i="6"/>
  <c r="G9" i="10"/>
  <c r="G69" i="10" s="1"/>
  <c r="G47" i="10"/>
  <c r="G107" i="10"/>
  <c r="E107" i="10"/>
  <c r="C43" i="11"/>
  <c r="D43" i="11" s="1"/>
  <c r="E106" i="10"/>
  <c r="C42" i="11"/>
  <c r="D42" i="11" s="1"/>
  <c r="G8" i="10"/>
  <c r="G68" i="10" s="1"/>
  <c r="G46" i="10"/>
  <c r="G106" i="10"/>
  <c r="G17" i="10"/>
  <c r="G77" i="10" s="1"/>
  <c r="G44" i="10"/>
  <c r="G104" i="10"/>
  <c r="E104" i="10"/>
  <c r="C40" i="11"/>
  <c r="D40" i="11" s="1"/>
  <c r="I43" i="3"/>
  <c r="G82" i="10"/>
  <c r="G28" i="10"/>
  <c r="G88" i="10"/>
  <c r="E11" i="10"/>
  <c r="N43" i="3"/>
  <c r="E28" i="10"/>
  <c r="AE43" i="3"/>
  <c r="E23" i="10"/>
  <c r="Z43" i="3"/>
  <c r="G27" i="10"/>
  <c r="G87" i="10"/>
  <c r="B3" i="10"/>
  <c r="B4" i="10"/>
  <c r="B5" i="23"/>
  <c r="B5" i="10"/>
  <c r="B5" i="26"/>
  <c r="K5" i="26" s="1"/>
  <c r="B6" i="5"/>
  <c r="B2" i="10"/>
  <c r="L43" i="3"/>
  <c r="E9" i="10"/>
  <c r="G85" i="10"/>
  <c r="E30" i="10"/>
  <c r="AG43" i="3"/>
  <c r="E21" i="10"/>
  <c r="X43" i="3"/>
  <c r="AD43" i="3"/>
  <c r="E27" i="10"/>
  <c r="G33" i="10"/>
  <c r="G93" i="10"/>
  <c r="G32" i="10"/>
  <c r="G92" i="10"/>
  <c r="G90" i="10"/>
  <c r="G30" i="10"/>
  <c r="E25" i="10"/>
  <c r="AB43" i="3"/>
  <c r="E78" i="10"/>
  <c r="G78" i="10"/>
  <c r="G79" i="10"/>
  <c r="G67" i="10"/>
  <c r="E94" i="10"/>
  <c r="G70" i="10"/>
  <c r="G80" i="10"/>
  <c r="E80" i="10"/>
  <c r="E79" i="10"/>
  <c r="G94" i="10"/>
  <c r="E70" i="10"/>
  <c r="G95" i="10"/>
  <c r="E95" i="10"/>
  <c r="E33" i="10"/>
  <c r="AJ43" i="3"/>
  <c r="G31" i="10"/>
  <c r="G91" i="10"/>
  <c r="G71" i="10"/>
  <c r="AC43" i="3"/>
  <c r="E26" i="10"/>
  <c r="Q13" i="6"/>
  <c r="R13" i="6" s="1"/>
  <c r="G83" i="10"/>
  <c r="T43" i="3"/>
  <c r="E17" i="10"/>
  <c r="G75" i="10"/>
  <c r="R8" i="6"/>
  <c r="B129" i="5" s="1"/>
  <c r="R7" i="6"/>
  <c r="E15" i="10"/>
  <c r="R43" i="3"/>
  <c r="G76" i="10"/>
  <c r="E16" i="10"/>
  <c r="S43" i="3"/>
  <c r="G89" i="10"/>
  <c r="G29" i="10"/>
  <c r="G86" i="10"/>
  <c r="E8" i="10"/>
  <c r="K43" i="3"/>
  <c r="E32" i="10"/>
  <c r="AI43" i="3"/>
  <c r="E24" i="10"/>
  <c r="AA43" i="3"/>
  <c r="G84" i="10"/>
  <c r="E31" i="10"/>
  <c r="AH43" i="3"/>
  <c r="AF43" i="3"/>
  <c r="E29" i="10"/>
  <c r="E22" i="10"/>
  <c r="Y43" i="3"/>
  <c r="E7" i="10"/>
  <c r="E67" i="10" s="1"/>
  <c r="J43" i="3"/>
  <c r="G81" i="10"/>
  <c r="O33" i="26" l="1"/>
  <c r="O35" i="26"/>
  <c r="O26" i="26"/>
  <c r="O37" i="26" s="1"/>
  <c r="O24" i="26"/>
  <c r="F25" i="26"/>
  <c r="F23" i="26"/>
  <c r="F32" i="26"/>
  <c r="I3" i="3"/>
  <c r="I38" i="3"/>
  <c r="I42" i="3" s="1"/>
  <c r="E91" i="10"/>
  <c r="C27" i="11"/>
  <c r="D27" i="11" s="1"/>
  <c r="E75" i="10"/>
  <c r="C11" i="11"/>
  <c r="D11" i="11" s="1"/>
  <c r="R14" i="6"/>
  <c r="B125" i="5"/>
  <c r="E93" i="10"/>
  <c r="C29" i="11"/>
  <c r="D29" i="11" s="1"/>
  <c r="X3" i="3"/>
  <c r="X38" i="3"/>
  <c r="X42" i="3" s="1"/>
  <c r="Z38" i="3"/>
  <c r="Z42" i="3" s="1"/>
  <c r="Z3" i="3"/>
  <c r="J3" i="3"/>
  <c r="J38" i="3"/>
  <c r="J42" i="3" s="1"/>
  <c r="C17" i="11"/>
  <c r="D17" i="11" s="1"/>
  <c r="E81" i="10"/>
  <c r="C19" i="11"/>
  <c r="D19" i="11" s="1"/>
  <c r="E83" i="10"/>
  <c r="AA38" i="3"/>
  <c r="AA42" i="3" s="1"/>
  <c r="AA3" i="3"/>
  <c r="C22" i="11"/>
  <c r="D22" i="11" s="1"/>
  <c r="E86" i="10"/>
  <c r="AG38" i="3"/>
  <c r="AG42" i="3" s="1"/>
  <c r="AG3" i="3"/>
  <c r="AE3" i="3"/>
  <c r="AE38" i="3"/>
  <c r="AE42" i="3" s="1"/>
  <c r="Y3" i="3"/>
  <c r="Y38" i="3"/>
  <c r="Y42" i="3" s="1"/>
  <c r="E84" i="10"/>
  <c r="C20" i="11"/>
  <c r="D20" i="11" s="1"/>
  <c r="AC38" i="3"/>
  <c r="AC42" i="3" s="1"/>
  <c r="AC3" i="3"/>
  <c r="C26" i="11"/>
  <c r="D26" i="11" s="1"/>
  <c r="E90" i="10"/>
  <c r="E88" i="10"/>
  <c r="C24" i="11"/>
  <c r="D24" i="11" s="1"/>
  <c r="C18" i="11"/>
  <c r="D18" i="11" s="1"/>
  <c r="E82" i="10"/>
  <c r="AI38" i="3"/>
  <c r="AI42" i="3" s="1"/>
  <c r="AI3" i="3"/>
  <c r="S38" i="3"/>
  <c r="S42" i="3" s="1"/>
  <c r="S3" i="3"/>
  <c r="N38" i="3"/>
  <c r="N42" i="3" s="1"/>
  <c r="N3" i="3"/>
  <c r="E92" i="10"/>
  <c r="C28" i="11"/>
  <c r="D28" i="11" s="1"/>
  <c r="C12" i="11"/>
  <c r="D12" i="11" s="1"/>
  <c r="E76" i="10"/>
  <c r="E77" i="10"/>
  <c r="C13" i="11"/>
  <c r="D13" i="11" s="1"/>
  <c r="E69" i="10"/>
  <c r="C5" i="11"/>
  <c r="D5" i="11" s="1"/>
  <c r="E71" i="10"/>
  <c r="C7" i="11"/>
  <c r="D7" i="11" s="1"/>
  <c r="AF3" i="3"/>
  <c r="AF38" i="3"/>
  <c r="AF42" i="3" s="1"/>
  <c r="K3" i="3"/>
  <c r="K38" i="3"/>
  <c r="K42" i="3" s="1"/>
  <c r="T3" i="3"/>
  <c r="T38" i="3"/>
  <c r="T42" i="3" s="1"/>
  <c r="AB38" i="3"/>
  <c r="AB42" i="3" s="1"/>
  <c r="AB3" i="3"/>
  <c r="E87" i="10"/>
  <c r="C23" i="11"/>
  <c r="D23" i="11" s="1"/>
  <c r="L38" i="3"/>
  <c r="L42" i="3" s="1"/>
  <c r="L3" i="3"/>
  <c r="E89" i="10"/>
  <c r="C25" i="11"/>
  <c r="D25" i="11" s="1"/>
  <c r="E66" i="18"/>
  <c r="E84" i="18" s="1"/>
  <c r="E77" i="18"/>
  <c r="E95" i="18" s="1"/>
  <c r="AH3" i="3"/>
  <c r="AH38" i="3"/>
  <c r="AH42" i="3" s="1"/>
  <c r="C4" i="11"/>
  <c r="D4" i="11" s="1"/>
  <c r="E68" i="10"/>
  <c r="R3" i="3"/>
  <c r="R38" i="3"/>
  <c r="R42" i="3" s="1"/>
  <c r="AJ3" i="3"/>
  <c r="AJ38" i="3"/>
  <c r="AJ42" i="3" s="1"/>
  <c r="C21" i="11"/>
  <c r="D21" i="11" s="1"/>
  <c r="E85" i="10"/>
  <c r="AD38" i="3"/>
  <c r="AD42" i="3" s="1"/>
  <c r="AD3" i="3"/>
  <c r="F37" i="26" l="1"/>
  <c r="H25" i="26"/>
  <c r="O34" i="26"/>
  <c r="O36" i="26"/>
  <c r="F35" i="26"/>
  <c r="F33" i="26"/>
  <c r="F24" i="26"/>
  <c r="H24" i="26" s="1"/>
  <c r="H47" i="10"/>
  <c r="K47" i="10" s="1"/>
  <c r="H107" i="10"/>
  <c r="I107" i="10"/>
  <c r="J107" i="10" s="1"/>
  <c r="K107" i="10" s="1"/>
  <c r="I47" i="10"/>
  <c r="I106" i="10"/>
  <c r="J106" i="10" s="1"/>
  <c r="K106" i="10" s="1"/>
  <c r="H106" i="10"/>
  <c r="I46" i="10"/>
  <c r="H46" i="10"/>
  <c r="K46" i="10" s="1"/>
  <c r="H44" i="10"/>
  <c r="K44" i="10" s="1"/>
  <c r="I104" i="10"/>
  <c r="J104" i="10" s="1"/>
  <c r="K104" i="10" s="1"/>
  <c r="H104" i="10"/>
  <c r="I44" i="10"/>
  <c r="I33" i="10"/>
  <c r="I93" i="10"/>
  <c r="J93" i="10" s="1"/>
  <c r="K93" i="10" s="1"/>
  <c r="H33" i="10"/>
  <c r="K33" i="10" s="1"/>
  <c r="H93" i="10"/>
  <c r="I89" i="10"/>
  <c r="J89" i="10" s="1"/>
  <c r="K89" i="10" s="1"/>
  <c r="H29" i="10"/>
  <c r="K29" i="10" s="1"/>
  <c r="I29" i="10"/>
  <c r="D72" i="18" s="1"/>
  <c r="H89" i="10"/>
  <c r="I32" i="10"/>
  <c r="H92" i="10"/>
  <c r="I92" i="10"/>
  <c r="J92" i="10" s="1"/>
  <c r="K92" i="10" s="1"/>
  <c r="H32" i="10"/>
  <c r="K32" i="10" s="1"/>
  <c r="I86" i="10"/>
  <c r="J86" i="10" s="1"/>
  <c r="K86" i="10" s="1"/>
  <c r="I26" i="10"/>
  <c r="H26" i="10"/>
  <c r="K26" i="10" s="1"/>
  <c r="H86" i="10"/>
  <c r="H90" i="10"/>
  <c r="I30" i="10"/>
  <c r="I90" i="10"/>
  <c r="J90" i="10" s="1"/>
  <c r="K90" i="10" s="1"/>
  <c r="H30" i="10"/>
  <c r="K30" i="10" s="1"/>
  <c r="I7" i="10"/>
  <c r="I67" i="10"/>
  <c r="J67" i="10" s="1"/>
  <c r="K67" i="10" s="1"/>
  <c r="H7" i="10"/>
  <c r="K7" i="10" s="1"/>
  <c r="M7" i="10" s="1"/>
  <c r="H67" i="10"/>
  <c r="I85" i="10"/>
  <c r="J85" i="10" s="1"/>
  <c r="K85" i="10" s="1"/>
  <c r="H25" i="10"/>
  <c r="K25" i="10" s="1"/>
  <c r="H85" i="10"/>
  <c r="I25" i="10"/>
  <c r="B126" i="5"/>
  <c r="B128" i="5"/>
  <c r="B127" i="5"/>
  <c r="B88" i="5"/>
  <c r="I77" i="10"/>
  <c r="J77" i="10" s="1"/>
  <c r="K77" i="10" s="1"/>
  <c r="H17" i="10"/>
  <c r="K17" i="10" s="1"/>
  <c r="I17" i="10"/>
  <c r="H77" i="10"/>
  <c r="H82" i="10"/>
  <c r="I22" i="10"/>
  <c r="I82" i="10"/>
  <c r="J82" i="10" s="1"/>
  <c r="K82" i="10" s="1"/>
  <c r="H22" i="10"/>
  <c r="K22" i="10" s="1"/>
  <c r="H15" i="10"/>
  <c r="K15" i="10" s="1"/>
  <c r="H75" i="10"/>
  <c r="I75" i="10"/>
  <c r="J75" i="10" s="1"/>
  <c r="K75" i="10" s="1"/>
  <c r="I15" i="10"/>
  <c r="I27" i="10"/>
  <c r="H87" i="10"/>
  <c r="I87" i="10"/>
  <c r="J87" i="10" s="1"/>
  <c r="K87" i="10" s="1"/>
  <c r="H27" i="10"/>
  <c r="K27" i="10" s="1"/>
  <c r="I71" i="10"/>
  <c r="J71" i="10" s="1"/>
  <c r="K71" i="10" s="1"/>
  <c r="H71" i="10"/>
  <c r="H11" i="10"/>
  <c r="K11" i="10" s="1"/>
  <c r="I11" i="10"/>
  <c r="I24" i="10"/>
  <c r="H84" i="10"/>
  <c r="I84" i="10"/>
  <c r="J84" i="10" s="1"/>
  <c r="K84" i="10" s="1"/>
  <c r="H24" i="10"/>
  <c r="K24" i="10" s="1"/>
  <c r="I83" i="10"/>
  <c r="J83" i="10" s="1"/>
  <c r="K83" i="10" s="1"/>
  <c r="H23" i="10"/>
  <c r="K23" i="10" s="1"/>
  <c r="H83" i="10"/>
  <c r="I23" i="10"/>
  <c r="I31" i="10"/>
  <c r="I91" i="10"/>
  <c r="J91" i="10" s="1"/>
  <c r="K91" i="10" s="1"/>
  <c r="H91" i="10"/>
  <c r="H31" i="10"/>
  <c r="K31" i="10" s="1"/>
  <c r="H68" i="10"/>
  <c r="I8" i="10"/>
  <c r="H8" i="10"/>
  <c r="K8" i="10" s="1"/>
  <c r="I68" i="10"/>
  <c r="J68" i="10" s="1"/>
  <c r="K68" i="10" s="1"/>
  <c r="H88" i="10"/>
  <c r="I28" i="10"/>
  <c r="I88" i="10"/>
  <c r="J88" i="10" s="1"/>
  <c r="K88" i="10" s="1"/>
  <c r="H28" i="10"/>
  <c r="K28" i="10" s="1"/>
  <c r="H81" i="10"/>
  <c r="I81" i="10"/>
  <c r="J81" i="10" s="1"/>
  <c r="K81" i="10" s="1"/>
  <c r="H21" i="10"/>
  <c r="K21" i="10" s="1"/>
  <c r="I21" i="10"/>
  <c r="H69" i="10"/>
  <c r="I69" i="10"/>
  <c r="J69" i="10" s="1"/>
  <c r="K69" i="10" s="1"/>
  <c r="H9" i="10"/>
  <c r="K9" i="10" s="1"/>
  <c r="I9" i="10"/>
  <c r="H16" i="10"/>
  <c r="K16" i="10" s="1"/>
  <c r="H76" i="10"/>
  <c r="I76" i="10"/>
  <c r="J76" i="10" s="1"/>
  <c r="K76" i="10" s="1"/>
  <c r="I16" i="10"/>
  <c r="F36" i="26" l="1"/>
  <c r="O43" i="26"/>
  <c r="F43" i="26" s="1"/>
  <c r="F26" i="26"/>
  <c r="H26" i="26" s="1"/>
  <c r="F38" i="26" s="1"/>
  <c r="F34" i="26"/>
  <c r="AB45" i="6"/>
  <c r="J47" i="10"/>
  <c r="N47" i="10"/>
  <c r="M47" i="10"/>
  <c r="O47" i="10"/>
  <c r="P47" i="10"/>
  <c r="N46" i="10"/>
  <c r="P46" i="10"/>
  <c r="O46" i="10"/>
  <c r="M46" i="10"/>
  <c r="AB44" i="6"/>
  <c r="J46" i="10"/>
  <c r="AB42" i="6"/>
  <c r="J44" i="10"/>
  <c r="O44" i="10"/>
  <c r="P44" i="10"/>
  <c r="M44" i="10"/>
  <c r="N44" i="10"/>
  <c r="J9" i="10"/>
  <c r="AB7" i="6"/>
  <c r="P28" i="10"/>
  <c r="O28" i="10"/>
  <c r="M28" i="10"/>
  <c r="N28" i="10"/>
  <c r="N31" i="10"/>
  <c r="P31" i="10"/>
  <c r="O31" i="10"/>
  <c r="M31" i="10"/>
  <c r="O24" i="10"/>
  <c r="N24" i="10"/>
  <c r="P24" i="10"/>
  <c r="M24" i="10"/>
  <c r="M27" i="10"/>
  <c r="O27" i="10"/>
  <c r="P27" i="10"/>
  <c r="N27" i="10"/>
  <c r="M22" i="10"/>
  <c r="P22" i="10"/>
  <c r="N22" i="10"/>
  <c r="O22" i="10"/>
  <c r="O9" i="10"/>
  <c r="M9" i="10"/>
  <c r="N9" i="10"/>
  <c r="P9" i="10"/>
  <c r="M26" i="10"/>
  <c r="P26" i="10"/>
  <c r="N26" i="10"/>
  <c r="O26" i="10"/>
  <c r="J29" i="10"/>
  <c r="AB27" i="6"/>
  <c r="J28" i="10"/>
  <c r="D76" i="18"/>
  <c r="AB26" i="6"/>
  <c r="J22" i="10"/>
  <c r="D64" i="18"/>
  <c r="AB20" i="6"/>
  <c r="J26" i="10"/>
  <c r="AB24" i="6"/>
  <c r="D68" i="18"/>
  <c r="M29" i="10"/>
  <c r="O29" i="10"/>
  <c r="N29" i="10"/>
  <c r="P29" i="10"/>
  <c r="D73" i="18"/>
  <c r="E73" i="18" s="1"/>
  <c r="J31" i="10"/>
  <c r="AB29" i="6"/>
  <c r="D65" i="18"/>
  <c r="D57" i="18" s="1"/>
  <c r="D58" i="18" s="1"/>
  <c r="J24" i="10"/>
  <c r="AB22" i="6"/>
  <c r="AB25" i="6"/>
  <c r="J27" i="10"/>
  <c r="D71" i="18"/>
  <c r="J7" i="10"/>
  <c r="AB5" i="6"/>
  <c r="J16" i="10"/>
  <c r="AB14" i="6"/>
  <c r="AB19" i="6"/>
  <c r="J21" i="10"/>
  <c r="D63" i="18"/>
  <c r="AB21" i="6"/>
  <c r="D67" i="18"/>
  <c r="J23" i="10"/>
  <c r="AB9" i="6"/>
  <c r="J11" i="10"/>
  <c r="J15" i="10"/>
  <c r="AB13" i="6"/>
  <c r="D69" i="18"/>
  <c r="J25" i="10"/>
  <c r="AB23" i="6"/>
  <c r="N30" i="10"/>
  <c r="O30" i="10"/>
  <c r="M30" i="10"/>
  <c r="P30" i="10"/>
  <c r="M32" i="10"/>
  <c r="O32" i="10"/>
  <c r="P32" i="10"/>
  <c r="N32" i="10"/>
  <c r="M21" i="10"/>
  <c r="O21" i="10"/>
  <c r="N21" i="10"/>
  <c r="P21" i="10"/>
  <c r="O8" i="10"/>
  <c r="P8" i="10"/>
  <c r="M8" i="10"/>
  <c r="N8" i="10"/>
  <c r="N11" i="10"/>
  <c r="O11" i="10"/>
  <c r="M11" i="10"/>
  <c r="P11" i="10"/>
  <c r="J17" i="10"/>
  <c r="AB15" i="6"/>
  <c r="M33" i="10"/>
  <c r="N33" i="10"/>
  <c r="P33" i="10"/>
  <c r="O33" i="10"/>
  <c r="AB6" i="6"/>
  <c r="J8" i="10"/>
  <c r="N23" i="10"/>
  <c r="O23" i="10"/>
  <c r="M23" i="10"/>
  <c r="P23" i="10"/>
  <c r="N17" i="10"/>
  <c r="M17" i="10"/>
  <c r="O17" i="10"/>
  <c r="P17" i="10"/>
  <c r="M25" i="10"/>
  <c r="N25" i="10"/>
  <c r="P25" i="10"/>
  <c r="O25" i="10"/>
  <c r="J30" i="10"/>
  <c r="D74" i="18"/>
  <c r="AB28" i="6"/>
  <c r="N16" i="10"/>
  <c r="P16" i="10"/>
  <c r="M16" i="10"/>
  <c r="O16" i="10"/>
  <c r="M15" i="10"/>
  <c r="O15" i="10"/>
  <c r="N15" i="10"/>
  <c r="P15" i="10"/>
  <c r="D70" i="18"/>
  <c r="J32" i="10"/>
  <c r="AB30" i="6"/>
  <c r="AB31" i="6"/>
  <c r="D75" i="18"/>
  <c r="J33" i="10"/>
  <c r="F49" i="26" l="1"/>
  <c r="O49" i="26"/>
  <c r="O50" i="26"/>
  <c r="Q50" i="26" s="1"/>
  <c r="L31" i="10"/>
  <c r="L26" i="10"/>
  <c r="C85" i="18"/>
  <c r="E67" i="18"/>
  <c r="L25" i="10"/>
  <c r="E71" i="18"/>
  <c r="C89" i="18"/>
  <c r="C91" i="18"/>
  <c r="L29" i="10"/>
  <c r="C87" i="18"/>
  <c r="E69" i="18"/>
  <c r="E63" i="18"/>
  <c r="C81" i="18"/>
  <c r="L27" i="10"/>
  <c r="E64" i="18"/>
  <c r="C82" i="18"/>
  <c r="L32" i="10"/>
  <c r="L17" i="10"/>
  <c r="L21" i="10"/>
  <c r="L22" i="10"/>
  <c r="C93" i="18"/>
  <c r="E75" i="18"/>
  <c r="L39" i="10"/>
  <c r="L50" i="10"/>
  <c r="L37" i="10"/>
  <c r="L45" i="10"/>
  <c r="L10" i="10"/>
  <c r="L12" i="10"/>
  <c r="L47" i="10"/>
  <c r="L13" i="10"/>
  <c r="L40" i="10"/>
  <c r="L19" i="10"/>
  <c r="L35" i="10"/>
  <c r="L36" i="10"/>
  <c r="L44" i="10"/>
  <c r="L41" i="10"/>
  <c r="L48" i="10"/>
  <c r="L43" i="10"/>
  <c r="L49" i="10"/>
  <c r="L7" i="10"/>
  <c r="L51" i="10"/>
  <c r="L34" i="10"/>
  <c r="A53" i="10"/>
  <c r="A1" i="3" s="1"/>
  <c r="L14" i="10"/>
  <c r="L20" i="10"/>
  <c r="L38" i="10"/>
  <c r="L46" i="10"/>
  <c r="L42" i="10"/>
  <c r="L18" i="10"/>
  <c r="N4" i="10"/>
  <c r="N2" i="10" s="1"/>
  <c r="L8" i="10"/>
  <c r="L15" i="10"/>
  <c r="E70" i="18"/>
  <c r="C88" i="18"/>
  <c r="L11" i="10"/>
  <c r="L24" i="10"/>
  <c r="E76" i="18"/>
  <c r="C94" i="18"/>
  <c r="E74" i="18"/>
  <c r="C92" i="18"/>
  <c r="L16" i="10"/>
  <c r="E65" i="18"/>
  <c r="C83" i="18"/>
  <c r="E68" i="18"/>
  <c r="C86" i="18"/>
  <c r="L28" i="10"/>
  <c r="L33" i="10"/>
  <c r="L30" i="10"/>
  <c r="L23" i="10"/>
  <c r="AD13" i="6"/>
  <c r="AD39" i="6"/>
  <c r="AD18" i="6"/>
  <c r="AD40" i="6"/>
  <c r="AD10" i="6"/>
  <c r="AE10" i="6" s="1"/>
  <c r="AL10" i="6" s="1"/>
  <c r="AD20" i="6"/>
  <c r="AD17" i="6"/>
  <c r="AD15" i="6"/>
  <c r="AD46" i="6"/>
  <c r="AD41" i="6"/>
  <c r="AD23" i="6"/>
  <c r="AD6" i="6"/>
  <c r="AD11" i="6"/>
  <c r="AD26" i="6"/>
  <c r="AD48" i="6"/>
  <c r="AD49" i="6"/>
  <c r="AD14" i="6"/>
  <c r="AD16" i="6"/>
  <c r="AD5" i="6"/>
  <c r="AE5" i="6" s="1"/>
  <c r="AL5" i="6" s="1"/>
  <c r="AD44" i="6"/>
  <c r="AD12" i="6"/>
  <c r="AE12" i="6" s="1"/>
  <c r="AL12" i="6" s="1"/>
  <c r="AD42" i="6"/>
  <c r="AD21" i="6"/>
  <c r="AD7" i="6"/>
  <c r="AE7" i="6" s="1"/>
  <c r="AL7" i="6" s="1"/>
  <c r="AD30" i="6"/>
  <c r="AD24" i="6"/>
  <c r="AD43" i="6"/>
  <c r="AD25" i="6"/>
  <c r="AD19" i="6"/>
  <c r="AD45" i="6"/>
  <c r="AD47" i="6"/>
  <c r="AD22" i="6"/>
  <c r="AD29" i="6"/>
  <c r="AD9" i="6"/>
  <c r="AE9" i="6" s="1"/>
  <c r="AL9" i="6" s="1"/>
  <c r="AD27" i="6"/>
  <c r="AD28" i="6"/>
  <c r="AD8" i="6"/>
  <c r="E72" i="18"/>
  <c r="C90" i="18"/>
  <c r="L9" i="10"/>
  <c r="Q49" i="26" l="1"/>
  <c r="K49" i="26"/>
  <c r="B49" i="26" s="1"/>
  <c r="F50" i="26"/>
  <c r="H50" i="26" s="1"/>
  <c r="H49" i="26"/>
  <c r="AG5" i="6"/>
  <c r="AF5" i="6" s="1"/>
  <c r="AG7" i="6"/>
  <c r="AF7" i="6" s="1"/>
  <c r="AG10" i="6"/>
  <c r="AF10" i="6" s="1"/>
  <c r="AG12" i="6"/>
  <c r="AH12" i="6" s="1"/>
  <c r="AG28" i="6"/>
  <c r="AE28" i="6"/>
  <c r="AL28" i="6" s="1"/>
  <c r="AG44" i="6"/>
  <c r="AE44" i="6"/>
  <c r="AL44" i="6" s="1"/>
  <c r="AE6" i="6"/>
  <c r="AL6" i="6" s="1"/>
  <c r="V44" i="18"/>
  <c r="E94" i="18"/>
  <c r="AG27" i="6"/>
  <c r="AE27" i="6"/>
  <c r="AL27" i="6" s="1"/>
  <c r="AG43" i="6"/>
  <c r="AE43" i="6"/>
  <c r="AL43" i="6" s="1"/>
  <c r="AE23" i="6"/>
  <c r="AL23" i="6" s="1"/>
  <c r="AE18" i="6"/>
  <c r="AL18" i="6" s="1"/>
  <c r="T44" i="18"/>
  <c r="E86" i="18"/>
  <c r="E91" i="18"/>
  <c r="Y44" i="18"/>
  <c r="AG26" i="6"/>
  <c r="AE26" i="6"/>
  <c r="AL26" i="6" s="1"/>
  <c r="AE39" i="6"/>
  <c r="AL39" i="6" s="1"/>
  <c r="AG39" i="6"/>
  <c r="E82" i="18"/>
  <c r="P44" i="18"/>
  <c r="W44" i="18"/>
  <c r="E90" i="18"/>
  <c r="AG9" i="6"/>
  <c r="AF9" i="6" s="1"/>
  <c r="AE24" i="6"/>
  <c r="AL24" i="6" s="1"/>
  <c r="AE16" i="6"/>
  <c r="AL16" i="6" s="1"/>
  <c r="AE41" i="6"/>
  <c r="AL41" i="6" s="1"/>
  <c r="AG41" i="6"/>
  <c r="AE29" i="6"/>
  <c r="AL29" i="6" s="1"/>
  <c r="AG29" i="6"/>
  <c r="AG30" i="6"/>
  <c r="AE30" i="6"/>
  <c r="AL30" i="6" s="1"/>
  <c r="AE14" i="6"/>
  <c r="AL14" i="6" s="1"/>
  <c r="AE46" i="6"/>
  <c r="AL46" i="6" s="1"/>
  <c r="AG46" i="6"/>
  <c r="AE13" i="6"/>
  <c r="AL13" i="6" s="1"/>
  <c r="R44" i="18"/>
  <c r="E83" i="18"/>
  <c r="E93" i="18"/>
  <c r="AA44" i="18"/>
  <c r="AE42" i="6"/>
  <c r="AL42" i="6" s="1"/>
  <c r="AG42" i="6"/>
  <c r="AG25" i="6"/>
  <c r="AE25" i="6"/>
  <c r="AL25" i="6" s="1"/>
  <c r="AG40" i="6"/>
  <c r="AE40" i="6"/>
  <c r="AL40" i="6" s="1"/>
  <c r="AG49" i="6"/>
  <c r="AE49" i="6"/>
  <c r="AL49" i="6" s="1"/>
  <c r="AE15" i="6"/>
  <c r="AL15" i="6" s="1"/>
  <c r="Z44" i="18"/>
  <c r="E88" i="18"/>
  <c r="D86" i="18"/>
  <c r="U44" i="18"/>
  <c r="E89" i="18"/>
  <c r="AE22" i="6"/>
  <c r="AL22" i="6" s="1"/>
  <c r="AG47" i="6"/>
  <c r="AE47" i="6"/>
  <c r="AL47" i="6" s="1"/>
  <c r="AE21" i="6"/>
  <c r="AL21" i="6" s="1"/>
  <c r="AE48" i="6"/>
  <c r="AL48" i="6" s="1"/>
  <c r="AG48" i="6"/>
  <c r="AE17" i="6"/>
  <c r="AL17" i="6" s="1"/>
  <c r="E81" i="18"/>
  <c r="O44" i="18"/>
  <c r="AE20" i="6"/>
  <c r="AL20" i="6" s="1"/>
  <c r="E92" i="18"/>
  <c r="X44" i="18"/>
  <c r="S44" i="18"/>
  <c r="E87" i="18"/>
  <c r="Q44" i="18"/>
  <c r="E85" i="18"/>
  <c r="AG45" i="6"/>
  <c r="AE45" i="6"/>
  <c r="AL45" i="6" s="1"/>
  <c r="AE8" i="6"/>
  <c r="AL8" i="6" s="1"/>
  <c r="AE19" i="6"/>
  <c r="AL19" i="6" s="1"/>
  <c r="AE11" i="6"/>
  <c r="AL11" i="6" s="1"/>
  <c r="AG24" i="6" l="1"/>
  <c r="AI24" i="6" s="1"/>
  <c r="AG23" i="6"/>
  <c r="AK23" i="6" s="1"/>
  <c r="AG22" i="6"/>
  <c r="AK22" i="6" s="1"/>
  <c r="AG20" i="6"/>
  <c r="AF20" i="6" s="1"/>
  <c r="AG21" i="6"/>
  <c r="AK21" i="6" s="1"/>
  <c r="AG19" i="6"/>
  <c r="AF19" i="6" s="1"/>
  <c r="AG18" i="6"/>
  <c r="AH18" i="6" s="1"/>
  <c r="AG17" i="6"/>
  <c r="AF17" i="6" s="1"/>
  <c r="AG16" i="6"/>
  <c r="AF16" i="6" s="1"/>
  <c r="AG14" i="6"/>
  <c r="AI14" i="6" s="1"/>
  <c r="AG15" i="6"/>
  <c r="AK15" i="6" s="1"/>
  <c r="AG13" i="6"/>
  <c r="AI13" i="6" s="1"/>
  <c r="AF12" i="6"/>
  <c r="AI12" i="6"/>
  <c r="AK12" i="6"/>
  <c r="AJ12" i="6"/>
  <c r="AK7" i="6"/>
  <c r="AJ5" i="6"/>
  <c r="AK5" i="6"/>
  <c r="AI5" i="6"/>
  <c r="AH5" i="6"/>
  <c r="AF48" i="6"/>
  <c r="AF39" i="6"/>
  <c r="AK10" i="6"/>
  <c r="AJ10" i="6"/>
  <c r="AH10" i="6"/>
  <c r="AI10" i="6"/>
  <c r="AF27" i="6"/>
  <c r="AJ9" i="6"/>
  <c r="AH9" i="6"/>
  <c r="AF28" i="6"/>
  <c r="AF25" i="6"/>
  <c r="AF44" i="6"/>
  <c r="AJ7" i="6"/>
  <c r="AF47" i="6"/>
  <c r="AF43" i="6"/>
  <c r="AF46" i="6"/>
  <c r="AF41" i="6"/>
  <c r="AF42" i="6"/>
  <c r="AH7" i="6"/>
  <c r="AI7" i="6"/>
  <c r="AK9" i="6"/>
  <c r="AF45" i="6"/>
  <c r="AF26" i="6"/>
  <c r="AF29" i="6"/>
  <c r="AI9" i="6"/>
  <c r="AF40" i="6"/>
  <c r="AF30" i="6"/>
  <c r="AG6" i="6"/>
  <c r="AH6" i="6" s="1"/>
  <c r="AG8" i="6"/>
  <c r="AF8" i="6" s="1"/>
  <c r="AH48" i="6"/>
  <c r="AJ48" i="6"/>
  <c r="AK48" i="6"/>
  <c r="AI48" i="6"/>
  <c r="AH49" i="6"/>
  <c r="AI49" i="6"/>
  <c r="AJ49" i="6"/>
  <c r="AK49" i="6"/>
  <c r="AK39" i="6"/>
  <c r="AH39" i="6"/>
  <c r="AI39" i="6"/>
  <c r="AJ39" i="6"/>
  <c r="AI40" i="6"/>
  <c r="AK40" i="6"/>
  <c r="AJ40" i="6"/>
  <c r="AH40" i="6"/>
  <c r="AJ30" i="6"/>
  <c r="AI30" i="6"/>
  <c r="AH30" i="6"/>
  <c r="AK30" i="6"/>
  <c r="AK45" i="6"/>
  <c r="AH45" i="6"/>
  <c r="AI45" i="6"/>
  <c r="AJ45" i="6"/>
  <c r="AH29" i="6"/>
  <c r="AI29" i="6"/>
  <c r="AJ29" i="6"/>
  <c r="AK29" i="6"/>
  <c r="AJ26" i="6"/>
  <c r="AH26" i="6"/>
  <c r="AK26" i="6"/>
  <c r="AI26" i="6"/>
  <c r="AI25" i="6"/>
  <c r="AK25" i="6"/>
  <c r="AH25" i="6"/>
  <c r="AJ25" i="6"/>
  <c r="AG11" i="6"/>
  <c r="D89" i="18"/>
  <c r="D88" i="18" s="1"/>
  <c r="AJ47" i="6"/>
  <c r="AH47" i="6"/>
  <c r="AI47" i="6"/>
  <c r="AK47" i="6"/>
  <c r="AH42" i="6"/>
  <c r="AJ42" i="6"/>
  <c r="AI42" i="6"/>
  <c r="AK42" i="6"/>
  <c r="AK46" i="6"/>
  <c r="AH46" i="6"/>
  <c r="AI46" i="6"/>
  <c r="AJ46" i="6"/>
  <c r="AI41" i="6"/>
  <c r="AH41" i="6"/>
  <c r="AK41" i="6"/>
  <c r="AJ41" i="6"/>
  <c r="AH43" i="6"/>
  <c r="AJ43" i="6"/>
  <c r="AK43" i="6"/>
  <c r="AI43" i="6"/>
  <c r="AH44" i="6"/>
  <c r="AI44" i="6"/>
  <c r="AJ44" i="6"/>
  <c r="AK44" i="6"/>
  <c r="AF49" i="6"/>
  <c r="AI27" i="6"/>
  <c r="AH27" i="6"/>
  <c r="AK27" i="6"/>
  <c r="AJ27" i="6"/>
  <c r="AI28" i="6"/>
  <c r="AJ28" i="6"/>
  <c r="AK28" i="6"/>
  <c r="AH28" i="6"/>
  <c r="AH23" i="6" l="1"/>
  <c r="AH22" i="6"/>
  <c r="AK24" i="6"/>
  <c r="AF23" i="6"/>
  <c r="AJ24" i="6"/>
  <c r="AF24" i="6"/>
  <c r="AH24" i="6"/>
  <c r="AI23" i="6"/>
  <c r="AJ23" i="6"/>
  <c r="AI22" i="6"/>
  <c r="AJ22" i="6"/>
  <c r="AF21" i="6"/>
  <c r="AF22" i="6"/>
  <c r="AH21" i="6"/>
  <c r="AI21" i="6"/>
  <c r="AJ21" i="6"/>
  <c r="AK18" i="6"/>
  <c r="AI20" i="6"/>
  <c r="AH20" i="6"/>
  <c r="AJ20" i="6"/>
  <c r="AK20" i="6"/>
  <c r="AI18" i="6"/>
  <c r="AI19" i="6"/>
  <c r="AJ18" i="6"/>
  <c r="AF18" i="6"/>
  <c r="AH19" i="6"/>
  <c r="AJ19" i="6"/>
  <c r="AK19" i="6"/>
  <c r="AF14" i="6"/>
  <c r="AF15" i="6"/>
  <c r="AK17" i="6"/>
  <c r="AJ15" i="6"/>
  <c r="AI15" i="6"/>
  <c r="AH15" i="6"/>
  <c r="AK14" i="6"/>
  <c r="AJ14" i="6"/>
  <c r="AI17" i="6"/>
  <c r="AJ17" i="6"/>
  <c r="AH17" i="6"/>
  <c r="AH14" i="6"/>
  <c r="AK16" i="6"/>
  <c r="AI16" i="6"/>
  <c r="AH16" i="6"/>
  <c r="AJ16" i="6"/>
  <c r="AK13" i="6"/>
  <c r="AJ13" i="6"/>
  <c r="AH13" i="6"/>
  <c r="AF13" i="6"/>
  <c r="AI6" i="6"/>
  <c r="AJ6" i="6"/>
  <c r="AF6" i="6"/>
  <c r="AK6" i="6"/>
  <c r="AI11" i="6"/>
  <c r="AJ11" i="6"/>
  <c r="AH11" i="6"/>
  <c r="AK11" i="6"/>
  <c r="AF11" i="6"/>
  <c r="AK8" i="6"/>
  <c r="AH8" i="6"/>
  <c r="AJ8" i="6"/>
  <c r="AI8" i="6"/>
  <c r="BD32" i="37"/>
  <c r="E116" i="6" l="1"/>
  <c r="C114" i="6"/>
  <c r="A113" i="6"/>
  <c r="C72" i="37" l="1"/>
  <c r="C82" i="37" l="1"/>
  <c r="C81" i="37"/>
  <c r="C83" i="37"/>
  <c r="C50" i="37"/>
  <c r="F50" i="37" s="1"/>
  <c r="C79" i="37"/>
  <c r="G79" i="37"/>
  <c r="B44" i="37"/>
  <c r="I44" i="37" s="1"/>
  <c r="C80" i="37"/>
  <c r="R53" i="37" s="1"/>
  <c r="S53" i="37" s="1"/>
  <c r="T53" i="37" s="1"/>
  <c r="G80" i="37"/>
  <c r="G82" i="37" s="1"/>
  <c r="G81" i="37" s="1"/>
  <c r="G83" i="37"/>
  <c r="C63" i="37"/>
  <c r="F63" i="37" s="1"/>
  <c r="L50" i="37"/>
  <c r="N50" i="37" s="1"/>
  <c r="C60" i="37"/>
  <c r="F60" i="37" s="1"/>
  <c r="C54" i="37"/>
  <c r="F54" i="37" s="1"/>
  <c r="C64" i="37"/>
  <c r="F64" i="37" s="1"/>
  <c r="C61" i="37"/>
  <c r="F61" i="37" s="1"/>
  <c r="L64" i="37"/>
  <c r="N64" i="37" s="1"/>
  <c r="L62" i="37"/>
  <c r="N62" i="37" s="1"/>
  <c r="L53" i="37"/>
  <c r="N53" i="37" s="1"/>
  <c r="C62" i="37"/>
  <c r="F62" i="37" s="1"/>
  <c r="L59" i="37"/>
  <c r="N59" i="37" s="1"/>
  <c r="L47" i="37"/>
  <c r="N47" i="37" s="1"/>
  <c r="C73" i="37"/>
  <c r="C74" i="37" s="1"/>
  <c r="L52" i="37"/>
  <c r="N52" i="37" s="1"/>
  <c r="L56" i="37"/>
  <c r="N56" i="37" s="1"/>
  <c r="L58" i="37"/>
  <c r="N58" i="37" s="1"/>
  <c r="L55" i="37"/>
  <c r="N55" i="37" s="1"/>
  <c r="C53" i="37"/>
  <c r="F53" i="37" s="1"/>
  <c r="L54" i="37"/>
  <c r="N54" i="37" s="1"/>
  <c r="C65" i="37"/>
  <c r="F65" i="37" s="1"/>
  <c r="C55" i="37"/>
  <c r="F55" i="37" s="1"/>
  <c r="C52" i="37"/>
  <c r="F52" i="37" s="1"/>
  <c r="C58" i="37"/>
  <c r="F58" i="37" s="1"/>
  <c r="G72" i="37"/>
  <c r="C89" i="37" s="1"/>
  <c r="C56" i="37"/>
  <c r="F56" i="37" s="1"/>
  <c r="C47" i="37"/>
  <c r="F47" i="37" s="1"/>
  <c r="C48" i="37"/>
  <c r="F48" i="37" s="1"/>
  <c r="L61" i="37"/>
  <c r="N61" i="37" s="1"/>
  <c r="C49" i="37"/>
  <c r="F49" i="37" s="1"/>
  <c r="C51" i="37"/>
  <c r="F51" i="37" s="1"/>
  <c r="L60" i="37"/>
  <c r="N60" i="37" s="1"/>
  <c r="L49" i="37"/>
  <c r="N49" i="37" s="1"/>
  <c r="C57" i="37"/>
  <c r="F57" i="37" s="1"/>
  <c r="L65" i="37"/>
  <c r="N65" i="37" s="1"/>
  <c r="C59" i="37"/>
  <c r="F59" i="37" s="1"/>
  <c r="L57" i="37"/>
  <c r="N57" i="37" s="1"/>
  <c r="L63" i="37"/>
  <c r="N63" i="37" s="1"/>
  <c r="L48" i="37"/>
  <c r="N48" i="37" s="1"/>
  <c r="L51" i="37"/>
  <c r="N51" i="37" s="1"/>
  <c r="D83" i="37" l="1"/>
  <c r="R54" i="37"/>
  <c r="F116" i="6"/>
  <c r="G116" i="6" s="1"/>
  <c r="D119" i="6" s="1"/>
  <c r="C88" i="37"/>
  <c r="D82" i="37"/>
  <c r="G73" i="37"/>
  <c r="G74" i="37" s="1"/>
  <c r="B99" i="37"/>
  <c r="N66" i="37"/>
  <c r="L66" i="37"/>
  <c r="C66" i="37"/>
  <c r="F66" i="37" s="1"/>
  <c r="S54" i="37" l="1"/>
  <c r="T54" i="37" s="1"/>
  <c r="B34" i="37" s="1"/>
  <c r="B33" i="37" s="1"/>
  <c r="A3" i="3"/>
  <c r="BD248" i="4" s="1"/>
  <c r="C90" i="37"/>
  <c r="BD172" i="4" l="1"/>
  <c r="BD122" i="4"/>
  <c r="BD149" i="4"/>
  <c r="BD170" i="4"/>
  <c r="BD168" i="4"/>
  <c r="BD19" i="4"/>
  <c r="BD7" i="4"/>
  <c r="BD161" i="4"/>
  <c r="BD25" i="4"/>
  <c r="BD273" i="4"/>
  <c r="BD94" i="4"/>
  <c r="BD53" i="4"/>
  <c r="BD192" i="4"/>
  <c r="BD63" i="4"/>
  <c r="BD58" i="4"/>
  <c r="BD103" i="4"/>
  <c r="BD265" i="4"/>
  <c r="BD65" i="4"/>
  <c r="BD43" i="4"/>
  <c r="BD242" i="4"/>
  <c r="BD91" i="4"/>
  <c r="BD62" i="4"/>
  <c r="BD197" i="4"/>
  <c r="BD290" i="4"/>
  <c r="BD40" i="4"/>
  <c r="BD42" i="4"/>
  <c r="BD185" i="4"/>
  <c r="BD299" i="4"/>
  <c r="BD13" i="4"/>
  <c r="BD8" i="4"/>
  <c r="BD131" i="4"/>
  <c r="BD183" i="4"/>
  <c r="BD187" i="4"/>
  <c r="BD178" i="4"/>
  <c r="BD114" i="4"/>
  <c r="BD289" i="4"/>
  <c r="BD11" i="4"/>
  <c r="BD257" i="4"/>
  <c r="BD56" i="4"/>
  <c r="BD93" i="4"/>
  <c r="BD230" i="4"/>
  <c r="BD260" i="4"/>
  <c r="BD44" i="4"/>
  <c r="BD263" i="4"/>
  <c r="BD259" i="4"/>
  <c r="BD222" i="4"/>
  <c r="BD119" i="4"/>
  <c r="BD127" i="4"/>
  <c r="BD211" i="4"/>
  <c r="BD5" i="4"/>
  <c r="BE5" i="4" s="1"/>
  <c r="BD87" i="4"/>
  <c r="BD213" i="4"/>
  <c r="BD269" i="4"/>
  <c r="BD267" i="4"/>
  <c r="BD23" i="4"/>
  <c r="BD227" i="4"/>
  <c r="BD241" i="4"/>
  <c r="BD71" i="4"/>
  <c r="BD83" i="4"/>
  <c r="BD32" i="4"/>
  <c r="BD27" i="4"/>
  <c r="BD205" i="4"/>
  <c r="BD121" i="4"/>
  <c r="BD118" i="4"/>
  <c r="BD74" i="4"/>
  <c r="BD21" i="4"/>
  <c r="BD164" i="4"/>
  <c r="BD152" i="4"/>
  <c r="BD36" i="4"/>
  <c r="BD16" i="4"/>
  <c r="BD55" i="4"/>
  <c r="BD190" i="4"/>
  <c r="BD77" i="4"/>
  <c r="BD101" i="4"/>
  <c r="BD281" i="4"/>
  <c r="BD179" i="4"/>
  <c r="BD291" i="4"/>
  <c r="BD22" i="4"/>
  <c r="BD253" i="4"/>
  <c r="BD214" i="4"/>
  <c r="BD191" i="4"/>
  <c r="BD271" i="4"/>
  <c r="BD12" i="4"/>
  <c r="BD302" i="4"/>
  <c r="BD171" i="4"/>
  <c r="BD145" i="4"/>
  <c r="BD296" i="4"/>
  <c r="BD219" i="4"/>
  <c r="BD142" i="4"/>
  <c r="BD29" i="4"/>
  <c r="BD97" i="4"/>
  <c r="BD39" i="4"/>
  <c r="BD51" i="4"/>
  <c r="BD81" i="4"/>
  <c r="BD100" i="4"/>
  <c r="BD98" i="4"/>
  <c r="BD54" i="4"/>
  <c r="BD107" i="4"/>
  <c r="BD247" i="4"/>
  <c r="BD165" i="4"/>
  <c r="BD206" i="4"/>
  <c r="BD216" i="4"/>
  <c r="BD275" i="4"/>
  <c r="BD86" i="4"/>
  <c r="BD255" i="4"/>
  <c r="BD64" i="4"/>
  <c r="BD135" i="4"/>
  <c r="BD173" i="4"/>
  <c r="BD238" i="4"/>
  <c r="BD210" i="4"/>
  <c r="BD258" i="4"/>
  <c r="BD82" i="4"/>
  <c r="BD186" i="4"/>
  <c r="BD123" i="4"/>
  <c r="BD217" i="4"/>
  <c r="BD240" i="4"/>
  <c r="BD126" i="4"/>
  <c r="BD266" i="4"/>
  <c r="BD147" i="4"/>
  <c r="BD288" i="4"/>
  <c r="BD111" i="4"/>
  <c r="BD150" i="4"/>
  <c r="BD130" i="4"/>
  <c r="BD261" i="4"/>
  <c r="BD69" i="4"/>
  <c r="BD224" i="4"/>
  <c r="BD272" i="4"/>
  <c r="BD143" i="4"/>
  <c r="BD251" i="4"/>
  <c r="BD153" i="4"/>
  <c r="BD109" i="4"/>
  <c r="BD226" i="4"/>
  <c r="BD156" i="4"/>
  <c r="BD137" i="4"/>
  <c r="BD84" i="4"/>
  <c r="BD72" i="4"/>
  <c r="BD52" i="4"/>
  <c r="BD105" i="4"/>
  <c r="BD57" i="4"/>
  <c r="BD60" i="4"/>
  <c r="BD244" i="4"/>
  <c r="BD124" i="4"/>
  <c r="BD89" i="4"/>
  <c r="BD221" i="4"/>
  <c r="BD175" i="4"/>
  <c r="BD155" i="4"/>
  <c r="BD223" i="4"/>
  <c r="BD166" i="4"/>
  <c r="BD115" i="4"/>
  <c r="BD108" i="4"/>
  <c r="BD202" i="4"/>
  <c r="BD6" i="4"/>
  <c r="BD303" i="4"/>
  <c r="BD9" i="4"/>
  <c r="BD228" i="4"/>
  <c r="BD14" i="4"/>
  <c r="BD294" i="4"/>
  <c r="BD31" i="4"/>
  <c r="BD92" i="4"/>
  <c r="BD117" i="4"/>
  <c r="BD250" i="4"/>
  <c r="BD49" i="4"/>
  <c r="BD207" i="4"/>
  <c r="BD193" i="4"/>
  <c r="BD20" i="4"/>
  <c r="BD229" i="4"/>
  <c r="BD146" i="4"/>
  <c r="BD270" i="4"/>
  <c r="BD195" i="4"/>
  <c r="BD236" i="4"/>
  <c r="BD34" i="4"/>
  <c r="BD110" i="4"/>
  <c r="BD282" i="4"/>
  <c r="BD297" i="4"/>
  <c r="BD194" i="4"/>
  <c r="BD28" i="4"/>
  <c r="BD76" i="4"/>
  <c r="BD174" i="4"/>
  <c r="BD231" i="4"/>
  <c r="BD268" i="4"/>
  <c r="BD80" i="4"/>
  <c r="BD181" i="4"/>
  <c r="BD129" i="4"/>
  <c r="BD237" i="4"/>
  <c r="BD10" i="4"/>
  <c r="BD33" i="4"/>
  <c r="BD167" i="4"/>
  <c r="BD204" i="4"/>
  <c r="BD134" i="4"/>
  <c r="BD188" i="4"/>
  <c r="BD310" i="4"/>
  <c r="BD243" i="4"/>
  <c r="BD212" i="4"/>
  <c r="BD208" i="4"/>
  <c r="BD235" i="4"/>
  <c r="BD215" i="4"/>
  <c r="BD70" i="4"/>
  <c r="BD176" i="4"/>
  <c r="BD196" i="4"/>
  <c r="BD264" i="4"/>
  <c r="BD139" i="4"/>
  <c r="BD45" i="4"/>
  <c r="BD249" i="4"/>
  <c r="BD169" i="4"/>
  <c r="BD104" i="4"/>
  <c r="BD284" i="4"/>
  <c r="BD35" i="4"/>
  <c r="BD66" i="4"/>
  <c r="BD50" i="4"/>
  <c r="BD96" i="4"/>
  <c r="BD59" i="4"/>
  <c r="BD78" i="4"/>
  <c r="BD160" i="4"/>
  <c r="BD300" i="4"/>
  <c r="BD177" i="4"/>
  <c r="BD184" i="4"/>
  <c r="BD304" i="4"/>
  <c r="BD287" i="4"/>
  <c r="BD198" i="4"/>
  <c r="BD151" i="4"/>
  <c r="BD189" i="4"/>
  <c r="BD239" i="4"/>
  <c r="BD136" i="4"/>
  <c r="BD148" i="4"/>
  <c r="BD200" i="4"/>
  <c r="BD298" i="4"/>
  <c r="BD88" i="4"/>
  <c r="BD128" i="4"/>
  <c r="BD306" i="4"/>
  <c r="BD46" i="4"/>
  <c r="BD180" i="4"/>
  <c r="BD254" i="4"/>
  <c r="BD286" i="4"/>
  <c r="BD279" i="4"/>
  <c r="BD232" i="4"/>
  <c r="BD276" i="4"/>
  <c r="BD125" i="4"/>
  <c r="BD144" i="4"/>
  <c r="BD305" i="4"/>
  <c r="BD75" i="4"/>
  <c r="BD308" i="4"/>
  <c r="BD283" i="4"/>
  <c r="BD37" i="4"/>
  <c r="BD245" i="4"/>
  <c r="BD307" i="4"/>
  <c r="BD140" i="4"/>
  <c r="BD138" i="4"/>
  <c r="BD90" i="4"/>
  <c r="BD301" i="4"/>
  <c r="BD133" i="4"/>
  <c r="BD280" i="4"/>
  <c r="BD234" i="4"/>
  <c r="BD99" i="4"/>
  <c r="BD162" i="4"/>
  <c r="BD163" i="4"/>
  <c r="BD158" i="4"/>
  <c r="BD201" i="4"/>
  <c r="BD67" i="4"/>
  <c r="BD252" i="4"/>
  <c r="BD112" i="4"/>
  <c r="BD285" i="4"/>
  <c r="BD47" i="4"/>
  <c r="BD132" i="4"/>
  <c r="BD38" i="4"/>
  <c r="BD79" i="4"/>
  <c r="BD41" i="4"/>
  <c r="BD218" i="4"/>
  <c r="BD199" i="4"/>
  <c r="BD246" i="4"/>
  <c r="BD309" i="4"/>
  <c r="BD295" i="4"/>
  <c r="BD15" i="4"/>
  <c r="BD61" i="4"/>
  <c r="BD30" i="4"/>
  <c r="BD102" i="4"/>
  <c r="BD220" i="4"/>
  <c r="BD24" i="4"/>
  <c r="BD68" i="4"/>
  <c r="BD106" i="4"/>
  <c r="BD18" i="4"/>
  <c r="BD233" i="4"/>
  <c r="BD209" i="4"/>
  <c r="BD277" i="4"/>
  <c r="BD256" i="4"/>
  <c r="BD95" i="4"/>
  <c r="BD26" i="4"/>
  <c r="BD85" i="4"/>
  <c r="BD157" i="4"/>
  <c r="BD154" i="4"/>
  <c r="BD225" i="4"/>
  <c r="BD48" i="4"/>
  <c r="BD203" i="4"/>
  <c r="BD293" i="4"/>
  <c r="BD141" i="4"/>
  <c r="BD274" i="4"/>
  <c r="BD120" i="4"/>
  <c r="BD17" i="4"/>
  <c r="BD292" i="4"/>
  <c r="BD278" i="4"/>
  <c r="BD159" i="4"/>
  <c r="BD73" i="4"/>
  <c r="BD116" i="4"/>
  <c r="BD262" i="4"/>
  <c r="BD113" i="4"/>
  <c r="BD182" i="4"/>
  <c r="BE7" i="4" l="1"/>
  <c r="BE15" i="4"/>
  <c r="BE8" i="4"/>
  <c r="BE9" i="4"/>
  <c r="BE6" i="4"/>
  <c r="BE244" i="4"/>
  <c r="BE167" i="4"/>
  <c r="BE221" i="4"/>
  <c r="BE87" i="4"/>
  <c r="BE243" i="4"/>
  <c r="BE34" i="4"/>
  <c r="BE122" i="4"/>
  <c r="BE219" i="4"/>
  <c r="BE92" i="4"/>
  <c r="BE293" i="4"/>
  <c r="BE14" i="4"/>
  <c r="BE11" i="4"/>
  <c r="BE29" i="4"/>
  <c r="BE64" i="4"/>
  <c r="BE242" i="4"/>
  <c r="BE135" i="4"/>
  <c r="BE123" i="4"/>
  <c r="BE308" i="4"/>
  <c r="BE126" i="4"/>
  <c r="BE53" i="4"/>
  <c r="BE104" i="4"/>
  <c r="BE170" i="4"/>
  <c r="BE179" i="4"/>
  <c r="BE45" i="4"/>
  <c r="BE84" i="4"/>
  <c r="BE212" i="4"/>
  <c r="BE89" i="4"/>
  <c r="BE146" i="4"/>
  <c r="BE159" i="4"/>
  <c r="BE125" i="4"/>
  <c r="BE150" i="4"/>
  <c r="BE18" i="4"/>
  <c r="BE12" i="4"/>
  <c r="BE306" i="4"/>
  <c r="BE62" i="4"/>
  <c r="BE239" i="4"/>
  <c r="BE42" i="4"/>
  <c r="BE10" i="4"/>
  <c r="BE163" i="4"/>
  <c r="BE52" i="4"/>
  <c r="BE16" i="4"/>
  <c r="BE116" i="4"/>
  <c r="BE75" i="4"/>
  <c r="BE290" i="4"/>
  <c r="BE66" i="4"/>
  <c r="BE118" i="4"/>
  <c r="BE121" i="4"/>
  <c r="BE102" i="4"/>
  <c r="BE173" i="4"/>
  <c r="BE172" i="4"/>
  <c r="BE13" i="4"/>
  <c r="BE287" i="4"/>
  <c r="BE215" i="4"/>
  <c r="BE185" i="4"/>
  <c r="BE274" i="4"/>
  <c r="BE217" i="4"/>
  <c r="BE74" i="4"/>
  <c r="BE147" i="4"/>
  <c r="BE309" i="4"/>
  <c r="BE298" i="4"/>
  <c r="BE187" i="4"/>
  <c r="BE63" i="4"/>
  <c r="BE145" i="4"/>
  <c r="BE165" i="4"/>
  <c r="BE175" i="4"/>
  <c r="BE257" i="4"/>
  <c r="BE149" i="4"/>
  <c r="BE303" i="4"/>
  <c r="BE128" i="4"/>
  <c r="BE82" i="4"/>
  <c r="BE100" i="4"/>
  <c r="BE119" i="4"/>
  <c r="BE294" i="4"/>
  <c r="BE94" i="4"/>
  <c r="BE68" i="4"/>
  <c r="BE168" i="4"/>
  <c r="BE268" i="4"/>
  <c r="BE203" i="4"/>
  <c r="BE209" i="4"/>
  <c r="BE178" i="4"/>
  <c r="BE267" i="4"/>
  <c r="BE272" i="4"/>
  <c r="BE247" i="4"/>
  <c r="BE199" i="4"/>
  <c r="BE108" i="4"/>
  <c r="BE103" i="4"/>
  <c r="BE81" i="4"/>
  <c r="BE55" i="4"/>
  <c r="BE51" i="4"/>
  <c r="BE48" i="4"/>
  <c r="BE58" i="4"/>
  <c r="BE54" i="4"/>
  <c r="BE38" i="4"/>
  <c r="BE192" i="4"/>
  <c r="BE194" i="4"/>
  <c r="BE213" i="4"/>
  <c r="BE177" i="4"/>
  <c r="BE310" i="4"/>
  <c r="BE139" i="4"/>
  <c r="BE69" i="4"/>
  <c r="BE77" i="4"/>
  <c r="BE143" i="4"/>
  <c r="BE130" i="4"/>
  <c r="BE169" i="4"/>
  <c r="BE112" i="4"/>
  <c r="BE115" i="4"/>
  <c r="BE253" i="4"/>
  <c r="BE154" i="4"/>
  <c r="BE279" i="4"/>
  <c r="BE207" i="4"/>
  <c r="BE120" i="4"/>
  <c r="BE183" i="4"/>
  <c r="BE220" i="4"/>
  <c r="BE91" i="4"/>
  <c r="BE238" i="4"/>
  <c r="BE297" i="4"/>
  <c r="BE67" i="4"/>
  <c r="BE17" i="4"/>
  <c r="BE161" i="4"/>
  <c r="BE43" i="4"/>
  <c r="BE90" i="4"/>
  <c r="BE23" i="4"/>
  <c r="BE50" i="4"/>
  <c r="BE60" i="4"/>
  <c r="BE46" i="4"/>
  <c r="BE20" i="4"/>
  <c r="BE291" i="4"/>
  <c r="BE246" i="4"/>
  <c r="BE111" i="4"/>
  <c r="BE286" i="4"/>
  <c r="BE47" i="4"/>
  <c r="BE164" i="4"/>
  <c r="BE300" i="4"/>
  <c r="BE171" i="4"/>
  <c r="BE223" i="4"/>
  <c r="BE138" i="4"/>
  <c r="BE251" i="4"/>
  <c r="BE224" i="4"/>
  <c r="BE227" i="4"/>
  <c r="BE71" i="4"/>
  <c r="BE106" i="4"/>
  <c r="BE210" i="4"/>
  <c r="BE132" i="4"/>
  <c r="BE148" i="4"/>
  <c r="BE114" i="4"/>
  <c r="BE181" i="4"/>
  <c r="BE196" i="4"/>
  <c r="BE157" i="4"/>
  <c r="BE85" i="4"/>
  <c r="BE136" i="4"/>
  <c r="BE78" i="4"/>
  <c r="BE208" i="4"/>
  <c r="BE156" i="4"/>
  <c r="BE263" i="4"/>
  <c r="BE31" i="4"/>
  <c r="BE27" i="4"/>
  <c r="BE202" i="4"/>
  <c r="BE59" i="4"/>
  <c r="BE280" i="4"/>
  <c r="BE36" i="4"/>
  <c r="BE245" i="4"/>
  <c r="BE80" i="4"/>
  <c r="BE190" i="4"/>
  <c r="BE76" i="4"/>
  <c r="BE101" i="4"/>
  <c r="BE86" i="4"/>
  <c r="BE61" i="4"/>
  <c r="BE96" i="4"/>
  <c r="BE259" i="4"/>
  <c r="BE166" i="4"/>
  <c r="BE204" i="4"/>
  <c r="BE110" i="4"/>
  <c r="BE99" i="4"/>
  <c r="BE73" i="4"/>
  <c r="BE158" i="4"/>
  <c r="BE282" i="4"/>
  <c r="BE301" i="4"/>
  <c r="BE302" i="4"/>
  <c r="BE95" i="4"/>
  <c r="BE260" i="4"/>
  <c r="BE109" i="4"/>
  <c r="BE72" i="4"/>
  <c r="BE234" i="4"/>
  <c r="BE285" i="4"/>
  <c r="BE296" i="4"/>
  <c r="BE174" i="4"/>
  <c r="BE249" i="4"/>
  <c r="BE278" i="4"/>
  <c r="BE153" i="4"/>
  <c r="BE129" i="4"/>
  <c r="BE30" i="4"/>
  <c r="BE88" i="4"/>
  <c r="BE127" i="4"/>
  <c r="BE24" i="4"/>
  <c r="BE57" i="4"/>
  <c r="BE307" i="4"/>
  <c r="BE231" i="4"/>
  <c r="BE33" i="4"/>
  <c r="BE25" i="4"/>
  <c r="BE49" i="4"/>
  <c r="BE197" i="4"/>
  <c r="BE200" i="4"/>
  <c r="BE226" i="4"/>
  <c r="BE142" i="4"/>
  <c r="BE229" i="4"/>
  <c r="BE216" i="4"/>
  <c r="BE271" i="4"/>
  <c r="BE141" i="4"/>
  <c r="BE93" i="4"/>
  <c r="BE255" i="4"/>
  <c r="BE232" i="4"/>
  <c r="BE276" i="4"/>
  <c r="BE304" i="4"/>
  <c r="BE211" i="4"/>
  <c r="BE65" i="4"/>
  <c r="BE273" i="4"/>
  <c r="BE98" i="4"/>
  <c r="BE188" i="4"/>
  <c r="BE113" i="4"/>
  <c r="BE284" i="4"/>
  <c r="BE205" i="4"/>
  <c r="BE230" i="4"/>
  <c r="BE70" i="4"/>
  <c r="BE186" i="4"/>
  <c r="BE256" i="4"/>
  <c r="BE155" i="4"/>
  <c r="BE191" i="4"/>
  <c r="BE189" i="4"/>
  <c r="BE270" i="4"/>
  <c r="BE258" i="4"/>
  <c r="BE269" i="4"/>
  <c r="BE283" i="4"/>
  <c r="BE40" i="4"/>
  <c r="BE292" i="4"/>
  <c r="BE264" i="4"/>
  <c r="BE262" i="4"/>
  <c r="BE32" i="4"/>
  <c r="BE233" i="4"/>
  <c r="BE26" i="4"/>
  <c r="BE56" i="4"/>
  <c r="BE21" i="4"/>
  <c r="BE299" i="4"/>
  <c r="BE124" i="4"/>
  <c r="BE97" i="4"/>
  <c r="BE140" i="4"/>
  <c r="BE180" i="4"/>
  <c r="BE305" i="4"/>
  <c r="BE261" i="4"/>
  <c r="BE265" i="4"/>
  <c r="BE83" i="4"/>
  <c r="BE206" i="4"/>
  <c r="BE254" i="4"/>
  <c r="BE134" i="4"/>
  <c r="BE105" i="4"/>
  <c r="BE218" i="4"/>
  <c r="BE41" i="4"/>
  <c r="BE28" i="4"/>
  <c r="BE39" i="4"/>
  <c r="BE133" i="4"/>
  <c r="BE131" i="4"/>
  <c r="BE35" i="4"/>
  <c r="BE289" i="4"/>
  <c r="BE195" i="4"/>
  <c r="BE160" i="4"/>
  <c r="BE44" i="4"/>
  <c r="BE237" i="4"/>
  <c r="BE266" i="4"/>
  <c r="BE275" i="4"/>
  <c r="BE225" i="4"/>
  <c r="BE193" i="4"/>
  <c r="BE248" i="4"/>
  <c r="BE252" i="4"/>
  <c r="BE277" i="4"/>
  <c r="BE241" i="4"/>
  <c r="BE182" i="4"/>
  <c r="BE184" i="4"/>
  <c r="BE198" i="4"/>
  <c r="BE250" i="4"/>
  <c r="BE201" i="4"/>
  <c r="BE222" i="4"/>
  <c r="BE288" i="4"/>
  <c r="BE281" i="4"/>
  <c r="BE152" i="4"/>
  <c r="BE228" i="4"/>
  <c r="BE295" i="4"/>
  <c r="BE107" i="4"/>
  <c r="BE144" i="4"/>
  <c r="BE235" i="4"/>
  <c r="BE236" i="4"/>
  <c r="BE240" i="4"/>
  <c r="BE162" i="4"/>
  <c r="BE117" i="4"/>
  <c r="BE137" i="4"/>
  <c r="BE176" i="4"/>
  <c r="BE22" i="4"/>
  <c r="BE37" i="4"/>
  <c r="BE151" i="4"/>
  <c r="BE79" i="4"/>
  <c r="BE214" i="4"/>
  <c r="BE19" i="4"/>
  <c r="BF15" i="4" l="1"/>
  <c r="BF122" i="4"/>
  <c r="BF249" i="4"/>
  <c r="BF259" i="4"/>
  <c r="BF95" i="4"/>
  <c r="BF143" i="4"/>
  <c r="BF29" i="4"/>
  <c r="BF226" i="4"/>
  <c r="BF38" i="4"/>
  <c r="BF254" i="4"/>
  <c r="BF129" i="4"/>
  <c r="BF214" i="4"/>
  <c r="BF121" i="4"/>
  <c r="BF117" i="4"/>
  <c r="BF246" i="4"/>
  <c r="BF100" i="4"/>
  <c r="BF280" i="4"/>
  <c r="BF309" i="4"/>
  <c r="BF223" i="4"/>
  <c r="BF177" i="4"/>
  <c r="BF9" i="4"/>
  <c r="BF51" i="4"/>
  <c r="BF114" i="4"/>
  <c r="BF242" i="4"/>
  <c r="BF260" i="4"/>
  <c r="BF72" i="4"/>
  <c r="BF160" i="4"/>
  <c r="BF274" i="4"/>
  <c r="BF168" i="4"/>
  <c r="BF125" i="4"/>
  <c r="BF141" i="4"/>
  <c r="BF277" i="4"/>
  <c r="BF302" i="4"/>
  <c r="BF60" i="4"/>
  <c r="BF175" i="4"/>
  <c r="BF305" i="4"/>
  <c r="BF264" i="4"/>
  <c r="BF5" i="4"/>
  <c r="BF295" i="4"/>
  <c r="BF30" i="4"/>
  <c r="BF224" i="4"/>
  <c r="BF21" i="4"/>
  <c r="BF298" i="4"/>
  <c r="BF10" i="4"/>
  <c r="BF181" i="4"/>
  <c r="BF204" i="4"/>
  <c r="BF83" i="4"/>
  <c r="BF152" i="4"/>
  <c r="BF231" i="4"/>
  <c r="BF153" i="4"/>
  <c r="BF11" i="4"/>
  <c r="BF102" i="4"/>
  <c r="BF233" i="4"/>
  <c r="BF184" i="4"/>
  <c r="BF126" i="4"/>
  <c r="BF306" i="4"/>
  <c r="BF65" i="4"/>
  <c r="BF12" i="4"/>
  <c r="BF148" i="4"/>
  <c r="BF250" i="4"/>
  <c r="BF303" i="4"/>
  <c r="BF6" i="4"/>
  <c r="BF167" i="4"/>
  <c r="BF219" i="4"/>
  <c r="BF57" i="4"/>
  <c r="BF240" i="4"/>
  <c r="BF146" i="4"/>
  <c r="BF56" i="4"/>
  <c r="BF49" i="4"/>
  <c r="BF96" i="4"/>
  <c r="BF213" i="4"/>
  <c r="BF37" i="4"/>
  <c r="BF202" i="4"/>
  <c r="BF236" i="4"/>
  <c r="BF63" i="4"/>
  <c r="BF221" i="4"/>
  <c r="BF276" i="4"/>
  <c r="BF130" i="4"/>
  <c r="BF275" i="4"/>
  <c r="BF310" i="4"/>
  <c r="BF131" i="4"/>
  <c r="BF194" i="4"/>
  <c r="BF300" i="4"/>
  <c r="BF265" i="4"/>
  <c r="BF7" i="4"/>
  <c r="BF71" i="4"/>
  <c r="BF68" i="4"/>
  <c r="BF70" i="4"/>
  <c r="BF90" i="4"/>
  <c r="BF67" i="4"/>
  <c r="BF262" i="4"/>
  <c r="BF268" i="4"/>
  <c r="BF237" i="4"/>
  <c r="BF87" i="4"/>
  <c r="BF92" i="4"/>
  <c r="BF198" i="4"/>
  <c r="BF107" i="4"/>
  <c r="BF304" i="4"/>
  <c r="BF176" i="4"/>
  <c r="BF123" i="4"/>
  <c r="BF157" i="4"/>
  <c r="BF84" i="4"/>
  <c r="BF106" i="4"/>
  <c r="BF78" i="4"/>
  <c r="BF170" i="4"/>
  <c r="BF205" i="4"/>
  <c r="BF23" i="4"/>
  <c r="BF59" i="4"/>
  <c r="BF40" i="4"/>
  <c r="BF161" i="4"/>
  <c r="BF137" i="4"/>
  <c r="BF85" i="4"/>
  <c r="BF227" i="4"/>
  <c r="BF22" i="4"/>
  <c r="BF255" i="4"/>
  <c r="BF180" i="4"/>
  <c r="BF241" i="4"/>
  <c r="BF134" i="4"/>
  <c r="BF53" i="4"/>
  <c r="BF271" i="4"/>
  <c r="BF110" i="4"/>
  <c r="BF243" i="4"/>
  <c r="BF79" i="4"/>
  <c r="BF288" i="4"/>
  <c r="BF32" i="4"/>
  <c r="BF169" i="4"/>
  <c r="BF58" i="4"/>
  <c r="BF281" i="4"/>
  <c r="BF191" i="4"/>
  <c r="BF216" i="4"/>
  <c r="BF62" i="4"/>
  <c r="BF17" i="4"/>
  <c r="BF164" i="4"/>
  <c r="BF229" i="4"/>
  <c r="BF80" i="4"/>
  <c r="BF193" i="4"/>
  <c r="BF256" i="4"/>
  <c r="BF215" i="4"/>
  <c r="BF190" i="4"/>
  <c r="BF127" i="4"/>
  <c r="BF69" i="4"/>
  <c r="BF18" i="4"/>
  <c r="BF132" i="4"/>
  <c r="BF203" i="4"/>
  <c r="BF299" i="4"/>
  <c r="BF188" i="4"/>
  <c r="BF142" i="4"/>
  <c r="BF112" i="4"/>
  <c r="BF238" i="4"/>
  <c r="BF173" i="4"/>
  <c r="BF285" i="4"/>
  <c r="BF187" i="4"/>
  <c r="BF147" i="4"/>
  <c r="BF54" i="4"/>
  <c r="BF39" i="4"/>
  <c r="BF98" i="4"/>
  <c r="BF286" i="4"/>
  <c r="BF113" i="4"/>
  <c r="BF8" i="4"/>
  <c r="BF35" i="4"/>
  <c r="BF183" i="4"/>
  <c r="BF217" i="4"/>
  <c r="BF230" i="4"/>
  <c r="BF171" i="4"/>
  <c r="BF89" i="4"/>
  <c r="BF247" i="4"/>
  <c r="BF279" i="4"/>
  <c r="BF211" i="4"/>
  <c r="BF97" i="4"/>
  <c r="BF178" i="4"/>
  <c r="BF86" i="4"/>
  <c r="BF273" i="4"/>
  <c r="BF266" i="4"/>
  <c r="BF197" i="4"/>
  <c r="BF44" i="4"/>
  <c r="BF77" i="4"/>
  <c r="BF258" i="4"/>
  <c r="BF248" i="4"/>
  <c r="BF91" i="4"/>
  <c r="BF165" i="4"/>
  <c r="BF245" i="4"/>
  <c r="BF99" i="4"/>
  <c r="BF13" i="4"/>
  <c r="BF244" i="4"/>
  <c r="BF269" i="4"/>
  <c r="BF222" i="4"/>
  <c r="BF19" i="4"/>
  <c r="BF199" i="4"/>
  <c r="BF31" i="4"/>
  <c r="BF257" i="4"/>
  <c r="BF42" i="4"/>
  <c r="BF14" i="4"/>
  <c r="BF200" i="4"/>
  <c r="BF94" i="4"/>
  <c r="BF105" i="4"/>
  <c r="BF135" i="4"/>
  <c r="BF158" i="4"/>
  <c r="BF291" i="4"/>
  <c r="BF272" i="4"/>
  <c r="BF116" i="4"/>
  <c r="BF50" i="4"/>
  <c r="BF186" i="4"/>
  <c r="BF24" i="4"/>
  <c r="BF61" i="4"/>
  <c r="BF25" i="4"/>
  <c r="BF47" i="4"/>
  <c r="BF287" i="4"/>
  <c r="BF172" i="4"/>
  <c r="BF239" i="4"/>
  <c r="BF140" i="4"/>
  <c r="BF212" i="4"/>
  <c r="BF284" i="4"/>
  <c r="BF253" i="4"/>
  <c r="BF308" i="4"/>
  <c r="BF154" i="4"/>
  <c r="BF289" i="4"/>
  <c r="BF150" i="4"/>
  <c r="BF189" i="4"/>
  <c r="BF206" i="4"/>
  <c r="BF101" i="4"/>
  <c r="BF27" i="4"/>
  <c r="BF133" i="4"/>
  <c r="BF278" i="4"/>
  <c r="BF218" i="4"/>
  <c r="BF166" i="4"/>
  <c r="BF55" i="4"/>
  <c r="BF252" i="4"/>
  <c r="BF149" i="4"/>
  <c r="BF174" i="4"/>
  <c r="BF282" i="4"/>
  <c r="BF182" i="4"/>
  <c r="BF220" i="4"/>
  <c r="BF111" i="4"/>
  <c r="BF228" i="4"/>
  <c r="BF290" i="4"/>
  <c r="BF103" i="4"/>
  <c r="BF234" i="4"/>
  <c r="BF46" i="4"/>
  <c r="BF109" i="4"/>
  <c r="BF283" i="4"/>
  <c r="BF162" i="4"/>
  <c r="BF232" i="4"/>
  <c r="BF26" i="4"/>
  <c r="BF43" i="4"/>
  <c r="BF251" i="4"/>
  <c r="BF73" i="4"/>
  <c r="BF118" i="4"/>
  <c r="BF235" i="4"/>
  <c r="BF93" i="4"/>
  <c r="BF104" i="4"/>
  <c r="BF296" i="4"/>
  <c r="BF115" i="4"/>
  <c r="BF207" i="4"/>
  <c r="BF76" i="4"/>
  <c r="BF210" i="4"/>
  <c r="BF156" i="4"/>
  <c r="BF263" i="4"/>
  <c r="BF48" i="4"/>
  <c r="BF138" i="4"/>
  <c r="BF185" i="4"/>
  <c r="BF75" i="4"/>
  <c r="BF179" i="4"/>
  <c r="BF139" i="4"/>
  <c r="BF28" i="4"/>
  <c r="BF297" i="4"/>
  <c r="BF66" i="4"/>
  <c r="BF119" i="4"/>
  <c r="BF64" i="4"/>
  <c r="BF225" i="4"/>
  <c r="BF34" i="4"/>
  <c r="BF145" i="4"/>
  <c r="BF33" i="4"/>
  <c r="BF124" i="4"/>
  <c r="BF195" i="4"/>
  <c r="BF208" i="4"/>
  <c r="BF201" i="4"/>
  <c r="BF52" i="4"/>
  <c r="BF151" i="4"/>
  <c r="BF209" i="4"/>
  <c r="BF270" i="4"/>
  <c r="BF163" i="4"/>
  <c r="BF261" i="4"/>
  <c r="BF82" i="4"/>
  <c r="BF45" i="4"/>
  <c r="BF144" i="4"/>
  <c r="BF108" i="4"/>
  <c r="BF88" i="4"/>
  <c r="BF267" i="4"/>
  <c r="BF20" i="4"/>
  <c r="BF301" i="4"/>
  <c r="BF36" i="4"/>
  <c r="BF16" i="4"/>
  <c r="BF159" i="4"/>
  <c r="BF128" i="4"/>
  <c r="BF307" i="4"/>
  <c r="BF136" i="4"/>
  <c r="BF293" i="4"/>
  <c r="BF81" i="4"/>
  <c r="BF196" i="4"/>
  <c r="BF155" i="4"/>
  <c r="BF192" i="4"/>
  <c r="BF41" i="4"/>
  <c r="BF74" i="4"/>
  <c r="BF294" i="4"/>
  <c r="BF120" i="4"/>
  <c r="BF29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Iomar</author>
  </authors>
  <commentList>
    <comment ref="G80" authorId="0" shapeId="0" xr:uid="{69CDE81A-04CB-415D-B6F8-ED0BB1C0FFDE}">
      <text>
        <r>
          <rPr>
            <sz val="9"/>
            <color indexed="81"/>
            <rFont val="Segoe UI"/>
            <family val="2"/>
          </rPr>
          <t>Relação mínima de 0,05% PV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Iomar</author>
  </authors>
  <commentList>
    <comment ref="Q5" authorId="0" shapeId="0" xr:uid="{80E3E939-3D61-4C7B-B6A0-7E936201F2B2}">
      <text>
        <r>
          <rPr>
            <b/>
            <sz val="9"/>
            <color indexed="81"/>
            <rFont val="Segoe UI"/>
            <family val="2"/>
          </rPr>
          <t>Iomar:</t>
        </r>
        <r>
          <rPr>
            <sz val="9"/>
            <color indexed="81"/>
            <rFont val="Segoe UI"/>
            <family val="2"/>
          </rPr>
          <t xml:space="preserve">
Produção Carne ou Leite (kg)</t>
        </r>
      </text>
    </comment>
    <comment ref="C114" authorId="0" shapeId="0" xr:uid="{5F3226AA-C2FD-4D02-9B01-7E6F7BF1822D}">
      <text>
        <r>
          <rPr>
            <b/>
            <sz val="9"/>
            <color indexed="81"/>
            <rFont val="Segoe UI"/>
            <family val="2"/>
          </rPr>
          <t>Iomar:</t>
        </r>
        <r>
          <rPr>
            <sz val="9"/>
            <color indexed="81"/>
            <rFont val="Segoe UI"/>
            <family val="2"/>
          </rPr>
          <t xml:space="preserve">
Só Backup</t>
        </r>
      </text>
    </comment>
  </commentList>
</comments>
</file>

<file path=xl/sharedStrings.xml><?xml version="1.0" encoding="utf-8"?>
<sst xmlns="http://schemas.openxmlformats.org/spreadsheetml/2006/main" count="9714" uniqueCount="1509">
  <si>
    <t>Mínimo</t>
  </si>
  <si>
    <t>Máximo</t>
  </si>
  <si>
    <t>Exigência</t>
  </si>
  <si>
    <t>Volumoso</t>
  </si>
  <si>
    <t>Concentrado</t>
  </si>
  <si>
    <t>Unidade</t>
  </si>
  <si>
    <t>Matéria Seca (kg)</t>
  </si>
  <si>
    <t>kg</t>
  </si>
  <si>
    <t>NDT (kg)</t>
  </si>
  <si>
    <t>Proteína Bruta (g)</t>
  </si>
  <si>
    <t>g</t>
  </si>
  <si>
    <t>Cálcio (g)</t>
  </si>
  <si>
    <t>Fósforo Total (g)</t>
  </si>
  <si>
    <t>Prot. Deg. Rum. (PDR) (g)</t>
  </si>
  <si>
    <t>FDN (kg)</t>
  </si>
  <si>
    <t>Gordura (g)</t>
  </si>
  <si>
    <t>Mg (g)</t>
  </si>
  <si>
    <t>Sódio (g)</t>
  </si>
  <si>
    <t>K (g)</t>
  </si>
  <si>
    <t>S (g)</t>
  </si>
  <si>
    <t>Cu (mg)</t>
  </si>
  <si>
    <t>mg</t>
  </si>
  <si>
    <t>Zn (mg)</t>
  </si>
  <si>
    <t>Fe (mg)</t>
  </si>
  <si>
    <t>Mn (mg)</t>
  </si>
  <si>
    <t>I (mg)</t>
  </si>
  <si>
    <t>Co (mg)</t>
  </si>
  <si>
    <t>Se (mg)</t>
  </si>
  <si>
    <t>Cl (g)</t>
  </si>
  <si>
    <t>Mo (mg)</t>
  </si>
  <si>
    <t>Volumoso (kg)</t>
  </si>
  <si>
    <t>PB (NNP) (g)</t>
  </si>
  <si>
    <t>ED-Bovinos Mcal</t>
  </si>
  <si>
    <t>Mcal</t>
  </si>
  <si>
    <t>FDA (kg)</t>
  </si>
  <si>
    <t>Lisina (g)</t>
  </si>
  <si>
    <t>Metionina (g)</t>
  </si>
  <si>
    <t>Tamponante (g)</t>
  </si>
  <si>
    <t>Monensina (ppm)</t>
  </si>
  <si>
    <t>ppm</t>
  </si>
  <si>
    <t>Vit A (UI)</t>
  </si>
  <si>
    <t>UI</t>
  </si>
  <si>
    <t>-</t>
  </si>
  <si>
    <t>Mín</t>
  </si>
  <si>
    <t>Máx</t>
  </si>
  <si>
    <t>Limite Nutricional Mínimo</t>
  </si>
  <si>
    <t>Limite Nutricional Máximo</t>
  </si>
  <si>
    <t>Atendimento Nutricional</t>
  </si>
  <si>
    <t>Status do atendimento</t>
  </si>
  <si>
    <t>Diferença do atendimento(%)</t>
  </si>
  <si>
    <t>Arbitrar Flutuação Geral em (%)</t>
  </si>
  <si>
    <t>Aveia</t>
  </si>
  <si>
    <t>Melaço</t>
  </si>
  <si>
    <t>MDPS</t>
  </si>
  <si>
    <t>Feijão</t>
  </si>
  <si>
    <t>Refinazil</t>
  </si>
  <si>
    <t xml:space="preserve">Bicarbonato de K </t>
  </si>
  <si>
    <t xml:space="preserve">Flor de S </t>
  </si>
  <si>
    <t>Mistura (Kg/MN)</t>
  </si>
  <si>
    <t>Arbitrar Manual o Mín cada Nutriente</t>
  </si>
  <si>
    <t>Arbitrar Manual Máx p cada Nutriente</t>
  </si>
  <si>
    <t>Proporção</t>
  </si>
  <si>
    <r>
      <t>Qua</t>
    </r>
    <r>
      <rPr>
        <b/>
        <sz val="11"/>
        <rFont val="Calibri"/>
        <family val="2"/>
      </rPr>
      <t>ntidade (kg)</t>
    </r>
  </si>
  <si>
    <t>Valor Unit (R$)</t>
  </si>
  <si>
    <t>Valor Total (R$)</t>
  </si>
  <si>
    <t>Nutriente na MN</t>
  </si>
  <si>
    <t>Nutriente na MS</t>
  </si>
  <si>
    <t>FONTE</t>
  </si>
  <si>
    <t>#</t>
  </si>
  <si>
    <t>Limites</t>
  </si>
  <si>
    <t>Kg/dia</t>
  </si>
  <si>
    <t>Gramas/dia</t>
  </si>
  <si>
    <t>Informe a quantidade de Animais</t>
  </si>
  <si>
    <t>Valor (R$/kg)</t>
  </si>
  <si>
    <t>Ingrediente</t>
  </si>
  <si>
    <t>Classificação Alimento</t>
  </si>
  <si>
    <t>MPR</t>
  </si>
  <si>
    <t>Tonelada(s)</t>
  </si>
  <si>
    <t>Kg</t>
  </si>
  <si>
    <t>Gramas</t>
  </si>
  <si>
    <t>Classificação</t>
  </si>
  <si>
    <t>MPR2</t>
  </si>
  <si>
    <t>Tonelada</t>
  </si>
  <si>
    <t>NDT</t>
  </si>
  <si>
    <t>Pré-Filtro</t>
  </si>
  <si>
    <t>Apoio Ordem A-Z</t>
  </si>
  <si>
    <t>Apenas seq</t>
  </si>
  <si>
    <t>Alimentos Ordenados</t>
  </si>
  <si>
    <t>Lista de Exigências</t>
  </si>
  <si>
    <t>Alfafa, Feno</t>
  </si>
  <si>
    <t>Algodão, Caroço</t>
  </si>
  <si>
    <t>Algodão, Torta</t>
  </si>
  <si>
    <t>Alpha Nucleo Bovinos Confinamento</t>
  </si>
  <si>
    <t>Alpha Nucleo Bovinos M</t>
  </si>
  <si>
    <t>Amendoim Forrageiro</t>
  </si>
  <si>
    <t>Amendoim, Farelo</t>
  </si>
  <si>
    <t>Amiréia</t>
  </si>
  <si>
    <t>Arroz, Farelo</t>
  </si>
  <si>
    <t>Arroz, Farelo Desengordurado</t>
  </si>
  <si>
    <t>Arroz, Farelo Integral</t>
  </si>
  <si>
    <t>Arroz, Palha</t>
  </si>
  <si>
    <t>Aveia, Grão</t>
  </si>
  <si>
    <t>Babaçu, Farelo</t>
  </si>
  <si>
    <t>Bicarbonato Sódio (Nahco3)</t>
  </si>
  <si>
    <t>Bovitop Nucleo Proteinado</t>
  </si>
  <si>
    <t>Cacau, Farelo</t>
  </si>
  <si>
    <t>Café, Casca</t>
  </si>
  <si>
    <t>Calcário</t>
  </si>
  <si>
    <t>Cana-de-Açúcar</t>
  </si>
  <si>
    <t>Cana-de-Açúcar Picada</t>
  </si>
  <si>
    <t>Cana-de-Açúcar, Bagaço</t>
  </si>
  <si>
    <t>Canola, Farelo</t>
  </si>
  <si>
    <t>Canola, Farelo (BRC3.0)</t>
  </si>
  <si>
    <t>Capim Andropogon</t>
  </si>
  <si>
    <t>Capim Bahia (Paspalum)</t>
  </si>
  <si>
    <t>Capim Bermuda (Cynodon)</t>
  </si>
  <si>
    <t>Capim Braquiária</t>
  </si>
  <si>
    <t>Capim Braquiária Brizantha</t>
  </si>
  <si>
    <t>Capim Braquiária Brizantha (46 A 60 Dias)</t>
  </si>
  <si>
    <t>Capim Braquiária Brizantha (61 A 90 Dias)</t>
  </si>
  <si>
    <t>Capim Braquiária Brizantha (91 A 120 Dias)</t>
  </si>
  <si>
    <t>Capim Braquiária Brizantha Feno</t>
  </si>
  <si>
    <t>Capim Braquiária Brizantha Marandu</t>
  </si>
  <si>
    <t>Capim Braquiária Brizantha Marandu (61 A 90 Dias)</t>
  </si>
  <si>
    <t>Capim Braquiaria Brizantha Marandu Outono</t>
  </si>
  <si>
    <t>Capim Braquiaria Brizantha Marandu Primavera</t>
  </si>
  <si>
    <t>Capim Braquiaria Brizantha Marandu Verão</t>
  </si>
  <si>
    <t>Capim Braquiaria Brizantha Mg4</t>
  </si>
  <si>
    <t>Capim Braquiaria Brizantha Mg4 (61 A 90 Dias)</t>
  </si>
  <si>
    <t>Capim Braquiária Brizantha Piatã (61 A 90 Dias)</t>
  </si>
  <si>
    <t>Capim Braquiária Brizantha Xaraés</t>
  </si>
  <si>
    <t>Capim Braquiária Decumbens</t>
  </si>
  <si>
    <t>Capim Braquiária Decumbens (121 A 150 Dias)</t>
  </si>
  <si>
    <t>Capim Braquiária Decumbens (26 A 30 Dias)</t>
  </si>
  <si>
    <t>Capim Braquiária Decumbens (46 A 60 Dias)</t>
  </si>
  <si>
    <t>Capim Braquiária Decumbens (61 A 90 Dias)</t>
  </si>
  <si>
    <t>Capim Braquiária Decumbens (91 A 120 Dias)</t>
  </si>
  <si>
    <t>Capim Braquiária Decumbens Águas-Seca</t>
  </si>
  <si>
    <t>Capim Braquiária Decumbens Feno</t>
  </si>
  <si>
    <t>Capim Braquiaria Decumbens Outubro</t>
  </si>
  <si>
    <t>Capim Braquiária Decumbens Período Seco</t>
  </si>
  <si>
    <t>Capim Braquiaria Hibrida Mulato</t>
  </si>
  <si>
    <t>Capim Braquiaria Hibrida Mulato Outono</t>
  </si>
  <si>
    <t>Capim Braquiaria Hibrida Mulato Primavera</t>
  </si>
  <si>
    <t>Capim Braquiaria Hibrida Mulato Verão</t>
  </si>
  <si>
    <t>Capim Braquiária Humidícola</t>
  </si>
  <si>
    <t>Capim Buffel (61 A 90 Dias)</t>
  </si>
  <si>
    <t>Capim Coast Cross</t>
  </si>
  <si>
    <t>Capim Coast Cross, Feno</t>
  </si>
  <si>
    <t>Capim Colonião</t>
  </si>
  <si>
    <t>Capim Colonião Outono</t>
  </si>
  <si>
    <t>Capim Colonião Primavera</t>
  </si>
  <si>
    <t>Capim Colonião Verão</t>
  </si>
  <si>
    <t>Capim Elefante</t>
  </si>
  <si>
    <t>Capim Elefante (26 A 30 Dias)</t>
  </si>
  <si>
    <t>Capim Elefante (36 A 45 Dias)</t>
  </si>
  <si>
    <t>Capim Elefante (Média)</t>
  </si>
  <si>
    <t>Capim Elefante Anão (61 A 90 Dias)</t>
  </si>
  <si>
    <t>Capim Elefante Cameroon</t>
  </si>
  <si>
    <t>Capim Elefante Cameroon (61 A 90 Dias)</t>
  </si>
  <si>
    <t>Capim Elefante Paraiso (61 A 90 Dias)</t>
  </si>
  <si>
    <t>Capim Elefante, Feno</t>
  </si>
  <si>
    <t>Capim Gordura</t>
  </si>
  <si>
    <t>Capim Gordura (121 A 150 Dias)</t>
  </si>
  <si>
    <t>Capim Gordura (2 A 30 Dias)</t>
  </si>
  <si>
    <t>Capim Gordura (46 A 60 Dias)</t>
  </si>
  <si>
    <t>Capim Gordura (61 A 90 Dias)</t>
  </si>
  <si>
    <t>Capim Gordura (91 A 120 Dias)</t>
  </si>
  <si>
    <t>Capim Jaraguá</t>
  </si>
  <si>
    <t>Capim Massai (61 A 90 Dias)</t>
  </si>
  <si>
    <t>Capim Mombaça</t>
  </si>
  <si>
    <t>Capim Mombaça (61 A 90 Dias)</t>
  </si>
  <si>
    <t>Capim Pangola (Digitária)</t>
  </si>
  <si>
    <t>Capim Setária (61 A 90 Dias)</t>
  </si>
  <si>
    <t>Capim Sudão</t>
  </si>
  <si>
    <t>Capim Tanzânia</t>
  </si>
  <si>
    <t>Capim Tanzânia (61 A 90 Dias)</t>
  </si>
  <si>
    <t>Capim Tifton 68</t>
  </si>
  <si>
    <t>Capim Tifton 85</t>
  </si>
  <si>
    <t>Capim Tifton 85 (26 A 30 Dias)</t>
  </si>
  <si>
    <t>Capim Tifton 85 (46 A 60 Dias)</t>
  </si>
  <si>
    <t>Capim Tifton 85, Feno</t>
  </si>
  <si>
    <t>Cevada Úmida</t>
  </si>
  <si>
    <t>Citrus Polpa</t>
  </si>
  <si>
    <t>Cloreto de Calcio</t>
  </si>
  <si>
    <t>Cloreto de Potássio</t>
  </si>
  <si>
    <t>Coco, Farelo</t>
  </si>
  <si>
    <t>Cunhã</t>
  </si>
  <si>
    <t>Dendê, Torta</t>
  </si>
  <si>
    <t>Faveira, Vagem</t>
  </si>
  <si>
    <t>Feijão Moído</t>
  </si>
  <si>
    <t>Fosbovi Nucleo Proteico</t>
  </si>
  <si>
    <t>Fosfato Bicálcico</t>
  </si>
  <si>
    <t>Girassol, Farelo</t>
  </si>
  <si>
    <t>Girassol, Farelo 34%</t>
  </si>
  <si>
    <t>Girassol, Farelo 45%</t>
  </si>
  <si>
    <t>Gliricídia</t>
  </si>
  <si>
    <t>Guandu, Farelo</t>
  </si>
  <si>
    <t>Iodato de Potássio</t>
  </si>
  <si>
    <t>Leucena</t>
  </si>
  <si>
    <t>Mamona, Farelo</t>
  </si>
  <si>
    <t>Mamona, Farelo Detoxificado</t>
  </si>
  <si>
    <t>Mamona, Torta</t>
  </si>
  <si>
    <t>Mamona, Torta Detoxificada</t>
  </si>
  <si>
    <t>Mandioca, Casca</t>
  </si>
  <si>
    <t>Mandioca, Raspa</t>
  </si>
  <si>
    <t>Mandioca, Raspa (BRC3.0)</t>
  </si>
  <si>
    <t>Maniçoba</t>
  </si>
  <si>
    <t>Maniçoba, Feno</t>
  </si>
  <si>
    <t>Milheto</t>
  </si>
  <si>
    <t>Milho Desintegrado com Palha e Sabugo</t>
  </si>
  <si>
    <t>Milho Gérmen, Farelo</t>
  </si>
  <si>
    <t>Milho Glúten 60</t>
  </si>
  <si>
    <t>Milho Glúten Farelo 21</t>
  </si>
  <si>
    <t>Milho, Fubá (BRC3.0)</t>
  </si>
  <si>
    <t>Mororó</t>
  </si>
  <si>
    <t>Nabo Forrageiro, Torta</t>
  </si>
  <si>
    <t>Nucleo Confinamento 150 Premix</t>
  </si>
  <si>
    <t>Nucleo Confinamento Aep</t>
  </si>
  <si>
    <t>Nucleo Terrafos Confinamento Mv</t>
  </si>
  <si>
    <t>Nucleo Tortuga</t>
  </si>
  <si>
    <t>Nutroboi Nucleo M+V</t>
  </si>
  <si>
    <t>Ouricuri, Farelo</t>
  </si>
  <si>
    <t>Óxido de Magnésio</t>
  </si>
  <si>
    <t>Palma Miúda</t>
  </si>
  <si>
    <t>Pastagem (Água)</t>
  </si>
  <si>
    <t>Pastagem (Seca)</t>
  </si>
  <si>
    <t>Peixe, Farinha</t>
  </si>
  <si>
    <t>Polpa Cítrica</t>
  </si>
  <si>
    <t>Res. Seco Dest. Com Solúveis, Milho - (DDGS)</t>
  </si>
  <si>
    <t>Resíduo de Cervejaria Úmido</t>
  </si>
  <si>
    <t>Resíduo Seco de Destilaria, Milho (DDG)</t>
  </si>
  <si>
    <t>Resíduo Úmido de Destilaria, Milho (WDG)</t>
  </si>
  <si>
    <t>Sabiá</t>
  </si>
  <si>
    <t>Selenito de Sódio</t>
  </si>
  <si>
    <t>Soja, Casca</t>
  </si>
  <si>
    <t>Soja, Farelo Extrusado</t>
  </si>
  <si>
    <t>Soja, Grão</t>
  </si>
  <si>
    <t>Soja, Grão Tostada</t>
  </si>
  <si>
    <t>Sorgo Forrageiro</t>
  </si>
  <si>
    <t>Sorgo, Grão</t>
  </si>
  <si>
    <t>Sorgo, Grão (BRC3.0)</t>
  </si>
  <si>
    <t>Sulfato de Manganês</t>
  </si>
  <si>
    <t>Sulfato de Zinco</t>
  </si>
  <si>
    <t>Trigo, Farelo</t>
  </si>
  <si>
    <t>Trigo, Farelo (BRC)</t>
  </si>
  <si>
    <t>Trigo, Grão</t>
  </si>
  <si>
    <t>Vantage Nucleo Peso</t>
  </si>
  <si>
    <t>Forragens Secas</t>
  </si>
  <si>
    <t>Forragens Verdes</t>
  </si>
  <si>
    <t>Concentrados Protéicos</t>
  </si>
  <si>
    <t>Núcleo</t>
  </si>
  <si>
    <t>Concentrados Energéticos</t>
  </si>
  <si>
    <t>Fontes de Minerais</t>
  </si>
  <si>
    <t>Silagens</t>
  </si>
  <si>
    <t>Cevada</t>
  </si>
  <si>
    <t>Tortuga</t>
  </si>
  <si>
    <t>Código</t>
  </si>
  <si>
    <t>Matéria Seca</t>
  </si>
  <si>
    <t>MS</t>
  </si>
  <si>
    <t>Carboidratos Não Fibrosos</t>
  </si>
  <si>
    <t>CNF</t>
  </si>
  <si>
    <t>FDN</t>
  </si>
  <si>
    <t>FDA</t>
  </si>
  <si>
    <t>EE</t>
  </si>
  <si>
    <t>Nutrientes Digestíveis Totais</t>
  </si>
  <si>
    <t>Energia Metabolizável</t>
  </si>
  <si>
    <t>EM</t>
  </si>
  <si>
    <t>EL</t>
  </si>
  <si>
    <t>Proteína Bruta</t>
  </si>
  <si>
    <t>PB</t>
  </si>
  <si>
    <t>Proteína Metabolizável</t>
  </si>
  <si>
    <t>PM</t>
  </si>
  <si>
    <t>Proteína Degradada no Rúmen</t>
  </si>
  <si>
    <t>PDR</t>
  </si>
  <si>
    <t>Proteína Não Degradada no Rúmen</t>
  </si>
  <si>
    <t>PNDR</t>
  </si>
  <si>
    <t>Cálcio</t>
  </si>
  <si>
    <t>Ca</t>
  </si>
  <si>
    <t>Fósforo</t>
  </si>
  <si>
    <t>P</t>
  </si>
  <si>
    <t>Magnésio</t>
  </si>
  <si>
    <t>Mg</t>
  </si>
  <si>
    <t>Potássio</t>
  </si>
  <si>
    <t>K</t>
  </si>
  <si>
    <t>Sódio</t>
  </si>
  <si>
    <t>Na</t>
  </si>
  <si>
    <t>Enxofre</t>
  </si>
  <si>
    <t>S</t>
  </si>
  <si>
    <t>Lis</t>
  </si>
  <si>
    <t>Met</t>
  </si>
  <si>
    <t>Cobalto</t>
  </si>
  <si>
    <t>Co</t>
  </si>
  <si>
    <t>Cobre</t>
  </si>
  <si>
    <t>Cu</t>
  </si>
  <si>
    <t>Iodo</t>
  </si>
  <si>
    <t>I</t>
  </si>
  <si>
    <t>Manganês</t>
  </si>
  <si>
    <t>Mn</t>
  </si>
  <si>
    <t>Selênio</t>
  </si>
  <si>
    <t>Se</t>
  </si>
  <si>
    <t>Zinco</t>
  </si>
  <si>
    <t>Zn</t>
  </si>
  <si>
    <t>Vitamina A</t>
  </si>
  <si>
    <t>Mon</t>
  </si>
  <si>
    <t>Atendimento</t>
  </si>
  <si>
    <t>ED</t>
  </si>
  <si>
    <t>Ferro</t>
  </si>
  <si>
    <t>Fe</t>
  </si>
  <si>
    <t>Proteína (NNP)</t>
  </si>
  <si>
    <t>Situação</t>
  </si>
  <si>
    <r>
      <t xml:space="preserve">Preço </t>
    </r>
    <r>
      <rPr>
        <b/>
        <sz val="8"/>
        <rFont val="Calibri"/>
        <family val="2"/>
      </rPr>
      <t>Cadastrado</t>
    </r>
  </si>
  <si>
    <t>* A planilha abaixo informa a contribuição de cada ingrediente!</t>
  </si>
  <si>
    <t>Inclusão Mín (Kg)</t>
  </si>
  <si>
    <t>Inclusão Máx (Kg)</t>
  </si>
  <si>
    <t>Vit A</t>
  </si>
  <si>
    <t>Algodão, Farelo 28%PB</t>
  </si>
  <si>
    <t>Algodão, Farelo 38%PB</t>
  </si>
  <si>
    <t>MN</t>
  </si>
  <si>
    <t>Ca/P</t>
  </si>
  <si>
    <r>
      <t>Preço</t>
    </r>
    <r>
      <rPr>
        <b/>
        <i/>
        <sz val="8"/>
        <rFont val="Arial"/>
        <family val="2"/>
      </rPr>
      <t xml:space="preserve"> Atual (Kg)</t>
    </r>
  </si>
  <si>
    <t>Proporção Mistura</t>
  </si>
  <si>
    <t>%</t>
  </si>
  <si>
    <t>Descrição</t>
  </si>
  <si>
    <t>Matéria Mineral</t>
  </si>
  <si>
    <t>Matéria Orgânica</t>
  </si>
  <si>
    <t>Proteína Não Degradável no Rúmen</t>
  </si>
  <si>
    <t>PB Fração Solúvel A</t>
  </si>
  <si>
    <t>PB Fração Degradável B</t>
  </si>
  <si>
    <t>Lignina</t>
  </si>
  <si>
    <t>Nutriente Novo 02</t>
  </si>
  <si>
    <t>Nutriente Novo 03</t>
  </si>
  <si>
    <t>Nutriente Novo 04</t>
  </si>
  <si>
    <t>Nutriente Novo 05</t>
  </si>
  <si>
    <t>Nutriente Novo 06</t>
  </si>
  <si>
    <t>Nutriente Novo 07</t>
  </si>
  <si>
    <t>Nutriente Novo 08</t>
  </si>
  <si>
    <t>Nutriente Novo 09</t>
  </si>
  <si>
    <t>Novo 02</t>
  </si>
  <si>
    <t>Novo 03</t>
  </si>
  <si>
    <t>Novo 09</t>
  </si>
  <si>
    <t>Vit B (UI)</t>
  </si>
  <si>
    <t>Energia Digestível (Bovinos)</t>
  </si>
  <si>
    <t>Energia Metabolizável (Bovinos)</t>
  </si>
  <si>
    <t>Energia Líquida (Bovinos)</t>
  </si>
  <si>
    <t>Gordura</t>
  </si>
  <si>
    <t>Proteína Degradável no Rúmen</t>
  </si>
  <si>
    <t>Monensina</t>
  </si>
  <si>
    <t>Vitamina B</t>
  </si>
  <si>
    <t>Metionina</t>
  </si>
  <si>
    <t>Lisina</t>
  </si>
  <si>
    <t>Peso Corporal em Jejum</t>
  </si>
  <si>
    <t>PCJ</t>
  </si>
  <si>
    <t>Peso de Corpo Vazio</t>
  </si>
  <si>
    <t>PCVZ</t>
  </si>
  <si>
    <t>Ganho de Peso de Corpo Vazio</t>
  </si>
  <si>
    <t>GPCVZ</t>
  </si>
  <si>
    <t>Peso de Corpo Vazio equivalente</t>
  </si>
  <si>
    <t>PCVZeq</t>
  </si>
  <si>
    <t>Consumo de Matéria Seca</t>
  </si>
  <si>
    <t>CMS</t>
  </si>
  <si>
    <t>Extrato Etéreo - máximo</t>
  </si>
  <si>
    <t>EEmax</t>
  </si>
  <si>
    <t>Carboidratos Não Fibrosos - máximo</t>
  </si>
  <si>
    <t>CNFmax</t>
  </si>
  <si>
    <t>Fibra em Detergente Neutro - máximo</t>
  </si>
  <si>
    <t>FDNmax</t>
  </si>
  <si>
    <t>Fibra em Detergente Neutro - mínimo</t>
  </si>
  <si>
    <t>FDNmin</t>
  </si>
  <si>
    <t>Exigências de nutrientes digestíveis totais</t>
  </si>
  <si>
    <t>Energia Digestível</t>
  </si>
  <si>
    <t>Energia Metabolizável (Total)</t>
  </si>
  <si>
    <t>Energia Metabolizável (Mantença)</t>
  </si>
  <si>
    <t>EMm</t>
  </si>
  <si>
    <t>Energia Metabolizável (Ganho)</t>
  </si>
  <si>
    <t>EMg</t>
  </si>
  <si>
    <t>Energia Líquida (Total)</t>
  </si>
  <si>
    <t>Energia Líquida (Mantença)</t>
  </si>
  <si>
    <t>ELm</t>
  </si>
  <si>
    <t>Energia Líquida (Ganho)</t>
  </si>
  <si>
    <t>ELg</t>
  </si>
  <si>
    <t>Eficiência de Utilização de Energia Metabolizável para Mantença</t>
  </si>
  <si>
    <t>km</t>
  </si>
  <si>
    <t>Eficiência de Utilização de Energia Metabolizável para Ganho</t>
  </si>
  <si>
    <t>% da PB</t>
  </si>
  <si>
    <t>Produção de Proteína Bruta Microbiana</t>
  </si>
  <si>
    <t>PBmic</t>
  </si>
  <si>
    <t>Eficiência microbiana</t>
  </si>
  <si>
    <t>Ef.Mic.</t>
  </si>
  <si>
    <t>g/ kg NDT</t>
  </si>
  <si>
    <t>Proteína Metabolizável (Total)</t>
  </si>
  <si>
    <t>Proteína Metabolizável (Mantença)</t>
  </si>
  <si>
    <t>PMm</t>
  </si>
  <si>
    <t>Proteína Metabolizável (Ganho)</t>
  </si>
  <si>
    <t>PMg</t>
  </si>
  <si>
    <t>Proteína Líquida de ganho</t>
  </si>
  <si>
    <t>PLg</t>
  </si>
  <si>
    <t>Eficiência de Utilização de Proteína Metabolizável para Ganho</t>
  </si>
  <si>
    <t>k</t>
  </si>
  <si>
    <t>Cálcio (Total)</t>
  </si>
  <si>
    <t>Cálcio (Mantença)</t>
  </si>
  <si>
    <t>Cam</t>
  </si>
  <si>
    <t>Cálcio (Ganho)</t>
  </si>
  <si>
    <t>Cag</t>
  </si>
  <si>
    <t>Fósforo (Total)</t>
  </si>
  <si>
    <t>Fósforo (Mantença)</t>
  </si>
  <si>
    <t>Pm</t>
  </si>
  <si>
    <t>Fósforo (Ganho)</t>
  </si>
  <si>
    <t>Pg</t>
  </si>
  <si>
    <t>Magnésio (Total)</t>
  </si>
  <si>
    <t>Magnésio (Mantença)</t>
  </si>
  <si>
    <t>Mgm</t>
  </si>
  <si>
    <t>Magnésio (Ganho)</t>
  </si>
  <si>
    <t>Mgg</t>
  </si>
  <si>
    <t>Potássio (Total)</t>
  </si>
  <si>
    <t>Potássio (Mantença)</t>
  </si>
  <si>
    <t>Km</t>
  </si>
  <si>
    <t>Potássio (Ganho)</t>
  </si>
  <si>
    <t>Sódio (Total)</t>
  </si>
  <si>
    <t>Sódio (Mantença)</t>
  </si>
  <si>
    <t>Nam</t>
  </si>
  <si>
    <t>Sódio (Ganho)</t>
  </si>
  <si>
    <t>Nag</t>
  </si>
  <si>
    <t>Cromo</t>
  </si>
  <si>
    <t>Cr</t>
  </si>
  <si>
    <t>Molibdênio</t>
  </si>
  <si>
    <t>Mo</t>
  </si>
  <si>
    <t>Link do "Atendimento"</t>
  </si>
  <si>
    <t>1º</t>
  </si>
  <si>
    <t>2º</t>
  </si>
  <si>
    <t>3º</t>
  </si>
  <si>
    <t>4º</t>
  </si>
  <si>
    <t>MS Obtida</t>
  </si>
  <si>
    <t>EE (g)</t>
  </si>
  <si>
    <t>Ca (g)</t>
  </si>
  <si>
    <t>P (g)</t>
  </si>
  <si>
    <t>Na (g)</t>
  </si>
  <si>
    <t>Nutriente</t>
  </si>
  <si>
    <t>Vitamina D</t>
  </si>
  <si>
    <t>Vitamina E</t>
  </si>
  <si>
    <t>Vit D (UI)</t>
  </si>
  <si>
    <t>Vit E (UI)</t>
  </si>
  <si>
    <t>Nutronordeste</t>
  </si>
  <si>
    <t>Algodão, Farelo 42%PB</t>
  </si>
  <si>
    <t>Estimativa do consumo de matéria seca (kg/dia)</t>
  </si>
  <si>
    <t>Qualidade do pasto</t>
  </si>
  <si>
    <t>Fator de multiplicação (FM)</t>
  </si>
  <si>
    <t>Baixa – época seca</t>
  </si>
  <si>
    <t>Média – época de transição</t>
  </si>
  <si>
    <t>Boa – época das águas</t>
  </si>
  <si>
    <t>Usando o método de Mertens:</t>
  </si>
  <si>
    <t>Informações</t>
  </si>
  <si>
    <t>Valores</t>
  </si>
  <si>
    <t>Peso médio das vacas (PMV, kg)</t>
  </si>
  <si>
    <t>Teor médio de FDN do pasto (FDN, %)</t>
  </si>
  <si>
    <t>Provável CMS (kg/dia)</t>
  </si>
  <si>
    <t>= (PMV x FM) / FDN</t>
  </si>
  <si>
    <t>Usando as recomendações de Lalman:</t>
  </si>
  <si>
    <t>NDT do pasto (%)</t>
  </si>
  <si>
    <t>Vacas secas</t>
  </si>
  <si>
    <t>&lt; 52%</t>
  </si>
  <si>
    <t>52 a 59%</t>
  </si>
  <si>
    <t>&gt; 59%</t>
  </si>
  <si>
    <t>Peso da vaca, kg</t>
  </si>
  <si>
    <t>Provável CMS, kg/dia</t>
  </si>
  <si>
    <t>Definição do teor de sódio no suplemento (%)</t>
  </si>
  <si>
    <t>Status</t>
  </si>
  <si>
    <t>&lt;&gt;</t>
  </si>
  <si>
    <t>&lt;&gt; %</t>
  </si>
  <si>
    <t>Caulin</t>
  </si>
  <si>
    <t>IBS</t>
  </si>
  <si>
    <t>Sal Mineral (Pastagem Seca)</t>
  </si>
  <si>
    <t>Units</t>
  </si>
  <si>
    <t>Cloro</t>
  </si>
  <si>
    <t>Boro</t>
  </si>
  <si>
    <t>Déficit</t>
  </si>
  <si>
    <t>Sulfato Magnésio</t>
  </si>
  <si>
    <t>Sulfato Cobre</t>
  </si>
  <si>
    <t>Sulfato Ferro</t>
  </si>
  <si>
    <t>Sulfato Cobalto</t>
  </si>
  <si>
    <t>Sal Mineral (Decumbes Seca)</t>
  </si>
  <si>
    <t>Cód</t>
  </si>
  <si>
    <t>Vacas em lactação</t>
  </si>
  <si>
    <t>Consumo de MS como % do peso corporal</t>
  </si>
  <si>
    <t>Observação</t>
  </si>
  <si>
    <t>% Sódio do Suplemento</t>
  </si>
  <si>
    <t>"Níveis/kg do produto"</t>
  </si>
  <si>
    <t>Unid</t>
  </si>
  <si>
    <t xml:space="preserve">Exigência </t>
  </si>
  <si>
    <t>Quantidade no Concentrado</t>
  </si>
  <si>
    <t>Níveis de Garantia que procuramos</t>
  </si>
  <si>
    <t>Matéria Seca Corrigida</t>
  </si>
  <si>
    <t>Matéria Natural do Volumoso</t>
  </si>
  <si>
    <t>Sal Mineral Bezerro (Iomar Mombaça)</t>
  </si>
  <si>
    <t>Valores na Matéria Seca</t>
  </si>
  <si>
    <t>Valores na Matéria Natural</t>
  </si>
  <si>
    <t>Sal Comum (BRC)</t>
  </si>
  <si>
    <t>mEq (Na+K)-(Cl+S)</t>
  </si>
  <si>
    <t>Concentrado (C)</t>
  </si>
  <si>
    <t>C (kg MS)</t>
  </si>
  <si>
    <t>V 1.01</t>
  </si>
  <si>
    <t>REQUERIMENTOS DIÁRIOS</t>
  </si>
  <si>
    <t>BR-Corte 2010</t>
  </si>
  <si>
    <t>ENTRADA DE DADOS</t>
  </si>
  <si>
    <t>Raça</t>
  </si>
  <si>
    <t>Zebuíno</t>
  </si>
  <si>
    <t>Corte</t>
  </si>
  <si>
    <t>Categoria</t>
  </si>
  <si>
    <t>Macho não castrado</t>
  </si>
  <si>
    <t>Sistema de produção</t>
  </si>
  <si>
    <t>Pasto</t>
  </si>
  <si>
    <t>Peso corporal inicial, kg</t>
  </si>
  <si>
    <t>Peso corporal final, kg</t>
  </si>
  <si>
    <t>Peso corporal médio, kg</t>
  </si>
  <si>
    <t>Ganho médio diário, kg/dia</t>
  </si>
  <si>
    <t>AUTORES E CITAÇÃO</t>
  </si>
  <si>
    <t>Autores:</t>
  </si>
  <si>
    <t>Pedro Del Bianco Benedeti</t>
  </si>
  <si>
    <t>Laura Franco Prados</t>
  </si>
  <si>
    <t>Luiz Fernando Costa e Silva</t>
  </si>
  <si>
    <t>Sidnei Antonio Lopes</t>
  </si>
  <si>
    <t>Sebastião de Campos Valadares Filho</t>
  </si>
  <si>
    <t>Citação:</t>
  </si>
  <si>
    <t>BENEDETI, P.D.B., PRADOS, L.F., COSTA E SILVA, L.F., LOPES, S.A., VALADARES FILHO, S.C. Planilha para cálculo das exigências nutricionais de bovinos em crescimento e terminação (BR-Corte 2010 e BR-Corte 2016). 2016. Disponível em www.brcorte.com.br. Acesso em…</t>
  </si>
  <si>
    <t>Apoio:</t>
  </si>
  <si>
    <t>INCT - Ciência Animal</t>
  </si>
  <si>
    <t>CNPq</t>
  </si>
  <si>
    <t>CAPES</t>
  </si>
  <si>
    <t>FAPEMIG</t>
  </si>
  <si>
    <t>Zinco (Mantença)</t>
  </si>
  <si>
    <t>Znm</t>
  </si>
  <si>
    <t>Zinco (Ganho)</t>
  </si>
  <si>
    <t>Zng</t>
  </si>
  <si>
    <t>BRCORTE 2016</t>
  </si>
  <si>
    <t>Leite</t>
  </si>
  <si>
    <t>CONFINAMENTO</t>
  </si>
  <si>
    <t>PASTO</t>
  </si>
  <si>
    <t>Cruzado</t>
  </si>
  <si>
    <t>PCVZ, Machos nao castrados</t>
  </si>
  <si>
    <t>PCVZ, Machos castrados</t>
  </si>
  <si>
    <t>PCVZ, Femeas</t>
  </si>
  <si>
    <t>PCVZ dependendo do sexo</t>
  </si>
  <si>
    <t xml:space="preserve">Corte </t>
  </si>
  <si>
    <t>ENERGIA</t>
  </si>
  <si>
    <t>PCVZeq, Machos nao castrados</t>
  </si>
  <si>
    <t>Elg</t>
  </si>
  <si>
    <t>PCVZeq, Machos castrados</t>
  </si>
  <si>
    <t>ELg dep. da raca</t>
  </si>
  <si>
    <t>PCVZeq, Femeas</t>
  </si>
  <si>
    <t>ERp</t>
  </si>
  <si>
    <t>PCVZeq dependendo do sexo</t>
  </si>
  <si>
    <t>ELg dependendo da raca</t>
  </si>
  <si>
    <t>EMm dependendo da raca</t>
  </si>
  <si>
    <t>km dependendo da raça</t>
  </si>
  <si>
    <t>PROTEINA</t>
  </si>
  <si>
    <t>PLg, Machos nao castrados</t>
  </si>
  <si>
    <t>PLg, Machos castrados</t>
  </si>
  <si>
    <t>PLg, Femeas</t>
  </si>
  <si>
    <t>PLg dependendo do sexo</t>
  </si>
  <si>
    <t>PLg dependendo da raca</t>
  </si>
  <si>
    <t>MINERAIS</t>
  </si>
  <si>
    <t>BRCORTE 2010</t>
  </si>
  <si>
    <t>Macho castrado</t>
  </si>
  <si>
    <t>Fêmea</t>
  </si>
  <si>
    <t>Confinamento</t>
  </si>
  <si>
    <t>Zebuíno INTEIRO</t>
  </si>
  <si>
    <t>ELg (Macho não castrado)</t>
  </si>
  <si>
    <t>ELg(m. i.)</t>
  </si>
  <si>
    <t>ELg (macho castrado)</t>
  </si>
  <si>
    <t>ELg (fêmeas)</t>
  </si>
  <si>
    <t>Zebuíno out.</t>
  </si>
  <si>
    <t>EMtotal</t>
  </si>
  <si>
    <t>EL dependendo do sexo</t>
  </si>
  <si>
    <t>PROTEÍNA</t>
  </si>
  <si>
    <t>ER (Macho não castrado)</t>
  </si>
  <si>
    <t>ER</t>
  </si>
  <si>
    <t>ER (macho castrado)</t>
  </si>
  <si>
    <t>ER (fêmeas)</t>
  </si>
  <si>
    <t>ER dependendo do sexo</t>
  </si>
  <si>
    <t>PLg (Macho não castrado)</t>
  </si>
  <si>
    <t>PLg (macho castrado)</t>
  </si>
  <si>
    <t>PLg (fêmeas)</t>
  </si>
  <si>
    <t>k (PVJ &lt;= 350 kg)</t>
  </si>
  <si>
    <t>k (PVJ &gt; 350 kg)</t>
  </si>
  <si>
    <t>PM total</t>
  </si>
  <si>
    <t>MACROMINERAIS</t>
  </si>
  <si>
    <t>Ca g</t>
  </si>
  <si>
    <t>Ca m</t>
  </si>
  <si>
    <t>Ca TOTAL</t>
  </si>
  <si>
    <t>P g</t>
  </si>
  <si>
    <t>P m</t>
  </si>
  <si>
    <t>P TOTAL</t>
  </si>
  <si>
    <t>Mg g</t>
  </si>
  <si>
    <t>Mg m</t>
  </si>
  <si>
    <t>Mg TOTAL</t>
  </si>
  <si>
    <t>Na g (MI e MC)</t>
  </si>
  <si>
    <t>Na g (FÊMEA)</t>
  </si>
  <si>
    <t>Na m</t>
  </si>
  <si>
    <t>Na TOTAL</t>
  </si>
  <si>
    <t>K g</t>
  </si>
  <si>
    <t>K (fecal)</t>
  </si>
  <si>
    <t>K (urinária)</t>
  </si>
  <si>
    <t>K (salivar)</t>
  </si>
  <si>
    <t>K (pele)</t>
  </si>
  <si>
    <t>K TOTAL</t>
  </si>
  <si>
    <t>Selênio (Mantença)</t>
  </si>
  <si>
    <t>Selênio (Ganho)</t>
  </si>
  <si>
    <t>Sem</t>
  </si>
  <si>
    <t>Seg</t>
  </si>
  <si>
    <t>Molibdênio (Mantença)</t>
  </si>
  <si>
    <t>Molibdênio (Ganho)</t>
  </si>
  <si>
    <t>Mom</t>
  </si>
  <si>
    <t>Mog</t>
  </si>
  <si>
    <t>Mnm</t>
  </si>
  <si>
    <t>Mng</t>
  </si>
  <si>
    <t>Manganês (Mantença)</t>
  </si>
  <si>
    <t>Manganês (Ganho)</t>
  </si>
  <si>
    <t>Ferro (Mantença)</t>
  </si>
  <si>
    <t>Ferro (Ganho)</t>
  </si>
  <si>
    <t>Fem</t>
  </si>
  <si>
    <t>Feg</t>
  </si>
  <si>
    <t>Crm</t>
  </si>
  <si>
    <t>Crg</t>
  </si>
  <si>
    <t>Cromo (Mantença)</t>
  </si>
  <si>
    <t>Cromo (Ganho)</t>
  </si>
  <si>
    <t>Cum</t>
  </si>
  <si>
    <t>Cug</t>
  </si>
  <si>
    <t>Cobre (Mantença)</t>
  </si>
  <si>
    <t>Cobre (Ganho)</t>
  </si>
  <si>
    <t>Cobalto (Mantença)</t>
  </si>
  <si>
    <t>Cobalto (Ganho)</t>
  </si>
  <si>
    <t>Com</t>
  </si>
  <si>
    <t>Cog</t>
  </si>
  <si>
    <t>Sm</t>
  </si>
  <si>
    <t>Sg</t>
  </si>
  <si>
    <t>Enxofre (Mantença)</t>
  </si>
  <si>
    <t>Enxofre (Ganho)</t>
  </si>
  <si>
    <t>Planilha para cálculo das exigências nutricionais de bovinos em crescimento e terminação (BR-CORTE 2023)</t>
  </si>
  <si>
    <t>BRC 2016</t>
  </si>
  <si>
    <t xml:space="preserve">Informe o preço de venda da Arroba </t>
  </si>
  <si>
    <t>PV (kg)</t>
  </si>
  <si>
    <t>Exigências</t>
  </si>
  <si>
    <t>Semana de lactação</t>
  </si>
  <si>
    <t>Ganho Peso/dia (kg)</t>
  </si>
  <si>
    <t>Leite (kg/dia)</t>
  </si>
  <si>
    <t>Gordura (%)</t>
  </si>
  <si>
    <t>Proteína (%)</t>
  </si>
  <si>
    <t>Informe o preço de venda do litro de leite</t>
  </si>
  <si>
    <t>Matéria Seca do Volumoso usado (%)</t>
  </si>
  <si>
    <t>Consumo Mínimo:</t>
  </si>
  <si>
    <t>Essa informações devem ser coladas como uma exigência em um espaço abaixo.</t>
  </si>
  <si>
    <r>
      <t>Nome do Alimento</t>
    </r>
    <r>
      <rPr>
        <i/>
        <sz val="11"/>
        <color rgb="FFFF0000"/>
        <rFont val="Arial"/>
        <family val="2"/>
      </rPr>
      <t xml:space="preserve"> 
(Composição na matéria natural)</t>
    </r>
  </si>
  <si>
    <t>8 - Clicar em formular</t>
  </si>
  <si>
    <t>Matéria Natural</t>
  </si>
  <si>
    <t>----------------------------------------&gt;</t>
  </si>
  <si>
    <r>
      <t>----------------------------------------</t>
    </r>
    <r>
      <rPr>
        <b/>
        <sz val="11"/>
        <color theme="1"/>
        <rFont val="Calibri"/>
        <family val="2"/>
      </rPr>
      <t>&gt;</t>
    </r>
  </si>
  <si>
    <t>Backup</t>
  </si>
  <si>
    <t>Diferença do atendimento(Unid_Base)</t>
  </si>
  <si>
    <t>MN Obtida</t>
  </si>
  <si>
    <t>Relação Volumoso x Concentrado (MS)</t>
  </si>
  <si>
    <t>Produção (kg ou Litro)</t>
  </si>
  <si>
    <t xml:space="preserve"> </t>
  </si>
  <si>
    <t>@</t>
  </si>
  <si>
    <t>Litro</t>
  </si>
  <si>
    <t>Produção</t>
  </si>
  <si>
    <t>Diária</t>
  </si>
  <si>
    <t>Custo</t>
  </si>
  <si>
    <t>Lucro</t>
  </si>
  <si>
    <t>Produção ou Venda</t>
  </si>
  <si>
    <t>Produção Carne</t>
  </si>
  <si>
    <t>Produção Leite</t>
  </si>
  <si>
    <t>Desconsiderar</t>
  </si>
  <si>
    <t>Considerar</t>
  </si>
  <si>
    <t>PBNNP</t>
  </si>
  <si>
    <t>Sal Mineral Vaca Leite Iomar</t>
  </si>
  <si>
    <t>Ureia</t>
  </si>
  <si>
    <t>Nucleo (Tortuga) 1</t>
  </si>
  <si>
    <t>Guabi Nucleo 30</t>
  </si>
  <si>
    <t>Matsuda Top Beef Nucleo</t>
  </si>
  <si>
    <t>Nucleo (Tortuga) 2</t>
  </si>
  <si>
    <t>Nucleo Beephós Confina Lm</t>
  </si>
  <si>
    <t>Nucleo Crescimento (Nutronordeste)</t>
  </si>
  <si>
    <t>Nucleo Mineral Confbeef M</t>
  </si>
  <si>
    <t>Nucleo Nutromax Leite</t>
  </si>
  <si>
    <t>Nucleo Protéico Matsuda</t>
  </si>
  <si>
    <t>Alfafa, Floração</t>
  </si>
  <si>
    <t>Flends Nucleo Confinamais VM Plus</t>
  </si>
  <si>
    <t>Capim Gordura (NRC)</t>
  </si>
  <si>
    <t>Nucleo Alvordaphos 350/50</t>
  </si>
  <si>
    <t>Nucleo FOSBOVI® CONFINAMENTO CRINA®  N</t>
  </si>
  <si>
    <t>NucleoLB Confinamento 200 VM</t>
  </si>
  <si>
    <t>Nucleo Novo Bovigold Tortuga</t>
  </si>
  <si>
    <t>Nucleo BRC Maxxipeso</t>
  </si>
  <si>
    <t>Nucleo Nutribel 75</t>
  </si>
  <si>
    <t>Nucleo Nutronbeef Performa</t>
  </si>
  <si>
    <t>Premix Fosbovi Confinamento Crina Rumistar</t>
  </si>
  <si>
    <t>Premix Big Energia</t>
  </si>
  <si>
    <t>Premix Capul Quelaphos Beef Confinamento</t>
  </si>
  <si>
    <t>Premix Fosbovi Confinamento 10</t>
  </si>
  <si>
    <t>Premix Fosbovi Proteico 35</t>
  </si>
  <si>
    <t>Premix Fosbovinho Proteico ADE</t>
  </si>
  <si>
    <t>Premix Fosquima Confinamento 56 PB</t>
  </si>
  <si>
    <t>Premix Matsuda Fos 80S</t>
  </si>
  <si>
    <t>Premix Minerthal Confinamento Pasto Aguas</t>
  </si>
  <si>
    <t>Premix Poli Confinamento 250</t>
  </si>
  <si>
    <t>Premix Potenfós 60</t>
  </si>
  <si>
    <t>Premix Potenfós Reprodução</t>
  </si>
  <si>
    <t>Premix Premiphós 80</t>
  </si>
  <si>
    <t>Premix Qualicorte Px 50</t>
  </si>
  <si>
    <t>Calcário Calcítico</t>
  </si>
  <si>
    <t>Crambe, Farelo</t>
  </si>
  <si>
    <t>Sal Comum (NaCl)</t>
  </si>
  <si>
    <t>Mineral Zeomin Mix</t>
  </si>
  <si>
    <t>Fontes de Vitaminas</t>
  </si>
  <si>
    <t>Mineral Suprasal BRC Reprodução</t>
  </si>
  <si>
    <t>Mineral Suprasal BRC 160</t>
  </si>
  <si>
    <t>Mineral Suprasal BRC 40</t>
  </si>
  <si>
    <t>Mineral Suprasal BRC 130</t>
  </si>
  <si>
    <t>Mineral Fosbovi 20</t>
  </si>
  <si>
    <t>Mineral Fosbovi 40</t>
  </si>
  <si>
    <t>Mineral Bovitop ADE</t>
  </si>
  <si>
    <t>Jureminha, Feno</t>
  </si>
  <si>
    <t>Milho, Grão (Moido)</t>
  </si>
  <si>
    <t>Oleo</t>
  </si>
  <si>
    <t>Soja, Farelo (45%)</t>
  </si>
  <si>
    <t>Soja, Farelo (43%)</t>
  </si>
  <si>
    <t>Silagem de Cana-de-Açúcar</t>
  </si>
  <si>
    <t>Silagem de Capim Elefante</t>
  </si>
  <si>
    <t>Silagem de Estilosantes</t>
  </si>
  <si>
    <t>Silagem de Girassol</t>
  </si>
  <si>
    <t>Silagem de Girassol (BRC3.0)</t>
  </si>
  <si>
    <t>Silagem de Milho Grão Reidratado</t>
  </si>
  <si>
    <t>Silagem de Milho Espiga (Earlage)</t>
  </si>
  <si>
    <t>Silagem de Milho Grão Úmido</t>
  </si>
  <si>
    <t>Silagem de Milho Maduro</t>
  </si>
  <si>
    <t>Silagem de Milho</t>
  </si>
  <si>
    <t>Silagem de Milho Sem Espiga</t>
  </si>
  <si>
    <t>Silagem de Soja</t>
  </si>
  <si>
    <t>Silagem de Sorgo Forrageiro</t>
  </si>
  <si>
    <t>Silagem de Sorgo Grão Reidratado</t>
  </si>
  <si>
    <t>Silagem de Sorgo</t>
  </si>
  <si>
    <t>Silagem de Sorgo (BRC3.0)</t>
  </si>
  <si>
    <t>Silagem de Sorgo (com Tanino)</t>
  </si>
  <si>
    <t>Silagem de Sorgo (sem Tanino)</t>
  </si>
  <si>
    <t>Peso (kg)</t>
  </si>
  <si>
    <t>Consumo de Matéria Seca do Animal (kg) - Automático</t>
  </si>
  <si>
    <t>Consumo de Matéria Seca do Animal (kg) - Arbitrado</t>
  </si>
  <si>
    <t>2 - Conhecer a composição mineral do Pasto (*composição na Matéria Natural)</t>
  </si>
  <si>
    <t>Níveis de Garantia para o Suplemento Mineral</t>
  </si>
  <si>
    <t>Premix Mineral</t>
  </si>
  <si>
    <t>Coprodutos</t>
  </si>
  <si>
    <t>Grupo de Alimentos</t>
  </si>
  <si>
    <t>Outro</t>
  </si>
  <si>
    <t>Qtd</t>
  </si>
  <si>
    <t>Quantidade</t>
  </si>
  <si>
    <t>MPR1</t>
  </si>
  <si>
    <t>Grupo 2 de Alimentos</t>
  </si>
  <si>
    <t>Total</t>
  </si>
  <si>
    <t>Vit ADE</t>
  </si>
  <si>
    <t>Silagem de Capim Mombaça</t>
  </si>
  <si>
    <t>Sal Mineral (Ovino Recria)</t>
  </si>
  <si>
    <t>Porcentagem</t>
  </si>
  <si>
    <t>Matéria 
Seca</t>
  </si>
  <si>
    <t>Matéria 
Natural</t>
  </si>
  <si>
    <t>MILHO, GRÃO (MOIDO)</t>
  </si>
  <si>
    <t>Ord</t>
  </si>
  <si>
    <t>Sigla</t>
  </si>
  <si>
    <t>1º Alimento sugerido</t>
  </si>
  <si>
    <t>2º Alimento sugerido</t>
  </si>
  <si>
    <t>3º Alimento sugerido</t>
  </si>
  <si>
    <t>Quant</t>
  </si>
  <si>
    <t>Os nutrientes abaixo estão no limite ou fora do atendimento nutricional</t>
  </si>
  <si>
    <t>PASTAGEM (SECA)</t>
  </si>
  <si>
    <t>NUCLEO (TORTUGA) 2</t>
  </si>
  <si>
    <t>SOJA, FARELO (43%)</t>
  </si>
  <si>
    <t>ARROZ, FARELO</t>
  </si>
  <si>
    <t>Babaçu, Torta</t>
  </si>
  <si>
    <t>BABAÇU, TORTA</t>
  </si>
  <si>
    <t>GRUPO*</t>
  </si>
  <si>
    <t>3 - Os passos acima são realizados no módulo de cálculo de Dieta</t>
  </si>
  <si>
    <t>4 - Neste módulo, definir o consumo provável do Animal</t>
  </si>
  <si>
    <t>6 - No de Cáculo de Dieta Selecionar a exigência "05 - Molde para Sal Mineral"</t>
  </si>
  <si>
    <t>Nome Relatório (Não obrigatório)</t>
  </si>
  <si>
    <t>Quantidade de dias de alimentação</t>
  </si>
  <si>
    <t>Valores em Porcentagem*</t>
  </si>
  <si>
    <t>Preço</t>
  </si>
  <si>
    <t>R$/kg</t>
  </si>
  <si>
    <t>Fibra em 
Detergente Neutro</t>
  </si>
  <si>
    <t>Fibra em 
Detergente Ácido</t>
  </si>
  <si>
    <t>SUBGRUPO</t>
  </si>
  <si>
    <r>
      <t xml:space="preserve">INGREDIENTE 
</t>
    </r>
    <r>
      <rPr>
        <b/>
        <sz val="10"/>
        <color rgb="FFFFFF00"/>
        <rFont val="Arial"/>
        <family val="2"/>
      </rPr>
      <t>(Composição na matéria Natural)</t>
    </r>
  </si>
  <si>
    <t>QTD RAÇÃO</t>
  </si>
  <si>
    <t>OBSERVAÇÃO OU RECOMENDAÇÃO</t>
  </si>
  <si>
    <t>Apoio Situação</t>
  </si>
  <si>
    <t>Clientes e Fornecedores</t>
  </si>
  <si>
    <t>Telefone</t>
  </si>
  <si>
    <t>Endereço</t>
  </si>
  <si>
    <t>Email</t>
  </si>
  <si>
    <t>Observações</t>
  </si>
  <si>
    <t>Cliente &amp; Fornecedor</t>
  </si>
  <si>
    <t>Tuntum-MA</t>
  </si>
  <si>
    <t>Cliente Não Cadastrado</t>
  </si>
  <si>
    <t>sememail@gamil.com</t>
  </si>
  <si>
    <t>Cidade Não Infornada</t>
  </si>
  <si>
    <t>CADASTRO DE CLIENTES</t>
  </si>
  <si>
    <t>Cliente</t>
  </si>
  <si>
    <t>Lucas Noroeste</t>
  </si>
  <si>
    <t>Raisa Carvalho</t>
  </si>
  <si>
    <t>Agenor</t>
  </si>
  <si>
    <t>Iomar Bezerra</t>
  </si>
  <si>
    <t>Valor</t>
  </si>
  <si>
    <t>Tipo Formulação</t>
  </si>
  <si>
    <t>Data
 Recebimento</t>
  </si>
  <si>
    <t>Data 
Entregue</t>
  </si>
  <si>
    <t>Suplemento</t>
  </si>
  <si>
    <t>Dieta Total</t>
  </si>
  <si>
    <t>Serviço</t>
  </si>
  <si>
    <t>Volumoso1</t>
  </si>
  <si>
    <t>Volumoso2</t>
  </si>
  <si>
    <t>Volumoso3</t>
  </si>
  <si>
    <t>Volumoso4</t>
  </si>
  <si>
    <t>Volumoso5</t>
  </si>
  <si>
    <t>Volumoso6</t>
  </si>
  <si>
    <t>Volumoso7</t>
  </si>
  <si>
    <t>Volumoso8</t>
  </si>
  <si>
    <t>Volumoso9</t>
  </si>
  <si>
    <t>Volumoso10</t>
  </si>
  <si>
    <t>Volumoso11</t>
  </si>
  <si>
    <t>Volumoso12</t>
  </si>
  <si>
    <t>Volumoso13</t>
  </si>
  <si>
    <t>Volumoso14</t>
  </si>
  <si>
    <t>Volumoso15</t>
  </si>
  <si>
    <t>Volumoso16</t>
  </si>
  <si>
    <t>Volumoso17</t>
  </si>
  <si>
    <t>Volumoso18</t>
  </si>
  <si>
    <t>Volumoso19</t>
  </si>
  <si>
    <t>Volumoso20</t>
  </si>
  <si>
    <t>Volumoso21</t>
  </si>
  <si>
    <t>Volumoso22</t>
  </si>
  <si>
    <t>Volumoso23</t>
  </si>
  <si>
    <t>Volumoso24</t>
  </si>
  <si>
    <t>Volumoso25</t>
  </si>
  <si>
    <t>Informações de Custos e Proporções da Dieta</t>
  </si>
  <si>
    <t>Anotações e Observações</t>
  </si>
  <si>
    <t>Custo (R$/kg)</t>
  </si>
  <si>
    <t>Dieta</t>
  </si>
  <si>
    <t>Custo (R$/Dia/Animal)</t>
  </si>
  <si>
    <t>* Apenas para Produção de Carne</t>
  </si>
  <si>
    <t>* Apenas para Produção de Leite</t>
  </si>
  <si>
    <t>CAPIM BRAQUIÁRIA BRIZANTHA</t>
  </si>
  <si>
    <t>CONTROLE DE SERVIÇO (FORMULAÇÕES CONTRATADAS)</t>
  </si>
  <si>
    <t>Nome do Usuário</t>
  </si>
  <si>
    <t>Iomar Bezerra da Silva</t>
  </si>
  <si>
    <t>Profissão</t>
  </si>
  <si>
    <t>Zootecnista</t>
  </si>
  <si>
    <t>MA-00259-ZP</t>
  </si>
  <si>
    <t>_______________________________________</t>
  </si>
  <si>
    <t>_________________________________________________</t>
  </si>
  <si>
    <t>CONCENTRADO</t>
  </si>
  <si>
    <t>Dieta Total para 1 Animal / dia</t>
  </si>
  <si>
    <t>____________________________________________________</t>
  </si>
  <si>
    <t>Número de Animais</t>
  </si>
  <si>
    <t>Custo de Mão de Obra (R$/Mês)</t>
  </si>
  <si>
    <t>Custo de Energia (R$/Mês)</t>
  </si>
  <si>
    <t>Custo em Maquinário (R$/Mês)</t>
  </si>
  <si>
    <t>Custo em Medicamentos (R$/Mês)</t>
  </si>
  <si>
    <t>Outros Custos (R$/Mês)</t>
  </si>
  <si>
    <t>RELATÓRIO FINANCEIRO</t>
  </si>
  <si>
    <t>Investimento em Animais (R$)</t>
  </si>
  <si>
    <t>Custo com Alimentação (R$)</t>
  </si>
  <si>
    <t>Custo Operacional (R$)</t>
  </si>
  <si>
    <t>INDICADORES</t>
  </si>
  <si>
    <t xml:space="preserve">DADOS </t>
  </si>
  <si>
    <t>AVALIAÇÃO TOTAL DA OPERAÇÃO</t>
  </si>
  <si>
    <t xml:space="preserve">Descirção </t>
  </si>
  <si>
    <t>https://api.whatsapp.com/send?phone=5599999536677&amp;text= Olá, estou usando o PFDR. Gostaria de tirar dúvidas!</t>
  </si>
  <si>
    <t>SOJA, FARELO (45%)</t>
  </si>
  <si>
    <t>Programa de Formulação de Dietas para Ruminantes</t>
  </si>
  <si>
    <t>Graduado em Zootecnista</t>
  </si>
  <si>
    <t>Pós-graduado em Consultoria e Licenciamento Ambiental</t>
  </si>
  <si>
    <t>Pós-graduado em Topografia e Sensoriamento Remoto</t>
  </si>
  <si>
    <t>Pós-graduado em Docência do Ensino Superior</t>
  </si>
  <si>
    <t>Pós-graduado em Gestão de Recursos Humanos</t>
  </si>
  <si>
    <t>Pós-graduado em Produção de Suínos</t>
  </si>
  <si>
    <t>Pós-graduado em Gestão Ambiental</t>
  </si>
  <si>
    <t>Pós-graduado em Direito Agrário</t>
  </si>
  <si>
    <t>Pós-graduado em Nutrição Animal</t>
  </si>
  <si>
    <t>Ordem</t>
  </si>
  <si>
    <t>Formação</t>
  </si>
  <si>
    <t>x</t>
  </si>
  <si>
    <t>CLIENTE/IDENTIFICAÇÃO:</t>
  </si>
  <si>
    <t>Nelore                                 Confinamento     Fêmeas</t>
  </si>
  <si>
    <t>Zebuino Confinamento Machos inteiros</t>
  </si>
  <si>
    <t>Bezerros Nelores Lactentes (0-180 dias de idade)</t>
  </si>
  <si>
    <t>Vacas Nelores em Lactação</t>
  </si>
  <si>
    <t>Peso médio do bezerro ao nascer (PMBnasc em kg)</t>
  </si>
  <si>
    <t>Cruzado de Leite   Confinamento      Machos inteiros</t>
  </si>
  <si>
    <t>Cruzado de Leite   Confinamento      Machos castrados</t>
  </si>
  <si>
    <t>Cruzado de Leite   Confinamento     Fêmeas</t>
  </si>
  <si>
    <t>Ganho Peso/dia kg</t>
  </si>
  <si>
    <t>Escore de condição corporal (ECC)</t>
  </si>
  <si>
    <t>CMS (kg/dia)</t>
  </si>
  <si>
    <t>PB (g)</t>
  </si>
  <si>
    <t>PDR (g)</t>
  </si>
  <si>
    <t>Mcal/kg</t>
  </si>
  <si>
    <t>Segundo as Exigências Nutricionais de Zebuínos Puros e Cruzados BR-Corte 2ª Edição 2010 (microminerais) e 3ª Edição  2016 (demais nutrientes)</t>
  </si>
  <si>
    <t xml:space="preserve">https://brcorte.com.br/livrobr </t>
  </si>
  <si>
    <t xml:space="preserve">https://brcorte.com.br/livro2016br </t>
  </si>
  <si>
    <t>Exigências nutricionais de vacas de 0-3 semanas de lactação, vacas secas, novilhas em final de gestação, vacas em final de gestação</t>
  </si>
  <si>
    <t>Exigências de fêmeas bovinas em crescimento e acabamento com 250kg de Peso Vivo</t>
  </si>
  <si>
    <t>Exigências de fêmeas bovinas em crescimento e acabamento com 300kg de Peso Vivo</t>
  </si>
  <si>
    <t>Exigências de fêmeas bovinas em crescimento e acabamento com 350kg de Peso Vivo</t>
  </si>
  <si>
    <t>Exigências de fêmeas bovinas em crescimento e acabamento com 400kg de Peso Vivo</t>
  </si>
  <si>
    <t>Exigências de fêmeas bovinas em crescimento e acabamento com 450kg de Peso Vivo</t>
  </si>
  <si>
    <t>Exigências de fêmeas bovinas em crescimento e acabamento com 500kg de Peso Vivo</t>
  </si>
  <si>
    <t>Exigências de machos bovinos castrados em crescimento e acabamento
 com 250kg de Peso Vivo</t>
  </si>
  <si>
    <t>Exigências de machos bovinos castrados em crescimento e acabamento
 com 300kg de Peso Vivo</t>
  </si>
  <si>
    <t>Exigências de machos bovinos castrados em crescimento e acabamento
 com 350kg de Peso Vivo</t>
  </si>
  <si>
    <t>Exigências de machos bovinos castrados em crescimento e acabamento
 com 400kg de Peso Vivo</t>
  </si>
  <si>
    <t>Exigências de machos bovinos castrados em crescimento e acabamento
 com 450kg de Peso Vivo</t>
  </si>
  <si>
    <t>Exigências de machos bovinos castrados em crescimento e acabamento
 com 500kg de Peso Vivo</t>
  </si>
  <si>
    <t>Exigências de machos bovinos castrados em crescimento e acabamento
 com 550kg de Peso Vivo</t>
  </si>
  <si>
    <t xml:space="preserve">Zebuínos castrados            PV 28%G =400 kg          PV kg= 250 </t>
  </si>
  <si>
    <t>Zebuínos castrados            PV 28%G =400 kg           PV kg= 250</t>
  </si>
  <si>
    <t>Zebuínos castrados            PV 28%G =400 kg          PV kg= 250</t>
  </si>
  <si>
    <t>Zebuínos castrados            PV 28%G =400 kg           PV kg=300</t>
  </si>
  <si>
    <t>Zebuínos castrados            PV 28%G =400 kg           PV kg= 300</t>
  </si>
  <si>
    <t>Zebuínos castrados            PV 28%G =400 kg PV kg=300</t>
  </si>
  <si>
    <t>Zebuínos castrados            PV 28%G =400 kg PV kg= 350</t>
  </si>
  <si>
    <t>Zebuínos castrados            PV 28%G =400 kg PV kg= 400</t>
  </si>
  <si>
    <t>Zebuínos  inteiros                 PV 28%G =450 kg PV kg= 250</t>
  </si>
  <si>
    <t>Zebuínos  inteiros                 PV 28%G =450 kg PV kg= 300</t>
  </si>
  <si>
    <t>Zebuínos  inteiros                 PV 28%G =450 kg PV kg= 350</t>
  </si>
  <si>
    <t>Zebuínos  inteiros                 PV 28%G =450 kg PV kg= 400</t>
  </si>
  <si>
    <t>mestiços europeu/zebu castrado                PV 28%G =500 kg                    PV kg= 250</t>
  </si>
  <si>
    <t>mestiços europeu/zebu castrado                 PV 28%G =500 kg PV kg= 250</t>
  </si>
  <si>
    <t>mestiços europeu/zebu castrado                  PV 28%G =500 kg PV kg= 300</t>
  </si>
  <si>
    <t xml:space="preserve">mestiços europeu/zebu castrado            PV 28%G =500 kg PV kg=300 </t>
  </si>
  <si>
    <t>mestiços europeu/zebu castrado            PV 28%G =500 kg PV kg= 300</t>
  </si>
  <si>
    <t>mestiços europeu/zebu castrado            PV 28%G =500 kg PV kg= 350</t>
  </si>
  <si>
    <t>mestiços europeu/zebu castrado            PV 28%G =500 kg PV kg=350</t>
  </si>
  <si>
    <t>mestiços europeu/zebu castrado            PV 28%G =500 kg PV kg= 400</t>
  </si>
  <si>
    <t>mestiços europeu/zebu castrado            PV 28%G =500 kg PV kg=400</t>
  </si>
  <si>
    <t>Calculadas com base nos dados apresentados pelo NRC 1996</t>
  </si>
  <si>
    <t>As Tabelas foram adaptadas do SISTEMA VIÇOSA DE FORMULAÇÃO DE RAÇÕES  (LANA, R.P. 2007. Sistema Viçosa de formulação de rações. Viçosa: UFV. 90p.  ) para  composição de alimentos e requerimentos nutricionais dos bovinos.</t>
  </si>
  <si>
    <t>mestiços europeu/zebu inteiro                   PV 28%G =550 kg PV kg= 250</t>
  </si>
  <si>
    <t>mestiços europeu/zebu inteiro                  PV 28%G =550 kg PV kg= 300</t>
  </si>
  <si>
    <t>mestiços europeu/zebu inteiro                   PV 28%G =550 kg PV kg= 300</t>
  </si>
  <si>
    <t>mestiços europeu/zebu inteiro                   PV 28%G =550 kg PV kg= 350</t>
  </si>
  <si>
    <t>mestiços europeu/zebu inteiro                   PV 28%G =550 kg PV kg=350</t>
  </si>
  <si>
    <t>mestiços europeu/zebu inteiro                   PV 28%G =550 kg PV kg= 400</t>
  </si>
  <si>
    <t>mestiços europeu/zebu inteiro                    PV 28%G =550 kg PV kg=400</t>
  </si>
  <si>
    <t>mestiços europeu/zebu inteiro                     PV 28%G =550 kg PV kg= 400</t>
  </si>
  <si>
    <t>mestiços europeu/zebu inteiro                    PV 28%G =550 kg PV kg= 400</t>
  </si>
  <si>
    <t xml:space="preserve">Novilhas de corte em gestação            PV 28%G =500 kg          Mês de gestação 5   Peso vivo 355 kg </t>
  </si>
  <si>
    <t>Novilhas de corte em gestação            PV 28%G =500 kg          Mês de gestação 7   Peso vivo 380 kg</t>
  </si>
  <si>
    <t>Novilhas de corte em gestação            PV 28%G =500 kg          Mês de gestação 8   Peso vivo 392 kg</t>
  </si>
  <si>
    <t>Novilhas de corte em gestação            PV 28%G =500 kg          Mês de gestação 9   Peso vivo 404 kg</t>
  </si>
  <si>
    <t>Novilhas de corte em gestação            PV 28%G =550 kg          Mês de gestação 1   Peso vivo 343 kg</t>
  </si>
  <si>
    <t>Novilhas de corte em gestação            PV 28%G =550 kg          Mês de gestação 3   Peso vivo 367 kg</t>
  </si>
  <si>
    <t xml:space="preserve">Novilhas de corte em gestação            PV 28%G =550 kg          Mês de gestação 5   Peso vivo 391 kg </t>
  </si>
  <si>
    <t>Novilhas de corte em gestação            PV 28%G =550 kg          Mês de gestação 7   Peso vivo 415 kg</t>
  </si>
  <si>
    <t>Novilhas de corte em gestação            PV 28%G =550 kg          Mês de gestação 8   Peso vivo 427 kg</t>
  </si>
  <si>
    <t>Novilhas de corte em gestação            PV 28%G =550 kg          Mês de gestação 9   Peso vivo 439 kg</t>
  </si>
  <si>
    <t>Novilhas de corte em gestação            PV 28%G =600 kg          Mês de gestação 1   Peso vivo 378 kg</t>
  </si>
  <si>
    <t>Novilhas de corte em gestação            PV 28%G =600 kg          Mês de gestação 3   Peso vivo 402 kg</t>
  </si>
  <si>
    <t xml:space="preserve">Novilhas de corte em gestação            PV 28%G =600 kg          Mês de gestação 5   Peso vivo 427 kg </t>
  </si>
  <si>
    <t>Novilhas de corte em gestação            PV 28%G =600 kg          Mês de gestação 7   Peso vivo 451 kg</t>
  </si>
  <si>
    <t>Novilhas de corte em gestação            PV 28%G =600 kg          Mês de gestação 8   Peso vivo 463 kg</t>
  </si>
  <si>
    <t>Novilhas de corte em gestação            PV 28%G =600 kg          Mês de gestação 9   Peso vivo 475 kg</t>
  </si>
  <si>
    <t>Vacas de corte em lactação/ zebuínas            PV  =450 kg          Mês de lactação 1   Leite kg/dia 8,4</t>
  </si>
  <si>
    <t>Vacas de corte em lactação/ zebuínas            PV  =450 kg          Mês de lactação 3   Leite kg/dia 7,6</t>
  </si>
  <si>
    <t>Vacas de corte em lactação/ zebuínas            PV  =450 kg          Mês de lactação 4   Leite kg/dia 5</t>
  </si>
  <si>
    <t>Vacas de corte em lactação/ zebuínas            PV  =450 kg          Mês de lactação 7  Leite kg/dia 1,8</t>
  </si>
  <si>
    <t>Vacas de corte em lactação/ zebuínas            PV  =450 kg          Mês de lactação 9   Leite kg/dia 0</t>
  </si>
  <si>
    <t>Vacas de corte em lactação/ zebuínas            PV  =450 kg          Mês de lactação 11   Leite kg/dia 0</t>
  </si>
  <si>
    <t>Vacas de corte em lactação mestiças europeu/zebu            PV  =500 kg          Mês de lactação 1   Leite kg/dia 8,4</t>
  </si>
  <si>
    <t>Vacas de corte em lactação mestiças europeu/zebu            PV  =500 kg          Mês de lactação 3   Leite kg/dia 7,6</t>
  </si>
  <si>
    <t>Vacas de corte em lactação mestiças europeu/zebu           PV  =500 kg          Mês de lactação 4   Leite kg/dia 5</t>
  </si>
  <si>
    <t>Vacas de corte em lactação mestiças europeu/zebu            PV  =500 kg          Mês de lactação 7  Leite kg/dia 1,8</t>
  </si>
  <si>
    <t>Vacas de corte em lactação mestiças europeu/zebu            PV  =500 kg          Mês de lactação 9   Leite kg/dia 0</t>
  </si>
  <si>
    <t>Vacas de corte em lactação mestiças europeu/zebu            PV  =500 kg          Mês de lactação 11   Leite kg/dia 0</t>
  </si>
  <si>
    <t>Vacas de corte em lactação            PV  =550 kg          Mês de lactação 1   Leite kg/dia 8,4</t>
  </si>
  <si>
    <t>Vacas de corte em lactação           PV  =550 kg          Mês de lactação 3   Leite kg/dia 7,6</t>
  </si>
  <si>
    <t>Vacas de corte em lactação       PV  =550 kg          Mês de lactação 4   Leite kg/dia 5</t>
  </si>
  <si>
    <t>Vacas de corte em lactação           PV  =550 kg          Mês de lactação 7  Leite kg/dia 1,8</t>
  </si>
  <si>
    <t>Vacas de corte em lactação            PV  =550 kg          Mês de lactação 9   Leite kg/dia 0</t>
  </si>
  <si>
    <t>Vacas de corte em lactação            PV  =550 kg          Mês de lactação 11   Leite kg/dia 0</t>
  </si>
  <si>
    <t>Vacas de corte em lactação            PV  =600 kg          Mês de lactação 1   Leite kg/dia 8,4</t>
  </si>
  <si>
    <t>Vacas de corte em lactação           PV  =600 kg          Mês de lactação 3   Leite kg/dia 7,6</t>
  </si>
  <si>
    <t>Vacas de corte em lactação         PV  =600 kg          Mês de lactação 4   Leite kg/dia 5</t>
  </si>
  <si>
    <t>Vacas de corte em lactação           PV  =600 kg          Mês de lactação 7  Leite kg/dia 1,8</t>
  </si>
  <si>
    <t>Vacas de corte em lactação        PV  =600 kg          Mês de lactação 9   Leite kg/dia 0</t>
  </si>
  <si>
    <t>Vacas de corte em lactação          PV  =600 kg          Mês de lactação 11      Leite kg/dia 0</t>
  </si>
  <si>
    <t>PV (kg)=</t>
  </si>
  <si>
    <t>Exigências Nutricionais de Zebuínos Puros e Cruzados BR-Corte Valadares-Filho el al. (2010)</t>
  </si>
  <si>
    <t>Ganho Peso/dia=</t>
  </si>
  <si>
    <t>Nelore</t>
  </si>
  <si>
    <t>Cruzado de corte</t>
  </si>
  <si>
    <t>Vacas Nelores e Bezerros Nelores lactentes</t>
  </si>
  <si>
    <t>Cruzado de Leite</t>
  </si>
  <si>
    <t>pg 176</t>
  </si>
  <si>
    <t>pg 184</t>
  </si>
  <si>
    <t>Vacas Nelores em Gestação</t>
  </si>
  <si>
    <t>Pastejo</t>
  </si>
  <si>
    <t>Macho inteiro</t>
  </si>
  <si>
    <t>Machos castrados</t>
  </si>
  <si>
    <t>Fêmeas</t>
  </si>
  <si>
    <t>Bezerros (menos o leite)</t>
  </si>
  <si>
    <t>Vacas</t>
  </si>
  <si>
    <t>Vacas gestantes</t>
  </si>
  <si>
    <t>Vacas vazias</t>
  </si>
  <si>
    <t>Peso corporal vazio pg 08</t>
  </si>
  <si>
    <t>PCVZ=</t>
  </si>
  <si>
    <t>pg 266</t>
  </si>
  <si>
    <t>Ganho de peso de corpo vazio pg 09</t>
  </si>
  <si>
    <t>GPCVZ=</t>
  </si>
  <si>
    <t>kg/dia</t>
  </si>
  <si>
    <t>pg 268</t>
  </si>
  <si>
    <t>Peso do corpo vazio equivalente pg 176</t>
  </si>
  <si>
    <r>
      <t>PCVZ</t>
    </r>
    <r>
      <rPr>
        <vertAlign val="subscript"/>
        <sz val="10"/>
        <rFont val="Arial"/>
        <family val="2"/>
      </rPr>
      <t>eq</t>
    </r>
    <r>
      <rPr>
        <sz val="10"/>
        <rFont val="Arial"/>
        <family val="2"/>
      </rPr>
      <t>=</t>
    </r>
  </si>
  <si>
    <t>Energia líquida para ganho pg 177</t>
  </si>
  <si>
    <t>ELg=</t>
  </si>
  <si>
    <t>Mcal/dia</t>
  </si>
  <si>
    <t>pg 267</t>
  </si>
  <si>
    <t>Energia retida na forma de proteína pg 180</t>
  </si>
  <si>
    <t>ERp=</t>
  </si>
  <si>
    <t>Eficiência uso da energia metabolizavel ganho pg180</t>
  </si>
  <si>
    <t>kg=</t>
  </si>
  <si>
    <t>Kg=</t>
  </si>
  <si>
    <t>pg 292</t>
  </si>
  <si>
    <t>Exigência de energia metabilizável para ganho pg183</t>
  </si>
  <si>
    <t>EMg=</t>
  </si>
  <si>
    <t>Energia líquida para mantença pg 182 e 183</t>
  </si>
  <si>
    <t>ELm=</t>
  </si>
  <si>
    <t>Kcal/dia</t>
  </si>
  <si>
    <t>pg 265</t>
  </si>
  <si>
    <t>Eficiência uso energia metabolizavel mantença pg181 e 182</t>
  </si>
  <si>
    <t>km=</t>
  </si>
  <si>
    <t>Km=</t>
  </si>
  <si>
    <t>Exigência de energia metabilizável para mantença pg 183</t>
  </si>
  <si>
    <t>EMm=</t>
  </si>
  <si>
    <t>Exigência total de energia metabolizável</t>
  </si>
  <si>
    <t>EMt=</t>
  </si>
  <si>
    <t>pg 274</t>
  </si>
  <si>
    <t>EMtotal=</t>
  </si>
  <si>
    <t>ED=</t>
  </si>
  <si>
    <t>Exigência nutrientes digestíveis totais</t>
  </si>
  <si>
    <t>NDT=</t>
  </si>
  <si>
    <r>
      <t>NDT</t>
    </r>
    <r>
      <rPr>
        <vertAlign val="subscript"/>
        <sz val="10"/>
        <rFont val="Arial"/>
        <family val="2"/>
      </rPr>
      <t>total</t>
    </r>
    <r>
      <rPr>
        <sz val="10"/>
        <rFont val="Arial"/>
        <family val="2"/>
      </rPr>
      <t>=</t>
    </r>
  </si>
  <si>
    <t>Consumo de matéria seca kg/dia pg 28 e 38</t>
  </si>
  <si>
    <t>CMS:Nelore</t>
  </si>
  <si>
    <t>CMS:Mestiço</t>
  </si>
  <si>
    <t>CMS:Bezerros</t>
  </si>
  <si>
    <t>CMS Vacas</t>
  </si>
  <si>
    <t>CMS:cruzadoLeite</t>
  </si>
  <si>
    <t>pg 271</t>
  </si>
  <si>
    <t>EMgest</t>
  </si>
  <si>
    <t>Peso vivo em jejum pg 07</t>
  </si>
  <si>
    <t>PCJ=</t>
  </si>
  <si>
    <t>PCVZeq=</t>
  </si>
  <si>
    <t>ER=</t>
  </si>
  <si>
    <t>PLg=</t>
  </si>
  <si>
    <t>k=</t>
  </si>
  <si>
    <t>PMm=</t>
  </si>
  <si>
    <t>PMg=</t>
  </si>
  <si>
    <t>pg 269</t>
  </si>
  <si>
    <t>PM total=</t>
  </si>
  <si>
    <t>pg 276</t>
  </si>
  <si>
    <t>Pbmic=</t>
  </si>
  <si>
    <t>PDR=</t>
  </si>
  <si>
    <t>PNDR=</t>
  </si>
  <si>
    <t>pg 277</t>
  </si>
  <si>
    <t>PB=</t>
  </si>
  <si>
    <t>máximo</t>
  </si>
  <si>
    <t>ProdLeite</t>
  </si>
  <si>
    <t>PLgest=</t>
  </si>
  <si>
    <t>Cálcio (g/dia)</t>
  </si>
  <si>
    <t>Fósforo (g/dia)</t>
  </si>
  <si>
    <t>Magnésio (gdia)</t>
  </si>
  <si>
    <t>Sódio (g/dia)</t>
  </si>
  <si>
    <t>Potássio (g/dia)</t>
  </si>
  <si>
    <t>Enxofre (g/dia)</t>
  </si>
  <si>
    <t>pg 248</t>
  </si>
  <si>
    <t>Cobalto (mg/dia)=</t>
  </si>
  <si>
    <t>Cobre (mg/dia)=</t>
  </si>
  <si>
    <t>Iodo (mg/dia)=</t>
  </si>
  <si>
    <t>Ferro (mg/dia)=</t>
  </si>
  <si>
    <t>Manganês (mg/dia)=</t>
  </si>
  <si>
    <t>Selênio  (mg/dia)=</t>
  </si>
  <si>
    <t>Zinco (mg/dia)=</t>
  </si>
  <si>
    <t>Cromo (mg/dia)</t>
  </si>
  <si>
    <t>Segudo NRC 2000</t>
  </si>
  <si>
    <t>McDonald et al. 2002</t>
  </si>
  <si>
    <t>McDonald  1992</t>
  </si>
  <si>
    <t>Teor concentrado na dieta (% MS total da dieta) pg 28</t>
  </si>
  <si>
    <t>NC</t>
  </si>
  <si>
    <t>BCNRM 2016</t>
  </si>
  <si>
    <t>Consumo de suplemento kg/dia pg 32</t>
  </si>
  <si>
    <t>CMSs</t>
  </si>
  <si>
    <t>Tempo gestação</t>
  </si>
  <si>
    <t>pg 296</t>
  </si>
  <si>
    <r>
      <t>EL</t>
    </r>
    <r>
      <rPr>
        <vertAlign val="subscript"/>
        <sz val="10"/>
        <rFont val="Arial"/>
        <family val="2"/>
      </rPr>
      <t>l</t>
    </r>
  </si>
  <si>
    <t>Escore de condição corporal</t>
  </si>
  <si>
    <t>Fornecido</t>
  </si>
  <si>
    <t>Nível máximo tolerável</t>
  </si>
  <si>
    <r>
      <t>k</t>
    </r>
    <r>
      <rPr>
        <vertAlign val="superscript"/>
        <sz val="10"/>
        <rFont val="Arial"/>
        <family val="2"/>
      </rPr>
      <t>l</t>
    </r>
  </si>
  <si>
    <t>Peso médio bezerro nascer</t>
  </si>
  <si>
    <t>FDN (Mínimo)</t>
  </si>
  <si>
    <r>
      <t>EM</t>
    </r>
    <r>
      <rPr>
        <vertAlign val="subscript"/>
        <sz val="10"/>
        <rFont val="Arial"/>
        <family val="2"/>
      </rPr>
      <t>l</t>
    </r>
  </si>
  <si>
    <t>pg 264</t>
  </si>
  <si>
    <t>CMSgest kg/dia</t>
  </si>
  <si>
    <t>FDA (Mínimo)</t>
  </si>
  <si>
    <r>
      <t>PM</t>
    </r>
    <r>
      <rPr>
        <vertAlign val="subscript"/>
        <sz val="10"/>
        <rFont val="Arial"/>
        <family val="2"/>
      </rPr>
      <t>l</t>
    </r>
  </si>
  <si>
    <t>CMSngest</t>
  </si>
  <si>
    <t>EE (Máximo)</t>
  </si>
  <si>
    <t>CMSleite</t>
  </si>
  <si>
    <t>pg 270</t>
  </si>
  <si>
    <t>ELgest</t>
  </si>
  <si>
    <t>g/dia</t>
  </si>
  <si>
    <t>pg 302</t>
  </si>
  <si>
    <t>CMSvol+com</t>
  </si>
  <si>
    <t>PMgest</t>
  </si>
  <si>
    <t>Ca mantença</t>
  </si>
  <si>
    <t>Ca ganho</t>
  </si>
  <si>
    <t>CPB leite</t>
  </si>
  <si>
    <t>CNDT leite</t>
  </si>
  <si>
    <t>Ca Lactação</t>
  </si>
  <si>
    <t>P mantença</t>
  </si>
  <si>
    <t xml:space="preserve">P mantença </t>
  </si>
  <si>
    <t>P ganho</t>
  </si>
  <si>
    <t xml:space="preserve">P ganho </t>
  </si>
  <si>
    <t>P Lactação</t>
  </si>
  <si>
    <t xml:space="preserve">Mg mantença </t>
  </si>
  <si>
    <t xml:space="preserve">Mg ganho </t>
  </si>
  <si>
    <t>BR Corte 2010</t>
  </si>
  <si>
    <t>Mg Lactação</t>
  </si>
  <si>
    <t xml:space="preserve">Na mantença </t>
  </si>
  <si>
    <t xml:space="preserve">Na ganho </t>
  </si>
  <si>
    <t>Na Lactação</t>
  </si>
  <si>
    <t xml:space="preserve">K mantença </t>
  </si>
  <si>
    <t xml:space="preserve">K ganho </t>
  </si>
  <si>
    <t>K Lactação</t>
  </si>
  <si>
    <t xml:space="preserve">S mantença </t>
  </si>
  <si>
    <t xml:space="preserve">S ganho </t>
  </si>
  <si>
    <t>S Lactação</t>
  </si>
  <si>
    <t>mg/dia</t>
  </si>
  <si>
    <t xml:space="preserve">Co mantença </t>
  </si>
  <si>
    <t xml:space="preserve">Co ganho </t>
  </si>
  <si>
    <t>Co Lactação</t>
  </si>
  <si>
    <t xml:space="preserve">Cu mantença </t>
  </si>
  <si>
    <t xml:space="preserve">Cu ganho </t>
  </si>
  <si>
    <t>Cu Lactação</t>
  </si>
  <si>
    <t xml:space="preserve">Fe mantença </t>
  </si>
  <si>
    <t xml:space="preserve">Fe ganho </t>
  </si>
  <si>
    <t>Fe Lactação</t>
  </si>
  <si>
    <t xml:space="preserve">Mn mantença </t>
  </si>
  <si>
    <t xml:space="preserve">Mn ganho </t>
  </si>
  <si>
    <t>Mn Lactação</t>
  </si>
  <si>
    <t>pg297</t>
  </si>
  <si>
    <t xml:space="preserve">Se mantença </t>
  </si>
  <si>
    <t xml:space="preserve">Se ganho </t>
  </si>
  <si>
    <t>Se Lactação</t>
  </si>
  <si>
    <t>https://www.scielo.br/pdf/cr/v37n4/a52v37n4.pdf</t>
  </si>
  <si>
    <t xml:space="preserve">Zn mantença </t>
  </si>
  <si>
    <t xml:space="preserve">Zn ganho </t>
  </si>
  <si>
    <t>Zn Lactação</t>
  </si>
  <si>
    <t xml:space="preserve">Cr mantença </t>
  </si>
  <si>
    <t xml:space="preserve">Cr ganho </t>
  </si>
  <si>
    <t>Cr Lactação</t>
  </si>
  <si>
    <t>Iodo teor no leite</t>
  </si>
  <si>
    <t>https://www.alice.cnptia.embrapa.br/alice/bitstream/doc/43408/1/digitalizar0042.pdf</t>
  </si>
  <si>
    <t>Nelore Confinamento Machos castrados</t>
  </si>
  <si>
    <t>Nelore Confinamento Fêmeas</t>
  </si>
  <si>
    <t>Nelore Pastejo Machos inteiros</t>
  </si>
  <si>
    <t>Nelore Pastejo Machos castrados</t>
  </si>
  <si>
    <t>Nelore Pastejo Fêmeas</t>
  </si>
  <si>
    <t>Cruzado Confinamento Machos inteiros</t>
  </si>
  <si>
    <t>Cruzado Confinamento Machos castrados</t>
  </si>
  <si>
    <t>Cruzado Confinamento Fêmeas</t>
  </si>
  <si>
    <t>Dias de Gestação</t>
  </si>
  <si>
    <t>Lactação (semana)</t>
  </si>
  <si>
    <t>Bezerro Lactante(0-180)</t>
  </si>
  <si>
    <t>Vaca em Lacatação</t>
  </si>
  <si>
    <t>Vaca em Gestação</t>
  </si>
  <si>
    <t>Vaca Vazia</t>
  </si>
  <si>
    <t>CONC</t>
  </si>
  <si>
    <t>Ca/P Mín</t>
  </si>
  <si>
    <t>Ca/P Máx</t>
  </si>
  <si>
    <t>Mínimo %</t>
  </si>
  <si>
    <t>Máximo %</t>
  </si>
  <si>
    <t>Novilhos (as)</t>
  </si>
  <si>
    <t>Vacas Secas</t>
  </si>
  <si>
    <t>Vacas em gestação</t>
  </si>
  <si>
    <t>Micro minerais (ppm=mg/kg MS)</t>
  </si>
  <si>
    <t>NRC (1996) e NRC (1989)</t>
  </si>
  <si>
    <t>Souza (1985) sugere 500 ppm de Zn; 0,4 ppm de Co e 0,2 a 0,3 ppm de Se</t>
  </si>
  <si>
    <t>Macro minerais (g)</t>
  </si>
  <si>
    <t>Micro minerais (mg)</t>
  </si>
  <si>
    <t>Leite (kg/dia)=</t>
  </si>
  <si>
    <t>Gordura (%)=</t>
  </si>
  <si>
    <t>Proteína (%)=</t>
  </si>
  <si>
    <t>Mineral</t>
  </si>
  <si>
    <t>Vacas 0-3 semanas lactação              PV adulto</t>
  </si>
  <si>
    <t>Vacas 0-3 semanas lactação          PV adulto</t>
  </si>
  <si>
    <t>Vacas 0-3 semanas lactação         PV adulto</t>
  </si>
  <si>
    <t>Vacas secas         PV adulto PV+concepto 730 Gestação (d) 240</t>
  </si>
  <si>
    <t>PV+concepto 751 Gestação (d) 270</t>
  </si>
  <si>
    <t xml:space="preserve"> Vacas secas      PV adulto PV+concepto 757 Gestação (d) 279</t>
  </si>
  <si>
    <t>Novilhas PV adulto PV+concepto 625 Gestação (d) 270</t>
  </si>
  <si>
    <t>Vacas Padrão PV adulto  PV+concepto 751 Gestação (d) 270</t>
  </si>
  <si>
    <t>Vacas Aniônica PV adulto  PV+concepto 751 Gestação (d) 270</t>
  </si>
  <si>
    <t xml:space="preserve">   Leite (kg/dia) 25</t>
  </si>
  <si>
    <t>Leite (kg/dia) 25 Gordura (%) 3,5</t>
  </si>
  <si>
    <t>Leite (kg/dia) 35</t>
  </si>
  <si>
    <t>Peso do bezerro = 45kg</t>
  </si>
  <si>
    <t>em final de gestação</t>
  </si>
  <si>
    <t>Gordura (%) 4,2 Proteína (%) 3,6</t>
  </si>
  <si>
    <t>Proteína (%) 3,0</t>
  </si>
  <si>
    <t>Gordura (%) 3,5  Proteína (%) 3,0</t>
  </si>
  <si>
    <t>GDP sem feto=0,67kg/dia</t>
  </si>
  <si>
    <t>GPD =300g/dia + concepto 700g/dia</t>
  </si>
  <si>
    <t>Final de gestação ou transição</t>
  </si>
  <si>
    <t>mEq/kg</t>
  </si>
  <si>
    <t>kg de MN</t>
  </si>
  <si>
    <t>kg de MS</t>
  </si>
  <si>
    <t>Cl</t>
  </si>
  <si>
    <t xml:space="preserve">Vit D </t>
  </si>
  <si>
    <t xml:space="preserve">Vit E </t>
  </si>
  <si>
    <t>VOL</t>
  </si>
  <si>
    <t>Novo 01</t>
  </si>
  <si>
    <t>Nutriente Novo 01</t>
  </si>
  <si>
    <t>Bovino de Corte</t>
  </si>
  <si>
    <t>Bovino de Leite</t>
  </si>
  <si>
    <t>Chave</t>
  </si>
  <si>
    <t>ID2</t>
  </si>
  <si>
    <t>Referência</t>
  </si>
  <si>
    <t>Fase</t>
  </si>
  <si>
    <t>PV(kg)</t>
  </si>
  <si>
    <t xml:space="preserve">Amplitude </t>
  </si>
  <si>
    <t>Feto/Filho</t>
  </si>
  <si>
    <t>PV Nascer(kg)</t>
  </si>
  <si>
    <t>Prod. Leite (kg/dia)</t>
  </si>
  <si>
    <t>GMD(g)</t>
  </si>
  <si>
    <t>CMS(kg)</t>
  </si>
  <si>
    <t>PB(g)</t>
  </si>
  <si>
    <t>PDR(g)</t>
  </si>
  <si>
    <t>NDT(kg)</t>
  </si>
  <si>
    <t>FDN(kg)</t>
  </si>
  <si>
    <t>EE(g)</t>
  </si>
  <si>
    <t>Ca(g)</t>
  </si>
  <si>
    <t>P(g)</t>
  </si>
  <si>
    <t>A (UI/kg)</t>
  </si>
  <si>
    <t>D  (UI/kg)</t>
  </si>
  <si>
    <t>E  (UI/kg)</t>
  </si>
  <si>
    <t>Novo</t>
  </si>
  <si>
    <t>Ovino Certo</t>
  </si>
  <si>
    <t>Carneiros</t>
  </si>
  <si>
    <t>Manutenção</t>
  </si>
  <si>
    <t>Pré-cobrição</t>
  </si>
  <si>
    <t>Carneiros (4 meses)</t>
  </si>
  <si>
    <t>Crescimento</t>
  </si>
  <si>
    <t>Carneiros (8 meses)</t>
  </si>
  <si>
    <t>Cordeiros(as) (4 meses)</t>
  </si>
  <si>
    <t>Cordeiros(as) (8 meses)</t>
  </si>
  <si>
    <t>Gestação Precoce</t>
  </si>
  <si>
    <t>1 Cordeiro</t>
  </si>
  <si>
    <t>Gestação Tardia</t>
  </si>
  <si>
    <t>Início de Lactação</t>
  </si>
  <si>
    <t>Lactação tardia</t>
  </si>
  <si>
    <t>Meio de Lactação</t>
  </si>
  <si>
    <t>Reprodução</t>
  </si>
  <si>
    <t>Cordeiros(as)</t>
  </si>
  <si>
    <t>NRC 1985</t>
  </si>
  <si>
    <t>Ovino</t>
  </si>
  <si>
    <t>Crescimento_Engorda</t>
  </si>
  <si>
    <t>Ovelha</t>
  </si>
  <si>
    <t>Gestação</t>
  </si>
  <si>
    <t>Lactação</t>
  </si>
  <si>
    <t>Caprino</t>
  </si>
  <si>
    <t>Intervalo</t>
  </si>
  <si>
    <t>% MS</t>
  </si>
  <si>
    <t>mg/kg/MS</t>
  </si>
  <si>
    <t>Fonte: NRC (1985)</t>
  </si>
  <si>
    <t>Macro minerais
 (% na MS)</t>
  </si>
  <si>
    <t>2 Cordeiros</t>
  </si>
  <si>
    <t>3 Cordeiros</t>
  </si>
  <si>
    <t>Ovinos e Caprinos</t>
  </si>
  <si>
    <t>04 - Suplemento  Mineral</t>
  </si>
  <si>
    <t>Mínimo
 por KG de MS</t>
  </si>
  <si>
    <t>Tolerado</t>
  </si>
  <si>
    <t>Macrominerais</t>
  </si>
  <si>
    <t>Microminerais</t>
  </si>
  <si>
    <t>Consumo MS=</t>
  </si>
  <si>
    <t>CMS (KG)</t>
  </si>
  <si>
    <t>TOTAL</t>
  </si>
  <si>
    <t>Valor na Dieta (R$)</t>
  </si>
  <si>
    <t>VD</t>
  </si>
  <si>
    <t>Porcentagem
 na Dieta (%)</t>
  </si>
  <si>
    <t>UREIA</t>
  </si>
  <si>
    <t>SAL COMUM (NACL)</t>
  </si>
  <si>
    <t>MINERAL FOSBOVI 40</t>
  </si>
  <si>
    <t>Proteinado (Seca)</t>
  </si>
  <si>
    <t>Proteinado (Águas)</t>
  </si>
  <si>
    <t>Proteico Energético (Seca)</t>
  </si>
  <si>
    <t>Proteico Energético (Águas)</t>
  </si>
  <si>
    <t>Valor Total</t>
  </si>
  <si>
    <t>Mistura</t>
  </si>
  <si>
    <t>Consumo animal/dia</t>
  </si>
  <si>
    <t>Consumo Lote/dia</t>
  </si>
  <si>
    <t>Custo Animal/dia</t>
  </si>
  <si>
    <t>Custo Lote/dia</t>
  </si>
  <si>
    <t>Custo total período</t>
  </si>
  <si>
    <t>Consumo total período</t>
  </si>
  <si>
    <t>CUSTOS</t>
  </si>
  <si>
    <t>CONSUMO</t>
  </si>
  <si>
    <t>INFORMAÇÕES GERAIS</t>
  </si>
  <si>
    <t>INFORMAÇÕES DE CONSUMO POR ANIMAL</t>
  </si>
  <si>
    <t>MINERAL E PROTEINA BRUTA</t>
  </si>
  <si>
    <t>GMD necessário para pagar o suplemento:</t>
  </si>
  <si>
    <t>Custo mensal com a suplementação:</t>
  </si>
  <si>
    <t>URÉIA, NDT e SÓDIO</t>
  </si>
  <si>
    <r>
      <t xml:space="preserve">Produção de </t>
    </r>
    <r>
      <rPr>
        <b/>
        <sz val="11"/>
        <color rgb="FF002060"/>
        <rFont val="Calibri"/>
        <family val="2"/>
        <scheme val="minor"/>
      </rPr>
      <t>leite/dia</t>
    </r>
    <r>
      <rPr>
        <sz val="11"/>
        <color theme="1"/>
        <rFont val="Calibri"/>
        <family val="2"/>
        <scheme val="minor"/>
      </rPr>
      <t xml:space="preserve"> para pagar o suplemento:</t>
    </r>
  </si>
  <si>
    <t>INFORMAÇÕES ECONÔMICAS</t>
  </si>
  <si>
    <t>PONTO DE EQUILÍBRIO</t>
  </si>
  <si>
    <r>
      <rPr>
        <i/>
        <sz val="11"/>
        <color theme="5" tint="-0.249977111117893"/>
        <rFont val="Calibri"/>
        <family val="2"/>
        <scheme val="minor"/>
      </rPr>
      <t>MINERAL</t>
    </r>
    <r>
      <rPr>
        <i/>
        <sz val="11"/>
        <color theme="1"/>
        <rFont val="Calibri"/>
        <family val="2"/>
        <scheme val="minor"/>
      </rPr>
      <t xml:space="preserve"> total</t>
    </r>
  </si>
  <si>
    <r>
      <rPr>
        <i/>
        <sz val="11"/>
        <color rgb="FF0066FF"/>
        <rFont val="Calibri"/>
        <family val="2"/>
        <scheme val="minor"/>
      </rPr>
      <t>PB</t>
    </r>
    <r>
      <rPr>
        <i/>
        <sz val="11"/>
        <color theme="1"/>
        <rFont val="Calibri"/>
        <family val="2"/>
        <scheme val="minor"/>
      </rPr>
      <t xml:space="preserve"> Total</t>
    </r>
  </si>
  <si>
    <r>
      <rPr>
        <i/>
        <sz val="11"/>
        <color rgb="FF0066FF"/>
        <rFont val="Calibri"/>
        <family val="2"/>
        <scheme val="minor"/>
      </rPr>
      <t>PB</t>
    </r>
    <r>
      <rPr>
        <i/>
        <sz val="11"/>
        <color theme="1"/>
        <rFont val="Calibri"/>
        <family val="2"/>
        <scheme val="minor"/>
      </rPr>
      <t xml:space="preserve"> Verdadeira</t>
    </r>
  </si>
  <si>
    <r>
      <rPr>
        <i/>
        <sz val="11"/>
        <color rgb="FF0066FF"/>
        <rFont val="Calibri"/>
        <family val="2"/>
        <scheme val="minor"/>
      </rPr>
      <t>PB</t>
    </r>
    <r>
      <rPr>
        <i/>
        <sz val="11"/>
        <color theme="1"/>
        <rFont val="Calibri"/>
        <family val="2"/>
        <scheme val="minor"/>
      </rPr>
      <t xml:space="preserve"> NNP</t>
    </r>
  </si>
  <si>
    <r>
      <rPr>
        <i/>
        <sz val="11"/>
        <color rgb="FF0066FF"/>
        <rFont val="Calibri"/>
        <family val="2"/>
        <scheme val="minor"/>
      </rPr>
      <t>PB</t>
    </r>
    <r>
      <rPr>
        <i/>
        <sz val="11"/>
        <color theme="1"/>
        <rFont val="Calibri"/>
        <family val="2"/>
        <scheme val="minor"/>
      </rPr>
      <t>/100 Kg de PV</t>
    </r>
  </si>
  <si>
    <r>
      <rPr>
        <sz val="11"/>
        <color rgb="FFFF0000"/>
        <rFont val="Aptos Narrow"/>
        <family val="2"/>
      </rPr>
      <t xml:space="preserve">URÉIA </t>
    </r>
    <r>
      <rPr>
        <sz val="11"/>
        <rFont val="Aptos Narrow"/>
        <family val="2"/>
      </rPr>
      <t>para cada 100 Kg de pe</t>
    </r>
    <r>
      <rPr>
        <sz val="11"/>
        <color theme="1"/>
        <rFont val="Aptos Narrow"/>
        <family val="2"/>
      </rPr>
      <t>so vivo (g)</t>
    </r>
  </si>
  <si>
    <r>
      <rPr>
        <sz val="11"/>
        <color rgb="FFFF0000"/>
        <rFont val="Aptos Narrow"/>
        <family val="2"/>
      </rPr>
      <t>URÉIA</t>
    </r>
    <r>
      <rPr>
        <sz val="11"/>
        <color theme="1"/>
        <rFont val="Aptos Narrow"/>
        <family val="2"/>
      </rPr>
      <t xml:space="preserve"> total  (g)</t>
    </r>
  </si>
  <si>
    <r>
      <rPr>
        <sz val="11"/>
        <color rgb="FF00B050"/>
        <rFont val="Aptos Narrow"/>
        <family val="2"/>
      </rPr>
      <t>NDT</t>
    </r>
    <r>
      <rPr>
        <sz val="11"/>
        <color theme="1"/>
        <rFont val="Aptos Narrow"/>
        <family val="2"/>
      </rPr>
      <t xml:space="preserve"> total (g)</t>
    </r>
  </si>
  <si>
    <r>
      <rPr>
        <b/>
        <sz val="11"/>
        <color theme="9" tint="-0.499984740745262"/>
        <rFont val="Aptos Narrow"/>
        <family val="2"/>
      </rPr>
      <t>SÓDIO</t>
    </r>
    <r>
      <rPr>
        <sz val="11"/>
        <color theme="1"/>
        <rFont val="Aptos Narrow"/>
        <family val="2"/>
      </rPr>
      <t xml:space="preserve"> total (g)</t>
    </r>
  </si>
  <si>
    <t>7 - Fornecimento (dias)</t>
  </si>
  <si>
    <t>8 - Preço Venda @</t>
  </si>
  <si>
    <t>9 - Preço Litro de Leite</t>
  </si>
  <si>
    <t>__________________________</t>
  </si>
  <si>
    <t>REPONSÁVEL TÉCNICO</t>
  </si>
  <si>
    <r>
      <rPr>
        <sz val="11"/>
        <color rgb="FF00B050"/>
        <rFont val="Aptos Narrow"/>
        <family val="2"/>
      </rPr>
      <t xml:space="preserve">NDT </t>
    </r>
    <r>
      <rPr>
        <sz val="11"/>
        <color theme="1"/>
        <rFont val="Aptos Narrow"/>
        <family val="2"/>
      </rPr>
      <t>para cada 100 Kg de peso vivo (g)</t>
    </r>
  </si>
  <si>
    <t>Ficha de Mistura do Suplemento para 1 Animal/ dia</t>
  </si>
  <si>
    <t>V. Unitário</t>
  </si>
  <si>
    <t>INGREDIENTE</t>
  </si>
  <si>
    <t>____________________________________________</t>
  </si>
  <si>
    <t>Observação / Recomendação</t>
  </si>
  <si>
    <t>Máximo 
por Kg de MS</t>
  </si>
  <si>
    <t>ATENDIDO</t>
  </si>
  <si>
    <t>DESCRIÇÃO</t>
  </si>
  <si>
    <t>NDT/100 kg/PV</t>
  </si>
  <si>
    <t>META</t>
  </si>
  <si>
    <t>Maquina</t>
  </si>
  <si>
    <t>Concentrado, kg/d</t>
  </si>
  <si>
    <t>Dias de gestação</t>
  </si>
  <si>
    <t>NRC 2001</t>
  </si>
  <si>
    <t>Lana 2020</t>
  </si>
  <si>
    <t>UND</t>
  </si>
  <si>
    <t>EXIG CALC</t>
  </si>
  <si>
    <t>U.I.</t>
  </si>
  <si>
    <t>.</t>
  </si>
  <si>
    <t>Peso Corporal Adulto (kg)</t>
  </si>
  <si>
    <t>GMD (Kg)</t>
  </si>
  <si>
    <t>GMD (KG)</t>
  </si>
  <si>
    <t>Matéria Natural (Dieta Total)</t>
  </si>
  <si>
    <t>Matéria Seca (Dieta Total)</t>
  </si>
  <si>
    <t>460 - 540 kg</t>
  </si>
  <si>
    <t>18 - 24 kg</t>
  </si>
  <si>
    <t>3,45 - 4.33%</t>
  </si>
  <si>
    <t>2.84 - 3.48%</t>
  </si>
  <si>
    <t>Bezerros (50 a 124 kg)</t>
  </si>
  <si>
    <t xml:space="preserve">Vacas Secas PV Adulto + Concepto 751 Gestação (270 d) </t>
  </si>
  <si>
    <t xml:space="preserve">Vacas Secas PV Adulto + Concepto 730 Gestação (240 d) </t>
  </si>
  <si>
    <t xml:space="preserve">Vacas Secas PV Adulto + Concepto 757 Gestação (279 d) </t>
  </si>
  <si>
    <t xml:space="preserve">Novilhas PV Adulto + Concepto 625 Gestação (270 d) </t>
  </si>
  <si>
    <t xml:space="preserve">Vacas Padrão PV Adulto + Concepto 751 Gestação (270 d) </t>
  </si>
  <si>
    <t xml:space="preserve">Vacas Aniônica PV Adulto + Concepto 751 Gestação (270 d) </t>
  </si>
  <si>
    <t>PV Adulto (Kg)</t>
  </si>
  <si>
    <t>PV Atual (kg)</t>
  </si>
  <si>
    <t>Prod Leite (kg/dia)</t>
  </si>
  <si>
    <t>NRC</t>
  </si>
  <si>
    <t>Vacas em Lactação (Menor que 3 Semanas)</t>
  </si>
  <si>
    <t>Vacas em Lactação (Maior que 3 Semanas)</t>
  </si>
  <si>
    <t>Novilhas (Maior que 124 kg PV)</t>
  </si>
  <si>
    <t>Vacas em Sistema Intensivo (Lactação Maior que 3 Semanas)</t>
  </si>
  <si>
    <t>Vacas - Exig. Brasileiras (Lactação Maior que 3 Semanas)</t>
  </si>
  <si>
    <t>Algodão, Farelo 44%PB</t>
  </si>
  <si>
    <t>Algodão, Farelo 30%PB</t>
  </si>
  <si>
    <t>Abacaxi, Coproduto Desidratado</t>
  </si>
  <si>
    <t>Acerola, Coproduto</t>
  </si>
  <si>
    <t>Caju, Coproduto da Indústria do Suco</t>
  </si>
  <si>
    <t>Maracujá, Coproduto</t>
  </si>
  <si>
    <t>BR CORTE 5.0</t>
  </si>
  <si>
    <t>CQBAL 23</t>
  </si>
  <si>
    <t>LANA 2007</t>
  </si>
  <si>
    <t>Capim Capiaçu (90 dias)</t>
  </si>
  <si>
    <t>ANÁLISE</t>
  </si>
  <si>
    <r>
      <t xml:space="preserve">Informações Econômicas
</t>
    </r>
    <r>
      <rPr>
        <i/>
        <sz val="12"/>
        <color theme="0"/>
        <rFont val="Arial"/>
        <family val="2"/>
      </rPr>
      <t>(Custos apenas com a alimentação)</t>
    </r>
  </si>
  <si>
    <t>Despesa Extra (R$)</t>
  </si>
  <si>
    <t>Custo Total (R$)</t>
  </si>
  <si>
    <t>Receita Total (R$)</t>
  </si>
  <si>
    <t>Representatividade</t>
  </si>
  <si>
    <t>Dias de produção</t>
  </si>
  <si>
    <t>Depreciação Animais (R$/Mês)</t>
  </si>
  <si>
    <t>Preço de Venda do Leite (R$/Kg)</t>
  </si>
  <si>
    <t>Custo Diária por Animal (R$)</t>
  </si>
  <si>
    <t>Custo Diária do Lote (R$)</t>
  </si>
  <si>
    <t>Custo Mensal do Lote (R$))</t>
  </si>
  <si>
    <t>Custo Total por Animal no Período (R$)</t>
  </si>
  <si>
    <t>Custo Total do Lote no Período (R$)</t>
  </si>
  <si>
    <t>Lucro Diário por Animal (R$)</t>
  </si>
  <si>
    <t>Lucro Diário do Lote (R$)</t>
  </si>
  <si>
    <t>Lucro Mensal do Lote (R$)</t>
  </si>
  <si>
    <t>Lucro Total por Animal no Período (R$)</t>
  </si>
  <si>
    <t>Despesa Extra Mensal (R$)</t>
  </si>
  <si>
    <t>Lucro Total do Lote no Período (R$)*</t>
  </si>
  <si>
    <t>*Exclui a Despesa Extra</t>
  </si>
  <si>
    <t>GMD por Animal (Kg)</t>
  </si>
  <si>
    <t>GMD do Lote (Kg)</t>
  </si>
  <si>
    <t>Ganho de Peso Mensal do Lote (Kg)</t>
  </si>
  <si>
    <t>Ganho de Peso Total por Animal no Período (Kg)</t>
  </si>
  <si>
    <t>Ganho de Peso Total do Lote no Período (Kg)</t>
  </si>
  <si>
    <t>Dias de Confinamento</t>
  </si>
  <si>
    <t>Dias de Produção</t>
  </si>
  <si>
    <t>Saldo Final</t>
  </si>
  <si>
    <t>Peso Médio na Saída (@/animal)</t>
  </si>
  <si>
    <t>Custo para Produzir uma @</t>
  </si>
  <si>
    <t>Lucro (R$)</t>
  </si>
  <si>
    <t>Produção Diária por Animal (Kg de leite)</t>
  </si>
  <si>
    <t>Produção Diária do Lote (Kg de leite)</t>
  </si>
  <si>
    <t>Produção Mensal do Lote (Kg de leite)</t>
  </si>
  <si>
    <t>Produção Total por Animal no Período (Kg de leite)</t>
  </si>
  <si>
    <t>Produção Total do Lote no Período (Kg de leite</t>
  </si>
  <si>
    <t>Novo 04</t>
  </si>
  <si>
    <t>Novo 05</t>
  </si>
  <si>
    <t>Novo 06</t>
  </si>
  <si>
    <t>Novo 07</t>
  </si>
  <si>
    <t>Novo 08</t>
  </si>
  <si>
    <t xml:space="preserve"> Despesa Extra (R$)</t>
  </si>
  <si>
    <t>Referência de Minerais para Bovinos</t>
  </si>
  <si>
    <t>Referência de Minerais para Ovinos</t>
  </si>
  <si>
    <t>Custo de 1 kg de Leite Produzido (R$)</t>
  </si>
  <si>
    <t>IOMAR-W11-20232</t>
  </si>
  <si>
    <t>FOSFATO BICÁLCICO</t>
  </si>
  <si>
    <t>CALCÁRIO CALCÍTICO</t>
  </si>
  <si>
    <t>Inclusão Mín (%)</t>
  </si>
  <si>
    <t>Inclusão Máx (%)</t>
  </si>
  <si>
    <t>Máximo (Nutriente)</t>
  </si>
  <si>
    <t>Mínimo (Nutriente)</t>
  </si>
  <si>
    <t>Informações para gerar relatório</t>
  </si>
  <si>
    <t>6 - Quantidade de Animais</t>
  </si>
  <si>
    <t>5 - Peso Vivo Médio do Animais</t>
  </si>
  <si>
    <t>,</t>
  </si>
  <si>
    <t>Módulo Formulação de Proteinado e Proteico Energético</t>
  </si>
  <si>
    <t>Preço Atual (Kg)</t>
  </si>
  <si>
    <t>Preço Cadastrado</t>
  </si>
  <si>
    <t>NNP/100Kg</t>
  </si>
  <si>
    <t>NDT/100Kg</t>
  </si>
  <si>
    <t>Pósforo</t>
  </si>
  <si>
    <t>EXIGÊNCIA</t>
  </si>
  <si>
    <t>REQUERIDO</t>
  </si>
  <si>
    <t>Tamanho da batida (kg)</t>
  </si>
  <si>
    <t>Iomar</t>
  </si>
  <si>
    <t>CADASTRO DE ALIMENTOS</t>
  </si>
  <si>
    <t>Versão 2.9</t>
  </si>
  <si>
    <t>PB (NNP)</t>
  </si>
  <si>
    <t xml:space="preserve"> Consumo do Suplemento - g/dia</t>
  </si>
  <si>
    <t>* Consumo do Suplemento (g/dia) = (CMS/% Sódio do Suplemento) x 100</t>
  </si>
  <si>
    <t>Estimativa do consumo do produto (g/dia)</t>
  </si>
  <si>
    <t>QUANTIDADE</t>
  </si>
  <si>
    <t>OBSERVAÇÃO</t>
  </si>
  <si>
    <t xml:space="preserve"> = Consumo MS - Produto</t>
  </si>
  <si>
    <t>= Consumo MN - Produto</t>
  </si>
  <si>
    <t>= Arbitrado informado</t>
  </si>
  <si>
    <t>= Arbitrado</t>
  </si>
  <si>
    <t>Automático</t>
  </si>
  <si>
    <r>
      <t>Teor de sódio (</t>
    </r>
    <r>
      <rPr>
        <b/>
        <i/>
        <sz val="9"/>
        <rFont val="Verdana"/>
        <family val="2"/>
      </rPr>
      <t>Na</t>
    </r>
    <r>
      <rPr>
        <sz val="9"/>
        <rFont val="Verdana"/>
        <family val="2"/>
      </rPr>
      <t>) no suplemento (%)</t>
    </r>
  </si>
  <si>
    <t>1 - Conhecer a exigência Animal</t>
  </si>
  <si>
    <t>5 - Após os ajustes necessários, enviar os de níveis de garantia clicando em "Enviar Molde"</t>
  </si>
  <si>
    <t>7 - No módulo de Formulaçõ, selecionar os ingredientes (importante atualizar os preços)</t>
  </si>
  <si>
    <t>Passo a passo...</t>
  </si>
  <si>
    <t>Abaixo Adotei se for erro, o Teor será 1</t>
  </si>
  <si>
    <t>(MÓDULO MINERAL)</t>
  </si>
  <si>
    <t>CAPIM BRAQUIÁRIA DECUMBENS ÁGUAS-SECA</t>
  </si>
  <si>
    <t>SULFATO COBRE</t>
  </si>
  <si>
    <t>Quantidade Exigida</t>
  </si>
  <si>
    <t>Vetérinário</t>
  </si>
  <si>
    <t>Agrônomo</t>
  </si>
  <si>
    <t>Técnico</t>
  </si>
  <si>
    <t>Produtor</t>
  </si>
  <si>
    <t>Técnico Agrícola</t>
  </si>
  <si>
    <t>Técnico em Zootecnia</t>
  </si>
  <si>
    <t>Técnico em Meio Ambiente</t>
  </si>
  <si>
    <t>Técnico em Agrimensura</t>
  </si>
  <si>
    <t>Pós-graduado em Práticas de Gestão na Administração Pública</t>
  </si>
  <si>
    <t>Pós-graduado em Docência no Ensino Médio-Técnico</t>
  </si>
  <si>
    <t>Pós-graduado em Produção e Desenvolvimento Rural</t>
  </si>
  <si>
    <t>Pós-graduado em Saúde e Segurança no Trabalho</t>
  </si>
  <si>
    <t>Pós-graduado em Desenvolvimento Mobile</t>
  </si>
  <si>
    <t>Pós-graduado em Reprodução Animal</t>
  </si>
  <si>
    <t>Pós-graduado em Educação 4.0</t>
  </si>
  <si>
    <t>Pós-graduado em Avicultura</t>
  </si>
  <si>
    <t>Usuário Cadastrado no PFDR</t>
  </si>
  <si>
    <t>Computador</t>
  </si>
  <si>
    <t>Contato</t>
  </si>
  <si>
    <t>(99) 99995-3667</t>
  </si>
  <si>
    <t>(99) 99953-6677</t>
  </si>
  <si>
    <t>Validade</t>
  </si>
  <si>
    <r>
      <t>Qua</t>
    </r>
    <r>
      <rPr>
        <b/>
        <sz val="8"/>
        <rFont val="Calibri"/>
        <family val="2"/>
      </rPr>
      <t>ntidade (kg)</t>
    </r>
  </si>
  <si>
    <t>Reg Profissional</t>
  </si>
  <si>
    <t>ID_Placa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</si>
</sst>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7">
    <numFmt numFmtId="164" formatCode="_(* #,##0.00_);_(* \(#,##0.00\);_(* &quot;-&quot;??_);_(@_)"/>
    <numFmt numFmtId="165" formatCode="_(&quot;R$&quot;* #,##0.00_);_(&quot;R$&quot;* \(#,##0.00\);_(&quot;R$&quot;* &quot;-&quot;??_);_(@_)"/>
    <numFmt numFmtId="166" formatCode="0.0"/>
    <numFmt numFmtId="167" formatCode="0.000"/>
    <numFmt numFmtId="168" formatCode="0.0%"/>
    <numFmt numFmtId="169" formatCode="#,##0.0000"/>
    <numFmt numFmtId="170" formatCode="_-* #,##0.000_-;\-* #,##0.000_-;_-* &quot;-&quot;??_-;_-@_-"/>
    <numFmt numFmtId="171" formatCode="&quot;R$&quot;\ 0.00\ &quot;/ Kg Mistura Matéria Natural&quot;"/>
    <numFmt numFmtId="172" formatCode="&quot;R$&quot;\ 0.00\ &quot;/ Kg Mistura Matéria Seca&quot;"/>
    <numFmt numFmtId="173" formatCode="#,##0.000"/>
    <numFmt numFmtId="174" formatCode="_-* #,##0.0000_-;\-* #,##0.0000_-;_-* &quot;-&quot;??_-;_-@_-"/>
    <numFmt numFmtId="175" formatCode="#,##0.00%"/>
    <numFmt numFmtId="176" formatCode="#,##0.000000000"/>
    <numFmt numFmtId="177" formatCode="&quot;R$&quot;\ #,##0.00"/>
    <numFmt numFmtId="178" formatCode="_-* #,##0_-;\-* #,##0_-;_-* &quot;-&quot;??_-;_-@_-"/>
    <numFmt numFmtId="179" formatCode="_-* #,##0.000000_-;\-* #,##0.000000_-;_-* &quot;-&quot;??_-;_-@_-"/>
    <numFmt numFmtId="180" formatCode="0\ &quot;grama(s)&quot;"/>
    <numFmt numFmtId="181" formatCode="#,000\ &quot;gramas&quot;"/>
    <numFmt numFmtId="182" formatCode="0.000000"/>
    <numFmt numFmtId="183" formatCode="0.00000%"/>
    <numFmt numFmtId="184" formatCode="[$R$ -416]#,##0.00"/>
    <numFmt numFmtId="185" formatCode="0.00\ &quot;Kg&quot;"/>
    <numFmt numFmtId="186" formatCode="_(* #,##0.000_);_(* \(#,##0.000\);_(* &quot;-&quot;??_);_(@_)"/>
    <numFmt numFmtId="187" formatCode="#,##0\ &quot;Kg&quot;"/>
    <numFmt numFmtId="188" formatCode="[$-F800]dddd\,\ mmmm\ dd\,\ yyyy"/>
    <numFmt numFmtId="189" formatCode="\(00\)\ 00000\-0000"/>
    <numFmt numFmtId="190" formatCode="#,##0.000\ &quot;Kg&quot;"/>
    <numFmt numFmtId="191" formatCode="&quot;0,&quot;00"/>
    <numFmt numFmtId="192" formatCode="0.00000"/>
    <numFmt numFmtId="193" formatCode="_(* #,##0.0_);_(* \(#,##0.0\);_(* &quot;-&quot;??_);_(@_)"/>
    <numFmt numFmtId="194" formatCode="0\ &quot;g&quot;"/>
    <numFmt numFmtId="195" formatCode="&quot;-&quot;\ 0.00"/>
    <numFmt numFmtId="196" formatCode="_-* #,##0.0_-;\-* #,##0.0_-;_-* &quot;-&quot;??_-;_-@_-"/>
    <numFmt numFmtId="197" formatCode="#,##0.00\ &quot;mg&quot;"/>
    <numFmt numFmtId="198" formatCode="#,##0.00\ &quot;g&quot;"/>
    <numFmt numFmtId="199" formatCode="0\ &quot;Kg&quot;"/>
    <numFmt numFmtId="200" formatCode="0.000\ &quot;Kg&quot;"/>
    <numFmt numFmtId="201" formatCode="_-&quot;R$&quot;\ * #,##0.000_-;\-&quot;R$&quot;\ * #,##0.000_-;_-&quot;R$&quot;\ * &quot;-&quot;???_-;_-@_-"/>
    <numFmt numFmtId="202" formatCode=";;"/>
    <numFmt numFmtId="203" formatCode="0.00\ &quot;@&quot;"/>
    <numFmt numFmtId="204" formatCode="0.000%"/>
    <numFmt numFmtId="205" formatCode="#,##0.000%"/>
    <numFmt numFmtId="206" formatCode="&quot;&gt;&quot;0\ &quot;g&quot;"/>
    <numFmt numFmtId="207" formatCode="&quot;&lt;= &quot;0\ &quot;g&quot;"/>
    <numFmt numFmtId="208" formatCode="&quot;&gt;= &quot;0\ &quot;g&quot;"/>
    <numFmt numFmtId="209" formatCode="#,##0\ &quot;g&quot;"/>
    <numFmt numFmtId="210" formatCode="#,##0.0"/>
  </numFmts>
  <fonts count="284">
    <font>
      <sz val="11"/>
      <color theme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sz val="11"/>
      <name val="Arial"/>
      <family val="2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i/>
      <sz val="14"/>
      <name val="Arial"/>
      <family val="2"/>
    </font>
    <font>
      <sz val="8"/>
      <name val="Arial"/>
      <family val="2"/>
    </font>
    <font>
      <b/>
      <sz val="11"/>
      <name val="Calibri"/>
      <family val="2"/>
    </font>
    <font>
      <b/>
      <sz val="10"/>
      <color theme="1"/>
      <name val="Calibri"/>
      <family val="2"/>
    </font>
    <font>
      <sz val="11"/>
      <color rgb="FF0000FF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theme="0"/>
      <name val="Calibri"/>
      <family val="2"/>
    </font>
    <font>
      <i/>
      <sz val="11"/>
      <color theme="0" tint="-0.499984740745262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sz val="11"/>
      <color theme="1"/>
      <name val="Arial"/>
      <family val="2"/>
    </font>
    <font>
      <b/>
      <sz val="10"/>
      <color theme="0"/>
      <name val="Arial"/>
      <family val="2"/>
    </font>
    <font>
      <i/>
      <sz val="11"/>
      <color theme="0"/>
      <name val="Arial"/>
      <family val="2"/>
    </font>
    <font>
      <b/>
      <sz val="9"/>
      <name val="Arial"/>
      <family val="2"/>
    </font>
    <font>
      <b/>
      <sz val="9"/>
      <color theme="0"/>
      <name val="Calibri"/>
      <family val="2"/>
    </font>
    <font>
      <b/>
      <sz val="10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Arial"/>
      <family val="2"/>
    </font>
    <font>
      <b/>
      <sz val="8"/>
      <name val="Calibri"/>
      <family val="2"/>
    </font>
    <font>
      <sz val="12"/>
      <name val="Arial"/>
      <family val="2"/>
    </font>
    <font>
      <sz val="8"/>
      <color theme="4" tint="0.79998168889431442"/>
      <name val="Arial"/>
      <family val="2"/>
    </font>
    <font>
      <b/>
      <sz val="16"/>
      <color theme="0"/>
      <name val="Arial"/>
      <family val="2"/>
    </font>
    <font>
      <sz val="16"/>
      <color theme="1"/>
      <name val="Arial"/>
      <family val="2"/>
    </font>
    <font>
      <sz val="6"/>
      <color theme="1"/>
      <name val="Arial"/>
      <family val="2"/>
    </font>
    <font>
      <sz val="11"/>
      <color rgb="FFFF0000"/>
      <name val="Arial"/>
      <family val="2"/>
    </font>
    <font>
      <sz val="10"/>
      <color rgb="FF0000FF"/>
      <name val="Arial"/>
      <family val="2"/>
    </font>
    <font>
      <sz val="10"/>
      <color theme="1"/>
      <name val="Calibri"/>
      <family val="2"/>
    </font>
    <font>
      <i/>
      <sz val="14"/>
      <name val="Arial"/>
      <family val="2"/>
    </font>
    <font>
      <sz val="11"/>
      <color theme="8" tint="0.79998168889431442"/>
      <name val="Arial"/>
      <family val="2"/>
    </font>
    <font>
      <b/>
      <i/>
      <sz val="9"/>
      <name val="Arial"/>
      <family val="2"/>
    </font>
    <font>
      <i/>
      <sz val="9"/>
      <color theme="0"/>
      <name val="Arial"/>
      <family val="2"/>
    </font>
    <font>
      <b/>
      <i/>
      <sz val="26"/>
      <color theme="0"/>
      <name val="Calibri"/>
      <family val="2"/>
    </font>
    <font>
      <i/>
      <sz val="12"/>
      <color theme="0"/>
      <name val="Calibri"/>
      <family val="2"/>
    </font>
    <font>
      <sz val="11"/>
      <color theme="0" tint="-0.14999847407452621"/>
      <name val="Arial"/>
      <family val="2"/>
    </font>
    <font>
      <b/>
      <i/>
      <sz val="8"/>
      <name val="Arial"/>
      <family val="2"/>
    </font>
    <font>
      <sz val="8"/>
      <color theme="0" tint="-0.34998626667073579"/>
      <name val="Arial"/>
      <family val="2"/>
    </font>
    <font>
      <sz val="8"/>
      <name val="Calibri"/>
      <family val="2"/>
    </font>
    <font>
      <b/>
      <i/>
      <sz val="12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Arial"/>
      <family val="2"/>
    </font>
    <font>
      <sz val="11"/>
      <color theme="9" tint="-0.499984740745262"/>
      <name val="Calibri"/>
      <family val="2"/>
    </font>
    <font>
      <b/>
      <sz val="11"/>
      <color theme="9" tint="-0.499984740745262"/>
      <name val="Calibri"/>
      <family val="2"/>
    </font>
    <font>
      <sz val="14"/>
      <color rgb="FFFF0000"/>
      <name val="Arial"/>
      <family val="2"/>
    </font>
    <font>
      <b/>
      <i/>
      <sz val="14"/>
      <color theme="0"/>
      <name val="Aharoni"/>
      <charset val="177"/>
    </font>
    <font>
      <b/>
      <i/>
      <sz val="12"/>
      <color theme="0"/>
      <name val="Aharoni"/>
      <charset val="177"/>
    </font>
    <font>
      <sz val="11"/>
      <color theme="0"/>
      <name val="Verdana"/>
      <family val="2"/>
    </font>
    <font>
      <sz val="11"/>
      <color theme="1"/>
      <name val="Times New Roman"/>
      <family val="1"/>
    </font>
    <font>
      <sz val="8"/>
      <color theme="9" tint="-0.499984740745262"/>
      <name val="Calibri"/>
      <family val="2"/>
    </font>
    <font>
      <sz val="8"/>
      <color theme="0" tint="-0.14999847407452621"/>
      <name val="Arial"/>
      <family val="2"/>
    </font>
    <font>
      <sz val="10"/>
      <color theme="0"/>
      <name val="Verdana"/>
      <family val="2"/>
    </font>
    <font>
      <sz val="12"/>
      <color theme="0"/>
      <name val="Verdana"/>
      <family val="2"/>
    </font>
    <font>
      <b/>
      <sz val="11"/>
      <color rgb="FFFFFF00"/>
      <name val="Verdana"/>
      <family val="2"/>
    </font>
    <font>
      <b/>
      <sz val="11"/>
      <color rgb="FFFFFF00"/>
      <name val="Arial"/>
      <family val="2"/>
    </font>
    <font>
      <sz val="9"/>
      <color theme="0"/>
      <name val="Verdana"/>
      <family val="2"/>
    </font>
    <font>
      <b/>
      <sz val="11"/>
      <color theme="0"/>
      <name val="Arial"/>
      <family val="2"/>
    </font>
    <font>
      <b/>
      <sz val="12"/>
      <color theme="0"/>
      <name val="Arial"/>
      <family val="2"/>
    </font>
    <font>
      <i/>
      <sz val="11"/>
      <color theme="1"/>
      <name val="Arial"/>
      <family val="2"/>
    </font>
    <font>
      <b/>
      <sz val="11"/>
      <color rgb="FF0000FF"/>
      <name val="Arial"/>
      <family val="2"/>
    </font>
    <font>
      <i/>
      <sz val="11"/>
      <color theme="0" tint="-0.34998626667073579"/>
      <name val="Arial"/>
      <family val="2"/>
    </font>
    <font>
      <sz val="11"/>
      <color theme="4" tint="0.79998168889431442"/>
      <name val="Arial"/>
      <family val="2"/>
    </font>
    <font>
      <sz val="11"/>
      <color theme="0" tint="-0.249977111117893"/>
      <name val="Arial"/>
      <family val="2"/>
    </font>
    <font>
      <sz val="11"/>
      <name val="Times New Roman"/>
      <family val="1"/>
    </font>
    <font>
      <b/>
      <sz val="18"/>
      <color theme="1"/>
      <name val="Times New Roman"/>
      <family val="1"/>
    </font>
    <font>
      <b/>
      <sz val="24"/>
      <color theme="1"/>
      <name val="Times New Roman"/>
      <family val="1"/>
    </font>
    <font>
      <sz val="9"/>
      <name val="Times New Roman"/>
      <family val="1"/>
    </font>
    <font>
      <b/>
      <sz val="20"/>
      <color theme="1"/>
      <name val="Times New Roman"/>
      <family val="1"/>
    </font>
    <font>
      <sz val="20"/>
      <color theme="1"/>
      <name val="Times New Roman"/>
      <family val="1"/>
    </font>
    <font>
      <b/>
      <sz val="16"/>
      <color theme="0"/>
      <name val="Times New Roman"/>
      <family val="1"/>
    </font>
    <font>
      <sz val="12"/>
      <color theme="1"/>
      <name val="Times New Roman"/>
      <family val="1"/>
    </font>
    <font>
      <sz val="18"/>
      <color theme="1"/>
      <name val="Times New Roman"/>
      <family val="1"/>
    </font>
    <font>
      <sz val="12"/>
      <name val="Times New Roman"/>
      <family val="1"/>
    </font>
    <font>
      <b/>
      <sz val="16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14"/>
      <color theme="1"/>
      <name val="Times New Roman"/>
      <family val="1"/>
    </font>
    <font>
      <sz val="11"/>
      <color theme="0"/>
      <name val="Times New Roman"/>
      <family val="1"/>
    </font>
    <font>
      <sz val="16"/>
      <color theme="1"/>
      <name val="Times New Roman"/>
      <family val="1"/>
    </font>
    <font>
      <sz val="10"/>
      <color theme="1"/>
      <name val="Times New Roman"/>
      <family val="1"/>
    </font>
    <font>
      <sz val="18"/>
      <name val="Times New Roman"/>
      <family val="1"/>
    </font>
    <font>
      <sz val="18"/>
      <color theme="0"/>
      <name val="Times New Roman"/>
      <family val="1"/>
    </font>
    <font>
      <b/>
      <sz val="18"/>
      <name val="Times New Roman"/>
      <family val="1"/>
    </font>
    <font>
      <sz val="16"/>
      <name val="Times New Roman"/>
      <family val="1"/>
    </font>
    <font>
      <i/>
      <sz val="14"/>
      <name val="Aptos Display"/>
      <family val="2"/>
    </font>
    <font>
      <sz val="11"/>
      <color theme="0" tint="-0.14999847407452621"/>
      <name val="Calibri"/>
      <family val="2"/>
    </font>
    <font>
      <sz val="6"/>
      <color theme="0" tint="-0.14999847407452621"/>
      <name val="Arial"/>
      <family val="2"/>
    </font>
    <font>
      <b/>
      <i/>
      <sz val="11"/>
      <color theme="0"/>
      <name val="Arial"/>
      <family val="2"/>
    </font>
    <font>
      <i/>
      <sz val="11"/>
      <color rgb="FFFF0000"/>
      <name val="Arial"/>
      <family val="2"/>
    </font>
    <font>
      <sz val="11"/>
      <color theme="6" tint="0.79998168889431442"/>
      <name val="Arial"/>
      <family val="2"/>
    </font>
    <font>
      <sz val="11"/>
      <color theme="0" tint="-0.34998626667073579"/>
      <name val="Arial"/>
      <family val="2"/>
    </font>
    <font>
      <sz val="3"/>
      <color theme="1" tint="0.249977111117893"/>
      <name val="Arial"/>
      <family val="2"/>
    </font>
    <font>
      <b/>
      <i/>
      <sz val="1"/>
      <color theme="1" tint="0.249977111117893"/>
      <name val="Calibri"/>
      <family val="2"/>
    </font>
    <font>
      <b/>
      <i/>
      <sz val="3"/>
      <color theme="1" tint="0.249977111117893"/>
      <name val="Calibri"/>
      <family val="2"/>
    </font>
    <font>
      <sz val="8"/>
      <color theme="1" tint="0.249977111117893"/>
      <name val="Arial"/>
      <family val="2"/>
    </font>
    <font>
      <sz val="10"/>
      <color theme="0" tint="-0.34998626667073579"/>
      <name val="Arial"/>
      <family val="2"/>
    </font>
    <font>
      <b/>
      <i/>
      <sz val="11"/>
      <color rgb="FF7030A0"/>
      <name val="Arial"/>
      <family val="2"/>
    </font>
    <font>
      <sz val="9"/>
      <color rgb="FFFFFF00"/>
      <name val="Arial"/>
      <family val="2"/>
    </font>
    <font>
      <b/>
      <sz val="11"/>
      <color theme="0" tint="-0.249977111117893"/>
      <name val="Calibri"/>
      <family val="2"/>
    </font>
    <font>
      <sz val="11"/>
      <color theme="0" tint="-4.9989318521683403E-2"/>
      <name val="Arial"/>
      <family val="2"/>
    </font>
    <font>
      <b/>
      <sz val="8"/>
      <color theme="0"/>
      <name val="Arial"/>
      <family val="2"/>
    </font>
    <font>
      <i/>
      <sz val="14"/>
      <name val="Calibri"/>
      <family val="2"/>
      <scheme val="minor"/>
    </font>
    <font>
      <sz val="9"/>
      <color rgb="FFFF0000"/>
      <name val="Arial"/>
      <family val="2"/>
    </font>
    <font>
      <sz val="9"/>
      <color rgb="FF0000FF"/>
      <name val="Arial"/>
      <family val="2"/>
    </font>
    <font>
      <sz val="11"/>
      <color theme="1" tint="0.249977111117893"/>
      <name val="Arial"/>
      <family val="2"/>
    </font>
    <font>
      <sz val="9"/>
      <color theme="1"/>
      <name val="Calibri"/>
      <family val="2"/>
    </font>
    <font>
      <b/>
      <i/>
      <sz val="11"/>
      <color theme="1"/>
      <name val="Arial"/>
      <family val="2"/>
    </font>
    <font>
      <sz val="8"/>
      <color rgb="FF0033CC"/>
      <name val="Calibri"/>
      <family val="2"/>
    </font>
    <font>
      <sz val="9"/>
      <color theme="0"/>
      <name val="Arial"/>
      <family val="2"/>
    </font>
    <font>
      <sz val="8"/>
      <color rgb="FF000000"/>
      <name val="Arial"/>
      <family val="2"/>
    </font>
    <font>
      <b/>
      <sz val="18"/>
      <color theme="0"/>
      <name val="Calibri"/>
      <family val="2"/>
    </font>
    <font>
      <sz val="8"/>
      <color theme="0"/>
      <name val="Arial"/>
      <family val="2"/>
    </font>
    <font>
      <b/>
      <sz val="10"/>
      <color rgb="FFFFFF00"/>
      <name val="Arial"/>
      <family val="2"/>
    </font>
    <font>
      <b/>
      <i/>
      <sz val="11"/>
      <name val="Arial"/>
      <family val="2"/>
    </font>
    <font>
      <b/>
      <i/>
      <sz val="14"/>
      <color theme="1"/>
      <name val="Arial"/>
      <family val="2"/>
    </font>
    <font>
      <u/>
      <sz val="11"/>
      <color theme="10"/>
      <name val="Arial"/>
      <family val="2"/>
    </font>
    <font>
      <u/>
      <sz val="9"/>
      <color theme="10"/>
      <name val="Arial"/>
      <family val="2"/>
    </font>
    <font>
      <b/>
      <i/>
      <sz val="20"/>
      <color theme="1"/>
      <name val="Arial"/>
      <family val="2"/>
    </font>
    <font>
      <b/>
      <i/>
      <sz val="22"/>
      <color theme="1"/>
      <name val="Arial"/>
      <family val="2"/>
    </font>
    <font>
      <u/>
      <sz val="11"/>
      <color theme="1"/>
      <name val="Arial"/>
      <family val="2"/>
    </font>
    <font>
      <b/>
      <sz val="9"/>
      <color theme="0"/>
      <name val="Arial"/>
      <family val="2"/>
    </font>
    <font>
      <b/>
      <i/>
      <sz val="18"/>
      <color theme="0" tint="-4.9989318521683403E-2"/>
      <name val="Arial"/>
      <family val="2"/>
    </font>
    <font>
      <b/>
      <i/>
      <sz val="22"/>
      <color theme="0"/>
      <name val="Arial"/>
      <family val="2"/>
    </font>
    <font>
      <i/>
      <sz val="10"/>
      <color theme="0" tint="-0.499984740745262"/>
      <name val="Arial"/>
      <family val="2"/>
    </font>
    <font>
      <b/>
      <sz val="20"/>
      <name val="Arial"/>
      <family val="2"/>
    </font>
    <font>
      <sz val="14"/>
      <color theme="1"/>
      <name val="Arial"/>
      <family val="2"/>
    </font>
    <font>
      <b/>
      <sz val="14"/>
      <name val="Times New Roman"/>
      <family val="1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i/>
      <sz val="5"/>
      <color theme="0" tint="-0.34998626667073579"/>
      <name val="Arial"/>
      <family val="2"/>
    </font>
    <font>
      <i/>
      <sz val="10"/>
      <color theme="1"/>
      <name val="Arial"/>
      <family val="2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rgb="FFFFFF00"/>
      <name val="Segoe UI Semibold"/>
      <family val="2"/>
    </font>
    <font>
      <sz val="10"/>
      <color theme="0"/>
      <name val="Arial"/>
      <family val="2"/>
    </font>
    <font>
      <sz val="10"/>
      <color rgb="FF080000"/>
      <name val="Arial"/>
      <family val="2"/>
    </font>
    <font>
      <sz val="11"/>
      <color rgb="FF080000"/>
      <name val="Arial"/>
      <family val="2"/>
    </font>
    <font>
      <sz val="11"/>
      <color rgb="FF080000"/>
      <name val="Arial"/>
      <family val="2"/>
    </font>
    <font>
      <b/>
      <sz val="10"/>
      <color theme="1"/>
      <name val="Aharoni"/>
      <charset val="177"/>
    </font>
    <font>
      <b/>
      <sz val="8"/>
      <color theme="8" tint="0.39997558519241921"/>
      <name val="Arial"/>
      <family val="2"/>
    </font>
    <font>
      <i/>
      <sz val="8"/>
      <color theme="1" tint="0.249977111117893"/>
      <name val="Arial"/>
      <family val="2"/>
    </font>
    <font>
      <b/>
      <i/>
      <sz val="26"/>
      <color theme="1" tint="0.249977111117893"/>
      <name val="Calibri"/>
      <family val="2"/>
    </font>
    <font>
      <sz val="10"/>
      <color theme="0" tint="-0.14999847407452621"/>
      <name val="Arial"/>
      <family val="2"/>
    </font>
    <font>
      <sz val="16"/>
      <name val="Arial"/>
      <family val="2"/>
    </font>
    <font>
      <sz val="20"/>
      <name val="Arial"/>
      <family val="2"/>
    </font>
    <font>
      <sz val="12"/>
      <color rgb="FFFF0000"/>
      <name val="Arial"/>
      <family val="2"/>
    </font>
    <font>
      <sz val="14"/>
      <name val="Arial"/>
      <family val="2"/>
    </font>
    <font>
      <u/>
      <sz val="11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sz val="20"/>
      <color rgb="FFFF0000"/>
      <name val="Arial"/>
      <family val="2"/>
    </font>
    <font>
      <sz val="16"/>
      <color rgb="FFFF0000"/>
      <name val="Arial"/>
      <family val="2"/>
    </font>
    <font>
      <sz val="10"/>
      <color rgb="FFFFFF00"/>
      <name val="Arial"/>
      <family val="2"/>
    </font>
    <font>
      <sz val="11"/>
      <name val="ACaslon BoldOsF"/>
    </font>
    <font>
      <b/>
      <sz val="11"/>
      <color rgb="FF080000"/>
      <name val="Arial"/>
      <family val="2"/>
    </font>
    <font>
      <b/>
      <sz val="12"/>
      <name val="Times New Roman"/>
      <family val="1"/>
    </font>
    <font>
      <sz val="10"/>
      <color rgb="FFC00000"/>
      <name val="Arial"/>
      <family val="2"/>
    </font>
    <font>
      <b/>
      <sz val="10"/>
      <color rgb="FF080000"/>
      <name val="Arial"/>
      <family val="2"/>
    </font>
    <font>
      <b/>
      <sz val="8"/>
      <color rgb="FF080000"/>
      <name val="Arial"/>
      <family val="2"/>
    </font>
    <font>
      <sz val="8"/>
      <color rgb="FFFF0000"/>
      <name val="Arial"/>
      <family val="2"/>
    </font>
    <font>
      <b/>
      <i/>
      <sz val="10"/>
      <color rgb="FFFFFF00"/>
      <name val="Aharoni"/>
      <charset val="177"/>
    </font>
    <font>
      <i/>
      <sz val="12"/>
      <name val="Arial"/>
      <family val="2"/>
    </font>
    <font>
      <i/>
      <sz val="9"/>
      <color theme="1"/>
      <name val="Arial"/>
      <family val="2"/>
    </font>
    <font>
      <b/>
      <sz val="12"/>
      <color rgb="FFFF0000"/>
      <name val="Segoe UI Semibold"/>
      <family val="2"/>
    </font>
    <font>
      <sz val="8"/>
      <color theme="1"/>
      <name val="Calibri"/>
      <family val="2"/>
    </font>
    <font>
      <sz val="12"/>
      <color theme="2" tint="-0.499984740745262"/>
      <name val="Calibri"/>
      <family val="2"/>
      <scheme val="minor"/>
    </font>
    <font>
      <b/>
      <i/>
      <sz val="10"/>
      <color theme="1"/>
      <name val="Arial"/>
      <family val="2"/>
    </font>
    <font>
      <sz val="11"/>
      <name val="Calibri"/>
      <family val="2"/>
      <scheme val="minor"/>
    </font>
    <font>
      <b/>
      <i/>
      <sz val="9"/>
      <name val="Calibri"/>
      <family val="2"/>
      <scheme val="minor"/>
    </font>
    <font>
      <b/>
      <sz val="11"/>
      <color theme="1"/>
      <name val="Calibri"/>
      <family val="2"/>
      <scheme val="major"/>
    </font>
    <font>
      <b/>
      <i/>
      <sz val="11"/>
      <color theme="0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20"/>
      <color theme="0"/>
      <name val="Arial"/>
      <family val="2"/>
    </font>
    <font>
      <sz val="10"/>
      <name val="Calibri"/>
      <family val="2"/>
      <scheme val="minor"/>
    </font>
    <font>
      <b/>
      <sz val="14"/>
      <color theme="0"/>
      <name val="Arial"/>
      <family val="2"/>
    </font>
    <font>
      <sz val="9"/>
      <color theme="1"/>
      <name val="Calibri"/>
      <family val="2"/>
      <scheme val="minor"/>
    </font>
    <font>
      <i/>
      <sz val="14"/>
      <color theme="0"/>
      <name val="Arial"/>
      <family val="2"/>
    </font>
    <font>
      <i/>
      <sz val="10"/>
      <color theme="0"/>
      <name val="Arial"/>
      <family val="2"/>
    </font>
    <font>
      <sz val="9"/>
      <color indexed="81"/>
      <name val="Segoe UI"/>
      <family val="2"/>
    </font>
    <font>
      <b/>
      <i/>
      <sz val="12"/>
      <color theme="0"/>
      <name val="Arial"/>
      <family val="2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0066FF"/>
      <name val="Calibri"/>
      <family val="2"/>
      <scheme val="minor"/>
    </font>
    <font>
      <b/>
      <i/>
      <sz val="10.5"/>
      <color theme="0"/>
      <name val="Arial"/>
      <family val="2"/>
    </font>
    <font>
      <i/>
      <sz val="11"/>
      <color theme="5" tint="-0.249977111117893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</font>
    <font>
      <sz val="8"/>
      <color theme="2" tint="-0.499984740745262"/>
      <name val="Calibri"/>
      <family val="2"/>
      <scheme val="minor"/>
    </font>
    <font>
      <sz val="11"/>
      <color theme="1"/>
      <name val="Aptos Narrow"/>
      <family val="2"/>
    </font>
    <font>
      <sz val="11"/>
      <color rgb="FFFF0000"/>
      <name val="Aptos Narrow"/>
      <family val="2"/>
    </font>
    <font>
      <sz val="11"/>
      <name val="Aptos Narrow"/>
      <family val="2"/>
    </font>
    <font>
      <sz val="11"/>
      <color rgb="FF00B050"/>
      <name val="Aptos Narrow"/>
      <family val="2"/>
    </font>
    <font>
      <b/>
      <sz val="11"/>
      <color theme="9" tint="-0.499984740745262"/>
      <name val="Aptos Narrow"/>
      <family val="2"/>
    </font>
    <font>
      <sz val="12"/>
      <color theme="0"/>
      <name val="Calibri"/>
      <family val="2"/>
      <scheme val="minor"/>
    </font>
    <font>
      <sz val="10"/>
      <color theme="0"/>
      <name val="Calibri"/>
      <family val="2"/>
    </font>
    <font>
      <sz val="12"/>
      <name val="Calibri"/>
      <family val="2"/>
      <scheme val="minor"/>
    </font>
    <font>
      <b/>
      <sz val="9"/>
      <color rgb="FF080000"/>
      <name val="Arial"/>
      <family val="2"/>
    </font>
    <font>
      <b/>
      <sz val="9"/>
      <color indexed="10"/>
      <name val="Arial"/>
      <family val="2"/>
    </font>
    <font>
      <i/>
      <sz val="9"/>
      <name val="Arial"/>
      <family val="2"/>
    </font>
    <font>
      <sz val="12"/>
      <color rgb="FFFF0000"/>
      <name val="Calibri"/>
      <family val="2"/>
      <scheme val="minor"/>
    </font>
    <font>
      <sz val="8"/>
      <color rgb="FF080000"/>
      <name val="Arial"/>
      <family val="2"/>
    </font>
    <font>
      <sz val="9"/>
      <color rgb="FF080000"/>
      <name val="Arial"/>
      <family val="2"/>
    </font>
    <font>
      <i/>
      <sz val="11"/>
      <color theme="1" tint="0.34998626667073579"/>
      <name val="Arial"/>
      <family val="2"/>
    </font>
    <font>
      <i/>
      <sz val="8"/>
      <color theme="1" tint="0.34998626667073579"/>
      <name val="Arial"/>
      <family val="2"/>
    </font>
    <font>
      <b/>
      <sz val="9"/>
      <color rgb="FF0000FF"/>
      <name val="Arial"/>
      <family val="2"/>
    </font>
    <font>
      <sz val="8"/>
      <color rgb="FFFFFF00"/>
      <name val="Arial"/>
      <family val="2"/>
    </font>
    <font>
      <b/>
      <sz val="10"/>
      <color rgb="FF0000FF"/>
      <name val="Arial"/>
      <family val="2"/>
    </font>
    <font>
      <sz val="9"/>
      <name val="Calibri"/>
      <family val="2"/>
    </font>
    <font>
      <sz val="9"/>
      <color rgb="FF0000FF"/>
      <name val="Calibri"/>
      <family val="2"/>
    </font>
    <font>
      <sz val="8"/>
      <color rgb="FF0000FF"/>
      <name val="Arial"/>
      <family val="2"/>
    </font>
    <font>
      <b/>
      <i/>
      <sz val="20"/>
      <color theme="0"/>
      <name val="Arial"/>
      <family val="2"/>
    </font>
    <font>
      <i/>
      <sz val="12"/>
      <color theme="0"/>
      <name val="Arial"/>
      <family val="2"/>
    </font>
    <font>
      <b/>
      <sz val="9"/>
      <color indexed="81"/>
      <name val="Segoe UI"/>
      <family val="2"/>
    </font>
    <font>
      <b/>
      <sz val="11"/>
      <color theme="9" tint="-0.249977111117893"/>
      <name val="Arial"/>
      <family val="2"/>
    </font>
    <font>
      <b/>
      <sz val="10"/>
      <color theme="9" tint="-0.249977111117893"/>
      <name val="Arial"/>
      <family val="2"/>
    </font>
    <font>
      <b/>
      <sz val="10"/>
      <color rgb="FFFF0000"/>
      <name val="Arial"/>
      <family val="2"/>
    </font>
    <font>
      <i/>
      <sz val="10"/>
      <color rgb="FF080000"/>
      <name val="Arial"/>
      <family val="2"/>
    </font>
    <font>
      <b/>
      <i/>
      <u/>
      <sz val="14"/>
      <color theme="1"/>
      <name val="Arial"/>
      <family val="2"/>
    </font>
    <font>
      <b/>
      <sz val="14"/>
      <name val="Arial"/>
      <family val="2"/>
    </font>
    <font>
      <i/>
      <sz val="9"/>
      <color theme="1" tint="0.34998626667073579"/>
      <name val="Arial"/>
      <family val="2"/>
    </font>
    <font>
      <b/>
      <i/>
      <sz val="14"/>
      <color theme="0" tint="-0.249977111117893"/>
      <name val="Arial"/>
      <family val="2"/>
    </font>
    <font>
      <b/>
      <sz val="11"/>
      <color theme="0" tint="-0.14999847407452621"/>
      <name val="Calibri"/>
      <family val="2"/>
    </font>
    <font>
      <sz val="8"/>
      <color theme="0" tint="-0.14999847407452621"/>
      <name val="Calibri"/>
      <family val="2"/>
    </font>
    <font>
      <sz val="11"/>
      <color theme="0" tint="-4.9989318521683403E-2"/>
      <name val="Calibri"/>
      <family val="2"/>
    </font>
    <font>
      <sz val="8"/>
      <color theme="0" tint="-4.9989318521683403E-2"/>
      <name val="Calibr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</font>
    <font>
      <b/>
      <i/>
      <sz val="12.9"/>
      <color rgb="FFFFFF00"/>
      <name val="Arial"/>
      <family val="2"/>
    </font>
    <font>
      <b/>
      <sz val="16"/>
      <color theme="0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i/>
      <sz val="12"/>
      <name val="Calibri"/>
      <family val="2"/>
    </font>
    <font>
      <b/>
      <sz val="36"/>
      <color theme="1"/>
      <name val="Arial"/>
      <family val="2"/>
    </font>
    <font>
      <i/>
      <sz val="11"/>
      <color theme="1" tint="0.249977111117893"/>
      <name val="Arial"/>
      <family val="2"/>
    </font>
    <font>
      <b/>
      <i/>
      <sz val="14"/>
      <color theme="0"/>
      <name val="Arial"/>
      <family val="2"/>
    </font>
    <font>
      <i/>
      <sz val="12"/>
      <color theme="1" tint="0.34998626667073579"/>
      <name val="Calibri"/>
      <family val="2"/>
    </font>
    <font>
      <b/>
      <sz val="18"/>
      <color theme="0"/>
      <name val="Arial"/>
      <family val="2"/>
    </font>
    <font>
      <sz val="16"/>
      <color theme="0"/>
      <name val="Arial"/>
      <family val="2"/>
    </font>
    <font>
      <sz val="6"/>
      <name val="Arial"/>
      <family val="2"/>
    </font>
    <font>
      <sz val="12"/>
      <color rgb="FFFFFF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0"/>
      <color theme="9" tint="0.59999389629810485"/>
      <name val="Arial"/>
      <family val="2"/>
    </font>
    <font>
      <sz val="11"/>
      <color theme="9" tint="0.59999389629810485"/>
      <name val="Arial"/>
      <family val="2"/>
    </font>
    <font>
      <b/>
      <sz val="11"/>
      <color theme="5" tint="0.59999389629810485"/>
      <name val="Arial"/>
      <family val="2"/>
    </font>
    <font>
      <b/>
      <sz val="11"/>
      <color theme="5" tint="0.59999389629810485"/>
      <name val="Verdana"/>
      <family val="2"/>
    </font>
    <font>
      <i/>
      <sz val="10"/>
      <color theme="1" tint="0.499984740745262"/>
      <name val="Arial"/>
      <family val="2"/>
    </font>
    <font>
      <i/>
      <sz val="8"/>
      <color theme="1"/>
      <name val="Verdana"/>
      <family val="2"/>
    </font>
    <font>
      <b/>
      <sz val="8"/>
      <color rgb="FFFF0000"/>
      <name val="Arial"/>
      <family val="2"/>
    </font>
    <font>
      <sz val="9"/>
      <name val="Verdana"/>
      <family val="2"/>
    </font>
    <font>
      <sz val="8"/>
      <color theme="0"/>
      <name val="Verdana"/>
      <family val="2"/>
    </font>
    <font>
      <sz val="9"/>
      <color theme="1"/>
      <name val="Calibri"/>
      <family val="2"/>
      <scheme val="major"/>
    </font>
    <font>
      <b/>
      <sz val="9"/>
      <color theme="1"/>
      <name val="Calibri"/>
      <family val="2"/>
      <scheme val="major"/>
    </font>
    <font>
      <b/>
      <sz val="9"/>
      <name val="Calibri"/>
      <family val="2"/>
      <scheme val="major"/>
    </font>
    <font>
      <b/>
      <sz val="8"/>
      <color theme="1"/>
      <name val="Arial"/>
      <family val="2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i/>
      <sz val="10"/>
      <name val="Calibri"/>
      <family val="2"/>
      <scheme val="major"/>
    </font>
    <font>
      <b/>
      <i/>
      <sz val="9"/>
      <name val="Verdana"/>
      <family val="2"/>
    </font>
    <font>
      <i/>
      <sz val="8"/>
      <name val="Arial"/>
      <family val="2"/>
    </font>
    <font>
      <b/>
      <i/>
      <sz val="12"/>
      <color rgb="FFFFFF00"/>
      <name val="Aharoni"/>
      <charset val="177"/>
    </font>
    <font>
      <i/>
      <sz val="11"/>
      <color theme="0"/>
      <name val="Angsana New"/>
      <family val="1"/>
      <charset val="222"/>
    </font>
    <font>
      <sz val="8"/>
      <color theme="0" tint="-4.9989318521683403E-2"/>
      <name val="Arial"/>
      <family val="2"/>
    </font>
    <font>
      <i/>
      <sz val="8"/>
      <color rgb="FFFF0000"/>
      <name val="Arial"/>
      <family val="2"/>
    </font>
    <font>
      <sz val="8"/>
      <color theme="1" tint="0.34998626667073579"/>
      <name val="Arial"/>
      <family val="2"/>
    </font>
    <font>
      <sz val="8"/>
      <color theme="0"/>
      <name val="Calibri"/>
      <family val="2"/>
    </font>
    <font>
      <i/>
      <sz val="8"/>
      <color theme="0" tint="-4.9989318521683403E-2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4" tint="0.59999389629810485"/>
        <bgColor rgb="FFC6D9F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34998626667073579"/>
        <bgColor rgb="FFFFFFFF"/>
      </patternFill>
    </fill>
    <fill>
      <patternFill patternType="solid">
        <fgColor theme="8" tint="0.59999389629810485"/>
        <bgColor rgb="FFC6D9F0"/>
      </patternFill>
    </fill>
    <fill>
      <patternFill patternType="solid">
        <fgColor theme="8" tint="0.59999389629810485"/>
        <bgColor rgb="FFFFFFFF"/>
      </patternFill>
    </fill>
    <fill>
      <patternFill patternType="solid">
        <fgColor rgb="FFFFFF99"/>
        <bgColor rgb="FFFFFF9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C6D9F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F2F1"/>
        <bgColor indexed="64"/>
      </patternFill>
    </fill>
    <fill>
      <patternFill patternType="solid">
        <fgColor theme="1" tint="0.499984740745262"/>
        <bgColor rgb="FFC6D9F0"/>
      </patternFill>
    </fill>
    <fill>
      <patternFill patternType="solid">
        <fgColor theme="5" tint="0.79998168889431442"/>
        <bgColor rgb="FFC6D9F0"/>
      </patternFill>
    </fill>
    <fill>
      <patternFill patternType="solid">
        <fgColor rgb="FF0070C0"/>
        <bgColor indexed="64"/>
      </patternFill>
    </fill>
    <fill>
      <patternFill patternType="solid">
        <fgColor theme="1" tint="0.34998626667073579"/>
        <bgColor rgb="FFC6D9F0"/>
      </patternFill>
    </fill>
    <fill>
      <patternFill patternType="solid">
        <fgColor theme="3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</fills>
  <borders count="50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0.34998626667073579"/>
      </right>
      <top style="medium">
        <color theme="0" tint="-4.9989318521683403E-2"/>
      </top>
      <bottom/>
      <diagonal/>
    </border>
    <border>
      <left/>
      <right style="medium">
        <color theme="0" tint="-0.34998626667073579"/>
      </right>
      <top/>
      <bottom/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 style="hair">
        <color rgb="FF000000"/>
      </left>
      <right style="hair">
        <color theme="0" tint="-0.34998626667073579"/>
      </right>
      <top style="medium">
        <color rgb="FF000000"/>
      </top>
      <bottom style="thin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000000"/>
      </top>
      <bottom style="thin">
        <color theme="0" tint="-0.34998626667073579"/>
      </bottom>
      <diagonal/>
    </border>
    <border>
      <left style="hair">
        <color theme="0" tint="-0.34998626667073579"/>
      </left>
      <right style="hair">
        <color rgb="FF000000"/>
      </right>
      <top style="medium">
        <color rgb="FF000000"/>
      </top>
      <bottom style="thin">
        <color theme="0" tint="-0.34998626667073579"/>
      </bottom>
      <diagonal/>
    </border>
    <border>
      <left style="hair">
        <color rgb="FF000000"/>
      </left>
      <right style="hair">
        <color theme="0" tint="-0.34998626667073579"/>
      </right>
      <top style="thin">
        <color theme="0" tint="-0.34998626667073579"/>
      </top>
      <bottom style="medium">
        <color rgb="FF000000"/>
      </bottom>
      <diagonal/>
    </border>
    <border>
      <left style="hair">
        <color theme="0" tint="-0.34998626667073579"/>
      </left>
      <right style="hair">
        <color theme="0" tint="-0.34998626667073579"/>
      </right>
      <top style="thin">
        <color theme="0" tint="-0.34998626667073579"/>
      </top>
      <bottom style="medium">
        <color rgb="FF000000"/>
      </bottom>
      <diagonal/>
    </border>
    <border>
      <left style="hair">
        <color theme="0" tint="-0.34998626667073579"/>
      </left>
      <right style="hair">
        <color rgb="FF000000"/>
      </right>
      <top style="thin">
        <color theme="0" tint="-0.34998626667073579"/>
      </top>
      <bottom style="medium">
        <color rgb="FF000000"/>
      </bottom>
      <diagonal/>
    </border>
    <border>
      <left style="thin">
        <color rgb="FF000000"/>
      </left>
      <right style="hair">
        <color rgb="FF000000"/>
      </right>
      <top style="medium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 style="medium">
        <color rgb="FF000000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 style="hair">
        <color rgb="FF000000"/>
      </right>
      <top/>
      <bottom/>
      <diagonal/>
    </border>
    <border>
      <left style="thick">
        <color rgb="FF00B050"/>
      </left>
      <right/>
      <top style="thick">
        <color rgb="FF00B050"/>
      </top>
      <bottom/>
      <diagonal/>
    </border>
    <border>
      <left/>
      <right/>
      <top style="thick">
        <color rgb="FF00B050"/>
      </top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/>
      <top/>
      <bottom style="thick">
        <color rgb="FF00B05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medium">
        <color indexed="64"/>
      </left>
      <right style="hair">
        <color theme="0" tint="-0.499984740745262"/>
      </right>
      <top/>
      <bottom style="thin">
        <color auto="1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thin">
        <color auto="1"/>
      </bottom>
      <diagonal/>
    </border>
    <border>
      <left style="hair">
        <color theme="0" tint="-0.499984740745262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dashDotDot">
        <color theme="1"/>
      </top>
      <bottom style="thin">
        <color theme="0" tint="-0.34998626667073579"/>
      </bottom>
      <diagonal/>
    </border>
    <border>
      <left style="dashDotDot">
        <color theme="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dashDotDot">
        <color theme="1"/>
      </left>
      <right/>
      <top style="dashDotDot">
        <color theme="1"/>
      </top>
      <bottom style="thin">
        <color theme="0" tint="-0.34998626667073579"/>
      </bottom>
      <diagonal/>
    </border>
    <border>
      <left/>
      <right/>
      <top style="medium">
        <color theme="0" tint="-4.9989318521683403E-2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4.9989318521683403E-2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/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4.9989318521683403E-2"/>
      </top>
      <bottom/>
      <diagonal/>
    </border>
    <border>
      <left style="hair">
        <color theme="0" tint="-0.499984740745262"/>
      </left>
      <right/>
      <top/>
      <bottom/>
      <diagonal/>
    </border>
    <border>
      <left style="hair">
        <color theme="0" tint="-0.499984740745262"/>
      </left>
      <right/>
      <top/>
      <bottom style="thin">
        <color auto="1"/>
      </bottom>
      <diagonal/>
    </border>
    <border>
      <left/>
      <right style="medium">
        <color theme="0" tint="-0.499984740745262"/>
      </right>
      <top style="medium">
        <color theme="0" tint="-4.9989318521683403E-2"/>
      </top>
      <bottom style="medium">
        <color theme="0" tint="-0.499984740745262"/>
      </bottom>
      <diagonal/>
    </border>
    <border>
      <left/>
      <right/>
      <top style="medium">
        <color theme="0" tint="-4.9989318521683403E-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34998626667073579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thick">
        <color auto="1"/>
      </right>
      <top style="thick">
        <color theme="0" tint="-0.34998626667073579"/>
      </top>
      <bottom style="thick">
        <color auto="1"/>
      </bottom>
      <diagonal/>
    </border>
    <border>
      <left/>
      <right/>
      <top style="thick">
        <color theme="0" tint="-0.34998626667073579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ck">
        <color theme="0" tint="-4.9989318521683403E-2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rgb="FF000000"/>
      </left>
      <right/>
      <top/>
      <bottom style="thick">
        <color auto="1"/>
      </bottom>
      <diagonal/>
    </border>
    <border>
      <left style="thick">
        <color theme="0" tint="-4.9989318521683403E-2"/>
      </left>
      <right style="medium">
        <color theme="0" tint="-0.34998626667073579"/>
      </right>
      <top style="thick">
        <color theme="0" tint="-4.9989318521683403E-2"/>
      </top>
      <bottom/>
      <diagonal/>
    </border>
    <border>
      <left/>
      <right style="medium">
        <color theme="0" tint="-0.34998626667073579"/>
      </right>
      <top style="thick">
        <color theme="0" tint="-4.9989318521683403E-2"/>
      </top>
      <bottom/>
      <diagonal/>
    </border>
    <border>
      <left style="thick">
        <color theme="0" tint="-4.9989318521683403E-2"/>
      </left>
      <right style="medium">
        <color theme="0" tint="-0.34998626667073579"/>
      </right>
      <top/>
      <bottom/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499984740745262"/>
      </top>
      <bottom style="thick">
        <color theme="1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medium">
        <color indexed="64"/>
      </left>
      <right style="thin">
        <color theme="0" tint="-0.14996795556505021"/>
      </right>
      <top/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/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 style="medium">
        <color indexed="64"/>
      </right>
      <top/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/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double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double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double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14996795556505021"/>
      </left>
      <right/>
      <top style="medium">
        <color indexed="64"/>
      </top>
      <bottom/>
      <diagonal/>
    </border>
    <border>
      <left style="thin">
        <color theme="0" tint="-0.14996795556505021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theme="0" tint="-0.14996795556505021"/>
      </left>
      <right/>
      <top style="thick">
        <color theme="0" tint="-0.14996795556505021"/>
      </top>
      <bottom style="thick">
        <color theme="3" tint="0.14996795556505021"/>
      </bottom>
      <diagonal/>
    </border>
    <border>
      <left/>
      <right/>
      <top style="thick">
        <color theme="0" tint="-0.14996795556505021"/>
      </top>
      <bottom style="thick">
        <color theme="3" tint="0.14996795556505021"/>
      </bottom>
      <diagonal/>
    </border>
    <border>
      <left/>
      <right style="thick">
        <color theme="3" tint="0.14996795556505021"/>
      </right>
      <top style="thick">
        <color theme="0" tint="-0.14996795556505021"/>
      </top>
      <bottom style="thick">
        <color theme="3" tint="0.14996795556505021"/>
      </bottom>
      <diagonal/>
    </border>
    <border>
      <left style="thick">
        <color theme="0" tint="-0.14996795556505021"/>
      </left>
      <right/>
      <top style="thick">
        <color theme="0" tint="-0.14996795556505021"/>
      </top>
      <bottom style="thick">
        <color auto="1"/>
      </bottom>
      <diagonal/>
    </border>
    <border>
      <left/>
      <right/>
      <top style="thick">
        <color theme="0" tint="-0.14996795556505021"/>
      </top>
      <bottom style="thick">
        <color auto="1"/>
      </bottom>
      <diagonal/>
    </border>
    <border>
      <left/>
      <right style="thick">
        <color auto="1"/>
      </right>
      <top style="thick">
        <color theme="0" tint="-0.14996795556505021"/>
      </top>
      <bottom style="thick">
        <color auto="1"/>
      </bottom>
      <diagonal/>
    </border>
    <border>
      <left style="thick">
        <color theme="0" tint="-4.9989318521683403E-2"/>
      </left>
      <right/>
      <top style="thick">
        <color theme="0" tint="-4.9989318521683403E-2"/>
      </top>
      <bottom/>
      <diagonal/>
    </border>
    <border>
      <left/>
      <right style="thick">
        <color auto="1"/>
      </right>
      <top style="thick">
        <color theme="0" tint="-4.9989318521683403E-2"/>
      </top>
      <bottom/>
      <diagonal/>
    </border>
    <border>
      <left style="thick">
        <color theme="0" tint="-4.9989318521683403E-2"/>
      </left>
      <right/>
      <top/>
      <bottom/>
      <diagonal/>
    </border>
    <border>
      <left style="thick">
        <color theme="0" tint="-4.9989318521683403E-2"/>
      </left>
      <right/>
      <top/>
      <bottom style="thick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 style="medium">
        <color indexed="64"/>
      </left>
      <right style="thin">
        <color theme="0" tint="-4.9989318521683403E-2"/>
      </right>
      <top style="medium">
        <color indexed="64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indexed="64"/>
      </top>
      <bottom style="medium">
        <color indexed="64"/>
      </bottom>
      <diagonal/>
    </border>
    <border>
      <left style="thin">
        <color theme="0" tint="-4.9989318521683403E-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/>
      <bottom style="thin">
        <color theme="0" tint="-0.499984740745262"/>
      </bottom>
      <diagonal/>
    </border>
    <border>
      <left style="dashDotDot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dashDotDot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dashDotDot">
        <color indexed="64"/>
      </left>
      <right/>
      <top style="dashDotDot">
        <color theme="1"/>
      </top>
      <bottom style="thin">
        <color theme="0" tint="-0.34998626667073579"/>
      </bottom>
      <diagonal/>
    </border>
    <border>
      <left/>
      <right style="dashDotDot">
        <color indexed="64"/>
      </right>
      <top style="dashDotDot">
        <color theme="1"/>
      </top>
      <bottom style="thin">
        <color theme="0" tint="-0.34998626667073579"/>
      </bottom>
      <diagonal/>
    </border>
    <border>
      <left style="thin">
        <color theme="0" tint="-4.9989318521683403E-2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/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auto="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rgb="FF000000"/>
      </bottom>
      <diagonal/>
    </border>
    <border>
      <left/>
      <right style="thin">
        <color theme="0" tint="-4.9989318521683403E-2"/>
      </right>
      <top style="thin">
        <color theme="0" tint="-0.499984740745262"/>
      </top>
      <bottom style="thick">
        <color theme="1"/>
      </bottom>
      <diagonal/>
    </border>
    <border>
      <left/>
      <right/>
      <top style="medium">
        <color rgb="FF000000"/>
      </top>
      <bottom style="thin">
        <color indexed="64"/>
      </bottom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/>
      <top style="thick">
        <color rgb="FF0000FF"/>
      </top>
      <bottom/>
      <diagonal/>
    </border>
    <border>
      <left/>
      <right style="thick">
        <color rgb="FF0000FF"/>
      </right>
      <top style="thick">
        <color rgb="FF0000FF"/>
      </top>
      <bottom/>
      <diagonal/>
    </border>
    <border>
      <left style="thick">
        <color rgb="FF0000FF"/>
      </left>
      <right/>
      <top/>
      <bottom/>
      <diagonal/>
    </border>
    <border>
      <left/>
      <right style="thick">
        <color rgb="FF0000FF"/>
      </right>
      <top/>
      <bottom/>
      <diagonal/>
    </border>
    <border>
      <left style="thick">
        <color rgb="FF0000FF"/>
      </left>
      <right/>
      <top style="medium">
        <color indexed="64"/>
      </top>
      <bottom/>
      <diagonal/>
    </border>
    <border>
      <left/>
      <right style="thick">
        <color rgb="FF0000FF"/>
      </right>
      <top style="medium">
        <color indexed="64"/>
      </top>
      <bottom/>
      <diagonal/>
    </border>
    <border>
      <left style="thick">
        <color rgb="FF0000FF"/>
      </left>
      <right/>
      <top/>
      <bottom style="medium">
        <color indexed="64"/>
      </bottom>
      <diagonal/>
    </border>
    <border>
      <left/>
      <right style="thick">
        <color rgb="FF0000FF"/>
      </right>
      <top/>
      <bottom style="medium">
        <color indexed="64"/>
      </bottom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/>
      <top/>
      <bottom style="thick">
        <color rgb="FF0000FF"/>
      </bottom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 style="thick">
        <color theme="5" tint="-0.24994659260841701"/>
      </left>
      <right/>
      <top style="thick">
        <color theme="5" tint="-0.24994659260841701"/>
      </top>
      <bottom/>
      <diagonal/>
    </border>
    <border>
      <left/>
      <right/>
      <top style="thick">
        <color theme="5" tint="-0.24994659260841701"/>
      </top>
      <bottom/>
      <diagonal/>
    </border>
    <border>
      <left/>
      <right style="thick">
        <color theme="5" tint="-0.24994659260841701"/>
      </right>
      <top style="thick">
        <color theme="5" tint="-0.24994659260841701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 tint="-4.9989318521683403E-2"/>
      </left>
      <right/>
      <top/>
      <bottom/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ck">
        <color rgb="FF0000FF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ck">
        <color rgb="FF0000FF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thick">
        <color theme="0" tint="-0.499984740745262"/>
      </top>
      <bottom style="medium">
        <color indexed="64"/>
      </bottom>
      <diagonal/>
    </border>
    <border>
      <left/>
      <right style="medium">
        <color indexed="64"/>
      </right>
      <top style="thick">
        <color theme="0" tint="-0.499984740745262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/>
      <right style="hair">
        <color theme="0" tint="-0.34998626667073579"/>
      </right>
      <top style="medium">
        <color rgb="FF000000"/>
      </top>
      <bottom style="thin">
        <color theme="0" tint="-0.34998626667073579"/>
      </bottom>
      <diagonal/>
    </border>
    <border>
      <left/>
      <right style="hair">
        <color theme="0" tint="-0.34998626667073579"/>
      </right>
      <top style="thin">
        <color theme="0" tint="-0.34998626667073579"/>
      </top>
      <bottom style="medium">
        <color rgb="FF000000"/>
      </bottom>
      <diagonal/>
    </border>
    <border>
      <left/>
      <right style="hair">
        <color theme="0" tint="-0.34998626667073579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ck">
        <color auto="1"/>
      </bottom>
      <diagonal/>
    </border>
    <border>
      <left style="medium">
        <color indexed="64"/>
      </left>
      <right style="thin">
        <color theme="0" tint="-4.9989318521683403E-2"/>
      </right>
      <top style="medium">
        <color indexed="64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indexed="64"/>
      </top>
      <bottom/>
      <diagonal/>
    </border>
    <border>
      <left style="thin">
        <color theme="0" tint="-4.9989318521683403E-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4.9989318521683403E-2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4.9989318521683403E-2"/>
      </left>
      <right style="medium">
        <color indexed="64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 style="medium">
        <color indexed="64"/>
      </right>
      <top style="thick">
        <color theme="1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rgb="FF000000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 style="thin">
        <color indexed="64"/>
      </bottom>
      <diagonal/>
    </border>
    <border>
      <left style="medium">
        <color indexed="64"/>
      </left>
      <right/>
      <top/>
      <bottom style="thick">
        <color auto="1"/>
      </bottom>
      <diagonal/>
    </border>
    <border>
      <left style="thin">
        <color theme="0" tint="-0.499984740745262"/>
      </left>
      <right style="medium">
        <color indexed="64"/>
      </right>
      <top/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rgb="FF000000"/>
      </left>
      <right style="medium">
        <color indexed="64"/>
      </right>
      <top/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rgb="FF000000"/>
      </left>
      <right/>
      <top style="thin">
        <color indexed="64"/>
      </top>
      <bottom style="thick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/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/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ck">
        <color rgb="FF0000FF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 style="thick">
        <color rgb="FF0000FF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ck">
        <color rgb="FF00B050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rgb="FF000000"/>
      </left>
      <right style="hair">
        <color rgb="FF000000"/>
      </right>
      <top style="medium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ck">
        <color rgb="FF00B05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ck">
        <color rgb="FF00B050"/>
      </bottom>
      <diagonal/>
    </border>
    <border>
      <left/>
      <right style="thin">
        <color indexed="64"/>
      </right>
      <top style="thick">
        <color rgb="FF00B050"/>
      </top>
      <bottom/>
      <diagonal/>
    </border>
    <border>
      <left/>
      <right style="thin">
        <color indexed="64"/>
      </right>
      <top/>
      <bottom style="thick">
        <color rgb="FF00B050"/>
      </bottom>
      <diagonal/>
    </border>
    <border>
      <left/>
      <right/>
      <top/>
      <bottom style="thick">
        <color rgb="FFFFFF00"/>
      </bottom>
      <diagonal/>
    </border>
    <border>
      <left style="thick">
        <color theme="0" tint="-4.9989318521683403E-2"/>
      </left>
      <right style="medium">
        <color theme="0" tint="-0.34998626667073579"/>
      </right>
      <top/>
      <bottom style="thick">
        <color theme="0" tint="-4.9989318521683403E-2"/>
      </bottom>
      <diagonal/>
    </border>
    <border>
      <left/>
      <right/>
      <top style="thick">
        <color auto="1"/>
      </top>
      <bottom/>
      <diagonal/>
    </border>
    <border>
      <left/>
      <right style="medium">
        <color theme="0" tint="-0.14996795556505021"/>
      </right>
      <top/>
      <bottom style="medium">
        <color rgb="FF000000"/>
      </bottom>
      <diagonal/>
    </border>
    <border>
      <left style="medium">
        <color theme="0" tint="-0.14996795556505021"/>
      </left>
      <right style="medium">
        <color theme="0" tint="-0.14996795556505021"/>
      </right>
      <top/>
      <bottom style="medium">
        <color rgb="FF000000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14990691854609822"/>
      </right>
      <top/>
      <bottom style="thin">
        <color theme="0" tint="-0.34998626667073579"/>
      </bottom>
      <diagonal/>
    </border>
    <border>
      <left/>
      <right style="medium">
        <color theme="0" tint="-0.14990691854609822"/>
      </right>
      <top/>
      <bottom style="thin">
        <color theme="0" tint="-0.34998626667073579"/>
      </bottom>
      <diagonal/>
    </border>
    <border>
      <left style="medium">
        <color theme="0" tint="-0.14990691854609822"/>
      </left>
      <right style="medium">
        <color theme="0" tint="-0.14990691854609822"/>
      </right>
      <top/>
      <bottom style="thin">
        <color theme="0" tint="-0.34998626667073579"/>
      </bottom>
      <diagonal/>
    </border>
    <border>
      <left style="medium">
        <color indexed="64"/>
      </left>
      <right style="medium">
        <color theme="0" tint="-0.14990691854609822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14990691854609822"/>
      </left>
      <right style="medium">
        <color theme="0" tint="-0.14990691854609822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14996795556505021"/>
      </left>
      <right style="medium">
        <color theme="0" tint="-0.14996795556505021"/>
      </right>
      <top style="thin">
        <color theme="0" tint="-0.34998626667073579"/>
      </top>
      <bottom style="medium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dashDotDot">
        <color indexed="64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dashDotDot">
        <color theme="1" tint="0.24994659260841701"/>
      </left>
      <right style="thin">
        <color theme="0" tint="-0.499984740745262"/>
      </right>
      <top/>
      <bottom/>
      <diagonal/>
    </border>
    <border>
      <left style="dashDotDot">
        <color theme="1" tint="0.2499465926084170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dashDotDot">
        <color theme="1" tint="0.24994659260841701"/>
      </left>
      <right/>
      <top style="dashDotDot">
        <color theme="1"/>
      </top>
      <bottom style="thin">
        <color theme="0" tint="-0.34998626667073579"/>
      </bottom>
      <diagonal/>
    </border>
    <border>
      <left style="dotted">
        <color theme="1"/>
      </left>
      <right/>
      <top style="hair">
        <color theme="1"/>
      </top>
      <bottom style="hair">
        <color theme="1"/>
      </bottom>
      <diagonal/>
    </border>
    <border>
      <left style="dotted">
        <color theme="1"/>
      </left>
      <right/>
      <top style="hair">
        <color theme="1"/>
      </top>
      <bottom/>
      <diagonal/>
    </border>
    <border>
      <left style="dotted">
        <color theme="1"/>
      </left>
      <right style="thin">
        <color theme="4" tint="0.39997558519241921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/>
      <top style="hair">
        <color theme="1"/>
      </top>
      <bottom/>
      <diagonal/>
    </border>
    <border>
      <left style="dotted">
        <color theme="1"/>
      </left>
      <right style="thin">
        <color theme="4" tint="0.39997558519241921"/>
      </right>
      <top style="hair">
        <color theme="1"/>
      </top>
      <bottom/>
      <diagonal/>
    </border>
    <border>
      <left style="thin">
        <color theme="4" tint="0.39997558519241921"/>
      </left>
      <right/>
      <top style="hair">
        <color theme="1"/>
      </top>
      <bottom style="hair">
        <color theme="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 style="thick">
        <color theme="0" tint="-0.499984740745262"/>
      </bottom>
      <diagonal/>
    </border>
    <border>
      <left/>
      <right/>
      <top style="medium">
        <color theme="0" tint="-0.24994659260841701"/>
      </top>
      <bottom style="thick">
        <color theme="0" tint="-0.499984740745262"/>
      </bottom>
      <diagonal/>
    </border>
    <border>
      <left/>
      <right style="thick">
        <color theme="0" tint="-0.499984740745262"/>
      </right>
      <top style="medium">
        <color theme="0" tint="-0.24994659260841701"/>
      </top>
      <bottom style="thick">
        <color theme="0" tint="-0.499984740745262"/>
      </bottom>
      <diagonal/>
    </border>
    <border>
      <left style="medium">
        <color theme="0" tint="-0.34998626667073579"/>
      </left>
      <right/>
      <top style="medium">
        <color theme="0" tint="-4.9989318521683403E-2"/>
      </top>
      <bottom style="medium">
        <color theme="0" tint="-0.34998626667073579"/>
      </bottom>
      <diagonal/>
    </border>
    <border>
      <left style="medium">
        <color theme="0" tint="-0.24994659260841701"/>
      </left>
      <right/>
      <top style="medium">
        <color theme="0" tint="-4.9989318521683403E-2"/>
      </top>
      <bottom style="medium">
        <color theme="0" tint="-0.34998626667073579"/>
      </bottom>
      <diagonal/>
    </border>
    <border>
      <left/>
      <right style="thick">
        <color theme="1" tint="0.14996795556505021"/>
      </right>
      <top style="thick">
        <color theme="0" tint="-4.9989318521683403E-2"/>
      </top>
      <bottom style="thick">
        <color theme="1" tint="0.14996795556505021"/>
      </bottom>
      <diagonal/>
    </border>
    <border>
      <left/>
      <right/>
      <top style="thick">
        <color theme="0" tint="-4.9989318521683403E-2"/>
      </top>
      <bottom style="thick">
        <color theme="1" tint="0.14996795556505021"/>
      </bottom>
      <diagonal/>
    </border>
    <border>
      <left/>
      <right style="thick">
        <color theme="0" tint="-0.499984740745262"/>
      </right>
      <top style="thick">
        <color theme="0" tint="-4.9989318521683403E-2"/>
      </top>
      <bottom style="thick">
        <color theme="1" tint="0.14996795556505021"/>
      </bottom>
      <diagonal/>
    </border>
    <border>
      <left style="medium">
        <color auto="1"/>
      </left>
      <right style="hair">
        <color theme="0" tint="-0.499984740745262"/>
      </right>
      <top style="thin">
        <color auto="1"/>
      </top>
      <bottom style="thin">
        <color auto="1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auto="1"/>
      </top>
      <bottom style="thin">
        <color auto="1"/>
      </bottom>
      <diagonal/>
    </border>
    <border>
      <left style="hair">
        <color theme="0" tint="-0.499984740745262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dotted">
        <color theme="1"/>
      </left>
      <right/>
      <top style="hair">
        <color theme="1"/>
      </top>
      <bottom style="thin">
        <color indexed="64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/>
      <right/>
      <top style="thick">
        <color theme="3" tint="0.14996795556505021"/>
      </top>
      <bottom/>
      <diagonal/>
    </border>
    <border>
      <left style="thick">
        <color auto="1"/>
      </left>
      <right/>
      <top style="thick">
        <color theme="0" tint="-0.499984740745262"/>
      </top>
      <bottom style="thick">
        <color theme="3" tint="0.14996795556505021"/>
      </bottom>
      <diagonal/>
    </border>
    <border>
      <left/>
      <right/>
      <top style="thick">
        <color theme="0" tint="-0.499984740745262"/>
      </top>
      <bottom style="thick">
        <color theme="3" tint="0.14996795556505021"/>
      </bottom>
      <diagonal/>
    </border>
    <border>
      <left/>
      <right style="thick">
        <color auto="1"/>
      </right>
      <top style="thick">
        <color theme="0" tint="-0.499984740745262"/>
      </top>
      <bottom style="thick">
        <color theme="3" tint="0.14996795556505021"/>
      </bottom>
      <diagonal/>
    </border>
    <border>
      <left style="thick">
        <color theme="0" tint="-0.499984740745262"/>
      </left>
      <right style="thick">
        <color indexed="64"/>
      </right>
      <top style="thick">
        <color theme="0" tint="-0.499984740745262"/>
      </top>
      <bottom style="medium">
        <color indexed="64"/>
      </bottom>
      <diagonal/>
    </border>
    <border>
      <left style="thick">
        <color theme="0" tint="-0.499984740745262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0" tint="-0.499984740745262"/>
      </bottom>
      <diagonal/>
    </border>
    <border>
      <left style="medium">
        <color indexed="64"/>
      </left>
      <right style="medium">
        <color theme="0" tint="-0.34998626667073579"/>
      </right>
      <top style="medium">
        <color theme="0" tint="-4.9989318521683403E-2"/>
      </top>
      <bottom/>
      <diagonal/>
    </border>
    <border>
      <left style="thick">
        <color theme="0" tint="-0.499984740745262"/>
      </left>
      <right style="medium">
        <color indexed="64"/>
      </right>
      <top style="thick">
        <color theme="0" tint="-0.499984740745262"/>
      </top>
      <bottom/>
      <diagonal/>
    </border>
    <border>
      <left/>
      <right style="thick">
        <color theme="0" tint="-0.24994659260841701"/>
      </right>
      <top style="thick">
        <color theme="0" tint="-0.499984740745262"/>
      </top>
      <bottom style="medium">
        <color indexed="64"/>
      </bottom>
      <diagonal/>
    </border>
    <border>
      <left/>
      <right style="thick">
        <color theme="0" tint="-0.499984740745262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theme="0" tint="-0.499984740745262"/>
      </top>
      <bottom style="medium">
        <color indexed="64"/>
      </bottom>
      <diagonal/>
    </border>
    <border>
      <left style="thick">
        <color theme="0" tint="-0.499984740745262"/>
      </left>
      <right style="medium">
        <color indexed="64"/>
      </right>
      <top/>
      <bottom/>
      <diagonal/>
    </border>
    <border>
      <left/>
      <right style="thick">
        <color theme="0" tint="-0.499984740745262"/>
      </right>
      <top style="medium">
        <color indexed="64"/>
      </top>
      <bottom/>
      <diagonal/>
    </border>
    <border>
      <left style="thick">
        <color theme="0" tint="-0.499984740745262"/>
      </left>
      <right/>
      <top style="medium">
        <color indexed="64"/>
      </top>
      <bottom/>
      <diagonal/>
    </border>
    <border>
      <left/>
      <right style="thick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thick">
        <color theme="0" tint="-0.499984740745262"/>
      </left>
      <right/>
      <top/>
      <bottom style="medium">
        <color indexed="64"/>
      </bottom>
      <diagonal/>
    </border>
    <border>
      <left/>
      <right style="thick">
        <color theme="0" tint="-0.499984740745262"/>
      </right>
      <top/>
      <bottom style="medium">
        <color indexed="64"/>
      </bottom>
      <diagonal/>
    </border>
    <border>
      <left style="medium">
        <color indexed="64"/>
      </left>
      <right style="medium">
        <color theme="0" tint="-0.34998626667073579"/>
      </right>
      <top/>
      <bottom style="medium">
        <color indexed="64"/>
      </bottom>
      <diagonal/>
    </border>
    <border>
      <left/>
      <right style="thick">
        <color theme="0" tint="-0.24994659260841701"/>
      </right>
      <top style="medium">
        <color indexed="64"/>
      </top>
      <bottom/>
      <diagonal/>
    </border>
    <border>
      <left style="thick">
        <color theme="0" tint="-0.24994659260841701"/>
      </left>
      <right/>
      <top style="medium">
        <color indexed="64"/>
      </top>
      <bottom/>
      <diagonal/>
    </border>
    <border>
      <left/>
      <right style="thick">
        <color theme="0" tint="-0.499984740745262"/>
      </right>
      <top style="medium">
        <color indexed="64"/>
      </top>
      <bottom style="thin">
        <color indexed="64"/>
      </bottom>
      <diagonal/>
    </border>
    <border>
      <left/>
      <right style="thick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ck">
        <color theme="0" tint="-0.24994659260841701"/>
      </left>
      <right/>
      <top/>
      <bottom style="medium">
        <color indexed="64"/>
      </bottom>
      <diagonal/>
    </border>
    <border>
      <left style="thick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0" tint="-0.499984740745262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34998626667073579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ck">
        <color theme="0" tint="-0.24994659260841701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ck">
        <color theme="0" tint="-0.24994659260841701"/>
      </right>
      <top/>
      <bottom/>
      <diagonal/>
    </border>
    <border>
      <left style="thick">
        <color theme="0" tint="-0.499984740745262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ck">
        <color theme="0" tint="-0.249977111117893"/>
      </right>
      <top/>
      <bottom/>
      <diagonal/>
    </border>
    <border>
      <left style="medium">
        <color indexed="64"/>
      </left>
      <right style="thin">
        <color indexed="64"/>
      </right>
      <top/>
      <bottom style="dashDot">
        <color indexed="64"/>
      </bottom>
      <diagonal/>
    </border>
    <border>
      <left/>
      <right style="medium">
        <color indexed="64"/>
      </right>
      <top/>
      <bottom style="dashDot">
        <color indexed="64"/>
      </bottom>
      <diagonal/>
    </border>
    <border>
      <left style="medium">
        <color indexed="64"/>
      </left>
      <right style="medium">
        <color theme="0" tint="-0.34998626667073579"/>
      </right>
      <top/>
      <bottom style="dashDot">
        <color indexed="64"/>
      </bottom>
      <diagonal/>
    </border>
    <border>
      <left style="thick">
        <color theme="0" tint="-0.499984740745262"/>
      </left>
      <right style="medium">
        <color indexed="64"/>
      </right>
      <top/>
      <bottom style="dashDot">
        <color indexed="64"/>
      </bottom>
      <diagonal/>
    </border>
    <border>
      <left style="thin">
        <color indexed="64"/>
      </left>
      <right style="thick">
        <color theme="0" tint="-0.249977111117893"/>
      </right>
      <top/>
      <bottom style="dashDot">
        <color indexed="64"/>
      </bottom>
      <diagonal/>
    </border>
    <border>
      <left style="thick">
        <color theme="0" tint="-0.499984740745262"/>
      </left>
      <right style="thin">
        <color indexed="64"/>
      </right>
      <top/>
      <bottom style="dashDot">
        <color indexed="64"/>
      </bottom>
      <diagonal/>
    </border>
    <border>
      <left/>
      <right style="thick">
        <color theme="0" tint="-0.499984740745262"/>
      </right>
      <top/>
      <bottom style="dashDot">
        <color indexed="64"/>
      </bottom>
      <diagonal/>
    </border>
    <border>
      <left style="thin">
        <color indexed="64"/>
      </left>
      <right style="thick">
        <color theme="0" tint="-0.499984740745262"/>
      </right>
      <top/>
      <bottom/>
      <diagonal/>
    </border>
    <border>
      <left style="medium">
        <color indexed="64"/>
      </left>
      <right/>
      <top/>
      <bottom style="dashDot">
        <color indexed="64"/>
      </bottom>
      <diagonal/>
    </border>
    <border>
      <left style="thin">
        <color indexed="64"/>
      </left>
      <right style="medium">
        <color indexed="64"/>
      </right>
      <top/>
      <bottom style="dashDot">
        <color indexed="64"/>
      </bottom>
      <diagonal/>
    </border>
    <border>
      <left style="thin">
        <color indexed="64"/>
      </left>
      <right/>
      <top/>
      <bottom style="dashDot">
        <color indexed="64"/>
      </bottom>
      <diagonal/>
    </border>
    <border>
      <left/>
      <right/>
      <top/>
      <bottom style="dashDot">
        <color indexed="64"/>
      </bottom>
      <diagonal/>
    </border>
    <border>
      <left style="thin">
        <color indexed="64"/>
      </left>
      <right style="thick">
        <color theme="0" tint="-0.499984740745262"/>
      </right>
      <top/>
      <bottom style="dashDot">
        <color indexed="64"/>
      </bottom>
      <diagonal/>
    </border>
    <border>
      <left style="medium">
        <color indexed="64"/>
      </left>
      <right style="medium">
        <color theme="0" tint="-0.34998626667073579"/>
      </right>
      <top style="dashDot">
        <color indexed="64"/>
      </top>
      <bottom/>
      <diagonal/>
    </border>
    <border>
      <left style="thick">
        <color theme="0" tint="-0.499984740745262"/>
      </left>
      <right style="medium">
        <color indexed="64"/>
      </right>
      <top style="dashDot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ck">
        <color theme="0" tint="-0.499984740745262"/>
      </bottom>
      <diagonal/>
    </border>
    <border>
      <left style="medium">
        <color indexed="64"/>
      </left>
      <right style="medium">
        <color theme="0" tint="-0.34998626667073579"/>
      </right>
      <top/>
      <bottom style="thick">
        <color theme="0" tint="-0.499984740745262"/>
      </bottom>
      <diagonal/>
    </border>
    <border>
      <left style="thick">
        <color theme="0" tint="-0.499984740745262"/>
      </left>
      <right/>
      <top/>
      <bottom style="thick">
        <color theme="0" tint="-0.499984740745262"/>
      </bottom>
      <diagonal/>
    </border>
    <border>
      <left/>
      <right style="thick">
        <color theme="0" tint="-0.24994659260841701"/>
      </right>
      <top/>
      <bottom style="thick">
        <color theme="0" tint="-0.499984740745262"/>
      </bottom>
      <diagonal/>
    </border>
    <border>
      <left style="thick">
        <color theme="0" tint="-0.499984740745262"/>
      </left>
      <right style="thin">
        <color indexed="64"/>
      </right>
      <top/>
      <bottom style="thick">
        <color theme="0" tint="-0.499984740745262"/>
      </bottom>
      <diagonal/>
    </border>
    <border>
      <left style="medium">
        <color indexed="64"/>
      </left>
      <right/>
      <top/>
      <bottom style="thick">
        <color theme="0" tint="-0.499984740745262"/>
      </bottom>
      <diagonal/>
    </border>
    <border>
      <left/>
      <right style="thick">
        <color theme="0" tint="-0.499984740745262"/>
      </right>
      <top/>
      <bottom style="thick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dashDot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medium">
        <color theme="0" tint="-4.9989318521683403E-2"/>
      </left>
      <right/>
      <top style="thick">
        <color theme="0" tint="-0.499984740745262"/>
      </top>
      <bottom/>
      <diagonal/>
    </border>
    <border>
      <left style="medium">
        <color theme="0" tint="-4.9989318521683403E-2"/>
      </left>
      <right/>
      <top/>
      <bottom style="dashDot">
        <color indexed="64"/>
      </bottom>
      <diagonal/>
    </border>
    <border>
      <left style="medium">
        <color theme="0" tint="-4.9989318521683403E-2"/>
      </left>
      <right/>
      <top style="dashDot">
        <color indexed="64"/>
      </top>
      <bottom/>
      <diagonal/>
    </border>
    <border>
      <left style="medium">
        <color theme="0" tint="-4.9989318521683403E-2"/>
      </left>
      <right/>
      <top/>
      <bottom style="thick">
        <color theme="0" tint="-0.499984740745262"/>
      </bottom>
      <diagonal/>
    </border>
    <border>
      <left style="thin">
        <color theme="0" tint="-0.14993743705557422"/>
      </left>
      <right/>
      <top/>
      <bottom/>
      <diagonal/>
    </border>
    <border>
      <left style="medium">
        <color theme="0" tint="-4.9989318521683403E-2"/>
      </left>
      <right/>
      <top/>
      <bottom style="medium">
        <color theme="0" tint="-0.34998626667073579"/>
      </bottom>
      <diagonal/>
    </border>
    <border>
      <left style="medium">
        <color theme="0" tint="-4.9989318521683403E-2"/>
      </left>
      <right/>
      <top style="medium">
        <color theme="0" tint="-4.9989318521683403E-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/>
      <diagonal/>
    </border>
    <border>
      <left style="thin">
        <color theme="0" tint="-0.14993743705557422"/>
      </left>
      <right style="medium">
        <color theme="0" tint="-0.34998626667073579"/>
      </right>
      <top style="thin">
        <color indexed="64"/>
      </top>
      <bottom/>
      <diagonal/>
    </border>
    <border>
      <left style="thin">
        <color theme="0" tint="-0.14993743705557422"/>
      </left>
      <right style="medium">
        <color theme="0" tint="-0.34998626667073579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dashDot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dashDot">
        <color indexed="64"/>
      </top>
      <bottom/>
      <diagonal/>
    </border>
    <border>
      <left style="thin">
        <color theme="0" tint="-0.14993743705557422"/>
      </left>
      <right style="medium">
        <color theme="0" tint="-0.34998626667073579"/>
      </right>
      <top style="dashDot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medium">
        <color theme="0" tint="-0.34998626667073579"/>
      </bottom>
      <diagonal/>
    </border>
    <border>
      <left style="thin">
        <color theme="0" tint="-0.14993743705557422"/>
      </left>
      <right style="medium">
        <color theme="0" tint="-0.34998626667073579"/>
      </right>
      <top/>
      <bottom style="medium">
        <color theme="0" tint="-0.34998626667073579"/>
      </bottom>
      <diagonal/>
    </border>
    <border>
      <left style="medium">
        <color theme="0" tint="-4.9989318521683403E-2"/>
      </left>
      <right style="thin">
        <color theme="0" tint="-0.14993743705557422"/>
      </right>
      <top style="medium">
        <color theme="0" tint="-4.9989318521683403E-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 tint="-4.9989318521683403E-2"/>
      </top>
      <bottom/>
      <diagonal/>
    </border>
    <border>
      <left style="thin">
        <color theme="0" tint="-0.14993743705557422"/>
      </left>
      <right style="medium">
        <color theme="0" tint="-0.34998626667073579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 style="thin">
        <color theme="0" tint="-0.14993743705557422"/>
      </right>
      <top style="thin">
        <color indexed="64"/>
      </top>
      <bottom/>
      <diagonal/>
    </border>
    <border>
      <left style="medium">
        <color theme="0" tint="-4.9989318521683403E-2"/>
      </left>
      <right style="thin">
        <color theme="0" tint="-0.14993743705557422"/>
      </right>
      <top/>
      <bottom/>
      <diagonal/>
    </border>
    <border>
      <left style="medium">
        <color theme="0" tint="-4.9989318521683403E-2"/>
      </left>
      <right style="thin">
        <color theme="0" tint="-0.14993743705557422"/>
      </right>
      <top style="thick">
        <color theme="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ck">
        <color theme="1"/>
      </top>
      <bottom/>
      <diagonal/>
    </border>
    <border>
      <left style="medium">
        <color theme="0" tint="-4.9989318521683403E-2"/>
      </left>
      <right style="thin">
        <color theme="0" tint="-0.14993743705557422"/>
      </right>
      <top/>
      <bottom style="medium">
        <color theme="0" tint="-0.34998626667073579"/>
      </bottom>
      <diagonal/>
    </border>
    <border>
      <left style="medium">
        <color theme="0" tint="-4.9989318521683403E-2"/>
      </left>
      <right style="thin">
        <color theme="0" tint="-0.14993743705557422"/>
      </right>
      <top/>
      <bottom style="dashDot">
        <color indexed="64"/>
      </bottom>
      <diagonal/>
    </border>
    <border>
      <left style="medium">
        <color theme="0" tint="-4.9989318521683403E-2"/>
      </left>
      <right style="thin">
        <color theme="0" tint="-0.14993743705557422"/>
      </right>
      <top style="dashDot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ck">
        <color theme="0" tint="-0.24994659260841701"/>
      </bottom>
      <diagonal/>
    </border>
    <border>
      <left/>
      <right style="medium">
        <color indexed="64"/>
      </right>
      <top/>
      <bottom style="thick">
        <color theme="0" tint="-0.24994659260841701"/>
      </bottom>
      <diagonal/>
    </border>
    <border>
      <left style="thick">
        <color theme="0" tint="-0.499984740745262"/>
      </left>
      <right style="thin">
        <color indexed="64"/>
      </right>
      <top/>
      <bottom style="thick">
        <color theme="0" tint="-0.24994659260841701"/>
      </bottom>
      <diagonal/>
    </border>
    <border>
      <left style="thick">
        <color theme="0" tint="-0.49998474074526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medium">
        <color indexed="64"/>
      </right>
      <top/>
      <bottom/>
      <diagonal/>
    </border>
    <border>
      <left style="thin">
        <color theme="0" tint="-0.14993743705557422"/>
      </left>
      <right style="thick">
        <color theme="0" tint="-0.499984740745262"/>
      </right>
      <top/>
      <bottom/>
      <diagonal/>
    </border>
    <border>
      <left style="thick">
        <color theme="0" tint="-0.499984740745262"/>
      </left>
      <right style="thin">
        <color theme="0" tint="-0.14993743705557422"/>
      </right>
      <top/>
      <bottom style="thick">
        <color theme="0" tint="-0.49998474074526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ck">
        <color theme="0" tint="-0.499984740745262"/>
      </bottom>
      <diagonal/>
    </border>
    <border>
      <left style="thin">
        <color theme="0" tint="-0.14993743705557422"/>
      </left>
      <right style="thick">
        <color theme="0" tint="-0.499984740745262"/>
      </right>
      <top/>
      <bottom style="thick">
        <color theme="0" tint="-0.499984740745262"/>
      </bottom>
      <diagonal/>
    </border>
    <border>
      <left style="thin">
        <color theme="0" tint="-0.14993743705557422"/>
      </left>
      <right/>
      <top/>
      <bottom style="thick">
        <color theme="0" tint="-0.499984740745262"/>
      </bottom>
      <diagonal/>
    </border>
    <border>
      <left style="medium">
        <color theme="0" tint="-0.14990691854609822"/>
      </left>
      <right style="medium">
        <color theme="0" tint="-0.14990691854609822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4.9989318521683403E-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4.9989318521683403E-2"/>
      </left>
      <right/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4.9989318521683403E-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4.9989318521683403E-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4.9989318521683403E-2"/>
      </right>
      <top style="thin">
        <color theme="0" tint="-0.499984740745262"/>
      </top>
      <bottom style="medium">
        <color theme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499984740745262"/>
      </top>
      <bottom style="medium">
        <color theme="1"/>
      </bottom>
      <diagonal/>
    </border>
    <border>
      <left/>
      <right style="thin">
        <color theme="0" tint="-4.9989318521683403E-2"/>
      </right>
      <top style="medium">
        <color indexed="64"/>
      </top>
      <bottom style="medium">
        <color indexed="64"/>
      </bottom>
      <diagonal/>
    </border>
    <border>
      <left style="thin">
        <color theme="0" tint="-4.9989318521683403E-2"/>
      </left>
      <right/>
      <top style="thin">
        <color theme="0" tint="-0.499984740745262"/>
      </top>
      <bottom style="medium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4.9989318521683403E-2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dotted">
        <color theme="0" tint="-0.499984740745262"/>
      </right>
      <top/>
      <bottom/>
      <diagonal/>
    </border>
    <border>
      <left style="dotted">
        <color theme="0" tint="-0.499984740745262"/>
      </left>
      <right style="dotted">
        <color theme="0" tint="-0.499984740745262"/>
      </right>
      <top/>
      <bottom/>
      <diagonal/>
    </border>
    <border>
      <left style="dotted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dotted">
        <color theme="0" tint="-0.499984740745262"/>
      </right>
      <top/>
      <bottom style="thin">
        <color theme="0" tint="-0.499984740745262"/>
      </bottom>
      <diagonal/>
    </border>
    <border>
      <left style="dotted">
        <color theme="0" tint="-0.499984740745262"/>
      </left>
      <right style="dotted">
        <color theme="0" tint="-0.499984740745262"/>
      </right>
      <top/>
      <bottom style="thin">
        <color theme="0" tint="-0.499984740745262"/>
      </bottom>
      <diagonal/>
    </border>
    <border>
      <left style="dotted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 style="thick">
        <color rgb="FF0000FF"/>
      </bottom>
      <diagonal/>
    </border>
    <border>
      <left style="thick">
        <color theme="0" tint="-0.14990691854609822"/>
      </left>
      <right style="thin">
        <color theme="0" tint="-0.14993743705557422"/>
      </right>
      <top style="thick">
        <color theme="0" tint="-0.149906918546098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ck">
        <color theme="0" tint="-0.14990691854609822"/>
      </top>
      <bottom/>
      <diagonal/>
    </border>
    <border>
      <left style="thin">
        <color theme="0" tint="-0.14993743705557422"/>
      </left>
      <right/>
      <top style="thick">
        <color theme="0" tint="-0.14990691854609822"/>
      </top>
      <bottom/>
      <diagonal/>
    </border>
    <border>
      <left style="thick">
        <color theme="0" tint="-0.14990691854609822"/>
      </left>
      <right style="thin">
        <color theme="0" tint="-0.14993743705557422"/>
      </right>
      <top/>
      <bottom/>
      <diagonal/>
    </border>
    <border>
      <left style="thick">
        <color theme="0" tint="-0.14990691854609822"/>
      </left>
      <right style="thin">
        <color theme="0" tint="-0.14993743705557422"/>
      </right>
      <top/>
      <bottom style="thick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ck">
        <color theme="0" tint="-0.14990691854609822"/>
      </bottom>
      <diagonal/>
    </border>
    <border>
      <left style="thin">
        <color theme="0" tint="-0.14993743705557422"/>
      </left>
      <right/>
      <top/>
      <bottom style="thick">
        <color theme="0" tint="-0.14990691854609822"/>
      </bottom>
      <diagonal/>
    </border>
    <border>
      <left style="medium">
        <color indexed="64"/>
      </left>
      <right style="thin">
        <color theme="0" tint="-0.14993743705557422"/>
      </right>
      <top style="thick">
        <color theme="0" tint="-0.14990691854609822"/>
      </top>
      <bottom/>
      <diagonal/>
    </border>
    <border>
      <left style="thin">
        <color theme="0" tint="-0.14993743705557422"/>
      </left>
      <right style="medium">
        <color indexed="64"/>
      </right>
      <top style="thick">
        <color theme="0" tint="-0.14990691854609822"/>
      </top>
      <bottom/>
      <diagonal/>
    </border>
    <border>
      <left style="medium">
        <color indexed="64"/>
      </left>
      <right style="thin">
        <color theme="0" tint="-0.14993743705557422"/>
      </right>
      <top/>
      <bottom/>
      <diagonal/>
    </border>
    <border>
      <left style="medium">
        <color indexed="64"/>
      </left>
      <right style="thin">
        <color theme="0" tint="-0.14993743705557422"/>
      </right>
      <top/>
      <bottom style="thick">
        <color theme="0" tint="-0.14990691854609822"/>
      </bottom>
      <diagonal/>
    </border>
    <border>
      <left style="thin">
        <color theme="0" tint="-0.14993743705557422"/>
      </left>
      <right style="medium">
        <color indexed="64"/>
      </right>
      <top/>
      <bottom style="thick">
        <color theme="0" tint="-0.14990691854609822"/>
      </bottom>
      <diagonal/>
    </border>
    <border>
      <left style="medium">
        <color indexed="64"/>
      </left>
      <right style="thin">
        <color theme="0" tint="-0.14993743705557422"/>
      </right>
      <top/>
      <bottom style="medium">
        <color indexed="64"/>
      </bottom>
      <diagonal/>
    </border>
    <border>
      <left/>
      <right/>
      <top style="thick">
        <color theme="0" tint="-0.14990691854609822"/>
      </top>
      <bottom/>
      <diagonal/>
    </border>
    <border>
      <left/>
      <right/>
      <top/>
      <bottom style="thick">
        <color theme="0" tint="-0.14990691854609822"/>
      </bottom>
      <diagonal/>
    </border>
    <border>
      <left style="thick">
        <color theme="4" tint="0.79998168889431442"/>
      </left>
      <right style="thick">
        <color rgb="FF0070C0"/>
      </right>
      <top style="thick">
        <color theme="4" tint="0.79998168889431442"/>
      </top>
      <bottom style="thick">
        <color rgb="FF0070C0"/>
      </bottom>
      <diagonal/>
    </border>
    <border>
      <left style="dashDotDot">
        <color theme="1"/>
      </left>
      <right/>
      <top/>
      <bottom style="thin">
        <color theme="0" tint="-0.34998626667073579"/>
      </bottom>
      <diagonal/>
    </border>
    <border>
      <left style="dashDotDot">
        <color indexed="64"/>
      </left>
      <right/>
      <top/>
      <bottom style="thin">
        <color theme="0" tint="-0.34998626667073579"/>
      </bottom>
      <diagonal/>
    </border>
    <border>
      <left style="dashDotDot">
        <color theme="1" tint="0.24994659260841701"/>
      </left>
      <right/>
      <top/>
      <bottom style="thin">
        <color theme="0" tint="-0.34998626667073579"/>
      </bottom>
      <diagonal/>
    </border>
    <border>
      <left/>
      <right style="dashDotDot">
        <color indexed="64"/>
      </right>
      <top/>
      <bottom style="thin">
        <color theme="0" tint="-0.34998626667073579"/>
      </bottom>
      <diagonal/>
    </border>
    <border>
      <left style="thick">
        <color theme="0" tint="-0.34998626667073579"/>
      </left>
      <right style="thin">
        <color theme="0" tint="-0.24994659260841701"/>
      </right>
      <top style="thick">
        <color theme="0" tint="-0.34998626667073579"/>
      </top>
      <bottom style="thick">
        <color theme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0" tint="-0.34998626667073579"/>
      </top>
      <bottom style="thick">
        <color theme="1"/>
      </bottom>
      <diagonal/>
    </border>
    <border>
      <left style="thin">
        <color theme="0" tint="-0.24994659260841701"/>
      </left>
      <right/>
      <top style="thick">
        <color theme="0" tint="-0.34998626667073579"/>
      </top>
      <bottom style="thick">
        <color theme="1"/>
      </bottom>
      <diagonal/>
    </border>
    <border>
      <left style="dashDotDot">
        <color indexed="64"/>
      </left>
      <right/>
      <top style="thick">
        <color theme="0" tint="-0.34998626667073579"/>
      </top>
      <bottom style="thick">
        <color theme="1"/>
      </bottom>
      <diagonal/>
    </border>
    <border>
      <left style="thin">
        <color theme="0" tint="-0.24994659260841701"/>
      </left>
      <right style="dashDotDot">
        <color indexed="64"/>
      </right>
      <top style="thick">
        <color theme="0" tint="-0.34998626667073579"/>
      </top>
      <bottom style="thick">
        <color theme="1"/>
      </bottom>
      <diagonal/>
    </border>
    <border>
      <left/>
      <right style="thin">
        <color theme="0" tint="-0.24994659260841701"/>
      </right>
      <top style="thick">
        <color theme="0" tint="-0.34998626667073579"/>
      </top>
      <bottom style="thick">
        <color theme="1"/>
      </bottom>
      <diagonal/>
    </border>
    <border>
      <left style="dashDotDot">
        <color theme="1" tint="0.24994659260841701"/>
      </left>
      <right style="thin">
        <color theme="0" tint="-0.24994659260841701"/>
      </right>
      <top style="thick">
        <color theme="0" tint="-0.34998626667073579"/>
      </top>
      <bottom style="thick">
        <color theme="1"/>
      </bottom>
      <diagonal/>
    </border>
    <border>
      <left style="thin">
        <color theme="0" tint="-0.24994659260841701"/>
      </left>
      <right style="thick">
        <color theme="1"/>
      </right>
      <top style="thick">
        <color theme="0" tint="-0.34998626667073579"/>
      </top>
      <bottom style="thick">
        <color theme="1"/>
      </bottom>
      <diagonal/>
    </border>
    <border>
      <left style="thick">
        <color theme="0" tint="-0.499984740745262"/>
      </left>
      <right/>
      <top style="thick">
        <color theme="0" tint="-0.499984740745262"/>
      </top>
      <bottom style="thick">
        <color theme="3" tint="0.14996795556505021"/>
      </bottom>
      <diagonal/>
    </border>
    <border>
      <left style="thin">
        <color theme="0" tint="-0.14993743705557422"/>
      </left>
      <right style="medium">
        <color indexed="64"/>
      </right>
      <top style="medium">
        <color theme="0" tint="-4.9989318521683403E-2"/>
      </top>
      <bottom/>
      <diagonal/>
    </border>
    <border>
      <left style="thin">
        <color theme="0" tint="-0.14993743705557422"/>
      </left>
      <right style="medium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medium">
        <color indexed="64"/>
      </right>
      <top style="thick">
        <color theme="1"/>
      </top>
      <bottom/>
      <diagonal/>
    </border>
    <border>
      <left style="thin">
        <color theme="0" tint="-0.14993743705557422"/>
      </left>
      <right style="medium">
        <color indexed="64"/>
      </right>
      <top/>
      <bottom style="medium">
        <color theme="0" tint="-0.34998626667073579"/>
      </bottom>
      <diagonal/>
    </border>
    <border>
      <left/>
      <right style="medium">
        <color indexed="64"/>
      </right>
      <top style="medium">
        <color theme="0" tint="-4.9989318521683403E-2"/>
      </top>
      <bottom/>
      <diagonal/>
    </border>
    <border>
      <left/>
      <right style="medium">
        <color indexed="64"/>
      </right>
      <top/>
      <bottom style="medium">
        <color theme="0" tint="-0.34998626667073579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0.499984740745262"/>
      </bottom>
      <diagonal/>
    </border>
    <border>
      <left style="thick">
        <color theme="0" tint="-0.499984740745262"/>
      </left>
      <right/>
      <top style="thick">
        <color theme="0" tint="-0.499984740745262"/>
      </top>
      <bottom/>
      <diagonal/>
    </border>
    <border>
      <left/>
      <right/>
      <top style="thick">
        <color theme="0" tint="-0.499984740745262"/>
      </top>
      <bottom/>
      <diagonal/>
    </border>
    <border>
      <left/>
      <right style="thick">
        <color theme="1" tint="4.9989318521683403E-2"/>
      </right>
      <top style="thick">
        <color theme="0" tint="-0.499984740745262"/>
      </top>
      <bottom/>
      <diagonal/>
    </border>
    <border>
      <left/>
      <right style="thick">
        <color theme="1" tint="4.9989318521683403E-2"/>
      </right>
      <top/>
      <bottom/>
      <diagonal/>
    </border>
    <border>
      <left style="thick">
        <color theme="0" tint="-0.499984740745262"/>
      </left>
      <right/>
      <top/>
      <bottom style="thick">
        <color theme="1" tint="4.9989318521683403E-2"/>
      </bottom>
      <diagonal/>
    </border>
    <border>
      <left/>
      <right/>
      <top/>
      <bottom style="thick">
        <color theme="1" tint="4.9989318521683403E-2"/>
      </bottom>
      <diagonal/>
    </border>
    <border>
      <left/>
      <right style="thick">
        <color theme="1" tint="4.9989318521683403E-2"/>
      </right>
      <top/>
      <bottom style="thick">
        <color theme="1" tint="4.9989318521683403E-2"/>
      </bottom>
      <diagonal/>
    </border>
    <border>
      <left style="thick">
        <color theme="0" tint="-0.499984740745262"/>
      </left>
      <right style="thin">
        <color theme="0" tint="-0.499984740745262"/>
      </right>
      <top style="thick">
        <color theme="0" tint="-0.499984740745262"/>
      </top>
      <bottom/>
      <diagonal/>
    </border>
    <border>
      <left style="thin">
        <color theme="0" tint="-0.499984740745262"/>
      </left>
      <right style="thick">
        <color indexed="64"/>
      </right>
      <top style="thick">
        <color theme="0" tint="-0.499984740745262"/>
      </top>
      <bottom/>
      <diagonal/>
    </border>
    <border>
      <left style="thick">
        <color theme="0" tint="-0.499984740745262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n">
        <color theme="0" tint="-0.499984740745262"/>
      </right>
      <top style="thin">
        <color indexed="64"/>
      </top>
      <bottom style="thick">
        <color indexed="64"/>
      </bottom>
      <diagonal/>
    </border>
    <border>
      <left style="thin">
        <color theme="0" tint="-0.499984740745262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theme="0" tint="-0.499984740745262"/>
      </left>
      <right style="medium">
        <color indexed="64"/>
      </right>
      <top/>
      <bottom/>
      <diagonal/>
    </border>
    <border>
      <left/>
      <right/>
      <top/>
      <bottom style="thick">
        <color theme="0" tint="-0.34998626667073579"/>
      </bottom>
      <diagonal/>
    </border>
    <border>
      <left/>
      <right style="thin">
        <color theme="0" tint="-0.499984740745262"/>
      </right>
      <top/>
      <bottom style="thick">
        <color theme="0" tint="-0.34998626667073579"/>
      </bottom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dotted">
        <color theme="1"/>
      </left>
      <right style="thin">
        <color indexed="64"/>
      </right>
      <top style="hair">
        <color theme="1"/>
      </top>
      <bottom style="thin">
        <color indexed="64"/>
      </bottom>
      <diagonal/>
    </border>
    <border>
      <left style="thick">
        <color theme="0" tint="-0.34998626667073579"/>
      </left>
      <right/>
      <top style="thick">
        <color theme="0" tint="-0.34998626667073579"/>
      </top>
      <bottom/>
      <diagonal/>
    </border>
    <border>
      <left/>
      <right/>
      <top style="thick">
        <color theme="0" tint="-0.34998626667073579"/>
      </top>
      <bottom/>
      <diagonal/>
    </border>
    <border>
      <left/>
      <right style="thick">
        <color auto="1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/>
      <top/>
      <bottom/>
      <diagonal/>
    </border>
    <border>
      <left style="thick">
        <color theme="0" tint="-0.34998626667073579"/>
      </left>
      <right/>
      <top/>
      <bottom style="thick">
        <color auto="1"/>
      </bottom>
      <diagonal/>
    </border>
    <border>
      <left style="thin">
        <color theme="0" tint="-4.9989318521683403E-2"/>
      </left>
      <right/>
      <top style="thin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ck">
        <color rgb="FF0000FF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5" tint="-0.24994659260841701"/>
      </left>
      <right style="thin">
        <color theme="1" tint="0.14996795556505021"/>
      </right>
      <top/>
      <bottom style="thin">
        <color theme="1" tint="0.14996795556505021"/>
      </bottom>
      <diagonal/>
    </border>
    <border>
      <left style="thin">
        <color theme="1" tint="0.14996795556505021"/>
      </left>
      <right style="thin">
        <color theme="1" tint="0.14996795556505021"/>
      </right>
      <top/>
      <bottom style="thin">
        <color theme="1" tint="0.14996795556505021"/>
      </bottom>
      <diagonal/>
    </border>
    <border>
      <left style="thin">
        <color theme="1" tint="0.14996795556505021"/>
      </left>
      <right style="thick">
        <color theme="5" tint="-0.24994659260841701"/>
      </right>
      <top/>
      <bottom style="thin">
        <color theme="1" tint="0.14996795556505021"/>
      </bottom>
      <diagonal/>
    </border>
    <border>
      <left style="thick">
        <color theme="5" tint="-0.2499465926084170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 style="thin">
        <color theme="1" tint="0.14996795556505021"/>
      </left>
      <right style="thick">
        <color theme="5" tint="-0.24994659260841701"/>
      </right>
      <top style="thin">
        <color theme="1" tint="0.14996795556505021"/>
      </top>
      <bottom style="thin">
        <color theme="1" tint="0.14996795556505021"/>
      </bottom>
      <diagonal/>
    </border>
    <border>
      <left style="thick">
        <color theme="5" tint="-0.24994659260841701"/>
      </left>
      <right style="thin">
        <color theme="1" tint="0.14996795556505021"/>
      </right>
      <top style="thin">
        <color theme="1" tint="0.14996795556505021"/>
      </top>
      <bottom style="thick">
        <color theme="5" tint="-0.24994659260841701"/>
      </bottom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ck">
        <color theme="5" tint="-0.24994659260841701"/>
      </bottom>
      <diagonal/>
    </border>
    <border>
      <left style="thin">
        <color theme="1" tint="0.14996795556505021"/>
      </left>
      <right style="thick">
        <color theme="5" tint="-0.24994659260841701"/>
      </right>
      <top style="thin">
        <color theme="1" tint="0.14996795556505021"/>
      </top>
      <bottom style="thick">
        <color theme="5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rgb="FF0000FF"/>
      </top>
      <bottom style="thin">
        <color indexed="64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 tint="-0.34998626667073579"/>
      </right>
      <top style="thick">
        <color theme="0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 style="medium">
        <color theme="0" tint="-4.9989318521683403E-2"/>
      </top>
      <bottom/>
      <diagonal/>
    </border>
    <border>
      <left/>
      <right style="medium">
        <color theme="0" tint="-0.499984740745262"/>
      </right>
      <top style="thick">
        <color theme="0" tint="-4.9989318521683403E-2"/>
      </top>
      <bottom/>
      <diagonal/>
    </border>
    <border>
      <left/>
      <right style="medium">
        <color theme="0" tint="-0.499984740745262"/>
      </right>
      <top/>
      <bottom style="thick">
        <color theme="0" tint="-4.9989318521683403E-2"/>
      </bottom>
      <diagonal/>
    </border>
    <border>
      <left style="medium">
        <color theme="0" tint="-0.499984740745262"/>
      </left>
      <right/>
      <top style="medium">
        <color theme="0" tint="-4.9989318521683403E-2"/>
      </top>
      <bottom style="medium">
        <color theme="0" tint="-0.499984740745262"/>
      </bottom>
      <diagonal/>
    </border>
    <border>
      <left/>
      <right/>
      <top style="thick">
        <color theme="0" tint="-4.9989318521683403E-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thick">
        <color theme="0" tint="-4.9989318521683403E-2"/>
      </top>
      <bottom style="medium">
        <color theme="0" tint="-0.499984740745262"/>
      </bottom>
      <diagonal/>
    </border>
  </borders>
  <cellStyleXfs count="6">
    <xf numFmtId="0" fontId="0" fillId="0" borderId="0"/>
    <xf numFmtId="9" fontId="10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132" fillId="0" borderId="0" applyNumberFormat="0" applyFill="0" applyBorder="0" applyAlignment="0" applyProtection="0"/>
    <xf numFmtId="0" fontId="2" fillId="0" borderId="0"/>
  </cellStyleXfs>
  <cellXfs count="2328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Protection="1">
      <protection hidden="1"/>
    </xf>
    <xf numFmtId="0" fontId="7" fillId="2" borderId="27" xfId="0" applyFont="1" applyFill="1" applyBorder="1" applyAlignment="1" applyProtection="1">
      <alignment horizontal="center" vertical="center" wrapText="1"/>
      <protection hidden="1"/>
    </xf>
    <xf numFmtId="0" fontId="7" fillId="2" borderId="31" xfId="0" applyFont="1" applyFill="1" applyBorder="1" applyAlignment="1" applyProtection="1">
      <alignment horizontal="center" vertical="center" wrapText="1"/>
      <protection hidden="1"/>
    </xf>
    <xf numFmtId="0" fontId="7" fillId="2" borderId="32" xfId="0" applyFont="1" applyFill="1" applyBorder="1" applyAlignment="1" applyProtection="1">
      <alignment horizontal="center" vertical="center" wrapText="1"/>
      <protection hidden="1"/>
    </xf>
    <xf numFmtId="0" fontId="20" fillId="4" borderId="0" xfId="0" applyFont="1" applyFill="1" applyProtection="1">
      <protection hidden="1"/>
    </xf>
    <xf numFmtId="167" fontId="0" fillId="4" borderId="0" xfId="0" applyNumberFormat="1" applyFill="1" applyProtection="1">
      <protection hidden="1"/>
    </xf>
    <xf numFmtId="4" fontId="33" fillId="2" borderId="42" xfId="0" applyNumberFormat="1" applyFont="1" applyFill="1" applyBorder="1" applyProtection="1">
      <protection hidden="1"/>
    </xf>
    <xf numFmtId="173" fontId="20" fillId="14" borderId="0" xfId="0" applyNumberFormat="1" applyFont="1" applyFill="1" applyAlignment="1" applyProtection="1">
      <alignment horizontal="center"/>
      <protection hidden="1"/>
    </xf>
    <xf numFmtId="167" fontId="0" fillId="4" borderId="0" xfId="0" applyNumberFormat="1" applyFill="1" applyAlignment="1" applyProtection="1">
      <alignment horizontal="right" indent="1"/>
      <protection hidden="1"/>
    </xf>
    <xf numFmtId="4" fontId="33" fillId="2" borderId="43" xfId="0" applyNumberFormat="1" applyFont="1" applyFill="1" applyBorder="1" applyAlignment="1" applyProtection="1">
      <alignment horizontal="right" indent="1"/>
      <protection hidden="1"/>
    </xf>
    <xf numFmtId="173" fontId="33" fillId="15" borderId="0" xfId="0" applyNumberFormat="1" applyFont="1" applyFill="1" applyAlignment="1" applyProtection="1">
      <alignment horizontal="right"/>
      <protection hidden="1"/>
    </xf>
    <xf numFmtId="0" fontId="10" fillId="2" borderId="0" xfId="0" applyFont="1" applyFill="1"/>
    <xf numFmtId="0" fontId="18" fillId="2" borderId="0" xfId="0" applyFont="1" applyFill="1"/>
    <xf numFmtId="4" fontId="33" fillId="2" borderId="0" xfId="0" applyNumberFormat="1" applyFont="1" applyFill="1" applyProtection="1">
      <protection hidden="1"/>
    </xf>
    <xf numFmtId="4" fontId="33" fillId="2" borderId="0" xfId="0" applyNumberFormat="1" applyFont="1" applyFill="1" applyAlignment="1" applyProtection="1">
      <alignment horizontal="right" indent="1"/>
      <protection hidden="1"/>
    </xf>
    <xf numFmtId="0" fontId="24" fillId="5" borderId="28" xfId="1" applyNumberFormat="1" applyFont="1" applyFill="1" applyBorder="1" applyAlignment="1" applyProtection="1">
      <alignment horizontal="left" vertical="center" indent="1"/>
      <protection hidden="1"/>
    </xf>
    <xf numFmtId="0" fontId="7" fillId="2" borderId="47" xfId="0" applyFont="1" applyFill="1" applyBorder="1" applyAlignment="1" applyProtection="1">
      <alignment horizontal="center" vertical="center" wrapText="1"/>
      <protection hidden="1"/>
    </xf>
    <xf numFmtId="174" fontId="24" fillId="5" borderId="29" xfId="3" applyNumberFormat="1" applyFont="1" applyFill="1" applyBorder="1" applyAlignment="1" applyProtection="1">
      <alignment horizontal="right" vertical="center" indent="1"/>
      <protection hidden="1"/>
    </xf>
    <xf numFmtId="170" fontId="24" fillId="5" borderId="29" xfId="3" applyNumberFormat="1" applyFont="1" applyFill="1" applyBorder="1" applyAlignment="1" applyProtection="1">
      <alignment horizontal="right" vertical="center" indent="1"/>
      <protection hidden="1"/>
    </xf>
    <xf numFmtId="164" fontId="24" fillId="5" borderId="29" xfId="3" applyFont="1" applyFill="1" applyBorder="1" applyAlignment="1" applyProtection="1">
      <alignment horizontal="right" vertical="center" indent="1"/>
      <protection hidden="1"/>
    </xf>
    <xf numFmtId="2" fontId="24" fillId="5" borderId="30" xfId="2" applyNumberFormat="1" applyFont="1" applyFill="1" applyBorder="1" applyAlignment="1" applyProtection="1">
      <alignment horizontal="right" vertical="center" indent="1"/>
      <protection hidden="1"/>
    </xf>
    <xf numFmtId="4" fontId="28" fillId="17" borderId="6" xfId="0" applyNumberFormat="1" applyFont="1" applyFill="1" applyBorder="1" applyAlignment="1" applyProtection="1">
      <alignment horizontal="right" indent="1"/>
      <protection hidden="1"/>
    </xf>
    <xf numFmtId="173" fontId="20" fillId="15" borderId="44" xfId="0" applyNumberFormat="1" applyFont="1" applyFill="1" applyBorder="1" applyAlignment="1" applyProtection="1">
      <alignment horizontal="left"/>
      <protection hidden="1"/>
    </xf>
    <xf numFmtId="173" fontId="20" fillId="15" borderId="44" xfId="0" applyNumberFormat="1" applyFont="1" applyFill="1" applyBorder="1" applyAlignment="1" applyProtection="1">
      <alignment horizontal="left" indent="1"/>
      <protection hidden="1"/>
    </xf>
    <xf numFmtId="173" fontId="20" fillId="15" borderId="0" xfId="0" applyNumberFormat="1" applyFont="1" applyFill="1" applyAlignment="1" applyProtection="1">
      <alignment horizontal="right" indent="1"/>
      <protection hidden="1"/>
    </xf>
    <xf numFmtId="3" fontId="20" fillId="14" borderId="0" xfId="0" applyNumberFormat="1" applyFont="1" applyFill="1" applyAlignment="1" applyProtection="1">
      <alignment horizontal="right" indent="1"/>
      <protection hidden="1"/>
    </xf>
    <xf numFmtId="3" fontId="20" fillId="14" borderId="0" xfId="0" applyNumberFormat="1" applyFont="1" applyFill="1" applyAlignment="1" applyProtection="1">
      <alignment horizontal="center"/>
      <protection hidden="1"/>
    </xf>
    <xf numFmtId="4" fontId="20" fillId="4" borderId="0" xfId="0" applyNumberFormat="1" applyFont="1" applyFill="1" applyAlignment="1" applyProtection="1">
      <alignment horizontal="right" indent="1"/>
      <protection hidden="1"/>
    </xf>
    <xf numFmtId="4" fontId="20" fillId="4" borderId="0" xfId="0" applyNumberFormat="1" applyFont="1" applyFill="1" applyAlignment="1" applyProtection="1">
      <alignment horizontal="center"/>
      <protection hidden="1"/>
    </xf>
    <xf numFmtId="173" fontId="33" fillId="2" borderId="42" xfId="0" applyNumberFormat="1" applyFont="1" applyFill="1" applyBorder="1" applyProtection="1">
      <protection hidden="1"/>
    </xf>
    <xf numFmtId="3" fontId="36" fillId="2" borderId="42" xfId="0" applyNumberFormat="1" applyFont="1" applyFill="1" applyBorder="1" applyProtection="1">
      <protection hidden="1"/>
    </xf>
    <xf numFmtId="4" fontId="36" fillId="2" borderId="42" xfId="0" applyNumberFormat="1" applyFont="1" applyFill="1" applyBorder="1" applyProtection="1">
      <protection hidden="1"/>
    </xf>
    <xf numFmtId="173" fontId="36" fillId="2" borderId="42" xfId="0" applyNumberFormat="1" applyFont="1" applyFill="1" applyBorder="1" applyProtection="1">
      <protection hidden="1"/>
    </xf>
    <xf numFmtId="3" fontId="36" fillId="2" borderId="42" xfId="0" applyNumberFormat="1" applyFont="1" applyFill="1" applyBorder="1" applyAlignment="1" applyProtection="1">
      <alignment horizontal="center" vertical="center"/>
      <protection hidden="1"/>
    </xf>
    <xf numFmtId="173" fontId="12" fillId="14" borderId="44" xfId="0" applyNumberFormat="1" applyFont="1" applyFill="1" applyBorder="1" applyAlignment="1" applyProtection="1">
      <alignment horizontal="right"/>
      <protection hidden="1"/>
    </xf>
    <xf numFmtId="173" fontId="12" fillId="5" borderId="0" xfId="0" applyNumberFormat="1" applyFont="1" applyFill="1" applyAlignment="1" applyProtection="1">
      <alignment horizontal="right"/>
      <protection hidden="1"/>
    </xf>
    <xf numFmtId="173" fontId="20" fillId="15" borderId="45" xfId="0" applyNumberFormat="1" applyFont="1" applyFill="1" applyBorder="1" applyAlignment="1" applyProtection="1">
      <alignment horizontal="left" indent="1"/>
      <protection hidden="1"/>
    </xf>
    <xf numFmtId="173" fontId="12" fillId="5" borderId="7" xfId="0" applyNumberFormat="1" applyFont="1" applyFill="1" applyBorder="1" applyAlignment="1" applyProtection="1">
      <alignment horizontal="right"/>
      <protection hidden="1"/>
    </xf>
    <xf numFmtId="3" fontId="20" fillId="14" borderId="7" xfId="0" applyNumberFormat="1" applyFont="1" applyFill="1" applyBorder="1" applyAlignment="1" applyProtection="1">
      <alignment horizontal="center"/>
      <protection hidden="1"/>
    </xf>
    <xf numFmtId="4" fontId="20" fillId="4" borderId="7" xfId="0" applyNumberFormat="1" applyFont="1" applyFill="1" applyBorder="1" applyAlignment="1" applyProtection="1">
      <alignment horizontal="right" indent="1"/>
      <protection hidden="1"/>
    </xf>
    <xf numFmtId="4" fontId="28" fillId="17" borderId="8" xfId="0" applyNumberFormat="1" applyFont="1" applyFill="1" applyBorder="1" applyAlignment="1" applyProtection="1">
      <alignment horizontal="right" indent="1"/>
      <protection hidden="1"/>
    </xf>
    <xf numFmtId="173" fontId="12" fillId="14" borderId="45" xfId="0" applyNumberFormat="1" applyFont="1" applyFill="1" applyBorder="1" applyAlignment="1" applyProtection="1">
      <alignment horizontal="right"/>
      <protection hidden="1"/>
    </xf>
    <xf numFmtId="173" fontId="20" fillId="15" borderId="7" xfId="0" applyNumberFormat="1" applyFont="1" applyFill="1" applyBorder="1" applyAlignment="1" applyProtection="1">
      <alignment horizontal="right" indent="1"/>
      <protection hidden="1"/>
    </xf>
    <xf numFmtId="3" fontId="20" fillId="14" borderId="7" xfId="0" applyNumberFormat="1" applyFont="1" applyFill="1" applyBorder="1" applyAlignment="1" applyProtection="1">
      <alignment horizontal="right" indent="1"/>
      <protection hidden="1"/>
    </xf>
    <xf numFmtId="164" fontId="24" fillId="5" borderId="48" xfId="3" applyFont="1" applyFill="1" applyBorder="1" applyAlignment="1" applyProtection="1">
      <alignment horizontal="right" vertical="center" indent="1"/>
      <protection hidden="1"/>
    </xf>
    <xf numFmtId="164" fontId="24" fillId="5" borderId="48" xfId="3" applyFont="1" applyFill="1" applyBorder="1" applyAlignment="1" applyProtection="1">
      <alignment horizontal="left" vertical="center" indent="1"/>
      <protection hidden="1"/>
    </xf>
    <xf numFmtId="164" fontId="24" fillId="5" borderId="30" xfId="3" applyFont="1" applyFill="1" applyBorder="1" applyAlignment="1" applyProtection="1">
      <alignment horizontal="right" vertical="center" indent="1"/>
      <protection hidden="1"/>
    </xf>
    <xf numFmtId="2" fontId="0" fillId="2" borderId="0" xfId="0" applyNumberFormat="1" applyFill="1"/>
    <xf numFmtId="0" fontId="32" fillId="15" borderId="50" xfId="0" applyFont="1" applyFill="1" applyBorder="1" applyAlignment="1">
      <alignment horizontal="left" vertical="center" indent="2"/>
    </xf>
    <xf numFmtId="0" fontId="32" fillId="15" borderId="50" xfId="0" applyFont="1" applyFill="1" applyBorder="1" applyAlignment="1">
      <alignment horizontal="right" vertical="center" indent="2"/>
    </xf>
    <xf numFmtId="173" fontId="33" fillId="2" borderId="0" xfId="0" applyNumberFormat="1" applyFont="1" applyFill="1" applyProtection="1">
      <protection hidden="1"/>
    </xf>
    <xf numFmtId="173" fontId="36" fillId="2" borderId="0" xfId="0" applyNumberFormat="1" applyFont="1" applyFill="1" applyProtection="1">
      <protection hidden="1"/>
    </xf>
    <xf numFmtId="4" fontId="36" fillId="2" borderId="0" xfId="0" applyNumberFormat="1" applyFont="1" applyFill="1" applyProtection="1">
      <protection hidden="1"/>
    </xf>
    <xf numFmtId="0" fontId="25" fillId="2" borderId="23" xfId="0" applyFont="1" applyFill="1" applyBorder="1" applyAlignment="1" applyProtection="1">
      <alignment horizontal="left" vertical="center" wrapText="1"/>
      <protection hidden="1"/>
    </xf>
    <xf numFmtId="0" fontId="0" fillId="0" borderId="0" xfId="0" applyAlignment="1" applyProtection="1">
      <alignment vertical="center"/>
      <protection hidden="1"/>
    </xf>
    <xf numFmtId="0" fontId="24" fillId="0" borderId="0" xfId="0" applyFont="1" applyAlignment="1" applyProtection="1">
      <alignment horizontal="center" vertical="center"/>
      <protection hidden="1"/>
    </xf>
    <xf numFmtId="0" fontId="24" fillId="0" borderId="0" xfId="0" applyFont="1" applyAlignment="1" applyProtection="1">
      <alignment horizontal="left" vertical="center" indent="1"/>
      <protection hidden="1"/>
    </xf>
    <xf numFmtId="0" fontId="24" fillId="0" borderId="0" xfId="0" applyFont="1" applyAlignment="1" applyProtection="1">
      <alignment horizontal="left"/>
      <protection hidden="1"/>
    </xf>
    <xf numFmtId="0" fontId="0" fillId="0" borderId="0" xfId="0" applyAlignment="1" applyProtection="1">
      <alignment horizontal="center" vertical="center"/>
      <protection hidden="1"/>
    </xf>
    <xf numFmtId="0" fontId="24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2" fontId="24" fillId="0" borderId="0" xfId="0" applyNumberFormat="1" applyFont="1" applyAlignment="1" applyProtection="1">
      <alignment horizontal="center" vertical="center"/>
      <protection hidden="1"/>
    </xf>
    <xf numFmtId="167" fontId="24" fillId="0" borderId="0" xfId="0" applyNumberFormat="1" applyFont="1" applyAlignment="1" applyProtection="1">
      <alignment horizontal="left" vertical="center"/>
      <protection hidden="1"/>
    </xf>
    <xf numFmtId="167" fontId="40" fillId="0" borderId="0" xfId="0" applyNumberFormat="1" applyFont="1" applyAlignment="1" applyProtection="1">
      <alignment horizontal="left" vertical="center"/>
      <protection hidden="1"/>
    </xf>
    <xf numFmtId="167" fontId="0" fillId="0" borderId="0" xfId="0" applyNumberFormat="1" applyAlignment="1" applyProtection="1">
      <alignment horizontal="left" vertical="center"/>
      <protection hidden="1"/>
    </xf>
    <xf numFmtId="0" fontId="24" fillId="0" borderId="25" xfId="0" applyFont="1" applyBorder="1" applyAlignment="1" applyProtection="1">
      <alignment horizontal="left" vertical="center" indent="1"/>
      <protection hidden="1"/>
    </xf>
    <xf numFmtId="0" fontId="0" fillId="0" borderId="24" xfId="0" applyBorder="1" applyAlignment="1" applyProtection="1">
      <alignment horizontal="center"/>
      <protection hidden="1"/>
    </xf>
    <xf numFmtId="0" fontId="24" fillId="0" borderId="24" xfId="0" applyFont="1" applyBorder="1" applyAlignment="1" applyProtection="1">
      <alignment horizontal="left"/>
      <protection hidden="1"/>
    </xf>
    <xf numFmtId="0" fontId="24" fillId="0" borderId="26" xfId="0" applyFont="1" applyBorder="1" applyProtection="1">
      <protection hidden="1"/>
    </xf>
    <xf numFmtId="0" fontId="24" fillId="0" borderId="54" xfId="0" applyFont="1" applyBorder="1" applyAlignment="1" applyProtection="1">
      <alignment horizontal="left" vertical="center" indent="1"/>
      <protection hidden="1"/>
    </xf>
    <xf numFmtId="0" fontId="24" fillId="0" borderId="53" xfId="0" applyFont="1" applyBorder="1" applyProtection="1">
      <protection hidden="1"/>
    </xf>
    <xf numFmtId="0" fontId="24" fillId="0" borderId="69" xfId="0" applyFont="1" applyBorder="1" applyAlignment="1" applyProtection="1">
      <alignment horizontal="left" vertical="center" indent="1"/>
      <protection hidden="1"/>
    </xf>
    <xf numFmtId="0" fontId="0" fillId="0" borderId="70" xfId="0" applyBorder="1" applyAlignment="1" applyProtection="1">
      <alignment horizontal="center"/>
      <protection hidden="1"/>
    </xf>
    <xf numFmtId="0" fontId="24" fillId="0" borderId="70" xfId="0" applyFont="1" applyBorder="1" applyAlignment="1" applyProtection="1">
      <alignment horizontal="left"/>
      <protection hidden="1"/>
    </xf>
    <xf numFmtId="0" fontId="24" fillId="0" borderId="71" xfId="0" applyFont="1" applyBorder="1" applyProtection="1">
      <protection hidden="1"/>
    </xf>
    <xf numFmtId="0" fontId="8" fillId="0" borderId="0" xfId="0" applyFont="1" applyProtection="1">
      <protection hidden="1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0" fontId="8" fillId="0" borderId="0" xfId="0" applyFont="1"/>
    <xf numFmtId="0" fontId="41" fillId="0" borderId="0" xfId="0" applyFont="1"/>
    <xf numFmtId="9" fontId="0" fillId="0" borderId="0" xfId="1" applyFont="1"/>
    <xf numFmtId="0" fontId="34" fillId="0" borderId="49" xfId="0" applyFont="1" applyBorder="1" applyAlignment="1" applyProtection="1">
      <alignment horizontal="center" vertical="center"/>
      <protection locked="0"/>
    </xf>
    <xf numFmtId="0" fontId="10" fillId="16" borderId="49" xfId="0" applyFont="1" applyFill="1" applyBorder="1" applyAlignment="1">
      <alignment horizontal="center" vertical="center"/>
    </xf>
    <xf numFmtId="164" fontId="50" fillId="2" borderId="0" xfId="3" applyFont="1" applyFill="1"/>
    <xf numFmtId="164" fontId="50" fillId="2" borderId="0" xfId="0" applyNumberFormat="1" applyFont="1" applyFill="1"/>
    <xf numFmtId="10" fontId="18" fillId="2" borderId="79" xfId="1" applyNumberFormat="1" applyFont="1" applyFill="1" applyBorder="1" applyAlignment="1">
      <alignment horizontal="right" vertical="center" indent="1"/>
    </xf>
    <xf numFmtId="10" fontId="18" fillId="2" borderId="81" xfId="1" applyNumberFormat="1" applyFont="1" applyFill="1" applyBorder="1" applyAlignment="1">
      <alignment horizontal="right" vertical="center" indent="1"/>
    </xf>
    <xf numFmtId="0" fontId="0" fillId="19" borderId="0" xfId="0" applyFill="1"/>
    <xf numFmtId="0" fontId="8" fillId="19" borderId="0" xfId="0" applyFont="1" applyFill="1"/>
    <xf numFmtId="0" fontId="0" fillId="19" borderId="0" xfId="0" applyFill="1" applyAlignment="1">
      <alignment horizontal="left" indent="1"/>
    </xf>
    <xf numFmtId="0" fontId="0" fillId="19" borderId="0" xfId="0" applyFill="1" applyAlignment="1">
      <alignment horizontal="center"/>
    </xf>
    <xf numFmtId="173" fontId="28" fillId="17" borderId="0" xfId="0" applyNumberFormat="1" applyFont="1" applyFill="1" applyAlignment="1" applyProtection="1">
      <alignment horizontal="right" indent="1"/>
      <protection hidden="1"/>
    </xf>
    <xf numFmtId="173" fontId="0" fillId="4" borderId="0" xfId="0" applyNumberFormat="1" applyFill="1" applyAlignment="1" applyProtection="1">
      <alignment horizontal="right" indent="1"/>
      <protection hidden="1"/>
    </xf>
    <xf numFmtId="173" fontId="30" fillId="2" borderId="43" xfId="0" applyNumberFormat="1" applyFont="1" applyFill="1" applyBorder="1" applyAlignment="1" applyProtection="1">
      <alignment horizontal="right" indent="1"/>
      <protection hidden="1"/>
    </xf>
    <xf numFmtId="0" fontId="0" fillId="0" borderId="0" xfId="0" applyAlignment="1">
      <alignment horizontal="center" vertical="center"/>
    </xf>
    <xf numFmtId="0" fontId="10" fillId="0" borderId="0" xfId="0" applyFont="1"/>
    <xf numFmtId="178" fontId="0" fillId="0" borderId="0" xfId="3" applyNumberFormat="1" applyFont="1"/>
    <xf numFmtId="179" fontId="0" fillId="0" borderId="0" xfId="3" applyNumberFormat="1" applyFont="1"/>
    <xf numFmtId="0" fontId="25" fillId="2" borderId="23" xfId="0" applyFont="1" applyFill="1" applyBorder="1" applyAlignment="1" applyProtection="1">
      <alignment horizontal="center" vertical="center"/>
      <protection hidden="1"/>
    </xf>
    <xf numFmtId="1" fontId="24" fillId="0" borderId="0" xfId="0" applyNumberFormat="1" applyFont="1" applyAlignment="1" applyProtection="1">
      <alignment horizontal="center" vertical="center"/>
      <protection hidden="1"/>
    </xf>
    <xf numFmtId="178" fontId="10" fillId="0" borderId="0" xfId="3" applyNumberFormat="1" applyFont="1"/>
    <xf numFmtId="0" fontId="0" fillId="2" borderId="0" xfId="0" applyFill="1" applyAlignment="1">
      <alignment horizontal="center"/>
    </xf>
    <xf numFmtId="0" fontId="19" fillId="18" borderId="162" xfId="0" applyFont="1" applyFill="1" applyBorder="1" applyAlignment="1">
      <alignment horizontal="center" vertical="center"/>
    </xf>
    <xf numFmtId="0" fontId="0" fillId="9" borderId="0" xfId="0" applyFill="1" applyAlignment="1">
      <alignment horizontal="left" indent="1"/>
    </xf>
    <xf numFmtId="0" fontId="19" fillId="18" borderId="35" xfId="0" applyFont="1" applyFill="1" applyBorder="1" applyAlignment="1">
      <alignment vertical="center"/>
    </xf>
    <xf numFmtId="0" fontId="30" fillId="2" borderId="23" xfId="0" applyFont="1" applyFill="1" applyBorder="1" applyAlignment="1" applyProtection="1">
      <alignment horizontal="center" vertical="center" wrapText="1"/>
      <protection hidden="1"/>
    </xf>
    <xf numFmtId="167" fontId="30" fillId="2" borderId="23" xfId="0" applyNumberFormat="1" applyFont="1" applyFill="1" applyBorder="1" applyAlignment="1" applyProtection="1">
      <alignment horizontal="center" vertical="center" wrapText="1"/>
      <protection hidden="1"/>
    </xf>
    <xf numFmtId="0" fontId="65" fillId="30" borderId="0" xfId="0" applyFont="1" applyFill="1" applyAlignment="1" applyProtection="1">
      <alignment vertical="center"/>
      <protection hidden="1"/>
    </xf>
    <xf numFmtId="0" fontId="65" fillId="30" borderId="0" xfId="0" applyFont="1" applyFill="1" applyAlignment="1" applyProtection="1">
      <alignment horizontal="center" vertical="center"/>
      <protection hidden="1"/>
    </xf>
    <xf numFmtId="0" fontId="80" fillId="30" borderId="0" xfId="0" applyFont="1" applyFill="1" applyAlignment="1" applyProtection="1">
      <alignment vertical="center"/>
      <protection hidden="1"/>
    </xf>
    <xf numFmtId="0" fontId="80" fillId="11" borderId="0" xfId="0" applyFont="1" applyFill="1" applyProtection="1">
      <protection hidden="1"/>
    </xf>
    <xf numFmtId="0" fontId="65" fillId="11" borderId="0" xfId="0" applyFont="1" applyFill="1" applyProtection="1">
      <protection hidden="1"/>
    </xf>
    <xf numFmtId="0" fontId="81" fillId="30" borderId="0" xfId="0" applyFont="1" applyFill="1" applyAlignment="1" applyProtection="1">
      <alignment vertical="center"/>
      <protection hidden="1"/>
    </xf>
    <xf numFmtId="0" fontId="80" fillId="11" borderId="0" xfId="0" applyFont="1" applyFill="1" applyAlignment="1" applyProtection="1">
      <alignment vertical="center"/>
      <protection hidden="1"/>
    </xf>
    <xf numFmtId="0" fontId="65" fillId="11" borderId="0" xfId="0" applyFont="1" applyFill="1" applyAlignment="1" applyProtection="1">
      <alignment vertical="center"/>
      <protection hidden="1"/>
    </xf>
    <xf numFmtId="0" fontId="81" fillId="30" borderId="0" xfId="0" applyFont="1" applyFill="1" applyAlignment="1" applyProtection="1">
      <alignment horizontal="center" vertical="center"/>
      <protection hidden="1"/>
    </xf>
    <xf numFmtId="0" fontId="83" fillId="30" borderId="0" xfId="0" applyFont="1" applyFill="1" applyAlignment="1" applyProtection="1">
      <alignment vertical="center"/>
      <protection hidden="1"/>
    </xf>
    <xf numFmtId="0" fontId="86" fillId="33" borderId="188" xfId="0" applyFont="1" applyFill="1" applyBorder="1" applyAlignment="1" applyProtection="1">
      <alignment horizontal="center" vertical="center"/>
      <protection hidden="1"/>
    </xf>
    <xf numFmtId="0" fontId="86" fillId="33" borderId="3" xfId="0" applyFont="1" applyFill="1" applyBorder="1" applyAlignment="1" applyProtection="1">
      <alignment horizontal="center" vertical="center"/>
      <protection hidden="1"/>
    </xf>
    <xf numFmtId="0" fontId="87" fillId="0" borderId="189" xfId="0" applyFont="1" applyBorder="1" applyAlignment="1" applyProtection="1">
      <alignment vertical="center"/>
      <protection hidden="1"/>
    </xf>
    <xf numFmtId="0" fontId="87" fillId="0" borderId="189" xfId="0" applyFont="1" applyBorder="1" applyAlignment="1" applyProtection="1">
      <alignment horizontal="center" vertical="center"/>
      <protection hidden="1"/>
    </xf>
    <xf numFmtId="0" fontId="88" fillId="0" borderId="189" xfId="0" applyFont="1" applyBorder="1" applyAlignment="1" applyProtection="1">
      <alignment horizontal="center" vertical="center"/>
      <protection hidden="1"/>
    </xf>
    <xf numFmtId="1" fontId="88" fillId="0" borderId="189" xfId="0" applyNumberFormat="1" applyFont="1" applyBorder="1" applyAlignment="1" applyProtection="1">
      <alignment horizontal="center" vertical="center"/>
      <protection hidden="1"/>
    </xf>
    <xf numFmtId="10" fontId="89" fillId="30" borderId="0" xfId="1" applyNumberFormat="1" applyFont="1" applyFill="1" applyAlignment="1" applyProtection="1">
      <alignment horizontal="center" vertical="center"/>
      <protection hidden="1"/>
    </xf>
    <xf numFmtId="0" fontId="87" fillId="0" borderId="190" xfId="0" applyFont="1" applyBorder="1" applyAlignment="1" applyProtection="1">
      <alignment vertical="center"/>
      <protection hidden="1"/>
    </xf>
    <xf numFmtId="0" fontId="87" fillId="0" borderId="190" xfId="0" applyFont="1" applyBorder="1" applyAlignment="1" applyProtection="1">
      <alignment horizontal="center" vertical="center"/>
      <protection hidden="1"/>
    </xf>
    <xf numFmtId="0" fontId="88" fillId="0" borderId="190" xfId="0" applyFont="1" applyBorder="1" applyAlignment="1" applyProtection="1">
      <alignment horizontal="center" vertical="center"/>
      <protection hidden="1"/>
    </xf>
    <xf numFmtId="1" fontId="88" fillId="0" borderId="190" xfId="0" applyNumberFormat="1" applyFont="1" applyBorder="1" applyAlignment="1" applyProtection="1">
      <alignment horizontal="center" vertical="center"/>
      <protection hidden="1"/>
    </xf>
    <xf numFmtId="2" fontId="88" fillId="0" borderId="189" xfId="0" applyNumberFormat="1" applyFont="1" applyBorder="1" applyAlignment="1" applyProtection="1">
      <alignment horizontal="center" vertical="center"/>
      <protection hidden="1"/>
    </xf>
    <xf numFmtId="0" fontId="65" fillId="0" borderId="0" xfId="0" applyFont="1" applyAlignment="1" applyProtection="1">
      <alignment horizontal="center" vertical="center"/>
      <protection hidden="1"/>
    </xf>
    <xf numFmtId="0" fontId="90" fillId="34" borderId="190" xfId="0" applyFont="1" applyFill="1" applyBorder="1" applyAlignment="1" applyProtection="1">
      <alignment vertical="center"/>
      <protection hidden="1"/>
    </xf>
    <xf numFmtId="0" fontId="91" fillId="34" borderId="190" xfId="0" applyFont="1" applyFill="1" applyBorder="1" applyAlignment="1" applyProtection="1">
      <alignment horizontal="center" vertical="center"/>
      <protection hidden="1"/>
    </xf>
    <xf numFmtId="0" fontId="81" fillId="34" borderId="190" xfId="0" applyFont="1" applyFill="1" applyBorder="1" applyAlignment="1" applyProtection="1">
      <alignment horizontal="center" vertical="center"/>
      <protection hidden="1"/>
    </xf>
    <xf numFmtId="2" fontId="81" fillId="34" borderId="190" xfId="0" applyNumberFormat="1" applyFont="1" applyFill="1" applyBorder="1" applyAlignment="1" applyProtection="1">
      <alignment horizontal="center" vertical="center"/>
      <protection hidden="1"/>
    </xf>
    <xf numFmtId="0" fontId="90" fillId="35" borderId="189" xfId="0" applyFont="1" applyFill="1" applyBorder="1" applyAlignment="1" applyProtection="1">
      <alignment vertical="center"/>
      <protection hidden="1"/>
    </xf>
    <xf numFmtId="0" fontId="87" fillId="35" borderId="189" xfId="0" applyFont="1" applyFill="1" applyBorder="1" applyAlignment="1" applyProtection="1">
      <alignment horizontal="center" vertical="center"/>
      <protection hidden="1"/>
    </xf>
    <xf numFmtId="0" fontId="88" fillId="35" borderId="189" xfId="0" applyFont="1" applyFill="1" applyBorder="1" applyAlignment="1" applyProtection="1">
      <alignment horizontal="center" vertical="center"/>
      <protection hidden="1"/>
    </xf>
    <xf numFmtId="167" fontId="88" fillId="35" borderId="189" xfId="0" applyNumberFormat="1" applyFont="1" applyFill="1" applyBorder="1" applyAlignment="1" applyProtection="1">
      <alignment horizontal="center" vertical="center"/>
      <protection hidden="1"/>
    </xf>
    <xf numFmtId="2" fontId="88" fillId="0" borderId="190" xfId="0" applyNumberFormat="1" applyFont="1" applyBorder="1" applyAlignment="1" applyProtection="1">
      <alignment horizontal="center" vertical="center"/>
      <protection hidden="1"/>
    </xf>
    <xf numFmtId="0" fontId="91" fillId="35" borderId="189" xfId="0" applyFont="1" applyFill="1" applyBorder="1" applyAlignment="1" applyProtection="1">
      <alignment horizontal="center" vertical="center"/>
      <protection hidden="1"/>
    </xf>
    <xf numFmtId="0" fontId="81" fillId="35" borderId="189" xfId="0" applyFont="1" applyFill="1" applyBorder="1" applyAlignment="1" applyProtection="1">
      <alignment horizontal="center" vertical="center"/>
      <protection hidden="1"/>
    </xf>
    <xf numFmtId="2" fontId="81" fillId="35" borderId="189" xfId="0" applyNumberFormat="1" applyFont="1" applyFill="1" applyBorder="1" applyAlignment="1" applyProtection="1">
      <alignment horizontal="center" vertical="center"/>
      <protection hidden="1"/>
    </xf>
    <xf numFmtId="166" fontId="88" fillId="0" borderId="190" xfId="0" applyNumberFormat="1" applyFont="1" applyBorder="1" applyAlignment="1" applyProtection="1">
      <alignment horizontal="center" vertical="center"/>
      <protection hidden="1"/>
    </xf>
    <xf numFmtId="0" fontId="91" fillId="0" borderId="189" xfId="0" applyFont="1" applyBorder="1" applyAlignment="1" applyProtection="1">
      <alignment vertical="center"/>
      <protection hidden="1"/>
    </xf>
    <xf numFmtId="0" fontId="91" fillId="0" borderId="189" xfId="0" applyFont="1" applyBorder="1" applyAlignment="1" applyProtection="1">
      <alignment horizontal="center" vertical="center"/>
      <protection hidden="1"/>
    </xf>
    <xf numFmtId="0" fontId="81" fillId="0" borderId="189" xfId="0" applyFont="1" applyBorder="1" applyAlignment="1" applyProtection="1">
      <alignment horizontal="center" vertical="center"/>
      <protection hidden="1"/>
    </xf>
    <xf numFmtId="166" fontId="81" fillId="0" borderId="189" xfId="0" applyNumberFormat="1" applyFont="1" applyBorder="1" applyAlignment="1" applyProtection="1">
      <alignment horizontal="center" vertical="center"/>
      <protection hidden="1"/>
    </xf>
    <xf numFmtId="166" fontId="88" fillId="0" borderId="189" xfId="0" applyNumberFormat="1" applyFont="1" applyBorder="1" applyAlignment="1" applyProtection="1">
      <alignment horizontal="center" vertical="center"/>
      <protection hidden="1"/>
    </xf>
    <xf numFmtId="2" fontId="93" fillId="36" borderId="175" xfId="0" applyNumberFormat="1" applyFont="1" applyFill="1" applyBorder="1" applyAlignment="1" applyProtection="1">
      <alignment horizontal="center" vertical="center"/>
      <protection locked="0"/>
    </xf>
    <xf numFmtId="0" fontId="91" fillId="0" borderId="190" xfId="0" applyFont="1" applyBorder="1" applyAlignment="1" applyProtection="1">
      <alignment vertical="center"/>
      <protection hidden="1"/>
    </xf>
    <xf numFmtId="0" fontId="91" fillId="0" borderId="190" xfId="0" applyFont="1" applyBorder="1" applyAlignment="1" applyProtection="1">
      <alignment horizontal="center" vertical="center"/>
      <protection hidden="1"/>
    </xf>
    <xf numFmtId="0" fontId="81" fillId="0" borderId="190" xfId="0" applyFont="1" applyBorder="1" applyAlignment="1" applyProtection="1">
      <alignment horizontal="center" vertical="center"/>
      <protection hidden="1"/>
    </xf>
    <xf numFmtId="166" fontId="81" fillId="0" borderId="190" xfId="0" applyNumberFormat="1" applyFont="1" applyBorder="1" applyAlignment="1" applyProtection="1">
      <alignment horizontal="center" vertical="center"/>
      <protection hidden="1"/>
    </xf>
    <xf numFmtId="2" fontId="93" fillId="36" borderId="177" xfId="0" applyNumberFormat="1" applyFont="1" applyFill="1" applyBorder="1" applyAlignment="1" applyProtection="1">
      <alignment horizontal="center" vertical="center"/>
      <protection locked="0"/>
    </xf>
    <xf numFmtId="0" fontId="94" fillId="30" borderId="0" xfId="0" applyFont="1" applyFill="1" applyAlignment="1" applyProtection="1">
      <alignment horizontal="center" vertical="center"/>
      <protection hidden="1"/>
    </xf>
    <xf numFmtId="0" fontId="93" fillId="30" borderId="176" xfId="0" applyFont="1" applyFill="1" applyBorder="1" applyAlignment="1" applyProtection="1">
      <alignment vertical="center"/>
      <protection hidden="1"/>
    </xf>
    <xf numFmtId="1" fontId="93" fillId="36" borderId="177" xfId="0" applyNumberFormat="1" applyFont="1" applyFill="1" applyBorder="1" applyAlignment="1" applyProtection="1">
      <alignment horizontal="center" vertical="center"/>
      <protection locked="0"/>
    </xf>
    <xf numFmtId="0" fontId="91" fillId="37" borderId="189" xfId="0" applyFont="1" applyFill="1" applyBorder="1" applyAlignment="1" applyProtection="1">
      <alignment vertical="center"/>
      <protection hidden="1"/>
    </xf>
    <xf numFmtId="0" fontId="91" fillId="37" borderId="189" xfId="0" applyFont="1" applyFill="1" applyBorder="1" applyAlignment="1" applyProtection="1">
      <alignment horizontal="center" vertical="center"/>
      <protection hidden="1"/>
    </xf>
    <xf numFmtId="0" fontId="81" fillId="37" borderId="189" xfId="0" applyFont="1" applyFill="1" applyBorder="1" applyAlignment="1" applyProtection="1">
      <alignment horizontal="center" vertical="center"/>
      <protection hidden="1"/>
    </xf>
    <xf numFmtId="1" fontId="81" fillId="37" borderId="189" xfId="0" applyNumberFormat="1" applyFont="1" applyFill="1" applyBorder="1" applyAlignment="1" applyProtection="1">
      <alignment horizontal="center" vertical="center"/>
      <protection hidden="1"/>
    </xf>
    <xf numFmtId="0" fontId="93" fillId="30" borderId="176" xfId="0" applyFont="1" applyFill="1" applyBorder="1" applyAlignment="1" applyProtection="1">
      <alignment horizontal="left" vertical="center"/>
      <protection hidden="1"/>
    </xf>
    <xf numFmtId="1" fontId="93" fillId="30" borderId="177" xfId="0" applyNumberFormat="1" applyFont="1" applyFill="1" applyBorder="1" applyAlignment="1" applyProtection="1">
      <alignment horizontal="center" vertical="center"/>
      <protection hidden="1"/>
    </xf>
    <xf numFmtId="0" fontId="91" fillId="37" borderId="190" xfId="0" applyFont="1" applyFill="1" applyBorder="1" applyAlignment="1" applyProtection="1">
      <alignment vertical="center"/>
      <protection hidden="1"/>
    </xf>
    <xf numFmtId="0" fontId="91" fillId="37" borderId="190" xfId="0" applyFont="1" applyFill="1" applyBorder="1" applyAlignment="1" applyProtection="1">
      <alignment horizontal="center" vertical="center"/>
      <protection hidden="1"/>
    </xf>
    <xf numFmtId="0" fontId="81" fillId="37" borderId="190" xfId="0" applyFont="1" applyFill="1" applyBorder="1" applyAlignment="1" applyProtection="1">
      <alignment horizontal="center" vertical="center"/>
      <protection hidden="1"/>
    </xf>
    <xf numFmtId="1" fontId="81" fillId="37" borderId="190" xfId="0" applyNumberFormat="1" applyFont="1" applyFill="1" applyBorder="1" applyAlignment="1" applyProtection="1">
      <alignment horizontal="center" vertical="center"/>
      <protection hidden="1"/>
    </xf>
    <xf numFmtId="0" fontId="93" fillId="30" borderId="178" xfId="0" applyFont="1" applyFill="1" applyBorder="1" applyAlignment="1" applyProtection="1">
      <alignment horizontal="left" vertical="center"/>
      <protection hidden="1"/>
    </xf>
    <xf numFmtId="2" fontId="93" fillId="36" borderId="180" xfId="0" applyNumberFormat="1" applyFont="1" applyFill="1" applyBorder="1" applyAlignment="1" applyProtection="1">
      <alignment horizontal="center" vertical="center"/>
      <protection locked="0"/>
    </xf>
    <xf numFmtId="0" fontId="92" fillId="30" borderId="25" xfId="0" applyFont="1" applyFill="1" applyBorder="1" applyAlignment="1" applyProtection="1">
      <alignment vertical="center"/>
      <protection hidden="1"/>
    </xf>
    <xf numFmtId="0" fontId="87" fillId="30" borderId="26" xfId="0" applyFont="1" applyFill="1" applyBorder="1" applyAlignment="1" applyProtection="1">
      <alignment vertical="center"/>
      <protection hidden="1"/>
    </xf>
    <xf numFmtId="0" fontId="87" fillId="30" borderId="54" xfId="0" applyFont="1" applyFill="1" applyBorder="1" applyAlignment="1" applyProtection="1">
      <alignment vertical="center"/>
      <protection hidden="1"/>
    </xf>
    <xf numFmtId="0" fontId="87" fillId="30" borderId="53" xfId="0" applyFont="1" applyFill="1" applyBorder="1" applyAlignment="1" applyProtection="1">
      <alignment vertical="center"/>
      <protection hidden="1"/>
    </xf>
    <xf numFmtId="0" fontId="87" fillId="11" borderId="54" xfId="0" applyFont="1" applyFill="1" applyBorder="1" applyAlignment="1" applyProtection="1">
      <alignment vertical="center"/>
      <protection hidden="1"/>
    </xf>
    <xf numFmtId="0" fontId="87" fillId="11" borderId="53" xfId="0" applyFont="1" applyFill="1" applyBorder="1" applyAlignment="1" applyProtection="1">
      <alignment vertical="center"/>
      <protection hidden="1"/>
    </xf>
    <xf numFmtId="0" fontId="92" fillId="30" borderId="54" xfId="0" applyFont="1" applyFill="1" applyBorder="1" applyAlignment="1" applyProtection="1">
      <alignment vertical="center"/>
      <protection hidden="1"/>
    </xf>
    <xf numFmtId="0" fontId="80" fillId="30" borderId="0" xfId="0" applyFont="1" applyFill="1" applyAlignment="1" applyProtection="1">
      <alignment horizontal="center" vertical="center"/>
      <protection hidden="1"/>
    </xf>
    <xf numFmtId="0" fontId="87" fillId="30" borderId="54" xfId="0" applyFont="1" applyFill="1" applyBorder="1" applyAlignment="1" applyProtection="1">
      <alignment vertical="center" wrapText="1"/>
      <protection hidden="1"/>
    </xf>
    <xf numFmtId="0" fontId="87" fillId="30" borderId="53" xfId="0" applyFont="1" applyFill="1" applyBorder="1" applyAlignment="1" applyProtection="1">
      <alignment vertical="center" wrapText="1"/>
      <protection hidden="1"/>
    </xf>
    <xf numFmtId="0" fontId="87" fillId="30" borderId="69" xfId="0" applyFont="1" applyFill="1" applyBorder="1" applyAlignment="1" applyProtection="1">
      <alignment vertical="center"/>
      <protection hidden="1"/>
    </xf>
    <xf numFmtId="0" fontId="87" fillId="30" borderId="71" xfId="0" applyFont="1" applyFill="1" applyBorder="1" applyAlignment="1" applyProtection="1">
      <alignment vertical="center"/>
      <protection hidden="1"/>
    </xf>
    <xf numFmtId="183" fontId="89" fillId="30" borderId="0" xfId="1" applyNumberFormat="1" applyFont="1" applyFill="1" applyAlignment="1" applyProtection="1">
      <alignment horizontal="center" vertical="center"/>
      <protection hidden="1"/>
    </xf>
    <xf numFmtId="167" fontId="96" fillId="30" borderId="0" xfId="0" applyNumberFormat="1" applyFont="1" applyFill="1" applyAlignment="1" applyProtection="1">
      <alignment horizontal="center" vertical="center"/>
      <protection hidden="1"/>
    </xf>
    <xf numFmtId="0" fontId="87" fillId="30" borderId="0" xfId="0" applyFont="1" applyFill="1" applyAlignment="1" applyProtection="1">
      <alignment vertical="center"/>
      <protection hidden="1"/>
    </xf>
    <xf numFmtId="0" fontId="88" fillId="30" borderId="0" xfId="0" applyFont="1" applyFill="1" applyAlignment="1" applyProtection="1">
      <alignment vertical="center"/>
      <protection hidden="1"/>
    </xf>
    <xf numFmtId="167" fontId="88" fillId="30" borderId="0" xfId="0" applyNumberFormat="1" applyFont="1" applyFill="1" applyAlignment="1" applyProtection="1">
      <alignment horizontal="center" vertical="center"/>
      <protection hidden="1"/>
    </xf>
    <xf numFmtId="0" fontId="97" fillId="30" borderId="0" xfId="0" applyFont="1" applyFill="1" applyAlignment="1" applyProtection="1">
      <alignment vertical="center"/>
      <protection hidden="1"/>
    </xf>
    <xf numFmtId="0" fontId="97" fillId="11" borderId="0" xfId="0" applyFont="1" applyFill="1" applyProtection="1">
      <protection hidden="1"/>
    </xf>
    <xf numFmtId="0" fontId="88" fillId="11" borderId="0" xfId="0" applyFont="1" applyFill="1" applyProtection="1">
      <protection hidden="1"/>
    </xf>
    <xf numFmtId="0" fontId="98" fillId="30" borderId="0" xfId="0" applyFont="1" applyFill="1" applyAlignment="1" applyProtection="1">
      <alignment vertical="center"/>
      <protection hidden="1"/>
    </xf>
    <xf numFmtId="167" fontId="98" fillId="30" borderId="0" xfId="0" applyNumberFormat="1" applyFont="1" applyFill="1" applyAlignment="1" applyProtection="1">
      <alignment horizontal="center" vertical="center"/>
      <protection hidden="1"/>
    </xf>
    <xf numFmtId="0" fontId="98" fillId="11" borderId="0" xfId="0" applyFont="1" applyFill="1" applyProtection="1">
      <protection hidden="1"/>
    </xf>
    <xf numFmtId="0" fontId="98" fillId="30" borderId="0" xfId="0" applyFont="1" applyFill="1" applyAlignment="1" applyProtection="1">
      <alignment horizontal="center" vertical="center"/>
      <protection hidden="1"/>
    </xf>
    <xf numFmtId="0" fontId="97" fillId="30" borderId="0" xfId="0" applyFont="1" applyFill="1" applyAlignment="1" applyProtection="1">
      <alignment horizontal="center" vertical="center"/>
      <protection hidden="1"/>
    </xf>
    <xf numFmtId="167" fontId="97" fillId="30" borderId="0" xfId="0" applyNumberFormat="1" applyFont="1" applyFill="1" applyAlignment="1" applyProtection="1">
      <alignment horizontal="center" vertical="center"/>
      <protection hidden="1"/>
    </xf>
    <xf numFmtId="0" fontId="97" fillId="30" borderId="0" xfId="0" applyFont="1" applyFill="1" applyAlignment="1" applyProtection="1">
      <alignment horizontal="right" vertical="center"/>
      <protection hidden="1"/>
    </xf>
    <xf numFmtId="1" fontId="97" fillId="30" borderId="0" xfId="0" applyNumberFormat="1" applyFont="1" applyFill="1" applyAlignment="1" applyProtection="1">
      <alignment horizontal="center" vertical="center"/>
      <protection hidden="1"/>
    </xf>
    <xf numFmtId="1" fontId="97" fillId="30" borderId="0" xfId="0" applyNumberFormat="1" applyFont="1" applyFill="1" applyAlignment="1" applyProtection="1">
      <alignment vertical="center"/>
      <protection hidden="1"/>
    </xf>
    <xf numFmtId="167" fontId="97" fillId="30" borderId="0" xfId="0" applyNumberFormat="1" applyFont="1" applyFill="1" applyAlignment="1" applyProtection="1">
      <alignment horizontal="right" vertical="center"/>
      <protection hidden="1"/>
    </xf>
    <xf numFmtId="0" fontId="97" fillId="30" borderId="0" xfId="0" applyFont="1" applyFill="1" applyAlignment="1" applyProtection="1">
      <alignment horizontal="center" vertical="center" wrapText="1"/>
      <protection hidden="1"/>
    </xf>
    <xf numFmtId="2" fontId="97" fillId="30" borderId="0" xfId="0" applyNumberFormat="1" applyFont="1" applyFill="1" applyAlignment="1" applyProtection="1">
      <alignment horizontal="center" vertical="center"/>
      <protection hidden="1"/>
    </xf>
    <xf numFmtId="0" fontId="97" fillId="30" borderId="0" xfId="0" applyFont="1" applyFill="1" applyAlignment="1" applyProtection="1">
      <alignment horizontal="left" vertical="center"/>
      <protection hidden="1"/>
    </xf>
    <xf numFmtId="2" fontId="97" fillId="30" borderId="0" xfId="0" applyNumberFormat="1" applyFont="1" applyFill="1" applyAlignment="1" applyProtection="1">
      <alignment horizontal="left" vertical="center"/>
      <protection hidden="1"/>
    </xf>
    <xf numFmtId="1" fontId="97" fillId="30" borderId="0" xfId="0" applyNumberFormat="1" applyFont="1" applyFill="1" applyAlignment="1" applyProtection="1">
      <alignment horizontal="left" vertical="center"/>
      <protection hidden="1"/>
    </xf>
    <xf numFmtId="0" fontId="99" fillId="30" borderId="0" xfId="0" applyFont="1" applyFill="1" applyAlignment="1" applyProtection="1">
      <alignment horizontal="center" vertical="center"/>
      <protection hidden="1"/>
    </xf>
    <xf numFmtId="0" fontId="97" fillId="39" borderId="0" xfId="0" applyFont="1" applyFill="1" applyAlignment="1" applyProtection="1">
      <alignment vertical="center"/>
      <protection hidden="1"/>
    </xf>
    <xf numFmtId="0" fontId="97" fillId="39" borderId="0" xfId="0" applyFont="1" applyFill="1" applyAlignment="1" applyProtection="1">
      <alignment horizontal="center" vertical="center"/>
      <protection hidden="1"/>
    </xf>
    <xf numFmtId="184" fontId="97" fillId="30" borderId="0" xfId="0" applyNumberFormat="1" applyFont="1" applyFill="1" applyAlignment="1" applyProtection="1">
      <alignment horizontal="center" vertical="center"/>
      <protection hidden="1"/>
    </xf>
    <xf numFmtId="182" fontId="97" fillId="30" borderId="0" xfId="0" applyNumberFormat="1" applyFont="1" applyFill="1" applyAlignment="1" applyProtection="1">
      <alignment horizontal="right" vertical="center" indent="2"/>
      <protection hidden="1"/>
    </xf>
    <xf numFmtId="0" fontId="97" fillId="40" borderId="0" xfId="0" applyFont="1" applyFill="1" applyAlignment="1" applyProtection="1">
      <alignment horizontal="right" vertical="center"/>
      <protection hidden="1"/>
    </xf>
    <xf numFmtId="0" fontId="97" fillId="40" borderId="0" xfId="0" applyFont="1" applyFill="1" applyAlignment="1" applyProtection="1">
      <alignment horizontal="center" vertical="center"/>
      <protection hidden="1"/>
    </xf>
    <xf numFmtId="0" fontId="97" fillId="41" borderId="0" xfId="0" applyFont="1" applyFill="1" applyAlignment="1" applyProtection="1">
      <alignment vertical="center"/>
      <protection hidden="1"/>
    </xf>
    <xf numFmtId="0" fontId="97" fillId="41" borderId="0" xfId="0" applyFont="1" applyFill="1" applyAlignment="1" applyProtection="1">
      <alignment horizontal="center" vertical="center"/>
      <protection hidden="1"/>
    </xf>
    <xf numFmtId="0" fontId="97" fillId="41" borderId="0" xfId="0" applyFont="1" applyFill="1" applyAlignment="1" applyProtection="1">
      <alignment horizontal="right" vertical="center"/>
      <protection hidden="1"/>
    </xf>
    <xf numFmtId="0" fontId="99" fillId="40" borderId="0" xfId="0" applyFont="1" applyFill="1" applyAlignment="1" applyProtection="1">
      <alignment horizontal="right" vertical="center"/>
      <protection hidden="1"/>
    </xf>
    <xf numFmtId="0" fontId="99" fillId="41" borderId="0" xfId="0" applyFont="1" applyFill="1" applyAlignment="1" applyProtection="1">
      <alignment horizontal="right" vertical="center"/>
      <protection hidden="1"/>
    </xf>
    <xf numFmtId="0" fontId="94" fillId="30" borderId="0" xfId="0" applyFont="1" applyFill="1" applyAlignment="1" applyProtection="1">
      <alignment vertical="center"/>
      <protection hidden="1"/>
    </xf>
    <xf numFmtId="0" fontId="94" fillId="11" borderId="0" xfId="0" applyFont="1" applyFill="1" applyProtection="1">
      <protection hidden="1"/>
    </xf>
    <xf numFmtId="0" fontId="95" fillId="0" borderId="190" xfId="0" applyFont="1" applyBorder="1" applyAlignment="1" applyProtection="1">
      <alignment vertical="center"/>
      <protection hidden="1"/>
    </xf>
    <xf numFmtId="0" fontId="95" fillId="0" borderId="190" xfId="0" applyFont="1" applyBorder="1" applyAlignment="1" applyProtection="1">
      <alignment horizontal="center" vertical="center"/>
      <protection hidden="1"/>
    </xf>
    <xf numFmtId="2" fontId="95" fillId="0" borderId="190" xfId="0" applyNumberFormat="1" applyFont="1" applyBorder="1" applyAlignment="1" applyProtection="1">
      <alignment horizontal="center" vertical="center"/>
      <protection hidden="1"/>
    </xf>
    <xf numFmtId="1" fontId="95" fillId="0" borderId="190" xfId="0" applyNumberFormat="1" applyFont="1" applyBorder="1" applyAlignment="1" applyProtection="1">
      <alignment horizontal="center" vertical="center"/>
      <protection hidden="1"/>
    </xf>
    <xf numFmtId="3" fontId="93" fillId="0" borderId="189" xfId="3" applyNumberFormat="1" applyFont="1" applyFill="1" applyBorder="1" applyAlignment="1" applyProtection="1">
      <alignment horizontal="right" vertical="center" indent="5"/>
      <protection hidden="1"/>
    </xf>
    <xf numFmtId="4" fontId="91" fillId="34" borderId="189" xfId="3" applyNumberFormat="1" applyFont="1" applyFill="1" applyBorder="1" applyAlignment="1" applyProtection="1">
      <alignment horizontal="right" vertical="center" indent="5"/>
      <protection hidden="1"/>
    </xf>
    <xf numFmtId="4" fontId="93" fillId="35" borderId="189" xfId="3" applyNumberFormat="1" applyFont="1" applyFill="1" applyBorder="1" applyAlignment="1" applyProtection="1">
      <alignment horizontal="right" vertical="center" indent="5"/>
      <protection hidden="1"/>
    </xf>
    <xf numFmtId="4" fontId="93" fillId="0" borderId="189" xfId="3" applyNumberFormat="1" applyFont="1" applyFill="1" applyBorder="1" applyAlignment="1" applyProtection="1">
      <alignment horizontal="right" vertical="center" indent="5"/>
      <protection hidden="1"/>
    </xf>
    <xf numFmtId="4" fontId="91" fillId="35" borderId="189" xfId="3" applyNumberFormat="1" applyFont="1" applyFill="1" applyBorder="1" applyAlignment="1" applyProtection="1">
      <alignment horizontal="right" vertical="center" indent="5"/>
      <protection hidden="1"/>
    </xf>
    <xf numFmtId="4" fontId="91" fillId="0" borderId="189" xfId="3" applyNumberFormat="1" applyFont="1" applyFill="1" applyBorder="1" applyAlignment="1" applyProtection="1">
      <alignment horizontal="right" vertical="center" indent="5"/>
      <protection hidden="1"/>
    </xf>
    <xf numFmtId="4" fontId="91" fillId="37" borderId="189" xfId="3" applyNumberFormat="1" applyFont="1" applyFill="1" applyBorder="1" applyAlignment="1" applyProtection="1">
      <alignment horizontal="right" vertical="center" indent="5"/>
      <protection hidden="1"/>
    </xf>
    <xf numFmtId="0" fontId="97" fillId="30" borderId="0" xfId="0" quotePrefix="1" applyFont="1" applyFill="1" applyAlignment="1" applyProtection="1">
      <alignment horizontal="right" vertical="center"/>
      <protection hidden="1"/>
    </xf>
    <xf numFmtId="166" fontId="97" fillId="30" borderId="0" xfId="0" applyNumberFormat="1" applyFont="1" applyFill="1" applyAlignment="1" applyProtection="1">
      <alignment horizontal="center" vertical="center"/>
      <protection hidden="1"/>
    </xf>
    <xf numFmtId="0" fontId="91" fillId="29" borderId="190" xfId="0" applyFont="1" applyFill="1" applyBorder="1" applyAlignment="1" applyProtection="1">
      <alignment vertical="center"/>
      <protection hidden="1"/>
    </xf>
    <xf numFmtId="0" fontId="91" fillId="29" borderId="190" xfId="0" applyFont="1" applyFill="1" applyBorder="1" applyAlignment="1" applyProtection="1">
      <alignment horizontal="center" vertical="center"/>
      <protection hidden="1"/>
    </xf>
    <xf numFmtId="0" fontId="81" fillId="29" borderId="190" xfId="0" applyFont="1" applyFill="1" applyBorder="1" applyAlignment="1" applyProtection="1">
      <alignment horizontal="center" vertical="center"/>
      <protection hidden="1"/>
    </xf>
    <xf numFmtId="166" fontId="81" fillId="29" borderId="190" xfId="0" applyNumberFormat="1" applyFont="1" applyFill="1" applyBorder="1" applyAlignment="1" applyProtection="1">
      <alignment horizontal="center" vertical="center"/>
      <protection hidden="1"/>
    </xf>
    <xf numFmtId="4" fontId="91" fillId="29" borderId="189" xfId="3" applyNumberFormat="1" applyFont="1" applyFill="1" applyBorder="1" applyAlignment="1" applyProtection="1">
      <alignment horizontal="right" vertical="center" indent="5"/>
      <protection hidden="1"/>
    </xf>
    <xf numFmtId="0" fontId="91" fillId="29" borderId="189" xfId="0" applyFont="1" applyFill="1" applyBorder="1" applyAlignment="1" applyProtection="1">
      <alignment vertical="center"/>
      <protection hidden="1"/>
    </xf>
    <xf numFmtId="0" fontId="91" fillId="29" borderId="189" xfId="0" applyFont="1" applyFill="1" applyBorder="1" applyAlignment="1" applyProtection="1">
      <alignment horizontal="center" vertical="center"/>
      <protection hidden="1"/>
    </xf>
    <xf numFmtId="0" fontId="81" fillId="29" borderId="189" xfId="0" applyFont="1" applyFill="1" applyBorder="1" applyAlignment="1" applyProtection="1">
      <alignment horizontal="center" vertical="center"/>
      <protection hidden="1"/>
    </xf>
    <xf numFmtId="166" fontId="81" fillId="29" borderId="189" xfId="0" applyNumberFormat="1" applyFont="1" applyFill="1" applyBorder="1" applyAlignment="1" applyProtection="1">
      <alignment horizontal="center" vertical="center"/>
      <protection hidden="1"/>
    </xf>
    <xf numFmtId="2" fontId="81" fillId="29" borderId="190" xfId="0" applyNumberFormat="1" applyFont="1" applyFill="1" applyBorder="1" applyAlignment="1" applyProtection="1">
      <alignment horizontal="center" vertical="center"/>
      <protection hidden="1"/>
    </xf>
    <xf numFmtId="167" fontId="81" fillId="29" borderId="190" xfId="0" applyNumberFormat="1" applyFont="1" applyFill="1" applyBorder="1" applyAlignment="1" applyProtection="1">
      <alignment horizontal="center" vertical="center"/>
      <protection hidden="1"/>
    </xf>
    <xf numFmtId="1" fontId="81" fillId="29" borderId="189" xfId="0" applyNumberFormat="1" applyFont="1" applyFill="1" applyBorder="1" applyAlignment="1" applyProtection="1">
      <alignment horizontal="center" vertical="center"/>
      <protection hidden="1"/>
    </xf>
    <xf numFmtId="2" fontId="81" fillId="29" borderId="189" xfId="0" applyNumberFormat="1" applyFont="1" applyFill="1" applyBorder="1" applyAlignment="1" applyProtection="1">
      <alignment horizontal="center" vertical="center"/>
      <protection hidden="1"/>
    </xf>
    <xf numFmtId="1" fontId="81" fillId="29" borderId="190" xfId="0" applyNumberFormat="1" applyFont="1" applyFill="1" applyBorder="1" applyAlignment="1" applyProtection="1">
      <alignment horizontal="center" vertical="center"/>
      <protection hidden="1"/>
    </xf>
    <xf numFmtId="0" fontId="95" fillId="30" borderId="0" xfId="0" applyFont="1" applyFill="1" applyAlignment="1" applyProtection="1">
      <alignment horizontal="center" vertical="center"/>
      <protection hidden="1"/>
    </xf>
    <xf numFmtId="0" fontId="100" fillId="30" borderId="0" xfId="0" applyFont="1" applyFill="1" applyAlignment="1" applyProtection="1">
      <alignment horizontal="left" vertical="center"/>
      <protection hidden="1"/>
    </xf>
    <xf numFmtId="185" fontId="65" fillId="30" borderId="0" xfId="0" applyNumberFormat="1" applyFont="1" applyFill="1" applyAlignment="1" applyProtection="1">
      <alignment horizontal="center" vertical="center"/>
      <protection hidden="1"/>
    </xf>
    <xf numFmtId="2" fontId="97" fillId="39" borderId="0" xfId="0" quotePrefix="1" applyNumberFormat="1" applyFont="1" applyFill="1" applyAlignment="1" applyProtection="1">
      <alignment horizontal="center" vertical="center"/>
      <protection hidden="1"/>
    </xf>
    <xf numFmtId="2" fontId="97" fillId="39" borderId="0" xfId="0" applyNumberFormat="1" applyFont="1" applyFill="1" applyAlignment="1" applyProtection="1">
      <alignment horizontal="left" vertical="center"/>
      <protection hidden="1"/>
    </xf>
    <xf numFmtId="165" fontId="18" fillId="0" borderId="49" xfId="2" applyFont="1" applyBorder="1" applyAlignment="1" applyProtection="1">
      <alignment horizontal="center" vertical="center"/>
      <protection locked="0"/>
    </xf>
    <xf numFmtId="0" fontId="41" fillId="0" borderId="0" xfId="0" applyFont="1" applyProtection="1">
      <protection hidden="1"/>
    </xf>
    <xf numFmtId="0" fontId="65" fillId="30" borderId="0" xfId="0" applyFont="1" applyFill="1" applyAlignment="1" applyProtection="1">
      <alignment horizontal="center" vertical="center"/>
      <protection locked="0"/>
    </xf>
    <xf numFmtId="0" fontId="41" fillId="2" borderId="0" xfId="0" applyFont="1" applyFill="1"/>
    <xf numFmtId="4" fontId="102" fillId="2" borderId="0" xfId="0" applyNumberFormat="1" applyFont="1" applyFill="1" applyAlignment="1" applyProtection="1">
      <alignment horizontal="right" vertical="center" indent="1"/>
      <protection hidden="1"/>
    </xf>
    <xf numFmtId="0" fontId="50" fillId="2" borderId="0" xfId="0" applyFont="1" applyFill="1"/>
    <xf numFmtId="0" fontId="50" fillId="2" borderId="0" xfId="0" applyFont="1" applyFill="1" applyAlignment="1">
      <alignment vertical="center" wrapText="1"/>
    </xf>
    <xf numFmtId="0" fontId="0" fillId="4" borderId="0" xfId="0" applyFill="1"/>
    <xf numFmtId="0" fontId="0" fillId="6" borderId="0" xfId="0" applyFill="1" applyProtection="1">
      <protection hidden="1"/>
    </xf>
    <xf numFmtId="0" fontId="19" fillId="0" borderId="0" xfId="0" applyFont="1" applyProtection="1">
      <protection hidden="1"/>
    </xf>
    <xf numFmtId="0" fontId="13" fillId="4" borderId="88" xfId="0" applyFont="1" applyFill="1" applyBorder="1" applyAlignment="1" applyProtection="1">
      <alignment horizontal="center" vertical="center"/>
      <protection hidden="1"/>
    </xf>
    <xf numFmtId="0" fontId="13" fillId="4" borderId="156" xfId="0" applyFont="1" applyFill="1" applyBorder="1" applyAlignment="1" applyProtection="1">
      <alignment horizontal="center" vertical="center"/>
      <protection hidden="1"/>
    </xf>
    <xf numFmtId="0" fontId="7" fillId="4" borderId="112" xfId="0" applyFont="1" applyFill="1" applyBorder="1" applyAlignment="1" applyProtection="1">
      <alignment horizontal="center" vertical="center" wrapText="1"/>
      <protection hidden="1"/>
    </xf>
    <xf numFmtId="0" fontId="7" fillId="4" borderId="113" xfId="0" applyFont="1" applyFill="1" applyBorder="1" applyAlignment="1" applyProtection="1">
      <alignment horizontal="center" vertical="center" wrapText="1"/>
      <protection hidden="1"/>
    </xf>
    <xf numFmtId="0" fontId="7" fillId="4" borderId="114" xfId="0" applyFont="1" applyFill="1" applyBorder="1" applyAlignment="1" applyProtection="1">
      <alignment horizontal="center" vertical="center" wrapText="1"/>
      <protection hidden="1"/>
    </xf>
    <xf numFmtId="0" fontId="7" fillId="4" borderId="115" xfId="0" applyFont="1" applyFill="1" applyBorder="1" applyAlignment="1" applyProtection="1">
      <alignment horizontal="center" vertical="center" wrapText="1"/>
      <protection hidden="1"/>
    </xf>
    <xf numFmtId="0" fontId="7" fillId="4" borderId="116" xfId="0" applyFont="1" applyFill="1" applyBorder="1" applyAlignment="1" applyProtection="1">
      <alignment horizontal="center" vertical="center" wrapText="1"/>
      <protection hidden="1"/>
    </xf>
    <xf numFmtId="0" fontId="14" fillId="3" borderId="0" xfId="0" applyFont="1" applyFill="1" applyAlignment="1" applyProtection="1">
      <alignment horizontal="center" vertical="center"/>
      <protection hidden="1"/>
    </xf>
    <xf numFmtId="173" fontId="9" fillId="14" borderId="83" xfId="0" applyNumberFormat="1" applyFont="1" applyFill="1" applyBorder="1" applyAlignment="1" applyProtection="1">
      <alignment horizontal="right" indent="1"/>
      <protection hidden="1"/>
    </xf>
    <xf numFmtId="173" fontId="9" fillId="14" borderId="153" xfId="0" applyNumberFormat="1" applyFont="1" applyFill="1" applyBorder="1" applyAlignment="1" applyProtection="1">
      <alignment horizontal="right" indent="1"/>
      <protection hidden="1"/>
    </xf>
    <xf numFmtId="0" fontId="8" fillId="6" borderId="0" xfId="0" applyFont="1" applyFill="1" applyProtection="1">
      <protection hidden="1"/>
    </xf>
    <xf numFmtId="168" fontId="0" fillId="5" borderId="89" xfId="1" applyNumberFormat="1" applyFont="1" applyFill="1" applyBorder="1" applyAlignment="1" applyProtection="1">
      <alignment horizontal="right" vertical="center" indent="1"/>
      <protection hidden="1"/>
    </xf>
    <xf numFmtId="2" fontId="0" fillId="5" borderId="90" xfId="2" applyNumberFormat="1" applyFont="1" applyFill="1" applyBorder="1" applyAlignment="1" applyProtection="1">
      <alignment horizontal="right" vertical="center" indent="1"/>
      <protection hidden="1"/>
    </xf>
    <xf numFmtId="2" fontId="0" fillId="5" borderId="106" xfId="2" applyNumberFormat="1" applyFont="1" applyFill="1" applyBorder="1" applyAlignment="1" applyProtection="1">
      <alignment horizontal="right" vertical="center" indent="1"/>
      <protection hidden="1"/>
    </xf>
    <xf numFmtId="170" fontId="0" fillId="5" borderId="90" xfId="3" applyNumberFormat="1" applyFont="1" applyFill="1" applyBorder="1" applyAlignment="1" applyProtection="1">
      <alignment horizontal="right" vertical="center" indent="1"/>
      <protection hidden="1"/>
    </xf>
    <xf numFmtId="2" fontId="0" fillId="5" borderId="91" xfId="2" applyNumberFormat="1" applyFont="1" applyFill="1" applyBorder="1" applyAlignment="1" applyProtection="1">
      <alignment horizontal="right" vertical="center" indent="1"/>
      <protection hidden="1"/>
    </xf>
    <xf numFmtId="0" fontId="78" fillId="6" borderId="0" xfId="0" applyFont="1" applyFill="1" applyAlignment="1" applyProtection="1">
      <alignment horizontal="center"/>
      <protection hidden="1"/>
    </xf>
    <xf numFmtId="0" fontId="17" fillId="0" borderId="0" xfId="0" applyFont="1" applyProtection="1">
      <protection hidden="1"/>
    </xf>
    <xf numFmtId="173" fontId="9" fillId="14" borderId="84" xfId="0" applyNumberFormat="1" applyFont="1" applyFill="1" applyBorder="1" applyAlignment="1" applyProtection="1">
      <alignment horizontal="right" indent="1"/>
      <protection hidden="1"/>
    </xf>
    <xf numFmtId="173" fontId="9" fillId="14" borderId="154" xfId="0" applyNumberFormat="1" applyFont="1" applyFill="1" applyBorder="1" applyAlignment="1" applyProtection="1">
      <alignment horizontal="right" indent="1"/>
      <protection hidden="1"/>
    </xf>
    <xf numFmtId="168" fontId="0" fillId="5" borderId="92" xfId="1" applyNumberFormat="1" applyFont="1" applyFill="1" applyBorder="1" applyAlignment="1" applyProtection="1">
      <alignment horizontal="right" vertical="center" indent="1"/>
      <protection hidden="1"/>
    </xf>
    <xf numFmtId="2" fontId="0" fillId="5" borderId="93" xfId="2" applyNumberFormat="1" applyFont="1" applyFill="1" applyBorder="1" applyAlignment="1" applyProtection="1">
      <alignment horizontal="right" vertical="center" indent="1"/>
      <protection hidden="1"/>
    </xf>
    <xf numFmtId="2" fontId="0" fillId="5" borderId="107" xfId="2" applyNumberFormat="1" applyFont="1" applyFill="1" applyBorder="1" applyAlignment="1" applyProtection="1">
      <alignment horizontal="right" vertical="center" indent="1"/>
      <protection hidden="1"/>
    </xf>
    <xf numFmtId="170" fontId="0" fillId="5" borderId="93" xfId="3" applyNumberFormat="1" applyFont="1" applyFill="1" applyBorder="1" applyAlignment="1" applyProtection="1">
      <alignment horizontal="right" vertical="center" indent="1"/>
      <protection hidden="1"/>
    </xf>
    <xf numFmtId="2" fontId="0" fillId="5" borderId="94" xfId="2" applyNumberFormat="1" applyFont="1" applyFill="1" applyBorder="1" applyAlignment="1" applyProtection="1">
      <alignment horizontal="right" vertical="center" indent="1"/>
      <protection hidden="1"/>
    </xf>
    <xf numFmtId="9" fontId="8" fillId="6" borderId="0" xfId="1" applyFont="1" applyFill="1" applyProtection="1">
      <protection hidden="1"/>
    </xf>
    <xf numFmtId="173" fontId="9" fillId="14" borderId="85" xfId="0" applyNumberFormat="1" applyFont="1" applyFill="1" applyBorder="1" applyAlignment="1" applyProtection="1">
      <alignment horizontal="right" indent="1"/>
      <protection hidden="1"/>
    </xf>
    <xf numFmtId="173" fontId="9" fillId="14" borderId="155" xfId="0" applyNumberFormat="1" applyFont="1" applyFill="1" applyBorder="1" applyAlignment="1" applyProtection="1">
      <alignment horizontal="right" indent="1"/>
      <protection hidden="1"/>
    </xf>
    <xf numFmtId="168" fontId="0" fillId="5" borderId="98" xfId="1" applyNumberFormat="1" applyFont="1" applyFill="1" applyBorder="1" applyAlignment="1" applyProtection="1">
      <alignment horizontal="right" vertical="center" indent="1"/>
      <protection hidden="1"/>
    </xf>
    <xf numFmtId="2" fontId="0" fillId="5" borderId="99" xfId="2" applyNumberFormat="1" applyFont="1" applyFill="1" applyBorder="1" applyAlignment="1" applyProtection="1">
      <alignment horizontal="right" vertical="center" indent="1"/>
      <protection hidden="1"/>
    </xf>
    <xf numFmtId="2" fontId="0" fillId="5" borderId="108" xfId="2" applyNumberFormat="1" applyFont="1" applyFill="1" applyBorder="1" applyAlignment="1" applyProtection="1">
      <alignment horizontal="right" vertical="center" indent="1"/>
      <protection hidden="1"/>
    </xf>
    <xf numFmtId="168" fontId="0" fillId="5" borderId="95" xfId="1" applyNumberFormat="1" applyFont="1" applyFill="1" applyBorder="1" applyAlignment="1" applyProtection="1">
      <alignment horizontal="right" vertical="center" indent="1"/>
      <protection hidden="1"/>
    </xf>
    <xf numFmtId="170" fontId="0" fillId="5" borderId="96" xfId="3" applyNumberFormat="1" applyFont="1" applyFill="1" applyBorder="1" applyAlignment="1" applyProtection="1">
      <alignment horizontal="right" vertical="center" indent="1"/>
      <protection hidden="1"/>
    </xf>
    <xf numFmtId="2" fontId="0" fillId="5" borderId="96" xfId="2" applyNumberFormat="1" applyFont="1" applyFill="1" applyBorder="1" applyAlignment="1" applyProtection="1">
      <alignment horizontal="right" vertical="center" indent="1"/>
      <protection hidden="1"/>
    </xf>
    <xf numFmtId="2" fontId="0" fillId="5" borderId="97" xfId="2" applyNumberFormat="1" applyFont="1" applyFill="1" applyBorder="1" applyAlignment="1" applyProtection="1">
      <alignment horizontal="right" vertical="center" indent="1"/>
      <protection hidden="1"/>
    </xf>
    <xf numFmtId="173" fontId="7" fillId="4" borderId="75" xfId="1" applyNumberFormat="1" applyFont="1" applyFill="1" applyBorder="1" applyAlignment="1" applyProtection="1">
      <alignment horizontal="right" indent="1"/>
      <protection hidden="1"/>
    </xf>
    <xf numFmtId="0" fontId="9" fillId="4" borderId="33" xfId="0" applyFont="1" applyFill="1" applyBorder="1" applyAlignment="1" applyProtection="1">
      <alignment horizontal="centerContinuous"/>
      <protection hidden="1"/>
    </xf>
    <xf numFmtId="10" fontId="9" fillId="4" borderId="34" xfId="1" applyNumberFormat="1" applyFont="1" applyFill="1" applyBorder="1" applyAlignment="1" applyProtection="1">
      <alignment horizontal="center"/>
      <protection hidden="1"/>
    </xf>
    <xf numFmtId="10" fontId="9" fillId="4" borderId="157" xfId="1" applyNumberFormat="1" applyFont="1" applyFill="1" applyBorder="1" applyAlignment="1" applyProtection="1">
      <alignment horizontal="center"/>
      <protection hidden="1"/>
    </xf>
    <xf numFmtId="168" fontId="12" fillId="4" borderId="103" xfId="1" applyNumberFormat="1" applyFont="1" applyFill="1" applyBorder="1" applyAlignment="1" applyProtection="1">
      <alignment horizontal="right" vertical="center" indent="1"/>
      <protection hidden="1"/>
    </xf>
    <xf numFmtId="2" fontId="12" fillId="4" borderId="104" xfId="2" applyNumberFormat="1" applyFont="1" applyFill="1" applyBorder="1" applyAlignment="1" applyProtection="1">
      <alignment horizontal="right" indent="1"/>
      <protection hidden="1"/>
    </xf>
    <xf numFmtId="2" fontId="12" fillId="4" borderId="117" xfId="2" applyNumberFormat="1" applyFont="1" applyFill="1" applyBorder="1" applyAlignment="1" applyProtection="1">
      <alignment horizontal="right" vertical="center" indent="1"/>
      <protection hidden="1"/>
    </xf>
    <xf numFmtId="168" fontId="12" fillId="4" borderId="103" xfId="0" applyNumberFormat="1" applyFont="1" applyFill="1" applyBorder="1" applyAlignment="1" applyProtection="1">
      <alignment horizontal="right" vertical="center" indent="1"/>
      <protection hidden="1"/>
    </xf>
    <xf numFmtId="170" fontId="12" fillId="4" borderId="104" xfId="2" applyNumberFormat="1" applyFont="1" applyFill="1" applyBorder="1" applyAlignment="1" applyProtection="1">
      <alignment horizontal="right" indent="1"/>
      <protection hidden="1"/>
    </xf>
    <xf numFmtId="2" fontId="12" fillId="4" borderId="105" xfId="2" applyNumberFormat="1" applyFont="1" applyFill="1" applyBorder="1" applyAlignment="1" applyProtection="1">
      <alignment horizontal="right" vertical="center" indent="1"/>
      <protection hidden="1"/>
    </xf>
    <xf numFmtId="0" fontId="78" fillId="6" borderId="0" xfId="0" applyFont="1" applyFill="1" applyProtection="1">
      <protection hidden="1"/>
    </xf>
    <xf numFmtId="10" fontId="9" fillId="4" borderId="78" xfId="1" applyNumberFormat="1" applyFont="1" applyFill="1" applyBorder="1" applyAlignment="1" applyProtection="1">
      <alignment horizontal="center"/>
      <protection hidden="1"/>
    </xf>
    <xf numFmtId="10" fontId="9" fillId="4" borderId="76" xfId="1" applyNumberFormat="1" applyFont="1" applyFill="1" applyBorder="1" applyAlignment="1" applyProtection="1">
      <alignment horizontal="center"/>
      <protection hidden="1"/>
    </xf>
    <xf numFmtId="0" fontId="8" fillId="20" borderId="100" xfId="0" applyFont="1" applyFill="1" applyBorder="1" applyProtection="1">
      <protection hidden="1"/>
    </xf>
    <xf numFmtId="0" fontId="8" fillId="20" borderId="101" xfId="0" applyFont="1" applyFill="1" applyBorder="1" applyProtection="1">
      <protection hidden="1"/>
    </xf>
    <xf numFmtId="0" fontId="8" fillId="20" borderId="118" xfId="0" applyFont="1" applyFill="1" applyBorder="1" applyProtection="1">
      <protection hidden="1"/>
    </xf>
    <xf numFmtId="0" fontId="8" fillId="20" borderId="102" xfId="0" applyFont="1" applyFill="1" applyBorder="1" applyProtection="1">
      <protection hidden="1"/>
    </xf>
    <xf numFmtId="9" fontId="0" fillId="6" borderId="0" xfId="1" applyFont="1" applyFill="1" applyAlignment="1" applyProtection="1">
      <alignment horizontal="center" vertical="center"/>
      <protection hidden="1"/>
    </xf>
    <xf numFmtId="10" fontId="0" fillId="6" borderId="0" xfId="1" applyNumberFormat="1" applyFont="1" applyFill="1" applyProtection="1">
      <protection hidden="1"/>
    </xf>
    <xf numFmtId="0" fontId="0" fillId="24" borderId="0" xfId="0" applyFill="1" applyProtection="1">
      <protection hidden="1"/>
    </xf>
    <xf numFmtId="0" fontId="18" fillId="7" borderId="19" xfId="0" applyFont="1" applyFill="1" applyBorder="1" applyAlignment="1" applyProtection="1">
      <alignment horizontal="centerContinuous"/>
      <protection hidden="1"/>
    </xf>
    <xf numFmtId="0" fontId="18" fillId="7" borderId="20" xfId="0" applyFont="1" applyFill="1" applyBorder="1" applyAlignment="1" applyProtection="1">
      <alignment horizontal="centerContinuous"/>
      <protection hidden="1"/>
    </xf>
    <xf numFmtId="2" fontId="0" fillId="7" borderId="20" xfId="0" applyNumberFormat="1" applyFill="1" applyBorder="1" applyAlignment="1" applyProtection="1">
      <alignment horizontal="center" vertical="center"/>
      <protection hidden="1"/>
    </xf>
    <xf numFmtId="173" fontId="9" fillId="2" borderId="2" xfId="0" applyNumberFormat="1" applyFont="1" applyFill="1" applyBorder="1" applyAlignment="1" applyProtection="1">
      <alignment horizontal="right" vertical="center" indent="1"/>
      <protection hidden="1"/>
    </xf>
    <xf numFmtId="9" fontId="37" fillId="6" borderId="0" xfId="0" applyNumberFormat="1" applyFont="1" applyFill="1" applyAlignment="1" applyProtection="1">
      <alignment horizontal="left"/>
      <protection hidden="1"/>
    </xf>
    <xf numFmtId="173" fontId="15" fillId="8" borderId="2" xfId="0" applyNumberFormat="1" applyFont="1" applyFill="1" applyBorder="1" applyAlignment="1" applyProtection="1">
      <alignment horizontal="right" vertical="center" indent="1"/>
      <protection hidden="1"/>
    </xf>
    <xf numFmtId="0" fontId="9" fillId="24" borderId="0" xfId="0" applyFont="1" applyFill="1" applyAlignment="1" applyProtection="1">
      <alignment vertical="center"/>
      <protection hidden="1"/>
    </xf>
    <xf numFmtId="173" fontId="43" fillId="2" borderId="2" xfId="0" applyNumberFormat="1" applyFont="1" applyFill="1" applyBorder="1" applyAlignment="1" applyProtection="1">
      <alignment horizontal="right" vertical="center" indent="1"/>
      <protection hidden="1"/>
    </xf>
    <xf numFmtId="0" fontId="78" fillId="6" borderId="0" xfId="0" applyFont="1" applyFill="1" applyAlignment="1" applyProtection="1">
      <alignment vertical="center"/>
      <protection hidden="1"/>
    </xf>
    <xf numFmtId="0" fontId="22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9" fillId="24" borderId="0" xfId="0" applyFont="1" applyFill="1" applyProtection="1">
      <protection hidden="1"/>
    </xf>
    <xf numFmtId="0" fontId="7" fillId="7" borderId="21" xfId="0" applyFont="1" applyFill="1" applyBorder="1" applyAlignment="1" applyProtection="1">
      <alignment horizontal="centerContinuous"/>
      <protection hidden="1"/>
    </xf>
    <xf numFmtId="0" fontId="7" fillId="7" borderId="22" xfId="0" applyFont="1" applyFill="1" applyBorder="1" applyAlignment="1" applyProtection="1">
      <alignment horizontal="centerContinuous"/>
      <protection hidden="1"/>
    </xf>
    <xf numFmtId="0" fontId="22" fillId="0" borderId="0" xfId="0" applyFont="1" applyProtection="1">
      <protection hidden="1"/>
    </xf>
    <xf numFmtId="0" fontId="9" fillId="0" borderId="0" xfId="0" applyFont="1" applyProtection="1">
      <protection hidden="1"/>
    </xf>
    <xf numFmtId="0" fontId="9" fillId="6" borderId="0" xfId="0" applyFont="1" applyFill="1" applyProtection="1">
      <protection hidden="1"/>
    </xf>
    <xf numFmtId="176" fontId="0" fillId="6" borderId="0" xfId="0" applyNumberFormat="1" applyFill="1" applyProtection="1">
      <protection hidden="1"/>
    </xf>
    <xf numFmtId="0" fontId="9" fillId="25" borderId="0" xfId="0" applyFont="1" applyFill="1" applyProtection="1">
      <protection hidden="1"/>
    </xf>
    <xf numFmtId="9" fontId="55" fillId="4" borderId="0" xfId="1" applyFont="1" applyFill="1" applyBorder="1" applyProtection="1">
      <protection hidden="1"/>
    </xf>
    <xf numFmtId="0" fontId="56" fillId="4" borderId="0" xfId="0" applyFont="1" applyFill="1" applyProtection="1">
      <protection hidden="1"/>
    </xf>
    <xf numFmtId="0" fontId="19" fillId="3" borderId="36" xfId="0" applyFont="1" applyFill="1" applyBorder="1" applyAlignment="1" applyProtection="1">
      <alignment horizontal="center" vertical="center"/>
      <protection hidden="1"/>
    </xf>
    <xf numFmtId="0" fontId="19" fillId="3" borderId="23" xfId="0" applyFont="1" applyFill="1" applyBorder="1" applyAlignment="1" applyProtection="1">
      <alignment horizontal="center" vertical="center"/>
      <protection hidden="1"/>
    </xf>
    <xf numFmtId="0" fontId="56" fillId="4" borderId="0" xfId="0" applyFont="1" applyFill="1" applyAlignment="1" applyProtection="1">
      <alignment vertical="center"/>
      <protection hidden="1"/>
    </xf>
    <xf numFmtId="9" fontId="7" fillId="2" borderId="57" xfId="1" applyFont="1" applyFill="1" applyBorder="1" applyAlignment="1" applyProtection="1">
      <alignment horizontal="center" vertical="center"/>
      <protection hidden="1"/>
    </xf>
    <xf numFmtId="9" fontId="7" fillId="0" borderId="2" xfId="1" applyFont="1" applyBorder="1" applyAlignment="1" applyProtection="1">
      <alignment horizontal="center" vertical="center"/>
      <protection locked="0" hidden="1"/>
    </xf>
    <xf numFmtId="0" fontId="0" fillId="25" borderId="0" xfId="0" applyFill="1" applyProtection="1">
      <protection hidden="1"/>
    </xf>
    <xf numFmtId="0" fontId="73" fillId="12" borderId="0" xfId="0" applyFont="1" applyFill="1" applyAlignment="1" applyProtection="1">
      <alignment horizontal="centerContinuous" vertical="center"/>
      <protection hidden="1"/>
    </xf>
    <xf numFmtId="0" fontId="73" fillId="13" borderId="161" xfId="0" applyFont="1" applyFill="1" applyBorder="1" applyAlignment="1" applyProtection="1">
      <alignment horizontal="centerContinuous" vertical="center"/>
      <protection hidden="1"/>
    </xf>
    <xf numFmtId="0" fontId="73" fillId="13" borderId="0" xfId="0" applyFont="1" applyFill="1" applyAlignment="1" applyProtection="1">
      <alignment horizontal="centerContinuous" vertical="center"/>
      <protection hidden="1"/>
    </xf>
    <xf numFmtId="0" fontId="45" fillId="6" borderId="0" xfId="0" applyFont="1" applyFill="1" applyProtection="1">
      <protection hidden="1"/>
    </xf>
    <xf numFmtId="2" fontId="9" fillId="14" borderId="33" xfId="0" applyNumberFormat="1" applyFont="1" applyFill="1" applyBorder="1" applyAlignment="1" applyProtection="1">
      <alignment horizontal="right" indent="1"/>
      <protection hidden="1"/>
    </xf>
    <xf numFmtId="169" fontId="9" fillId="14" borderId="58" xfId="0" applyNumberFormat="1" applyFont="1" applyFill="1" applyBorder="1" applyAlignment="1" applyProtection="1">
      <alignment horizontal="right" indent="1"/>
      <protection hidden="1"/>
    </xf>
    <xf numFmtId="169" fontId="9" fillId="14" borderId="59" xfId="0" applyNumberFormat="1" applyFont="1" applyFill="1" applyBorder="1" applyAlignment="1" applyProtection="1">
      <alignment horizontal="right" indent="1"/>
      <protection hidden="1"/>
    </xf>
    <xf numFmtId="0" fontId="45" fillId="6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2" fontId="9" fillId="14" borderId="66" xfId="0" applyNumberFormat="1" applyFont="1" applyFill="1" applyBorder="1" applyAlignment="1" applyProtection="1">
      <alignment horizontal="right" indent="1"/>
      <protection hidden="1"/>
    </xf>
    <xf numFmtId="169" fontId="9" fillId="14" borderId="1" xfId="0" applyNumberFormat="1" applyFont="1" applyFill="1" applyBorder="1" applyAlignment="1" applyProtection="1">
      <alignment horizontal="right" indent="1"/>
      <protection hidden="1"/>
    </xf>
    <xf numFmtId="169" fontId="9" fillId="14" borderId="60" xfId="0" applyNumberFormat="1" applyFont="1" applyFill="1" applyBorder="1" applyAlignment="1" applyProtection="1">
      <alignment horizontal="right" indent="1"/>
      <protection hidden="1"/>
    </xf>
    <xf numFmtId="2" fontId="9" fillId="14" borderId="67" xfId="0" applyNumberFormat="1" applyFont="1" applyFill="1" applyBorder="1" applyAlignment="1" applyProtection="1">
      <alignment horizontal="right" indent="1"/>
      <protection hidden="1"/>
    </xf>
    <xf numFmtId="169" fontId="9" fillId="14" borderId="61" xfId="0" applyNumberFormat="1" applyFont="1" applyFill="1" applyBorder="1" applyAlignment="1" applyProtection="1">
      <alignment horizontal="right" indent="1"/>
      <protection hidden="1"/>
    </xf>
    <xf numFmtId="169" fontId="9" fillId="14" borderId="62" xfId="0" applyNumberFormat="1" applyFont="1" applyFill="1" applyBorder="1" applyAlignment="1" applyProtection="1">
      <alignment horizontal="right" indent="1"/>
      <protection hidden="1"/>
    </xf>
    <xf numFmtId="9" fontId="22" fillId="3" borderId="1" xfId="1" applyFont="1" applyFill="1" applyBorder="1" applyAlignment="1" applyProtection="1">
      <alignment horizontal="right" indent="1"/>
      <protection hidden="1"/>
    </xf>
    <xf numFmtId="169" fontId="22" fillId="3" borderId="1" xfId="0" applyNumberFormat="1" applyFont="1" applyFill="1" applyBorder="1" applyAlignment="1" applyProtection="1">
      <alignment horizontal="right" indent="1"/>
      <protection hidden="1"/>
    </xf>
    <xf numFmtId="169" fontId="22" fillId="3" borderId="183" xfId="0" applyNumberFormat="1" applyFont="1" applyFill="1" applyBorder="1" applyAlignment="1" applyProtection="1">
      <alignment horizontal="right" indent="1"/>
      <protection hidden="1"/>
    </xf>
    <xf numFmtId="10" fontId="22" fillId="3" borderId="185" xfId="1" applyNumberFormat="1" applyFont="1" applyFill="1" applyBorder="1" applyAlignment="1" applyProtection="1">
      <alignment horizontal="right" indent="1"/>
      <protection hidden="1"/>
    </xf>
    <xf numFmtId="0" fontId="0" fillId="6" borderId="0" xfId="0" applyFill="1" applyProtection="1">
      <protection locked="0"/>
    </xf>
    <xf numFmtId="0" fontId="9" fillId="4" borderId="63" xfId="0" applyFont="1" applyFill="1" applyBorder="1" applyAlignment="1" applyProtection="1">
      <alignment horizontal="left" indent="1"/>
      <protection hidden="1"/>
    </xf>
    <xf numFmtId="0" fontId="9" fillId="4" borderId="64" xfId="0" applyFont="1" applyFill="1" applyBorder="1" applyAlignment="1" applyProtection="1">
      <alignment horizontal="left" indent="1"/>
      <protection hidden="1"/>
    </xf>
    <xf numFmtId="0" fontId="9" fillId="4" borderId="65" xfId="0" applyFont="1" applyFill="1" applyBorder="1" applyAlignment="1" applyProtection="1">
      <alignment horizontal="left" indent="1"/>
      <protection hidden="1"/>
    </xf>
    <xf numFmtId="0" fontId="4" fillId="0" borderId="0" xfId="0" applyFont="1" applyAlignment="1" applyProtection="1">
      <alignment horizontal="center"/>
      <protection hidden="1"/>
    </xf>
    <xf numFmtId="0" fontId="10" fillId="0" borderId="70" xfId="0" applyFont="1" applyBorder="1" applyProtection="1">
      <protection hidden="1"/>
    </xf>
    <xf numFmtId="0" fontId="0" fillId="0" borderId="70" xfId="0" applyBorder="1" applyProtection="1">
      <protection hidden="1"/>
    </xf>
    <xf numFmtId="0" fontId="7" fillId="4" borderId="199" xfId="0" applyFont="1" applyFill="1" applyBorder="1" applyAlignment="1" applyProtection="1">
      <alignment horizontal="center" vertical="center" wrapText="1"/>
      <protection hidden="1"/>
    </xf>
    <xf numFmtId="0" fontId="46" fillId="4" borderId="199" xfId="0" applyFont="1" applyFill="1" applyBorder="1" applyAlignment="1" applyProtection="1">
      <alignment horizontal="center" vertical="center" wrapText="1"/>
      <protection hidden="1"/>
    </xf>
    <xf numFmtId="0" fontId="16" fillId="4" borderId="199" xfId="0" applyFont="1" applyFill="1" applyBorder="1" applyAlignment="1" applyProtection="1">
      <alignment horizontal="center" vertical="center" wrapText="1"/>
      <protection hidden="1"/>
    </xf>
    <xf numFmtId="0" fontId="0" fillId="17" borderId="0" xfId="0" applyFill="1" applyProtection="1">
      <protection hidden="1"/>
    </xf>
    <xf numFmtId="0" fontId="19" fillId="17" borderId="0" xfId="0" applyFont="1" applyFill="1" applyAlignment="1" applyProtection="1">
      <alignment horizontal="centerContinuous" vertical="center"/>
      <protection hidden="1"/>
    </xf>
    <xf numFmtId="0" fontId="29" fillId="17" borderId="0" xfId="0" applyFont="1" applyFill="1" applyAlignment="1" applyProtection="1">
      <alignment horizontal="centerContinuous" vertical="center"/>
      <protection hidden="1"/>
    </xf>
    <xf numFmtId="0" fontId="47" fillId="20" borderId="195" xfId="0" applyFont="1" applyFill="1" applyBorder="1" applyAlignment="1" applyProtection="1">
      <alignment horizontal="center" vertical="center" wrapText="1"/>
      <protection hidden="1"/>
    </xf>
    <xf numFmtId="0" fontId="47" fillId="20" borderId="74" xfId="0" applyFont="1" applyFill="1" applyBorder="1" applyAlignment="1" applyProtection="1">
      <alignment horizontal="center" vertical="center" wrapText="1"/>
      <protection hidden="1"/>
    </xf>
    <xf numFmtId="0" fontId="0" fillId="42" borderId="0" xfId="0" applyFill="1" applyProtection="1">
      <protection hidden="1"/>
    </xf>
    <xf numFmtId="0" fontId="9" fillId="4" borderId="82" xfId="0" quotePrefix="1" applyFont="1" applyFill="1" applyBorder="1" applyAlignment="1" applyProtection="1">
      <alignment horizontal="left" indent="1"/>
      <protection hidden="1"/>
    </xf>
    <xf numFmtId="0" fontId="106" fillId="6" borderId="0" xfId="0" applyFont="1" applyFill="1" applyAlignment="1" applyProtection="1">
      <alignment horizontal="center"/>
      <protection hidden="1"/>
    </xf>
    <xf numFmtId="0" fontId="49" fillId="6" borderId="0" xfId="0" applyFont="1" applyFill="1" applyAlignment="1" applyProtection="1">
      <alignment horizontal="right" vertical="center" indent="2"/>
      <protection hidden="1"/>
    </xf>
    <xf numFmtId="0" fontId="48" fillId="6" borderId="0" xfId="0" applyFont="1" applyFill="1" applyAlignment="1" applyProtection="1">
      <alignment vertical="center"/>
      <protection hidden="1"/>
    </xf>
    <xf numFmtId="0" fontId="15" fillId="6" borderId="0" xfId="0" applyFont="1" applyFill="1" applyAlignment="1" applyProtection="1">
      <alignment horizontal="center" vertical="center" wrapText="1"/>
      <protection hidden="1"/>
    </xf>
    <xf numFmtId="2" fontId="9" fillId="6" borderId="0" xfId="0" applyNumberFormat="1" applyFont="1" applyFill="1" applyAlignment="1" applyProtection="1">
      <alignment horizontal="right" indent="1"/>
      <protection hidden="1"/>
    </xf>
    <xf numFmtId="0" fontId="7" fillId="6" borderId="0" xfId="0" applyFont="1" applyFill="1" applyAlignment="1" applyProtection="1">
      <alignment horizontal="centerContinuous"/>
      <protection hidden="1"/>
    </xf>
    <xf numFmtId="0" fontId="7" fillId="6" borderId="0" xfId="0" applyFont="1" applyFill="1" applyAlignment="1" applyProtection="1">
      <alignment horizontal="centerContinuous" vertical="top"/>
      <protection hidden="1"/>
    </xf>
    <xf numFmtId="0" fontId="18" fillId="6" borderId="0" xfId="0" applyFont="1" applyFill="1" applyAlignment="1" applyProtection="1">
      <alignment horizontal="centerContinuous"/>
      <protection hidden="1"/>
    </xf>
    <xf numFmtId="0" fontId="9" fillId="6" borderId="0" xfId="0" applyFont="1" applyFill="1" applyAlignment="1" applyProtection="1">
      <alignment horizontal="centerContinuous" vertical="center"/>
      <protection hidden="1"/>
    </xf>
    <xf numFmtId="0" fontId="7" fillId="6" borderId="0" xfId="0" applyFont="1" applyFill="1" applyAlignment="1" applyProtection="1">
      <alignment horizontal="centerContinuous" vertical="center"/>
      <protection hidden="1"/>
    </xf>
    <xf numFmtId="0" fontId="47" fillId="20" borderId="200" xfId="0" applyFont="1" applyFill="1" applyBorder="1" applyAlignment="1" applyProtection="1">
      <alignment horizontal="center" vertical="center" wrapText="1"/>
      <protection hidden="1"/>
    </xf>
    <xf numFmtId="0" fontId="47" fillId="20" borderId="201" xfId="0" applyFont="1" applyFill="1" applyBorder="1" applyAlignment="1" applyProtection="1">
      <alignment horizontal="center" vertical="center" wrapText="1"/>
      <protection hidden="1"/>
    </xf>
    <xf numFmtId="0" fontId="47" fillId="20" borderId="202" xfId="0" applyFont="1" applyFill="1" applyBorder="1" applyAlignment="1" applyProtection="1">
      <alignment horizontal="center" vertical="center" wrapText="1"/>
      <protection hidden="1"/>
    </xf>
    <xf numFmtId="0" fontId="47" fillId="20" borderId="203" xfId="0" applyFont="1" applyFill="1" applyBorder="1" applyAlignment="1" applyProtection="1">
      <alignment horizontal="center" vertical="center" wrapText="1"/>
      <protection hidden="1"/>
    </xf>
    <xf numFmtId="0" fontId="47" fillId="20" borderId="204" xfId="0" applyFont="1" applyFill="1" applyBorder="1" applyAlignment="1" applyProtection="1">
      <alignment horizontal="center" vertical="center" wrapText="1"/>
      <protection hidden="1"/>
    </xf>
    <xf numFmtId="0" fontId="13" fillId="4" borderId="205" xfId="0" applyFont="1" applyFill="1" applyBorder="1" applyAlignment="1" applyProtection="1">
      <alignment horizontal="center" vertical="center"/>
      <protection hidden="1"/>
    </xf>
    <xf numFmtId="0" fontId="13" fillId="4" borderId="206" xfId="0" applyFont="1" applyFill="1" applyBorder="1" applyAlignment="1" applyProtection="1">
      <alignment horizontal="center" vertical="center"/>
      <protection hidden="1"/>
    </xf>
    <xf numFmtId="173" fontId="9" fillId="14" borderId="135" xfId="0" applyNumberFormat="1" applyFont="1" applyFill="1" applyBorder="1" applyAlignment="1" applyProtection="1">
      <alignment horizontal="right" indent="1"/>
      <protection hidden="1"/>
    </xf>
    <xf numFmtId="173" fontId="9" fillId="14" borderId="207" xfId="0" applyNumberFormat="1" applyFont="1" applyFill="1" applyBorder="1" applyAlignment="1" applyProtection="1">
      <alignment horizontal="right" indent="1"/>
      <protection hidden="1"/>
    </xf>
    <xf numFmtId="173" fontId="9" fillId="14" borderId="136" xfId="0" applyNumberFormat="1" applyFont="1" applyFill="1" applyBorder="1" applyAlignment="1" applyProtection="1">
      <alignment horizontal="right" indent="1"/>
      <protection hidden="1"/>
    </xf>
    <xf numFmtId="173" fontId="9" fillId="14" borderId="208" xfId="0" applyNumberFormat="1" applyFont="1" applyFill="1" applyBorder="1" applyAlignment="1" applyProtection="1">
      <alignment horizontal="right" indent="1"/>
      <protection hidden="1"/>
    </xf>
    <xf numFmtId="173" fontId="9" fillId="14" borderId="209" xfId="0" applyNumberFormat="1" applyFont="1" applyFill="1" applyBorder="1" applyAlignment="1" applyProtection="1">
      <alignment horizontal="right" indent="1"/>
      <protection hidden="1"/>
    </xf>
    <xf numFmtId="10" fontId="9" fillId="4" borderId="210" xfId="1" applyNumberFormat="1" applyFont="1" applyFill="1" applyBorder="1" applyAlignment="1" applyProtection="1">
      <alignment horizontal="center"/>
      <protection hidden="1"/>
    </xf>
    <xf numFmtId="10" fontId="9" fillId="4" borderId="211" xfId="1" applyNumberFormat="1" applyFont="1" applyFill="1" applyBorder="1" applyAlignment="1" applyProtection="1">
      <alignment horizontal="center"/>
      <protection hidden="1"/>
    </xf>
    <xf numFmtId="0" fontId="0" fillId="23" borderId="24" xfId="0" applyFill="1" applyBorder="1" applyProtection="1">
      <protection hidden="1"/>
    </xf>
    <xf numFmtId="0" fontId="0" fillId="23" borderId="26" xfId="0" applyFill="1" applyBorder="1" applyProtection="1">
      <protection hidden="1"/>
    </xf>
    <xf numFmtId="0" fontId="0" fillId="23" borderId="0" xfId="0" applyFill="1" applyProtection="1">
      <protection hidden="1"/>
    </xf>
    <xf numFmtId="0" fontId="0" fillId="23" borderId="53" xfId="0" applyFill="1" applyBorder="1" applyProtection="1">
      <protection locked="0"/>
    </xf>
    <xf numFmtId="0" fontId="0" fillId="23" borderId="53" xfId="0" applyFill="1" applyBorder="1" applyProtection="1">
      <protection hidden="1"/>
    </xf>
    <xf numFmtId="0" fontId="106" fillId="23" borderId="53" xfId="0" applyFont="1" applyFill="1" applyBorder="1" applyAlignment="1" applyProtection="1">
      <alignment horizontal="center" vertical="center"/>
      <protection hidden="1"/>
    </xf>
    <xf numFmtId="0" fontId="48" fillId="23" borderId="53" xfId="0" applyFont="1" applyFill="1" applyBorder="1" applyAlignment="1" applyProtection="1">
      <alignment vertical="center"/>
      <protection hidden="1"/>
    </xf>
    <xf numFmtId="0" fontId="44" fillId="4" borderId="212" xfId="0" applyFont="1" applyFill="1" applyBorder="1" applyAlignment="1" applyProtection="1">
      <alignment horizontal="center" vertical="center" wrapText="1"/>
      <protection hidden="1"/>
    </xf>
    <xf numFmtId="0" fontId="15" fillId="4" borderId="213" xfId="0" applyFont="1" applyFill="1" applyBorder="1" applyAlignment="1" applyProtection="1">
      <alignment horizontal="center" vertical="center" wrapText="1"/>
      <protection hidden="1"/>
    </xf>
    <xf numFmtId="2" fontId="9" fillId="14" borderId="143" xfId="0" applyNumberFormat="1" applyFont="1" applyFill="1" applyBorder="1" applyAlignment="1" applyProtection="1">
      <alignment horizontal="right" indent="1"/>
      <protection hidden="1"/>
    </xf>
    <xf numFmtId="2" fontId="9" fillId="14" borderId="136" xfId="0" applyNumberFormat="1" applyFont="1" applyFill="1" applyBorder="1" applyAlignment="1" applyProtection="1">
      <alignment horizontal="right" indent="1"/>
      <protection hidden="1"/>
    </xf>
    <xf numFmtId="2" fontId="9" fillId="14" borderId="138" xfId="0" applyNumberFormat="1" applyFont="1" applyFill="1" applyBorder="1" applyAlignment="1" applyProtection="1">
      <alignment horizontal="right" indent="1"/>
      <protection hidden="1"/>
    </xf>
    <xf numFmtId="0" fontId="7" fillId="4" borderId="63" xfId="0" applyFont="1" applyFill="1" applyBorder="1" applyAlignment="1" applyProtection="1">
      <alignment horizontal="centerContinuous"/>
      <protection hidden="1"/>
    </xf>
    <xf numFmtId="0" fontId="7" fillId="4" borderId="214" xfId="0" applyFont="1" applyFill="1" applyBorder="1" applyAlignment="1" applyProtection="1">
      <alignment horizontal="centerContinuous"/>
      <protection hidden="1"/>
    </xf>
    <xf numFmtId="0" fontId="7" fillId="4" borderId="69" xfId="0" applyFont="1" applyFill="1" applyBorder="1" applyAlignment="1" applyProtection="1">
      <alignment horizontal="centerContinuous"/>
      <protection hidden="1"/>
    </xf>
    <xf numFmtId="173" fontId="7" fillId="4" borderId="179" xfId="1" applyNumberFormat="1" applyFont="1" applyFill="1" applyBorder="1" applyAlignment="1" applyProtection="1">
      <alignment horizontal="right" indent="1"/>
      <protection hidden="1"/>
    </xf>
    <xf numFmtId="0" fontId="7" fillId="4" borderId="186" xfId="0" quotePrefix="1" applyFont="1" applyFill="1" applyBorder="1" applyAlignment="1" applyProtection="1">
      <alignment horizontal="left" indent="1"/>
      <protection hidden="1"/>
    </xf>
    <xf numFmtId="0" fontId="7" fillId="4" borderId="70" xfId="0" applyFont="1" applyFill="1" applyBorder="1" applyAlignment="1" applyProtection="1">
      <alignment horizontal="centerContinuous" vertical="top"/>
      <protection hidden="1"/>
    </xf>
    <xf numFmtId="0" fontId="7" fillId="4" borderId="71" xfId="0" applyFont="1" applyFill="1" applyBorder="1" applyAlignment="1" applyProtection="1">
      <alignment horizontal="centerContinuous" vertical="top"/>
      <protection hidden="1"/>
    </xf>
    <xf numFmtId="173" fontId="9" fillId="14" borderId="215" xfId="0" applyNumberFormat="1" applyFont="1" applyFill="1" applyBorder="1" applyAlignment="1" applyProtection="1">
      <alignment horizontal="right" indent="1"/>
      <protection hidden="1"/>
    </xf>
    <xf numFmtId="10" fontId="9" fillId="4" borderId="216" xfId="1" applyNumberFormat="1" applyFont="1" applyFill="1" applyBorder="1" applyAlignment="1" applyProtection="1">
      <alignment horizontal="center"/>
      <protection hidden="1"/>
    </xf>
    <xf numFmtId="10" fontId="9" fillId="4" borderId="217" xfId="1" applyNumberFormat="1" applyFont="1" applyFill="1" applyBorder="1" applyAlignment="1" applyProtection="1">
      <alignment horizontal="center"/>
      <protection hidden="1"/>
    </xf>
    <xf numFmtId="10" fontId="9" fillId="4" borderId="218" xfId="1" applyNumberFormat="1" applyFont="1" applyFill="1" applyBorder="1" applyAlignment="1" applyProtection="1">
      <alignment horizontal="center"/>
      <protection hidden="1"/>
    </xf>
    <xf numFmtId="10" fontId="9" fillId="4" borderId="219" xfId="1" applyNumberFormat="1" applyFont="1" applyFill="1" applyBorder="1" applyAlignment="1" applyProtection="1">
      <alignment horizontal="center"/>
      <protection hidden="1"/>
    </xf>
    <xf numFmtId="0" fontId="47" fillId="20" borderId="220" xfId="0" applyFont="1" applyFill="1" applyBorder="1" applyAlignment="1" applyProtection="1">
      <alignment horizontal="center" vertical="center" wrapText="1"/>
      <protection hidden="1"/>
    </xf>
    <xf numFmtId="0" fontId="54" fillId="4" borderId="221" xfId="0" applyFont="1" applyFill="1" applyBorder="1" applyAlignment="1" applyProtection="1">
      <alignment horizontal="center" vertical="center" wrapText="1"/>
      <protection hidden="1"/>
    </xf>
    <xf numFmtId="173" fontId="9" fillId="14" borderId="222" xfId="0" applyNumberFormat="1" applyFont="1" applyFill="1" applyBorder="1" applyAlignment="1" applyProtection="1">
      <alignment horizontal="right" indent="1"/>
      <protection hidden="1"/>
    </xf>
    <xf numFmtId="173" fontId="9" fillId="14" borderId="150" xfId="0" applyNumberFormat="1" applyFont="1" applyFill="1" applyBorder="1" applyAlignment="1" applyProtection="1">
      <alignment horizontal="right" indent="1"/>
      <protection hidden="1"/>
    </xf>
    <xf numFmtId="173" fontId="9" fillId="14" borderId="223" xfId="0" applyNumberFormat="1" applyFont="1" applyFill="1" applyBorder="1" applyAlignment="1" applyProtection="1">
      <alignment horizontal="right" indent="1"/>
      <protection hidden="1"/>
    </xf>
    <xf numFmtId="0" fontId="54" fillId="4" borderId="205" xfId="0" applyFont="1" applyFill="1" applyBorder="1" applyAlignment="1" applyProtection="1">
      <alignment horizontal="center" vertical="center" wrapText="1"/>
      <protection hidden="1"/>
    </xf>
    <xf numFmtId="10" fontId="9" fillId="4" borderId="212" xfId="1" applyNumberFormat="1" applyFont="1" applyFill="1" applyBorder="1" applyAlignment="1" applyProtection="1">
      <alignment horizontal="center"/>
      <protection hidden="1"/>
    </xf>
    <xf numFmtId="0" fontId="107" fillId="19" borderId="25" xfId="0" applyFont="1" applyFill="1" applyBorder="1" applyProtection="1">
      <protection hidden="1"/>
    </xf>
    <xf numFmtId="0" fontId="107" fillId="19" borderId="24" xfId="0" applyFont="1" applyFill="1" applyBorder="1" applyProtection="1">
      <protection hidden="1"/>
    </xf>
    <xf numFmtId="0" fontId="107" fillId="19" borderId="26" xfId="0" applyFont="1" applyFill="1" applyBorder="1" applyProtection="1">
      <protection hidden="1"/>
    </xf>
    <xf numFmtId="178" fontId="112" fillId="19" borderId="69" xfId="3" applyNumberFormat="1" applyFont="1" applyFill="1" applyBorder="1" applyAlignment="1" applyProtection="1">
      <alignment horizontal="center" vertical="center"/>
      <protection hidden="1"/>
    </xf>
    <xf numFmtId="178" fontId="112" fillId="19" borderId="70" xfId="3" applyNumberFormat="1" applyFont="1" applyFill="1" applyBorder="1" applyAlignment="1" applyProtection="1">
      <alignment horizontal="center" vertical="center"/>
      <protection hidden="1"/>
    </xf>
    <xf numFmtId="178" fontId="112" fillId="19" borderId="71" xfId="3" applyNumberFormat="1" applyFont="1" applyFill="1" applyBorder="1" applyAlignment="1" applyProtection="1">
      <alignment horizontal="center" vertical="center"/>
      <protection hidden="1"/>
    </xf>
    <xf numFmtId="169" fontId="9" fillId="14" borderId="224" xfId="0" applyNumberFormat="1" applyFont="1" applyFill="1" applyBorder="1" applyAlignment="1" applyProtection="1">
      <alignment horizontal="right" indent="1"/>
      <protection hidden="1"/>
    </xf>
    <xf numFmtId="169" fontId="9" fillId="14" borderId="225" xfId="0" applyNumberFormat="1" applyFont="1" applyFill="1" applyBorder="1" applyAlignment="1" applyProtection="1">
      <alignment horizontal="right" indent="1"/>
      <protection hidden="1"/>
    </xf>
    <xf numFmtId="2" fontId="9" fillId="14" borderId="226" xfId="0" applyNumberFormat="1" applyFont="1" applyFill="1" applyBorder="1" applyAlignment="1" applyProtection="1">
      <alignment horizontal="right" indent="1"/>
      <protection hidden="1"/>
    </xf>
    <xf numFmtId="169" fontId="9" fillId="14" borderId="227" xfId="0" applyNumberFormat="1" applyFont="1" applyFill="1" applyBorder="1" applyAlignment="1" applyProtection="1">
      <alignment horizontal="right" indent="1"/>
      <protection hidden="1"/>
    </xf>
    <xf numFmtId="0" fontId="0" fillId="19" borderId="0" xfId="0" applyFill="1" applyProtection="1">
      <protection hidden="1"/>
    </xf>
    <xf numFmtId="10" fontId="0" fillId="19" borderId="0" xfId="1" applyNumberFormat="1" applyFont="1" applyFill="1" applyProtection="1">
      <protection hidden="1"/>
    </xf>
    <xf numFmtId="0" fontId="113" fillId="19" borderId="0" xfId="0" applyFont="1" applyFill="1" applyAlignment="1" applyProtection="1">
      <alignment vertical="center"/>
      <protection hidden="1"/>
    </xf>
    <xf numFmtId="9" fontId="9" fillId="8" borderId="228" xfId="1" applyFont="1" applyFill="1" applyBorder="1" applyAlignment="1" applyProtection="1">
      <alignment horizontal="right" indent="1"/>
      <protection hidden="1"/>
    </xf>
    <xf numFmtId="169" fontId="9" fillId="8" borderId="228" xfId="0" applyNumberFormat="1" applyFont="1" applyFill="1" applyBorder="1" applyAlignment="1" applyProtection="1">
      <alignment horizontal="right" indent="1"/>
      <protection hidden="1"/>
    </xf>
    <xf numFmtId="169" fontId="9" fillId="8" borderId="3" xfId="0" applyNumberFormat="1" applyFont="1" applyFill="1" applyBorder="1" applyAlignment="1" applyProtection="1">
      <alignment horizontal="right" indent="1"/>
      <protection hidden="1"/>
    </xf>
    <xf numFmtId="10" fontId="9" fillId="8" borderId="229" xfId="1" applyNumberFormat="1" applyFont="1" applyFill="1" applyBorder="1" applyAlignment="1" applyProtection="1">
      <alignment horizontal="right" indent="1"/>
      <protection hidden="1"/>
    </xf>
    <xf numFmtId="9" fontId="9" fillId="8" borderId="58" xfId="1" applyFont="1" applyFill="1" applyBorder="1" applyAlignment="1" applyProtection="1">
      <alignment horizontal="right" indent="1"/>
      <protection hidden="1"/>
    </xf>
    <xf numFmtId="169" fontId="9" fillId="8" borderId="58" xfId="0" applyNumberFormat="1" applyFont="1" applyFill="1" applyBorder="1" applyAlignment="1" applyProtection="1">
      <alignment horizontal="right" indent="1"/>
      <protection hidden="1"/>
    </xf>
    <xf numFmtId="169" fontId="9" fillId="8" borderId="182" xfId="0" applyNumberFormat="1" applyFont="1" applyFill="1" applyBorder="1" applyAlignment="1" applyProtection="1">
      <alignment horizontal="right" indent="1"/>
      <protection hidden="1"/>
    </xf>
    <xf numFmtId="10" fontId="9" fillId="8" borderId="184" xfId="1" applyNumberFormat="1" applyFont="1" applyFill="1" applyBorder="1" applyAlignment="1" applyProtection="1">
      <alignment horizontal="right" indent="1"/>
      <protection hidden="1"/>
    </xf>
    <xf numFmtId="0" fontId="0" fillId="6" borderId="158" xfId="0" applyFill="1" applyBorder="1" applyProtection="1">
      <protection hidden="1"/>
    </xf>
    <xf numFmtId="0" fontId="0" fillId="6" borderId="159" xfId="0" applyFill="1" applyBorder="1" applyProtection="1">
      <protection hidden="1"/>
    </xf>
    <xf numFmtId="0" fontId="0" fillId="6" borderId="161" xfId="0" applyFill="1" applyBorder="1" applyProtection="1">
      <protection hidden="1"/>
    </xf>
    <xf numFmtId="0" fontId="0" fillId="6" borderId="167" xfId="0" applyFill="1" applyBorder="1" applyProtection="1">
      <protection hidden="1"/>
    </xf>
    <xf numFmtId="0" fontId="0" fillId="6" borderId="168" xfId="0" applyFill="1" applyBorder="1" applyProtection="1">
      <protection hidden="1"/>
    </xf>
    <xf numFmtId="0" fontId="73" fillId="20" borderId="0" xfId="0" applyFont="1" applyFill="1" applyAlignment="1" applyProtection="1">
      <alignment horizontal="centerContinuous" vertical="center"/>
      <protection hidden="1"/>
    </xf>
    <xf numFmtId="0" fontId="0" fillId="20" borderId="0" xfId="0" applyFill="1" applyProtection="1">
      <protection hidden="1"/>
    </xf>
    <xf numFmtId="0" fontId="0" fillId="12" borderId="0" xfId="0" applyFill="1" applyProtection="1">
      <protection hidden="1"/>
    </xf>
    <xf numFmtId="0" fontId="18" fillId="7" borderId="20" xfId="0" applyFont="1" applyFill="1" applyBorder="1" applyAlignment="1" applyProtection="1">
      <alignment horizontal="right" indent="1"/>
      <protection hidden="1"/>
    </xf>
    <xf numFmtId="0" fontId="7" fillId="7" borderId="22" xfId="0" applyFont="1" applyFill="1" applyBorder="1" applyAlignment="1" applyProtection="1">
      <alignment horizontal="right" indent="1"/>
      <protection hidden="1"/>
    </xf>
    <xf numFmtId="164" fontId="43" fillId="4" borderId="33" xfId="3" applyFont="1" applyFill="1" applyBorder="1" applyAlignment="1" applyProtection="1">
      <alignment horizontal="left" indent="1"/>
      <protection hidden="1"/>
    </xf>
    <xf numFmtId="164" fontId="43" fillId="4" borderId="66" xfId="3" applyFont="1" applyFill="1" applyBorder="1" applyAlignment="1" applyProtection="1">
      <alignment horizontal="left" indent="1"/>
      <protection hidden="1"/>
    </xf>
    <xf numFmtId="164" fontId="43" fillId="4" borderId="67" xfId="3" applyFont="1" applyFill="1" applyBorder="1" applyProtection="1">
      <protection hidden="1"/>
    </xf>
    <xf numFmtId="0" fontId="9" fillId="2" borderId="237" xfId="0" applyFont="1" applyFill="1" applyBorder="1" applyAlignment="1" applyProtection="1">
      <alignment horizontal="right" vertical="center" indent="1"/>
      <protection hidden="1"/>
    </xf>
    <xf numFmtId="0" fontId="9" fillId="2" borderId="66" xfId="0" applyFont="1" applyFill="1" applyBorder="1" applyAlignment="1" applyProtection="1">
      <alignment horizontal="right" vertical="center" indent="1"/>
      <protection hidden="1"/>
    </xf>
    <xf numFmtId="0" fontId="7" fillId="8" borderId="237" xfId="0" applyFont="1" applyFill="1" applyBorder="1" applyAlignment="1" applyProtection="1">
      <alignment horizontal="right" vertical="center" indent="1"/>
      <protection hidden="1"/>
    </xf>
    <xf numFmtId="0" fontId="7" fillId="8" borderId="66" xfId="0" applyFont="1" applyFill="1" applyBorder="1" applyAlignment="1" applyProtection="1">
      <alignment horizontal="right" vertical="center" indent="1"/>
      <protection hidden="1"/>
    </xf>
    <xf numFmtId="0" fontId="0" fillId="6" borderId="238" xfId="0" applyFill="1" applyBorder="1" applyProtection="1">
      <protection locked="0"/>
    </xf>
    <xf numFmtId="0" fontId="0" fillId="6" borderId="238" xfId="0" applyFill="1" applyBorder="1" applyProtection="1">
      <protection hidden="1"/>
    </xf>
    <xf numFmtId="0" fontId="106" fillId="6" borderId="238" xfId="0" applyFont="1" applyFill="1" applyBorder="1" applyAlignment="1" applyProtection="1">
      <alignment horizontal="center" vertical="center"/>
      <protection hidden="1"/>
    </xf>
    <xf numFmtId="9" fontId="25" fillId="19" borderId="0" xfId="1" applyFont="1" applyFill="1" applyBorder="1" applyAlignment="1" applyProtection="1">
      <protection hidden="1"/>
    </xf>
    <xf numFmtId="9" fontId="25" fillId="19" borderId="53" xfId="1" applyFont="1" applyFill="1" applyBorder="1" applyAlignment="1" applyProtection="1">
      <protection hidden="1"/>
    </xf>
    <xf numFmtId="9" fontId="114" fillId="19" borderId="0" xfId="1" applyFont="1" applyFill="1" applyBorder="1" applyAlignment="1" applyProtection="1">
      <alignment horizontal="center" vertical="center"/>
      <protection hidden="1"/>
    </xf>
    <xf numFmtId="9" fontId="114" fillId="19" borderId="53" xfId="1" applyFont="1" applyFill="1" applyBorder="1" applyAlignment="1" applyProtection="1">
      <alignment horizontal="center" vertical="center"/>
      <protection hidden="1"/>
    </xf>
    <xf numFmtId="2" fontId="10" fillId="7" borderId="20" xfId="0" applyNumberFormat="1" applyFont="1" applyFill="1" applyBorder="1" applyAlignment="1" applyProtection="1">
      <alignment horizontal="center" vertical="center"/>
      <protection hidden="1"/>
    </xf>
    <xf numFmtId="0" fontId="24" fillId="0" borderId="70" xfId="0" applyFont="1" applyBorder="1" applyAlignment="1" applyProtection="1">
      <alignment horizontal="center"/>
      <protection hidden="1"/>
    </xf>
    <xf numFmtId="171" fontId="117" fillId="12" borderId="25" xfId="0" applyNumberFormat="1" applyFont="1" applyFill="1" applyBorder="1" applyAlignment="1" applyProtection="1">
      <alignment horizontal="left" vertical="center"/>
      <protection hidden="1"/>
    </xf>
    <xf numFmtId="172" fontId="117" fillId="13" borderId="25" xfId="0" applyNumberFormat="1" applyFont="1" applyFill="1" applyBorder="1" applyAlignment="1" applyProtection="1">
      <alignment horizontal="left" vertical="center"/>
      <protection hidden="1"/>
    </xf>
    <xf numFmtId="165" fontId="57" fillId="0" borderId="0" xfId="0" applyNumberFormat="1" applyFont="1" applyAlignment="1" applyProtection="1">
      <alignment horizontal="right" indent="1"/>
      <protection hidden="1"/>
    </xf>
    <xf numFmtId="0" fontId="10" fillId="0" borderId="0" xfId="0" applyFont="1" applyAlignment="1" applyProtection="1">
      <alignment horizontal="centerContinuous" vertical="center"/>
      <protection hidden="1"/>
    </xf>
    <xf numFmtId="0" fontId="10" fillId="2" borderId="0" xfId="0" applyFont="1" applyFill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horizontal="left" vertical="center"/>
      <protection hidden="1"/>
    </xf>
    <xf numFmtId="186" fontId="42" fillId="0" borderId="0" xfId="3" applyNumberFormat="1" applyFont="1" applyAlignment="1" applyProtection="1">
      <alignment horizontal="right" vertical="center"/>
      <protection hidden="1"/>
    </xf>
    <xf numFmtId="0" fontId="10" fillId="2" borderId="0" xfId="0" applyFont="1" applyFill="1" applyAlignment="1" applyProtection="1">
      <alignment horizontal="center" vertical="center" wrapText="1"/>
      <protection hidden="1"/>
    </xf>
    <xf numFmtId="165" fontId="41" fillId="0" borderId="0" xfId="2" applyFont="1" applyProtection="1">
      <protection hidden="1"/>
    </xf>
    <xf numFmtId="165" fontId="57" fillId="0" borderId="0" xfId="2" applyFont="1" applyAlignment="1" applyProtection="1">
      <alignment horizontal="right" indent="1"/>
      <protection hidden="1"/>
    </xf>
    <xf numFmtId="165" fontId="17" fillId="0" borderId="0" xfId="2" applyFont="1" applyProtection="1">
      <protection hidden="1"/>
    </xf>
    <xf numFmtId="0" fontId="24" fillId="2" borderId="0" xfId="0" applyFont="1" applyFill="1" applyAlignment="1" applyProtection="1">
      <alignment horizontal="center" vertical="center" wrapText="1"/>
      <protection hidden="1"/>
    </xf>
    <xf numFmtId="165" fontId="119" fillId="0" borderId="0" xfId="0" applyNumberFormat="1" applyFont="1" applyAlignment="1" applyProtection="1">
      <alignment horizontal="right" indent="1"/>
      <protection hidden="1"/>
    </xf>
    <xf numFmtId="165" fontId="119" fillId="0" borderId="0" xfId="2" applyFont="1" applyProtection="1">
      <protection hidden="1"/>
    </xf>
    <xf numFmtId="165" fontId="119" fillId="0" borderId="0" xfId="2" applyFont="1" applyAlignment="1" applyProtection="1">
      <alignment horizontal="right" indent="1"/>
      <protection hidden="1"/>
    </xf>
    <xf numFmtId="165" fontId="120" fillId="0" borderId="0" xfId="2" applyFont="1" applyProtection="1">
      <protection hidden="1"/>
    </xf>
    <xf numFmtId="0" fontId="121" fillId="23" borderId="53" xfId="0" applyFont="1" applyFill="1" applyBorder="1" applyAlignment="1" applyProtection="1">
      <alignment horizontal="center"/>
      <protection hidden="1"/>
    </xf>
    <xf numFmtId="0" fontId="26" fillId="0" borderId="0" xfId="0" applyFont="1" applyAlignment="1" applyProtection="1">
      <alignment horizontal="center"/>
      <protection locked="0"/>
    </xf>
    <xf numFmtId="2" fontId="0" fillId="7" borderId="241" xfId="0" applyNumberFormat="1" applyFill="1" applyBorder="1" applyAlignment="1" applyProtection="1">
      <alignment horizontal="center" vertical="center"/>
      <protection hidden="1"/>
    </xf>
    <xf numFmtId="0" fontId="0" fillId="6" borderId="242" xfId="0" applyFill="1" applyBorder="1" applyProtection="1">
      <protection hidden="1"/>
    </xf>
    <xf numFmtId="0" fontId="7" fillId="7" borderId="243" xfId="0" applyFont="1" applyFill="1" applyBorder="1" applyAlignment="1" applyProtection="1">
      <alignment horizontal="centerContinuous"/>
      <protection hidden="1"/>
    </xf>
    <xf numFmtId="0" fontId="8" fillId="3" borderId="23" xfId="0" applyFont="1" applyFill="1" applyBorder="1" applyAlignment="1" applyProtection="1">
      <alignment horizontal="center" vertical="center"/>
      <protection hidden="1"/>
    </xf>
    <xf numFmtId="9" fontId="115" fillId="2" borderId="2" xfId="1" applyFont="1" applyFill="1" applyBorder="1" applyAlignment="1" applyProtection="1">
      <alignment horizontal="center" vertical="center"/>
      <protection hidden="1"/>
    </xf>
    <xf numFmtId="175" fontId="22" fillId="10" borderId="243" xfId="1" applyNumberFormat="1" applyFont="1" applyFill="1" applyBorder="1" applyAlignment="1" applyProtection="1">
      <alignment horizontal="center"/>
      <protection hidden="1"/>
    </xf>
    <xf numFmtId="2" fontId="0" fillId="0" borderId="2" xfId="1" applyNumberFormat="1" applyFont="1" applyFill="1" applyBorder="1" applyAlignment="1" applyProtection="1">
      <alignment horizontal="center" vertical="center"/>
      <protection locked="0"/>
    </xf>
    <xf numFmtId="2" fontId="0" fillId="0" borderId="2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10" fillId="0" borderId="0" xfId="0" applyFont="1" applyAlignment="1" applyProtection="1">
      <alignment horizontal="center"/>
      <protection hidden="1"/>
    </xf>
    <xf numFmtId="0" fontId="10" fillId="0" borderId="0" xfId="0" applyFont="1" applyProtection="1">
      <protection hidden="1"/>
    </xf>
    <xf numFmtId="0" fontId="24" fillId="0" borderId="0" xfId="0" applyFont="1" applyAlignment="1" applyProtection="1">
      <alignment horizontal="center"/>
      <protection hidden="1"/>
    </xf>
    <xf numFmtId="167" fontId="24" fillId="0" borderId="0" xfId="0" applyNumberFormat="1" applyFont="1" applyAlignment="1" applyProtection="1">
      <alignment horizontal="center"/>
      <protection hidden="1"/>
    </xf>
    <xf numFmtId="0" fontId="4" fillId="2" borderId="0" xfId="0" applyFont="1" applyFill="1" applyAlignment="1" applyProtection="1">
      <alignment horizontal="center" vertical="center"/>
      <protection hidden="1"/>
    </xf>
    <xf numFmtId="0" fontId="24" fillId="2" borderId="0" xfId="0" applyFont="1" applyFill="1" applyAlignment="1" applyProtection="1">
      <alignment horizontal="center" vertical="center"/>
      <protection hidden="1"/>
    </xf>
    <xf numFmtId="0" fontId="24" fillId="0" borderId="0" xfId="0" applyFont="1" applyAlignment="1" applyProtection="1">
      <alignment vertical="center"/>
      <protection hidden="1"/>
    </xf>
    <xf numFmtId="170" fontId="0" fillId="5" borderId="99" xfId="3" applyNumberFormat="1" applyFont="1" applyFill="1" applyBorder="1" applyAlignment="1" applyProtection="1">
      <alignment horizontal="right" vertical="center" indent="1"/>
      <protection hidden="1"/>
    </xf>
    <xf numFmtId="170" fontId="12" fillId="4" borderId="104" xfId="3" applyNumberFormat="1" applyFont="1" applyFill="1" applyBorder="1" applyAlignment="1" applyProtection="1">
      <alignment horizontal="right" vertical="center" indent="1"/>
      <protection hidden="1"/>
    </xf>
    <xf numFmtId="169" fontId="122" fillId="2" borderId="2" xfId="0" applyNumberFormat="1" applyFont="1" applyFill="1" applyBorder="1" applyAlignment="1" applyProtection="1">
      <alignment horizontal="right" vertical="center" indent="1"/>
      <protection hidden="1"/>
    </xf>
    <xf numFmtId="0" fontId="0" fillId="19" borderId="0" xfId="0" applyFill="1" applyAlignment="1" applyProtection="1">
      <alignment horizontal="center"/>
      <protection hidden="1"/>
    </xf>
    <xf numFmtId="0" fontId="19" fillId="3" borderId="139" xfId="0" applyFont="1" applyFill="1" applyBorder="1" applyAlignment="1" applyProtection="1">
      <alignment horizontal="center" vertical="center"/>
      <protection hidden="1"/>
    </xf>
    <xf numFmtId="0" fontId="19" fillId="3" borderId="140" xfId="0" applyFont="1" applyFill="1" applyBorder="1" applyAlignment="1" applyProtection="1">
      <alignment horizontal="center" vertical="center"/>
      <protection hidden="1"/>
    </xf>
    <xf numFmtId="0" fontId="19" fillId="3" borderId="148" xfId="0" applyFont="1" applyFill="1" applyBorder="1" applyAlignment="1" applyProtection="1">
      <alignment horizontal="center" vertical="center"/>
      <protection hidden="1"/>
    </xf>
    <xf numFmtId="0" fontId="19" fillId="3" borderId="141" xfId="0" applyFont="1" applyFill="1" applyBorder="1" applyAlignment="1" applyProtection="1">
      <alignment horizontal="center" vertical="center"/>
      <protection hidden="1"/>
    </xf>
    <xf numFmtId="169" fontId="59" fillId="2" borderId="132" xfId="0" applyNumberFormat="1" applyFont="1" applyFill="1" applyBorder="1" applyAlignment="1" applyProtection="1">
      <alignment horizontal="left" vertical="center" indent="1"/>
      <protection hidden="1"/>
    </xf>
    <xf numFmtId="169" fontId="59" fillId="2" borderId="133" xfId="0" applyNumberFormat="1" applyFont="1" applyFill="1" applyBorder="1" applyAlignment="1" applyProtection="1">
      <alignment horizontal="center" vertical="center"/>
      <protection hidden="1"/>
    </xf>
    <xf numFmtId="170" fontId="59" fillId="5" borderId="133" xfId="0" applyNumberFormat="1" applyFont="1" applyFill="1" applyBorder="1" applyAlignment="1" applyProtection="1">
      <alignment horizontal="right" indent="1"/>
      <protection hidden="1"/>
    </xf>
    <xf numFmtId="170" fontId="60" fillId="2" borderId="133" xfId="0" applyNumberFormat="1" applyFont="1" applyFill="1" applyBorder="1" applyAlignment="1" applyProtection="1">
      <alignment horizontal="right" indent="1"/>
      <protection hidden="1"/>
    </xf>
    <xf numFmtId="173" fontId="66" fillId="5" borderId="149" xfId="0" quotePrefix="1" applyNumberFormat="1" applyFont="1" applyFill="1" applyBorder="1" applyAlignment="1" applyProtection="1">
      <alignment horizontal="center"/>
      <protection hidden="1"/>
    </xf>
    <xf numFmtId="10" fontId="59" fillId="5" borderId="134" xfId="1" applyNumberFormat="1" applyFont="1" applyFill="1" applyBorder="1" applyAlignment="1" applyProtection="1">
      <alignment horizontal="right" indent="1"/>
      <protection hidden="1"/>
    </xf>
    <xf numFmtId="169" fontId="59" fillId="2" borderId="135" xfId="0" applyNumberFormat="1" applyFont="1" applyFill="1" applyBorder="1" applyAlignment="1" applyProtection="1">
      <alignment horizontal="left" vertical="center" indent="1"/>
      <protection hidden="1"/>
    </xf>
    <xf numFmtId="169" fontId="59" fillId="2" borderId="84" xfId="0" applyNumberFormat="1" applyFont="1" applyFill="1" applyBorder="1" applyAlignment="1" applyProtection="1">
      <alignment horizontal="center"/>
      <protection hidden="1"/>
    </xf>
    <xf numFmtId="169" fontId="59" fillId="2" borderId="84" xfId="0" applyNumberFormat="1" applyFont="1" applyFill="1" applyBorder="1" applyAlignment="1" applyProtection="1">
      <alignment horizontal="center" vertical="center"/>
      <protection hidden="1"/>
    </xf>
    <xf numFmtId="170" fontId="59" fillId="5" borderId="84" xfId="0" applyNumberFormat="1" applyFont="1" applyFill="1" applyBorder="1" applyAlignment="1" applyProtection="1">
      <alignment horizontal="right" indent="1"/>
      <protection hidden="1"/>
    </xf>
    <xf numFmtId="170" fontId="60" fillId="2" borderId="84" xfId="0" applyNumberFormat="1" applyFont="1" applyFill="1" applyBorder="1" applyAlignment="1" applyProtection="1">
      <alignment horizontal="right" indent="1"/>
      <protection hidden="1"/>
    </xf>
    <xf numFmtId="169" fontId="59" fillId="5" borderId="84" xfId="0" applyNumberFormat="1" applyFont="1" applyFill="1" applyBorder="1" applyAlignment="1" applyProtection="1">
      <alignment horizontal="center"/>
      <protection hidden="1"/>
    </xf>
    <xf numFmtId="173" fontId="66" fillId="5" borderId="150" xfId="0" applyNumberFormat="1" applyFont="1" applyFill="1" applyBorder="1" applyAlignment="1" applyProtection="1">
      <alignment horizontal="center"/>
      <protection hidden="1"/>
    </xf>
    <xf numFmtId="10" fontId="59" fillId="5" borderId="136" xfId="1" applyNumberFormat="1" applyFont="1" applyFill="1" applyBorder="1" applyAlignment="1" applyProtection="1">
      <alignment horizontal="right" indent="1"/>
      <protection hidden="1"/>
    </xf>
    <xf numFmtId="169" fontId="59" fillId="2" borderId="137" xfId="0" applyNumberFormat="1" applyFont="1" applyFill="1" applyBorder="1" applyAlignment="1" applyProtection="1">
      <alignment horizontal="left" vertical="center" indent="1"/>
      <protection hidden="1"/>
    </xf>
    <xf numFmtId="169" fontId="59" fillId="2" borderId="86" xfId="0" applyNumberFormat="1" applyFont="1" applyFill="1" applyBorder="1" applyAlignment="1" applyProtection="1">
      <alignment horizontal="center"/>
      <protection hidden="1"/>
    </xf>
    <xf numFmtId="169" fontId="59" fillId="2" borderId="86" xfId="0" applyNumberFormat="1" applyFont="1" applyFill="1" applyBorder="1" applyAlignment="1" applyProtection="1">
      <alignment horizontal="center" vertical="center"/>
      <protection hidden="1"/>
    </xf>
    <xf numFmtId="170" fontId="59" fillId="5" borderId="86" xfId="0" applyNumberFormat="1" applyFont="1" applyFill="1" applyBorder="1" applyAlignment="1" applyProtection="1">
      <alignment horizontal="right" indent="1"/>
      <protection hidden="1"/>
    </xf>
    <xf numFmtId="170" fontId="60" fillId="2" borderId="86" xfId="0" applyNumberFormat="1" applyFont="1" applyFill="1" applyBorder="1" applyAlignment="1" applyProtection="1">
      <alignment horizontal="right" indent="1"/>
      <protection hidden="1"/>
    </xf>
    <xf numFmtId="169" fontId="59" fillId="5" borderId="86" xfId="0" applyNumberFormat="1" applyFont="1" applyFill="1" applyBorder="1" applyAlignment="1" applyProtection="1">
      <alignment horizontal="center"/>
      <protection hidden="1"/>
    </xf>
    <xf numFmtId="173" fontId="66" fillId="5" borderId="151" xfId="0" applyNumberFormat="1" applyFont="1" applyFill="1" applyBorder="1" applyAlignment="1" applyProtection="1">
      <alignment horizontal="center"/>
      <protection hidden="1"/>
    </xf>
    <xf numFmtId="10" fontId="59" fillId="5" borderId="138" xfId="1" applyNumberFormat="1" applyFont="1" applyFill="1" applyBorder="1" applyAlignment="1" applyProtection="1">
      <alignment horizontal="right" indent="1"/>
      <protection hidden="1"/>
    </xf>
    <xf numFmtId="169" fontId="59" fillId="2" borderId="133" xfId="0" applyNumberFormat="1" applyFont="1" applyFill="1" applyBorder="1" applyAlignment="1" applyProtection="1">
      <alignment horizontal="center"/>
      <protection hidden="1"/>
    </xf>
    <xf numFmtId="169" fontId="59" fillId="5" borderId="133" xfId="0" applyNumberFormat="1" applyFont="1" applyFill="1" applyBorder="1" applyAlignment="1" applyProtection="1">
      <alignment horizontal="center"/>
      <protection hidden="1"/>
    </xf>
    <xf numFmtId="173" fontId="66" fillId="5" borderId="149" xfId="0" applyNumberFormat="1" applyFont="1" applyFill="1" applyBorder="1" applyAlignment="1" applyProtection="1">
      <alignment horizontal="center"/>
      <protection hidden="1"/>
    </xf>
    <xf numFmtId="169" fontId="59" fillId="2" borderId="142" xfId="0" applyNumberFormat="1" applyFont="1" applyFill="1" applyBorder="1" applyAlignment="1" applyProtection="1">
      <alignment horizontal="left" vertical="center" indent="1"/>
      <protection hidden="1"/>
    </xf>
    <xf numFmtId="169" fontId="59" fillId="2" borderId="131" xfId="0" applyNumberFormat="1" applyFont="1" applyFill="1" applyBorder="1" applyAlignment="1" applyProtection="1">
      <alignment horizontal="center"/>
      <protection hidden="1"/>
    </xf>
    <xf numFmtId="169" fontId="59" fillId="2" borderId="131" xfId="0" applyNumberFormat="1" applyFont="1" applyFill="1" applyBorder="1" applyAlignment="1" applyProtection="1">
      <alignment horizontal="center" vertical="center"/>
      <protection hidden="1"/>
    </xf>
    <xf numFmtId="170" fontId="59" fillId="5" borderId="131" xfId="0" applyNumberFormat="1" applyFont="1" applyFill="1" applyBorder="1" applyAlignment="1" applyProtection="1">
      <alignment horizontal="right" indent="1"/>
      <protection hidden="1"/>
    </xf>
    <xf numFmtId="170" fontId="60" fillId="2" borderId="131" xfId="0" applyNumberFormat="1" applyFont="1" applyFill="1" applyBorder="1" applyAlignment="1" applyProtection="1">
      <alignment horizontal="right" indent="1"/>
      <protection hidden="1"/>
    </xf>
    <xf numFmtId="169" fontId="59" fillId="5" borderId="131" xfId="0" applyNumberFormat="1" applyFont="1" applyFill="1" applyBorder="1" applyAlignment="1" applyProtection="1">
      <alignment horizontal="center"/>
      <protection hidden="1"/>
    </xf>
    <xf numFmtId="173" fontId="66" fillId="5" borderId="152" xfId="0" applyNumberFormat="1" applyFont="1" applyFill="1" applyBorder="1" applyAlignment="1" applyProtection="1">
      <alignment horizontal="center"/>
      <protection hidden="1"/>
    </xf>
    <xf numFmtId="10" fontId="59" fillId="5" borderId="143" xfId="1" applyNumberFormat="1" applyFont="1" applyFill="1" applyBorder="1" applyAlignment="1" applyProtection="1">
      <alignment horizontal="right" indent="1"/>
      <protection hidden="1"/>
    </xf>
    <xf numFmtId="0" fontId="8" fillId="19" borderId="0" xfId="0" applyFont="1" applyFill="1" applyAlignment="1" applyProtection="1">
      <alignment horizontal="left" indent="1"/>
      <protection hidden="1"/>
    </xf>
    <xf numFmtId="0" fontId="8" fillId="19" borderId="0" xfId="0" applyFont="1" applyFill="1" applyProtection="1">
      <protection hidden="1"/>
    </xf>
    <xf numFmtId="0" fontId="0" fillId="19" borderId="129" xfId="0" applyFill="1" applyBorder="1" applyProtection="1">
      <protection hidden="1"/>
    </xf>
    <xf numFmtId="0" fontId="0" fillId="19" borderId="87" xfId="0" applyFill="1" applyBorder="1" applyProtection="1">
      <protection hidden="1"/>
    </xf>
    <xf numFmtId="0" fontId="52" fillId="19" borderId="0" xfId="0" applyFont="1" applyFill="1" applyAlignment="1" applyProtection="1">
      <alignment horizontal="center"/>
      <protection hidden="1"/>
    </xf>
    <xf numFmtId="0" fontId="52" fillId="19" borderId="0" xfId="0" applyFont="1" applyFill="1" applyAlignment="1" applyProtection="1">
      <alignment horizontal="center" vertical="center"/>
      <protection hidden="1"/>
    </xf>
    <xf numFmtId="0" fontId="26" fillId="16" borderId="25" xfId="0" applyFont="1" applyFill="1" applyBorder="1" applyAlignment="1" applyProtection="1">
      <alignment horizontal="left" indent="1"/>
      <protection hidden="1"/>
    </xf>
    <xf numFmtId="0" fontId="26" fillId="22" borderId="24" xfId="0" applyFont="1" applyFill="1" applyBorder="1" applyAlignment="1" applyProtection="1">
      <alignment horizontal="left" indent="1"/>
      <protection hidden="1"/>
    </xf>
    <xf numFmtId="0" fontId="26" fillId="21" borderId="26" xfId="0" applyFont="1" applyFill="1" applyBorder="1" applyAlignment="1" applyProtection="1">
      <alignment horizontal="left" indent="1"/>
      <protection hidden="1"/>
    </xf>
    <xf numFmtId="0" fontId="26" fillId="16" borderId="54" xfId="0" applyFont="1" applyFill="1" applyBorder="1" applyAlignment="1" applyProtection="1">
      <alignment horizontal="left" indent="1"/>
      <protection hidden="1"/>
    </xf>
    <xf numFmtId="0" fontId="26" fillId="22" borderId="0" xfId="0" applyFont="1" applyFill="1" applyAlignment="1" applyProtection="1">
      <alignment horizontal="left" indent="1"/>
      <protection hidden="1"/>
    </xf>
    <xf numFmtId="0" fontId="26" fillId="21" borderId="53" xfId="0" applyFont="1" applyFill="1" applyBorder="1" applyAlignment="1" applyProtection="1">
      <alignment horizontal="left" indent="1"/>
      <protection hidden="1"/>
    </xf>
    <xf numFmtId="0" fontId="26" fillId="16" borderId="69" xfId="0" applyFont="1" applyFill="1" applyBorder="1" applyAlignment="1" applyProtection="1">
      <alignment horizontal="left" indent="1"/>
      <protection hidden="1"/>
    </xf>
    <xf numFmtId="0" fontId="26" fillId="22" borderId="70" xfId="0" applyFont="1" applyFill="1" applyBorder="1" applyAlignment="1" applyProtection="1">
      <alignment horizontal="left" indent="1"/>
      <protection hidden="1"/>
    </xf>
    <xf numFmtId="0" fontId="26" fillId="21" borderId="71" xfId="0" applyFont="1" applyFill="1" applyBorder="1" applyAlignment="1" applyProtection="1">
      <alignment horizontal="left" indent="1"/>
      <protection hidden="1"/>
    </xf>
    <xf numFmtId="173" fontId="9" fillId="0" borderId="131" xfId="1" applyNumberFormat="1" applyFont="1" applyFill="1" applyBorder="1" applyAlignment="1" applyProtection="1">
      <alignment horizontal="right" indent="1"/>
      <protection locked="0"/>
    </xf>
    <xf numFmtId="167" fontId="9" fillId="0" borderId="131" xfId="0" applyNumberFormat="1" applyFont="1" applyBorder="1" applyAlignment="1" applyProtection="1">
      <alignment horizontal="center"/>
      <protection locked="0"/>
    </xf>
    <xf numFmtId="177" fontId="122" fillId="0" borderId="131" xfId="2" applyNumberFormat="1" applyFont="1" applyBorder="1" applyAlignment="1" applyProtection="1">
      <alignment horizontal="left" indent="1"/>
      <protection locked="0"/>
    </xf>
    <xf numFmtId="173" fontId="9" fillId="0" borderId="84" xfId="1" applyNumberFormat="1" applyFont="1" applyBorder="1" applyAlignment="1" applyProtection="1">
      <alignment horizontal="right" indent="1"/>
      <protection locked="0"/>
    </xf>
    <xf numFmtId="167" fontId="9" fillId="0" borderId="84" xfId="0" applyNumberFormat="1" applyFont="1" applyBorder="1" applyAlignment="1" applyProtection="1">
      <alignment horizontal="center"/>
      <protection locked="0"/>
    </xf>
    <xf numFmtId="177" fontId="122" fillId="0" borderId="84" xfId="2" applyNumberFormat="1" applyFont="1" applyBorder="1" applyAlignment="1" applyProtection="1">
      <alignment horizontal="left" indent="1"/>
      <protection locked="0"/>
    </xf>
    <xf numFmtId="173" fontId="9" fillId="0" borderId="86" xfId="1" applyNumberFormat="1" applyFont="1" applyBorder="1" applyAlignment="1" applyProtection="1">
      <alignment horizontal="right" indent="1"/>
      <protection locked="0"/>
    </xf>
    <xf numFmtId="167" fontId="9" fillId="0" borderId="86" xfId="0" applyNumberFormat="1" applyFont="1" applyBorder="1" applyAlignment="1" applyProtection="1">
      <alignment horizontal="center"/>
      <protection locked="0"/>
    </xf>
    <xf numFmtId="177" fontId="122" fillId="0" borderId="86" xfId="2" applyNumberFormat="1" applyFont="1" applyBorder="1" applyProtection="1">
      <protection locked="0"/>
    </xf>
    <xf numFmtId="0" fontId="74" fillId="12" borderId="0" xfId="0" applyFont="1" applyFill="1" applyAlignment="1" applyProtection="1">
      <alignment horizontal="centerContinuous" vertical="center"/>
      <protection hidden="1"/>
    </xf>
    <xf numFmtId="0" fontId="0" fillId="12" borderId="0" xfId="0" applyFill="1" applyAlignment="1" applyProtection="1">
      <alignment horizontal="centerContinuous" vertical="center"/>
      <protection hidden="1"/>
    </xf>
    <xf numFmtId="0" fontId="73" fillId="12" borderId="0" xfId="0" applyFont="1" applyFill="1" applyAlignment="1" applyProtection="1">
      <alignment horizontal="centerContinuous"/>
      <protection hidden="1"/>
    </xf>
    <xf numFmtId="0" fontId="10" fillId="16" borderId="49" xfId="0" applyFont="1" applyFill="1" applyBorder="1" applyAlignment="1">
      <alignment horizontal="center" vertical="center" wrapText="1"/>
    </xf>
    <xf numFmtId="0" fontId="0" fillId="0" borderId="248" xfId="0" applyBorder="1"/>
    <xf numFmtId="0" fontId="24" fillId="5" borderId="0" xfId="0" applyFont="1" applyFill="1" applyAlignment="1" applyProtection="1">
      <alignment horizontal="center"/>
      <protection hidden="1"/>
    </xf>
    <xf numFmtId="0" fontId="24" fillId="5" borderId="0" xfId="0" applyFont="1" applyFill="1" applyAlignment="1" applyProtection="1">
      <alignment horizontal="center" vertical="center"/>
      <protection hidden="1"/>
    </xf>
    <xf numFmtId="167" fontId="24" fillId="5" borderId="0" xfId="0" applyNumberFormat="1" applyFont="1" applyFill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18" fillId="32" borderId="2" xfId="0" applyFont="1" applyFill="1" applyBorder="1" applyAlignment="1" applyProtection="1">
      <alignment horizontal="center" vertical="center"/>
      <protection hidden="1"/>
    </xf>
    <xf numFmtId="0" fontId="18" fillId="32" borderId="2" xfId="0" applyFont="1" applyFill="1" applyBorder="1" applyAlignment="1" applyProtection="1">
      <alignment horizontal="center" vertical="center" wrapText="1"/>
      <protection hidden="1"/>
    </xf>
    <xf numFmtId="164" fontId="24" fillId="0" borderId="0" xfId="3" applyFont="1" applyAlignment="1" applyProtection="1">
      <alignment horizontal="center" vertical="center"/>
      <protection hidden="1"/>
    </xf>
    <xf numFmtId="167" fontId="24" fillId="26" borderId="0" xfId="0" applyNumberFormat="1" applyFont="1" applyFill="1" applyAlignment="1" applyProtection="1">
      <alignment horizontal="left" vertical="center"/>
      <protection hidden="1"/>
    </xf>
    <xf numFmtId="0" fontId="10" fillId="28" borderId="0" xfId="0" applyFont="1" applyFill="1" applyAlignment="1" applyProtection="1">
      <alignment vertical="center"/>
      <protection locked="0"/>
    </xf>
    <xf numFmtId="0" fontId="4" fillId="0" borderId="0" xfId="0" applyFont="1"/>
    <xf numFmtId="0" fontId="4" fillId="44" borderId="0" xfId="0" applyFont="1" applyFill="1"/>
    <xf numFmtId="0" fontId="34" fillId="0" borderId="251" xfId="0" applyFont="1" applyBorder="1" applyAlignment="1" applyProtection="1">
      <alignment horizontal="center" vertical="center"/>
      <protection locked="0"/>
    </xf>
    <xf numFmtId="0" fontId="32" fillId="15" borderId="252" xfId="0" applyFont="1" applyFill="1" applyBorder="1" applyAlignment="1">
      <alignment horizontal="left" vertical="center" indent="2"/>
    </xf>
    <xf numFmtId="0" fontId="32" fillId="15" borderId="252" xfId="0" applyFont="1" applyFill="1" applyBorder="1" applyAlignment="1">
      <alignment horizontal="right" vertical="center" indent="2"/>
    </xf>
    <xf numFmtId="165" fontId="18" fillId="0" borderId="251" xfId="2" applyFont="1" applyBorder="1" applyAlignment="1" applyProtection="1">
      <alignment horizontal="center" vertical="center"/>
      <protection locked="0"/>
    </xf>
    <xf numFmtId="167" fontId="124" fillId="0" borderId="9" xfId="0" applyNumberFormat="1" applyFont="1" applyBorder="1" applyAlignment="1" applyProtection="1">
      <alignment horizontal="center" vertical="center"/>
      <protection locked="0"/>
    </xf>
    <xf numFmtId="167" fontId="124" fillId="0" borderId="196" xfId="0" applyNumberFormat="1" applyFont="1" applyBorder="1" applyAlignment="1" applyProtection="1">
      <alignment horizontal="center" vertical="center"/>
      <protection locked="0"/>
    </xf>
    <xf numFmtId="4" fontId="124" fillId="0" borderId="10" xfId="0" applyNumberFormat="1" applyFont="1" applyBorder="1" applyAlignment="1" applyProtection="1">
      <alignment horizontal="right" vertical="center" indent="1"/>
      <protection locked="0"/>
    </xf>
    <xf numFmtId="167" fontId="124" fillId="0" borderId="12" xfId="0" applyNumberFormat="1" applyFont="1" applyBorder="1" applyAlignment="1" applyProtection="1">
      <alignment horizontal="center" vertical="center"/>
      <protection locked="0"/>
    </xf>
    <xf numFmtId="167" fontId="124" fillId="0" borderId="197" xfId="0" applyNumberFormat="1" applyFont="1" applyBorder="1" applyAlignment="1" applyProtection="1">
      <alignment horizontal="center" vertical="center"/>
      <protection locked="0"/>
    </xf>
    <xf numFmtId="4" fontId="124" fillId="0" borderId="13" xfId="0" applyNumberFormat="1" applyFont="1" applyBorder="1" applyAlignment="1" applyProtection="1">
      <alignment horizontal="right" vertical="center" indent="1"/>
      <protection locked="0"/>
    </xf>
    <xf numFmtId="4" fontId="124" fillId="0" borderId="11" xfId="0" applyNumberFormat="1" applyFont="1" applyBorder="1" applyAlignment="1" applyProtection="1">
      <alignment horizontal="right" vertical="center" indent="1"/>
      <protection locked="0"/>
    </xf>
    <xf numFmtId="4" fontId="124" fillId="0" borderId="13" xfId="1" applyNumberFormat="1" applyFont="1" applyFill="1" applyBorder="1" applyAlignment="1" applyProtection="1">
      <alignment horizontal="right" vertical="center" indent="1"/>
      <protection locked="0"/>
    </xf>
    <xf numFmtId="4" fontId="124" fillId="0" borderId="14" xfId="0" applyNumberFormat="1" applyFont="1" applyBorder="1" applyAlignment="1" applyProtection="1">
      <alignment horizontal="right" vertical="center" indent="1"/>
      <protection locked="0"/>
    </xf>
    <xf numFmtId="167" fontId="124" fillId="0" borderId="198" xfId="0" applyNumberFormat="1" applyFont="1" applyBorder="1" applyAlignment="1" applyProtection="1">
      <alignment horizontal="center" vertical="center"/>
      <protection locked="0"/>
    </xf>
    <xf numFmtId="4" fontId="124" fillId="0" borderId="17" xfId="0" applyNumberFormat="1" applyFont="1" applyBorder="1" applyAlignment="1" applyProtection="1">
      <alignment horizontal="right" vertical="center" indent="1"/>
      <protection locked="0"/>
    </xf>
    <xf numFmtId="4" fontId="124" fillId="0" borderId="17" xfId="1" applyNumberFormat="1" applyFont="1" applyFill="1" applyBorder="1" applyAlignment="1" applyProtection="1">
      <alignment horizontal="right" vertical="center" indent="1"/>
      <protection locked="0"/>
    </xf>
    <xf numFmtId="4" fontId="124" fillId="0" borderId="18" xfId="0" applyNumberFormat="1" applyFont="1" applyBorder="1" applyAlignment="1" applyProtection="1">
      <alignment horizontal="right" vertical="center" indent="1"/>
      <protection locked="0"/>
    </xf>
    <xf numFmtId="0" fontId="24" fillId="0" borderId="0" xfId="0" applyFont="1" applyAlignment="1" applyProtection="1">
      <alignment horizontal="center" textRotation="90"/>
      <protection hidden="1"/>
    </xf>
    <xf numFmtId="0" fontId="5" fillId="0" borderId="0" xfId="0" applyFont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/>
      <protection hidden="1"/>
    </xf>
    <xf numFmtId="0" fontId="0" fillId="0" borderId="25" xfId="0" applyBorder="1"/>
    <xf numFmtId="0" fontId="0" fillId="0" borderId="24" xfId="0" applyBorder="1"/>
    <xf numFmtId="0" fontId="0" fillId="0" borderId="26" xfId="0" applyBorder="1"/>
    <xf numFmtId="0" fontId="32" fillId="15" borderId="253" xfId="0" applyFont="1" applyFill="1" applyBorder="1" applyAlignment="1">
      <alignment horizontal="right" vertical="center" indent="2"/>
    </xf>
    <xf numFmtId="0" fontId="32" fillId="15" borderId="253" xfId="0" applyFont="1" applyFill="1" applyBorder="1" applyAlignment="1">
      <alignment horizontal="left" vertical="center" indent="2"/>
    </xf>
    <xf numFmtId="0" fontId="32" fillId="32" borderId="2" xfId="0" applyFont="1" applyFill="1" applyBorder="1" applyAlignment="1" applyProtection="1">
      <alignment horizontal="center" vertical="center" wrapText="1"/>
      <protection hidden="1"/>
    </xf>
    <xf numFmtId="0" fontId="131" fillId="0" borderId="0" xfId="0" applyFont="1" applyProtection="1">
      <protection hidden="1"/>
    </xf>
    <xf numFmtId="0" fontId="0" fillId="19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24" fillId="0" borderId="38" xfId="0" applyFont="1" applyBorder="1" applyAlignment="1" applyProtection="1">
      <alignment horizontal="center" vertical="center"/>
      <protection locked="0"/>
    </xf>
    <xf numFmtId="0" fontId="24" fillId="0" borderId="37" xfId="0" applyFont="1" applyBorder="1" applyAlignment="1" applyProtection="1">
      <alignment horizontal="left" vertical="center"/>
      <protection locked="0"/>
    </xf>
    <xf numFmtId="0" fontId="20" fillId="0" borderId="40" xfId="0" applyFont="1" applyBorder="1" applyAlignment="1" applyProtection="1">
      <alignment horizontal="left" vertical="center"/>
      <protection locked="0"/>
    </xf>
    <xf numFmtId="0" fontId="24" fillId="0" borderId="37" xfId="0" applyFont="1" applyBorder="1" applyAlignment="1" applyProtection="1">
      <alignment horizontal="center" vertical="center"/>
      <protection locked="0"/>
    </xf>
    <xf numFmtId="0" fontId="20" fillId="0" borderId="40" xfId="0" quotePrefix="1" applyFont="1" applyBorder="1" applyAlignment="1" applyProtection="1">
      <alignment horizontal="left" vertical="center"/>
      <protection locked="0"/>
    </xf>
    <xf numFmtId="0" fontId="24" fillId="0" borderId="39" xfId="0" applyFont="1" applyBorder="1" applyAlignment="1" applyProtection="1">
      <alignment horizontal="center" vertical="center"/>
      <protection locked="0"/>
    </xf>
    <xf numFmtId="0" fontId="20" fillId="0" borderId="41" xfId="0" applyFont="1" applyBorder="1" applyAlignment="1" applyProtection="1">
      <alignment horizontal="left" vertical="center"/>
      <protection locked="0"/>
    </xf>
    <xf numFmtId="0" fontId="0" fillId="2" borderId="248" xfId="0" applyFill="1" applyBorder="1"/>
    <xf numFmtId="0" fontId="117" fillId="46" borderId="99" xfId="0" applyFont="1" applyFill="1" applyBorder="1" applyAlignment="1">
      <alignment horizontal="center" vertical="center"/>
    </xf>
    <xf numFmtId="0" fontId="26" fillId="11" borderId="267" xfId="0" applyFont="1" applyFill="1" applyBorder="1" applyAlignment="1" applyProtection="1">
      <alignment horizontal="left" vertical="center" indent="1"/>
      <protection locked="0"/>
    </xf>
    <xf numFmtId="0" fontId="26" fillId="11" borderId="268" xfId="0" applyFont="1" applyFill="1" applyBorder="1" applyAlignment="1" applyProtection="1">
      <alignment horizontal="left" vertical="center" indent="1"/>
      <protection locked="0"/>
    </xf>
    <xf numFmtId="0" fontId="26" fillId="11" borderId="269" xfId="0" applyFont="1" applyFill="1" applyBorder="1" applyAlignment="1" applyProtection="1">
      <alignment horizontal="left" vertical="center" indent="1"/>
      <protection locked="0"/>
    </xf>
    <xf numFmtId="0" fontId="117" fillId="46" borderId="108" xfId="0" applyFont="1" applyFill="1" applyBorder="1" applyAlignment="1">
      <alignment horizontal="center" vertical="center"/>
    </xf>
    <xf numFmtId="0" fontId="128" fillId="46" borderId="270" xfId="0" applyFont="1" applyFill="1" applyBorder="1" applyAlignment="1">
      <alignment horizontal="center" vertical="center"/>
    </xf>
    <xf numFmtId="0" fontId="128" fillId="46" borderId="272" xfId="0" applyFont="1" applyFill="1" applyBorder="1" applyAlignment="1">
      <alignment horizontal="center" vertical="center"/>
    </xf>
    <xf numFmtId="0" fontId="0" fillId="5" borderId="0" xfId="0" applyFill="1"/>
    <xf numFmtId="0" fontId="116" fillId="5" borderId="0" xfId="0" applyFont="1" applyFill="1"/>
    <xf numFmtId="189" fontId="26" fillId="11" borderId="268" xfId="0" applyNumberFormat="1" applyFont="1" applyFill="1" applyBorder="1" applyAlignment="1" applyProtection="1">
      <alignment horizontal="left" vertical="center" indent="1"/>
      <protection locked="0"/>
    </xf>
    <xf numFmtId="0" fontId="133" fillId="11" borderId="268" xfId="4" applyFont="1" applyFill="1" applyBorder="1" applyAlignment="1" applyProtection="1">
      <alignment horizontal="left" vertical="center" indent="1"/>
      <protection locked="0"/>
    </xf>
    <xf numFmtId="0" fontId="26" fillId="11" borderId="271" xfId="0" applyFont="1" applyFill="1" applyBorder="1" applyAlignment="1" applyProtection="1">
      <alignment horizontal="left" vertical="center" indent="1"/>
      <protection locked="0"/>
    </xf>
    <xf numFmtId="189" fontId="26" fillId="11" borderId="267" xfId="0" applyNumberFormat="1" applyFont="1" applyFill="1" applyBorder="1" applyAlignment="1" applyProtection="1">
      <alignment horizontal="left" vertical="center" indent="1"/>
      <protection locked="0"/>
    </xf>
    <xf numFmtId="0" fontId="107" fillId="19" borderId="0" xfId="0" applyFont="1" applyFill="1" applyAlignment="1" applyProtection="1">
      <alignment horizontal="left" indent="1"/>
      <protection hidden="1"/>
    </xf>
    <xf numFmtId="1" fontId="107" fillId="19" borderId="0" xfId="0" applyNumberFormat="1" applyFont="1" applyFill="1" applyAlignment="1" applyProtection="1">
      <alignment horizontal="left" vertical="center" indent="1"/>
      <protection hidden="1"/>
    </xf>
    <xf numFmtId="0" fontId="136" fillId="4" borderId="0" xfId="0" applyFont="1" applyFill="1"/>
    <xf numFmtId="165" fontId="26" fillId="11" borderId="267" xfId="2" applyFont="1" applyFill="1" applyBorder="1" applyAlignment="1" applyProtection="1">
      <alignment horizontal="left" vertical="center" indent="1"/>
      <protection locked="0"/>
    </xf>
    <xf numFmtId="14" fontId="26" fillId="11" borderId="267" xfId="2" applyNumberFormat="1" applyFont="1" applyFill="1" applyBorder="1" applyAlignment="1" applyProtection="1">
      <alignment horizontal="left" vertical="center" indent="1"/>
      <protection locked="0"/>
    </xf>
    <xf numFmtId="0" fontId="19" fillId="20" borderId="0" xfId="0" applyFont="1" applyFill="1" applyAlignment="1">
      <alignment horizontal="center"/>
    </xf>
    <xf numFmtId="0" fontId="19" fillId="20" borderId="0" xfId="0" applyFont="1" applyFill="1" applyAlignment="1">
      <alignment horizontal="center" vertical="center"/>
    </xf>
    <xf numFmtId="165" fontId="4" fillId="0" borderId="0" xfId="2" applyFont="1"/>
    <xf numFmtId="0" fontId="10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165" fontId="4" fillId="4" borderId="0" xfId="2" applyFont="1" applyFill="1" applyAlignment="1">
      <alignment horizontal="center" vertical="center"/>
    </xf>
    <xf numFmtId="0" fontId="137" fillId="46" borderId="108" xfId="0" applyFont="1" applyFill="1" applyBorder="1" applyAlignment="1">
      <alignment horizontal="center" vertical="center"/>
    </xf>
    <xf numFmtId="0" fontId="137" fillId="46" borderId="108" xfId="0" applyFont="1" applyFill="1" applyBorder="1" applyAlignment="1">
      <alignment horizontal="center" vertical="center" wrapText="1"/>
    </xf>
    <xf numFmtId="0" fontId="137" fillId="46" borderId="99" xfId="0" applyFont="1" applyFill="1" applyBorder="1" applyAlignment="1">
      <alignment horizontal="center" vertical="center"/>
    </xf>
    <xf numFmtId="4" fontId="0" fillId="2" borderId="0" xfId="0" applyNumberFormat="1" applyFill="1"/>
    <xf numFmtId="0" fontId="0" fillId="28" borderId="70" xfId="0" applyFill="1" applyBorder="1" applyAlignment="1" applyProtection="1">
      <alignment vertical="center"/>
      <protection hidden="1"/>
    </xf>
    <xf numFmtId="0" fontId="0" fillId="2" borderId="70" xfId="0" applyFill="1" applyBorder="1" applyAlignment="1" applyProtection="1">
      <alignment vertical="center"/>
      <protection hidden="1"/>
    </xf>
    <xf numFmtId="164" fontId="41" fillId="2" borderId="0" xfId="3" applyFont="1" applyFill="1"/>
    <xf numFmtId="164" fontId="0" fillId="2" borderId="0" xfId="0" applyNumberFormat="1" applyFill="1"/>
    <xf numFmtId="0" fontId="10" fillId="29" borderId="49" xfId="0" applyFont="1" applyFill="1" applyBorder="1" applyAlignment="1">
      <alignment horizontal="center" vertical="center"/>
    </xf>
    <xf numFmtId="10" fontId="18" fillId="9" borderId="80" xfId="1" applyNumberFormat="1" applyFont="1" applyFill="1" applyBorder="1" applyAlignment="1">
      <alignment horizontal="right" vertical="center" indent="1"/>
    </xf>
    <xf numFmtId="10" fontId="18" fillId="9" borderId="6" xfId="1" applyNumberFormat="1" applyFont="1" applyFill="1" applyBorder="1" applyAlignment="1">
      <alignment horizontal="right" vertical="center" indent="1"/>
    </xf>
    <xf numFmtId="10" fontId="36" fillId="2" borderId="42" xfId="1" applyNumberFormat="1" applyFont="1" applyFill="1" applyBorder="1" applyProtection="1">
      <protection hidden="1"/>
    </xf>
    <xf numFmtId="190" fontId="32" fillId="9" borderId="80" xfId="1" applyNumberFormat="1" applyFont="1" applyFill="1" applyBorder="1" applyAlignment="1">
      <alignment horizontal="right" vertical="center" indent="1"/>
    </xf>
    <xf numFmtId="190" fontId="32" fillId="9" borderId="6" xfId="1" applyNumberFormat="1" applyFont="1" applyFill="1" applyBorder="1" applyAlignment="1">
      <alignment horizontal="right" vertical="center" indent="1"/>
    </xf>
    <xf numFmtId="190" fontId="20" fillId="2" borderId="43" xfId="0" applyNumberFormat="1" applyFont="1" applyFill="1" applyBorder="1" applyAlignment="1" applyProtection="1">
      <alignment horizontal="right" indent="1"/>
      <protection hidden="1"/>
    </xf>
    <xf numFmtId="4" fontId="33" fillId="2" borderId="276" xfId="0" applyNumberFormat="1" applyFont="1" applyFill="1" applyBorder="1" applyProtection="1">
      <protection hidden="1"/>
    </xf>
    <xf numFmtId="10" fontId="36" fillId="2" borderId="277" xfId="1" applyNumberFormat="1" applyFont="1" applyFill="1" applyBorder="1" applyProtection="1">
      <protection hidden="1"/>
    </xf>
    <xf numFmtId="4" fontId="33" fillId="2" borderId="277" xfId="0" applyNumberFormat="1" applyFont="1" applyFill="1" applyBorder="1" applyProtection="1">
      <protection hidden="1"/>
    </xf>
    <xf numFmtId="0" fontId="101" fillId="2" borderId="0" xfId="0" applyFont="1" applyFill="1" applyAlignment="1" applyProtection="1">
      <alignment horizontal="left" vertical="center" indent="1"/>
      <protection hidden="1"/>
    </xf>
    <xf numFmtId="177" fontId="101" fillId="2" borderId="0" xfId="0" applyNumberFormat="1" applyFont="1" applyFill="1" applyAlignment="1" applyProtection="1">
      <alignment horizontal="left" vertical="center" indent="1"/>
      <protection hidden="1"/>
    </xf>
    <xf numFmtId="0" fontId="138" fillId="17" borderId="279" xfId="0" applyFont="1" applyFill="1" applyBorder="1" applyAlignment="1">
      <alignment horizontal="centerContinuous"/>
    </xf>
    <xf numFmtId="0" fontId="134" fillId="17" borderId="279" xfId="0" applyFont="1" applyFill="1" applyBorder="1" applyAlignment="1">
      <alignment horizontal="centerContinuous"/>
    </xf>
    <xf numFmtId="0" fontId="134" fillId="17" borderId="280" xfId="0" applyFont="1" applyFill="1" applyBorder="1" applyAlignment="1">
      <alignment horizontal="centerContinuous"/>
    </xf>
    <xf numFmtId="0" fontId="134" fillId="17" borderId="278" xfId="0" applyFont="1" applyFill="1" applyBorder="1" applyAlignment="1">
      <alignment horizontal="centerContinuous"/>
    </xf>
    <xf numFmtId="0" fontId="18" fillId="2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1"/>
    </xf>
    <xf numFmtId="0" fontId="0" fillId="2" borderId="0" xfId="0" applyFill="1" applyAlignment="1">
      <alignment horizontal="left" indent="1"/>
    </xf>
    <xf numFmtId="0" fontId="139" fillId="4" borderId="0" xfId="0" applyFont="1" applyFill="1" applyAlignment="1">
      <alignment horizontal="centerContinuous" vertical="center"/>
    </xf>
    <xf numFmtId="0" fontId="0" fillId="4" borderId="0" xfId="0" applyFill="1" applyAlignment="1">
      <alignment horizontal="centerContinuous"/>
    </xf>
    <xf numFmtId="0" fontId="140" fillId="2" borderId="0" xfId="0" applyFont="1" applyFill="1"/>
    <xf numFmtId="0" fontId="140" fillId="2" borderId="0" xfId="0" applyFont="1" applyFill="1" applyAlignment="1">
      <alignment vertical="center"/>
    </xf>
    <xf numFmtId="0" fontId="24" fillId="5" borderId="281" xfId="1" applyNumberFormat="1" applyFont="1" applyFill="1" applyBorder="1" applyAlignment="1" applyProtection="1">
      <alignment horizontal="left" vertical="center" indent="1"/>
      <protection hidden="1"/>
    </xf>
    <xf numFmtId="170" fontId="24" fillId="5" borderId="282" xfId="3" applyNumberFormat="1" applyFont="1" applyFill="1" applyBorder="1" applyAlignment="1" applyProtection="1">
      <alignment horizontal="right" vertical="center" indent="1"/>
      <protection hidden="1"/>
    </xf>
    <xf numFmtId="164" fontId="24" fillId="5" borderId="282" xfId="3" applyFont="1" applyFill="1" applyBorder="1" applyAlignment="1" applyProtection="1">
      <alignment horizontal="right" vertical="center" indent="1"/>
      <protection hidden="1"/>
    </xf>
    <xf numFmtId="164" fontId="24" fillId="5" borderId="283" xfId="3" applyFont="1" applyFill="1" applyBorder="1" applyAlignment="1" applyProtection="1">
      <alignment horizontal="right" vertical="center" indent="1"/>
      <protection hidden="1"/>
    </xf>
    <xf numFmtId="0" fontId="0" fillId="0" borderId="54" xfId="0" applyBorder="1" applyProtection="1">
      <protection hidden="1"/>
    </xf>
    <xf numFmtId="0" fontId="24" fillId="0" borderId="53" xfId="0" applyFont="1" applyBorder="1" applyAlignment="1" applyProtection="1">
      <alignment horizontal="center" vertical="center"/>
      <protection hidden="1"/>
    </xf>
    <xf numFmtId="0" fontId="0" fillId="0" borderId="69" xfId="0" applyBorder="1" applyProtection="1">
      <protection hidden="1"/>
    </xf>
    <xf numFmtId="0" fontId="24" fillId="0" borderId="70" xfId="0" applyFont="1" applyBorder="1" applyProtection="1">
      <protection hidden="1"/>
    </xf>
    <xf numFmtId="0" fontId="24" fillId="0" borderId="71" xfId="0" applyFont="1" applyBorder="1" applyAlignment="1" applyProtection="1">
      <alignment horizontal="center" vertical="center"/>
      <protection hidden="1"/>
    </xf>
    <xf numFmtId="0" fontId="142" fillId="0" borderId="0" xfId="0" applyFont="1"/>
    <xf numFmtId="0" fontId="0" fillId="48" borderId="24" xfId="0" applyFill="1" applyBorder="1" applyProtection="1">
      <protection hidden="1"/>
    </xf>
    <xf numFmtId="0" fontId="0" fillId="48" borderId="26" xfId="0" applyFill="1" applyBorder="1" applyProtection="1">
      <protection hidden="1"/>
    </xf>
    <xf numFmtId="0" fontId="146" fillId="19" borderId="0" xfId="0" applyFont="1" applyFill="1" applyAlignment="1" applyProtection="1">
      <alignment textRotation="255"/>
      <protection hidden="1"/>
    </xf>
    <xf numFmtId="0" fontId="75" fillId="48" borderId="54" xfId="0" applyFont="1" applyFill="1" applyBorder="1" applyProtection="1">
      <protection hidden="1"/>
    </xf>
    <xf numFmtId="0" fontId="0" fillId="48" borderId="0" xfId="0" applyFill="1" applyProtection="1">
      <protection hidden="1"/>
    </xf>
    <xf numFmtId="0" fontId="0" fillId="48" borderId="53" xfId="0" applyFill="1" applyBorder="1" applyProtection="1">
      <protection hidden="1"/>
    </xf>
    <xf numFmtId="0" fontId="77" fillId="19" borderId="0" xfId="0" applyFont="1" applyFill="1" applyProtection="1">
      <protection hidden="1"/>
    </xf>
    <xf numFmtId="0" fontId="75" fillId="48" borderId="69" xfId="0" applyFont="1" applyFill="1" applyBorder="1" applyProtection="1">
      <protection hidden="1"/>
    </xf>
    <xf numFmtId="0" fontId="0" fillId="48" borderId="70" xfId="0" applyFill="1" applyBorder="1" applyProtection="1">
      <protection hidden="1"/>
    </xf>
    <xf numFmtId="0" fontId="0" fillId="48" borderId="71" xfId="0" applyFill="1" applyBorder="1" applyProtection="1">
      <protection hidden="1"/>
    </xf>
    <xf numFmtId="0" fontId="29" fillId="20" borderId="0" xfId="0" applyFont="1" applyFill="1" applyAlignment="1" applyProtection="1">
      <alignment horizontal="centerContinuous" vertical="center"/>
      <protection hidden="1"/>
    </xf>
    <xf numFmtId="0" fontId="75" fillId="48" borderId="25" xfId="0" applyFont="1" applyFill="1" applyBorder="1" applyProtection="1">
      <protection hidden="1"/>
    </xf>
    <xf numFmtId="0" fontId="139" fillId="20" borderId="0" xfId="0" applyFont="1" applyFill="1" applyAlignment="1">
      <alignment horizontal="centerContinuous" vertical="center"/>
    </xf>
    <xf numFmtId="0" fontId="0" fillId="20" borderId="0" xfId="0" applyFill="1" applyAlignment="1">
      <alignment horizontal="centerContinuous"/>
    </xf>
    <xf numFmtId="0" fontId="0" fillId="2" borderId="0" xfId="0" applyFill="1" applyAlignment="1" applyProtection="1">
      <alignment horizontal="left" indent="1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1" fontId="8" fillId="2" borderId="0" xfId="0" applyNumberFormat="1" applyFont="1" applyFill="1" applyAlignment="1" applyProtection="1">
      <alignment horizontal="left" vertical="center" indent="1"/>
      <protection hidden="1"/>
    </xf>
    <xf numFmtId="0" fontId="50" fillId="2" borderId="0" xfId="0" applyFont="1" applyFill="1" applyAlignment="1" applyProtection="1">
      <alignment horizontal="left" indent="1"/>
      <protection hidden="1"/>
    </xf>
    <xf numFmtId="0" fontId="4" fillId="2" borderId="0" xfId="0" applyFont="1" applyFill="1" applyProtection="1">
      <protection hidden="1"/>
    </xf>
    <xf numFmtId="173" fontId="12" fillId="14" borderId="0" xfId="0" applyNumberFormat="1" applyFont="1" applyFill="1" applyAlignment="1" applyProtection="1">
      <alignment horizontal="center" vertical="center"/>
      <protection hidden="1"/>
    </xf>
    <xf numFmtId="0" fontId="154" fillId="49" borderId="0" xfId="0" applyFont="1" applyFill="1" applyAlignment="1">
      <alignment vertical="center"/>
    </xf>
    <xf numFmtId="2" fontId="130" fillId="14" borderId="0" xfId="0" applyNumberFormat="1" applyFont="1" applyFill="1" applyAlignment="1" applyProtection="1">
      <alignment horizontal="center"/>
      <protection hidden="1"/>
    </xf>
    <xf numFmtId="2" fontId="130" fillId="14" borderId="0" xfId="3" applyNumberFormat="1" applyFont="1" applyFill="1" applyAlignment="1" applyProtection="1">
      <alignment horizontal="center"/>
      <protection hidden="1"/>
    </xf>
    <xf numFmtId="0" fontId="151" fillId="3" borderId="291" xfId="0" applyFont="1" applyFill="1" applyBorder="1" applyAlignment="1" applyProtection="1">
      <alignment horizontal="center" vertical="center" wrapText="1"/>
      <protection hidden="1"/>
    </xf>
    <xf numFmtId="2" fontId="123" fillId="0" borderId="292" xfId="0" applyNumberFormat="1" applyFont="1" applyBorder="1" applyAlignment="1" applyProtection="1">
      <alignment horizontal="center" vertical="center"/>
      <protection locked="0"/>
    </xf>
    <xf numFmtId="0" fontId="125" fillId="3" borderId="291" xfId="0" applyFont="1" applyFill="1" applyBorder="1" applyAlignment="1" applyProtection="1">
      <alignment horizontal="center" vertical="center" wrapText="1"/>
      <protection hidden="1"/>
    </xf>
    <xf numFmtId="0" fontId="0" fillId="2" borderId="0" xfId="0" applyFill="1" applyAlignment="1">
      <alignment horizontal="center" vertical="center"/>
    </xf>
    <xf numFmtId="0" fontId="132" fillId="0" borderId="0" xfId="4" applyProtection="1">
      <protection hidden="1"/>
    </xf>
    <xf numFmtId="1" fontId="50" fillId="2" borderId="0" xfId="0" applyNumberFormat="1" applyFont="1" applyFill="1" applyAlignment="1">
      <alignment horizontal="left" vertical="center"/>
    </xf>
    <xf numFmtId="0" fontId="23" fillId="23" borderId="0" xfId="0" applyFont="1" applyFill="1" applyProtection="1">
      <protection hidden="1"/>
    </xf>
    <xf numFmtId="0" fontId="111" fillId="23" borderId="0" xfId="0" applyFont="1" applyFill="1" applyAlignment="1" applyProtection="1">
      <alignment horizontal="center" vertical="center"/>
      <protection hidden="1"/>
    </xf>
    <xf numFmtId="0" fontId="48" fillId="23" borderId="0" xfId="0" applyFont="1" applyFill="1" applyAlignment="1" applyProtection="1">
      <alignment vertical="center"/>
      <protection hidden="1"/>
    </xf>
    <xf numFmtId="0" fontId="156" fillId="32" borderId="2" xfId="0" applyFont="1" applyFill="1" applyBorder="1" applyAlignment="1" applyProtection="1">
      <alignment horizontal="center" vertical="center"/>
      <protection hidden="1"/>
    </xf>
    <xf numFmtId="0" fontId="157" fillId="23" borderId="0" xfId="0" applyFont="1" applyFill="1" applyAlignment="1" applyProtection="1">
      <alignment horizontal="center"/>
      <protection locked="0" hidden="1"/>
    </xf>
    <xf numFmtId="0" fontId="158" fillId="23" borderId="0" xfId="0" applyFont="1" applyFill="1" applyAlignment="1" applyProtection="1">
      <alignment vertical="center"/>
      <protection hidden="1"/>
    </xf>
    <xf numFmtId="0" fontId="10" fillId="5" borderId="0" xfId="0" applyFont="1" applyFill="1"/>
    <xf numFmtId="0" fontId="21" fillId="0" borderId="0" xfId="0" applyFont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14" fillId="0" borderId="0" xfId="0" applyFont="1" applyProtection="1">
      <protection hidden="1"/>
    </xf>
    <xf numFmtId="0" fontId="14" fillId="0" borderId="0" xfId="0" applyFont="1" applyAlignment="1" applyProtection="1">
      <alignment horizontal="center" vertical="center"/>
      <protection hidden="1"/>
    </xf>
    <xf numFmtId="169" fontId="14" fillId="0" borderId="0" xfId="0" applyNumberFormat="1" applyFont="1" applyAlignment="1" applyProtection="1">
      <alignment horizontal="center" vertical="center"/>
      <protection hidden="1"/>
    </xf>
    <xf numFmtId="191" fontId="4" fillId="0" borderId="0" xfId="0" applyNumberFormat="1" applyFont="1"/>
    <xf numFmtId="164" fontId="4" fillId="0" borderId="0" xfId="3" applyFont="1"/>
    <xf numFmtId="192" fontId="26" fillId="0" borderId="0" xfId="0" applyNumberFormat="1" applyFont="1" applyAlignment="1">
      <alignment horizontal="center" vertical="center"/>
    </xf>
    <xf numFmtId="187" fontId="18" fillId="0" borderId="354" xfId="0" applyNumberFormat="1" applyFont="1" applyBorder="1" applyAlignment="1" applyProtection="1">
      <alignment horizontal="left" vertical="center" indent="1"/>
      <protection locked="0"/>
    </xf>
    <xf numFmtId="0" fontId="169" fillId="44" borderId="0" xfId="0" applyFont="1" applyFill="1"/>
    <xf numFmtId="190" fontId="32" fillId="2" borderId="353" xfId="0" applyNumberFormat="1" applyFont="1" applyFill="1" applyBorder="1" applyAlignment="1" applyProtection="1">
      <alignment horizontal="left" vertical="center" indent="1"/>
      <protection hidden="1"/>
    </xf>
    <xf numFmtId="1" fontId="56" fillId="2" borderId="354" xfId="0" applyNumberFormat="1" applyFont="1" applyFill="1" applyBorder="1" applyAlignment="1" applyProtection="1">
      <alignment horizontal="left" vertical="center" indent="2"/>
      <protection hidden="1"/>
    </xf>
    <xf numFmtId="1" fontId="56" fillId="0" borderId="354" xfId="0" applyNumberFormat="1" applyFont="1" applyBorder="1" applyAlignment="1" applyProtection="1">
      <alignment horizontal="left" vertical="center" indent="2"/>
      <protection locked="0"/>
    </xf>
    <xf numFmtId="0" fontId="143" fillId="38" borderId="0" xfId="0" applyFont="1" applyFill="1" applyAlignment="1" applyProtection="1">
      <alignment horizontal="center" vertical="center"/>
      <protection hidden="1"/>
    </xf>
    <xf numFmtId="0" fontId="172" fillId="38" borderId="0" xfId="0" applyFont="1" applyFill="1" applyAlignment="1" applyProtection="1">
      <alignment horizontal="center" vertical="center"/>
      <protection hidden="1"/>
    </xf>
    <xf numFmtId="0" fontId="4" fillId="0" borderId="0" xfId="0" applyFont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0" fontId="52" fillId="19" borderId="0" xfId="0" applyFont="1" applyFill="1" applyAlignment="1">
      <alignment horizontal="center"/>
    </xf>
    <xf numFmtId="0" fontId="107" fillId="19" borderId="0" xfId="0" applyFont="1" applyFill="1"/>
    <xf numFmtId="0" fontId="19" fillId="3" borderId="0" xfId="0" applyFont="1" applyFill="1" applyAlignment="1" applyProtection="1">
      <alignment vertical="center"/>
      <protection hidden="1"/>
    </xf>
    <xf numFmtId="0" fontId="0" fillId="0" borderId="0" xfId="0" applyAlignment="1" applyProtection="1">
      <alignment horizontal="right" vertical="center" indent="1"/>
      <protection locked="0"/>
    </xf>
    <xf numFmtId="0" fontId="26" fillId="0" borderId="0" xfId="0" applyFont="1"/>
    <xf numFmtId="167" fontId="124" fillId="0" borderId="239" xfId="0" applyNumberFormat="1" applyFont="1" applyBorder="1" applyAlignment="1" applyProtection="1">
      <alignment horizontal="center" vertical="center" wrapText="1"/>
      <protection locked="0"/>
    </xf>
    <xf numFmtId="167" fontId="124" fillId="0" borderId="240" xfId="0" applyNumberFormat="1" applyFont="1" applyBorder="1" applyAlignment="1" applyProtection="1">
      <alignment horizontal="center" vertical="center" wrapText="1"/>
      <protection locked="0"/>
    </xf>
    <xf numFmtId="167" fontId="124" fillId="0" borderId="15" xfId="0" applyNumberFormat="1" applyFont="1" applyBorder="1" applyAlignment="1" applyProtection="1">
      <alignment horizontal="left" vertical="center" wrapText="1"/>
      <protection locked="0"/>
    </xf>
    <xf numFmtId="167" fontId="124" fillId="0" borderId="16" xfId="0" applyNumberFormat="1" applyFont="1" applyBorder="1" applyAlignment="1" applyProtection="1">
      <alignment horizontal="left" vertical="center" wrapText="1"/>
      <protection locked="0"/>
    </xf>
    <xf numFmtId="2" fontId="124" fillId="0" borderId="239" xfId="0" applyNumberFormat="1" applyFont="1" applyBorder="1" applyAlignment="1" applyProtection="1">
      <alignment horizontal="center" vertical="center" wrapText="1"/>
      <protection locked="0"/>
    </xf>
    <xf numFmtId="2" fontId="124" fillId="0" borderId="240" xfId="0" applyNumberFormat="1" applyFont="1" applyBorder="1" applyAlignment="1" applyProtection="1">
      <alignment horizontal="center" vertical="center" wrapText="1"/>
      <protection locked="0"/>
    </xf>
    <xf numFmtId="170" fontId="4" fillId="0" borderId="0" xfId="3" applyNumberFormat="1" applyFont="1"/>
    <xf numFmtId="0" fontId="151" fillId="3" borderId="0" xfId="0" applyFont="1" applyFill="1" applyAlignment="1">
      <alignment horizontal="center" vertical="center"/>
    </xf>
    <xf numFmtId="0" fontId="169" fillId="3" borderId="0" xfId="0" applyFont="1" applyFill="1" applyAlignment="1">
      <alignment horizontal="center" vertical="center"/>
    </xf>
    <xf numFmtId="0" fontId="151" fillId="3" borderId="0" xfId="0" applyFont="1" applyFill="1" applyAlignment="1">
      <alignment horizontal="center" vertical="center" wrapText="1"/>
    </xf>
    <xf numFmtId="170" fontId="151" fillId="3" borderId="0" xfId="3" applyNumberFormat="1" applyFont="1" applyFill="1" applyAlignment="1">
      <alignment horizontal="center" vertical="center"/>
    </xf>
    <xf numFmtId="0" fontId="177" fillId="17" borderId="390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2" fillId="0" borderId="0" xfId="0" applyFont="1"/>
    <xf numFmtId="164" fontId="42" fillId="0" borderId="0" xfId="3" applyFont="1" applyAlignment="1">
      <alignment horizontal="center" vertical="center"/>
    </xf>
    <xf numFmtId="194" fontId="42" fillId="0" borderId="0" xfId="3" applyNumberFormat="1" applyFont="1"/>
    <xf numFmtId="170" fontId="42" fillId="26" borderId="0" xfId="3" applyNumberFormat="1" applyFont="1" applyFill="1"/>
    <xf numFmtId="164" fontId="42" fillId="0" borderId="0" xfId="3" applyFont="1"/>
    <xf numFmtId="164" fontId="57" fillId="0" borderId="0" xfId="3" applyFont="1"/>
    <xf numFmtId="170" fontId="42" fillId="0" borderId="0" xfId="3" applyNumberFormat="1" applyFont="1"/>
    <xf numFmtId="174" fontId="42" fillId="0" borderId="0" xfId="3" applyNumberFormat="1" applyFont="1"/>
    <xf numFmtId="9" fontId="4" fillId="0" borderId="0" xfId="1" applyFont="1" applyAlignment="1">
      <alignment horizontal="center" vertical="center"/>
    </xf>
    <xf numFmtId="170" fontId="21" fillId="0" borderId="0" xfId="3" applyNumberFormat="1" applyFont="1"/>
    <xf numFmtId="170" fontId="42" fillId="0" borderId="0" xfId="3" applyNumberFormat="1" applyFont="1" applyFill="1"/>
    <xf numFmtId="170" fontId="42" fillId="0" borderId="0" xfId="3" applyNumberFormat="1" applyFont="1" applyAlignment="1">
      <alignment horizontal="right" indent="2"/>
    </xf>
    <xf numFmtId="0" fontId="57" fillId="0" borderId="0" xfId="0" applyFont="1" applyAlignment="1">
      <alignment horizontal="center" vertical="center"/>
    </xf>
    <xf numFmtId="0" fontId="57" fillId="0" borderId="0" xfId="0" applyFont="1"/>
    <xf numFmtId="164" fontId="57" fillId="0" borderId="0" xfId="3" applyFont="1" applyAlignment="1">
      <alignment horizontal="center" vertical="center"/>
    </xf>
    <xf numFmtId="194" fontId="57" fillId="0" borderId="0" xfId="3" applyNumberFormat="1" applyFont="1"/>
    <xf numFmtId="170" fontId="57" fillId="0" borderId="0" xfId="3" applyNumberFormat="1" applyFont="1"/>
    <xf numFmtId="174" fontId="57" fillId="0" borderId="0" xfId="3" applyNumberFormat="1" applyFont="1"/>
    <xf numFmtId="170" fontId="57" fillId="0" borderId="0" xfId="3" applyNumberFormat="1" applyFont="1" applyAlignment="1">
      <alignment horizontal="right" indent="2"/>
    </xf>
    <xf numFmtId="0" fontId="21" fillId="0" borderId="0" xfId="0" applyFont="1" applyAlignment="1">
      <alignment horizontal="center" vertical="center"/>
    </xf>
    <xf numFmtId="0" fontId="21" fillId="0" borderId="0" xfId="0" applyFont="1"/>
    <xf numFmtId="164" fontId="21" fillId="0" borderId="0" xfId="3" applyFont="1" applyAlignment="1">
      <alignment horizontal="center" vertical="center"/>
    </xf>
    <xf numFmtId="194" fontId="21" fillId="0" borderId="0" xfId="3" applyNumberFormat="1" applyFont="1"/>
    <xf numFmtId="164" fontId="21" fillId="0" borderId="0" xfId="3" applyFont="1"/>
    <xf numFmtId="174" fontId="21" fillId="0" borderId="0" xfId="3" applyNumberFormat="1" applyFont="1"/>
    <xf numFmtId="194" fontId="21" fillId="0" borderId="0" xfId="0" applyNumberFormat="1" applyFont="1"/>
    <xf numFmtId="2" fontId="25" fillId="2" borderId="70" xfId="0" applyNumberFormat="1" applyFont="1" applyFill="1" applyBorder="1" applyAlignment="1" applyProtection="1">
      <alignment horizontal="right" vertical="center" wrapText="1"/>
      <protection hidden="1"/>
    </xf>
    <xf numFmtId="195" fontId="25" fillId="2" borderId="70" xfId="0" applyNumberFormat="1" applyFont="1" applyFill="1" applyBorder="1" applyAlignment="1" applyProtection="1">
      <alignment horizontal="left" vertical="center" wrapText="1"/>
      <protection hidden="1"/>
    </xf>
    <xf numFmtId="0" fontId="25" fillId="2" borderId="70" xfId="0" applyFont="1" applyFill="1" applyBorder="1" applyAlignment="1" applyProtection="1">
      <alignment horizontal="center" vertical="center" wrapText="1"/>
      <protection hidden="1"/>
    </xf>
    <xf numFmtId="0" fontId="114" fillId="44" borderId="0" xfId="0" applyFont="1" applyFill="1" applyAlignment="1">
      <alignment vertical="center" wrapText="1"/>
    </xf>
    <xf numFmtId="170" fontId="4" fillId="0" borderId="0" xfId="3" applyNumberFormat="1" applyFont="1" applyAlignment="1">
      <alignment horizontal="center" vertical="center"/>
    </xf>
    <xf numFmtId="0" fontId="30" fillId="2" borderId="360" xfId="0" applyFont="1" applyFill="1" applyBorder="1" applyAlignment="1" applyProtection="1">
      <alignment horizontal="right"/>
      <protection hidden="1"/>
    </xf>
    <xf numFmtId="0" fontId="30" fillId="2" borderId="36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vertical="center"/>
    </xf>
    <xf numFmtId="177" fontId="122" fillId="0" borderId="84" xfId="2" applyNumberFormat="1" applyFont="1" applyBorder="1" applyAlignment="1" applyProtection="1">
      <alignment horizontal="left" vertical="center"/>
      <protection locked="0"/>
    </xf>
    <xf numFmtId="177" fontId="122" fillId="0" borderId="86" xfId="2" applyNumberFormat="1" applyFont="1" applyBorder="1" applyAlignment="1" applyProtection="1">
      <alignment vertical="center"/>
      <protection locked="0"/>
    </xf>
    <xf numFmtId="0" fontId="7" fillId="4" borderId="72" xfId="0" applyFont="1" applyFill="1" applyBorder="1" applyAlignment="1" applyProtection="1">
      <alignment horizontal="centerContinuous" vertical="center"/>
      <protection hidden="1"/>
    </xf>
    <xf numFmtId="0" fontId="9" fillId="4" borderId="394" xfId="0" quotePrefix="1" applyFont="1" applyFill="1" applyBorder="1" applyAlignment="1" applyProtection="1">
      <alignment horizontal="left" vertical="center"/>
      <protection hidden="1"/>
    </xf>
    <xf numFmtId="0" fontId="9" fillId="4" borderId="35" xfId="0" applyFont="1" applyFill="1" applyBorder="1" applyAlignment="1" applyProtection="1">
      <alignment horizontal="centerContinuous" vertical="center"/>
      <protection hidden="1"/>
    </xf>
    <xf numFmtId="0" fontId="4" fillId="0" borderId="195" xfId="0" applyFont="1" applyBorder="1" applyAlignment="1">
      <alignment horizontal="right" vertical="center" indent="1"/>
    </xf>
    <xf numFmtId="0" fontId="4" fillId="0" borderId="74" xfId="0" applyFont="1" applyBorder="1" applyAlignment="1">
      <alignment vertical="center"/>
    </xf>
    <xf numFmtId="9" fontId="16" fillId="4" borderId="403" xfId="1" applyFont="1" applyFill="1" applyBorder="1" applyAlignment="1" applyProtection="1">
      <alignment horizontal="right" vertical="center" indent="1"/>
      <protection hidden="1"/>
    </xf>
    <xf numFmtId="173" fontId="9" fillId="0" borderId="84" xfId="1" applyNumberFormat="1" applyFont="1" applyBorder="1" applyAlignment="1" applyProtection="1">
      <alignment horizontal="right" vertical="center" indent="1"/>
      <protection locked="0"/>
    </xf>
    <xf numFmtId="173" fontId="9" fillId="0" borderId="84" xfId="1" applyNumberFormat="1" applyFont="1" applyFill="1" applyBorder="1" applyAlignment="1" applyProtection="1">
      <alignment horizontal="right" vertical="center" indent="1"/>
      <protection locked="0"/>
    </xf>
    <xf numFmtId="173" fontId="9" fillId="0" borderId="86" xfId="1" applyNumberFormat="1" applyFont="1" applyBorder="1" applyAlignment="1" applyProtection="1">
      <alignment horizontal="right" vertical="center" indent="1"/>
      <protection locked="0"/>
    </xf>
    <xf numFmtId="0" fontId="0" fillId="0" borderId="0" xfId="0" applyAlignment="1">
      <alignment horizontal="right" vertical="center" indent="1"/>
    </xf>
    <xf numFmtId="173" fontId="7" fillId="4" borderId="393" xfId="1" applyNumberFormat="1" applyFont="1" applyFill="1" applyBorder="1" applyAlignment="1" applyProtection="1">
      <alignment horizontal="right" vertical="center" indent="1"/>
      <protection hidden="1"/>
    </xf>
    <xf numFmtId="165" fontId="7" fillId="4" borderId="35" xfId="2" applyFont="1" applyFill="1" applyBorder="1" applyAlignment="1" applyProtection="1">
      <alignment horizontal="center" vertical="center"/>
      <protection hidden="1"/>
    </xf>
    <xf numFmtId="168" fontId="43" fillId="2" borderId="395" xfId="1" applyNumberFormat="1" applyFont="1" applyFill="1" applyBorder="1" applyAlignment="1" applyProtection="1">
      <alignment horizontal="right" vertical="center" indent="1"/>
      <protection hidden="1"/>
    </xf>
    <xf numFmtId="165" fontId="43" fillId="2" borderId="396" xfId="2" applyFont="1" applyFill="1" applyBorder="1" applyAlignment="1" applyProtection="1">
      <alignment horizontal="right" vertical="center"/>
      <protection hidden="1"/>
    </xf>
    <xf numFmtId="168" fontId="43" fillId="2" borderId="398" xfId="1" applyNumberFormat="1" applyFont="1" applyFill="1" applyBorder="1" applyAlignment="1" applyProtection="1">
      <alignment horizontal="right" vertical="center" indent="1"/>
      <protection hidden="1"/>
    </xf>
    <xf numFmtId="165" fontId="43" fillId="2" borderId="399" xfId="2" applyFont="1" applyFill="1" applyBorder="1" applyAlignment="1" applyProtection="1">
      <alignment horizontal="right" vertical="center"/>
      <protection hidden="1"/>
    </xf>
    <xf numFmtId="168" fontId="43" fillId="2" borderId="401" xfId="1" applyNumberFormat="1" applyFont="1" applyFill="1" applyBorder="1" applyAlignment="1" applyProtection="1">
      <alignment horizontal="right" vertical="center" indent="1"/>
      <protection hidden="1"/>
    </xf>
    <xf numFmtId="165" fontId="43" fillId="2" borderId="402" xfId="2" applyFont="1" applyFill="1" applyBorder="1" applyAlignment="1" applyProtection="1">
      <alignment horizontal="right" vertical="center"/>
      <protection hidden="1"/>
    </xf>
    <xf numFmtId="190" fontId="181" fillId="2" borderId="397" xfId="0" applyNumberFormat="1" applyFont="1" applyFill="1" applyBorder="1" applyAlignment="1" applyProtection="1">
      <alignment horizontal="right" vertical="center"/>
      <protection hidden="1"/>
    </xf>
    <xf numFmtId="190" fontId="181" fillId="2" borderId="400" xfId="0" applyNumberFormat="1" applyFont="1" applyFill="1" applyBorder="1" applyAlignment="1" applyProtection="1">
      <alignment horizontal="right" vertical="center"/>
      <protection hidden="1"/>
    </xf>
    <xf numFmtId="165" fontId="43" fillId="4" borderId="140" xfId="2" applyFont="1" applyFill="1" applyBorder="1" applyAlignment="1" applyProtection="1">
      <alignment horizontal="centerContinuous" vertical="center"/>
      <protection hidden="1"/>
    </xf>
    <xf numFmtId="10" fontId="43" fillId="2" borderId="396" xfId="1" applyNumberFormat="1" applyFont="1" applyFill="1" applyBorder="1" applyAlignment="1" applyProtection="1">
      <alignment horizontal="right" vertical="center" indent="1"/>
      <protection hidden="1"/>
    </xf>
    <xf numFmtId="10" fontId="43" fillId="2" borderId="399" xfId="1" applyNumberFormat="1" applyFont="1" applyFill="1" applyBorder="1" applyAlignment="1" applyProtection="1">
      <alignment horizontal="right" vertical="center" indent="1"/>
      <protection hidden="1"/>
    </xf>
    <xf numFmtId="10" fontId="43" fillId="2" borderId="402" xfId="1" applyNumberFormat="1" applyFont="1" applyFill="1" applyBorder="1" applyAlignment="1" applyProtection="1">
      <alignment horizontal="right" vertical="center" indent="1"/>
      <protection hidden="1"/>
    </xf>
    <xf numFmtId="10" fontId="43" fillId="4" borderId="140" xfId="1" applyNumberFormat="1" applyFont="1" applyFill="1" applyBorder="1" applyAlignment="1" applyProtection="1">
      <alignment horizontal="centerContinuous" vertical="center"/>
      <protection hidden="1"/>
    </xf>
    <xf numFmtId="190" fontId="181" fillId="2" borderId="404" xfId="0" applyNumberFormat="1" applyFont="1" applyFill="1" applyBorder="1" applyAlignment="1" applyProtection="1">
      <alignment horizontal="right" vertical="center"/>
      <protection hidden="1"/>
    </xf>
    <xf numFmtId="10" fontId="43" fillId="4" borderId="140" xfId="1" applyNumberFormat="1" applyFont="1" applyFill="1" applyBorder="1" applyAlignment="1" applyProtection="1">
      <alignment horizontal="center" vertical="center"/>
      <protection hidden="1"/>
    </xf>
    <xf numFmtId="10" fontId="9" fillId="0" borderId="84" xfId="1" applyNumberFormat="1" applyFont="1" applyBorder="1" applyAlignment="1" applyProtection="1">
      <alignment horizontal="center" vertical="center"/>
      <protection locked="0"/>
    </xf>
    <xf numFmtId="10" fontId="9" fillId="0" borderId="86" xfId="1" applyNumberFormat="1" applyFont="1" applyBorder="1" applyAlignment="1" applyProtection="1">
      <alignment horizontal="center" vertical="center"/>
      <protection locked="0"/>
    </xf>
    <xf numFmtId="10" fontId="4" fillId="0" borderId="74" xfId="0" applyNumberFormat="1" applyFont="1" applyBorder="1" applyAlignment="1">
      <alignment horizontal="center" vertical="center"/>
    </xf>
    <xf numFmtId="0" fontId="182" fillId="5" borderId="0" xfId="0" applyFont="1" applyFill="1" applyProtection="1">
      <protection hidden="1"/>
    </xf>
    <xf numFmtId="0" fontId="0" fillId="5" borderId="0" xfId="0" applyFill="1" applyAlignment="1">
      <alignment vertical="center"/>
    </xf>
    <xf numFmtId="0" fontId="128" fillId="5" borderId="0" xfId="0" applyFont="1" applyFill="1" applyAlignment="1">
      <alignment horizontal="center" vertical="center"/>
    </xf>
    <xf numFmtId="0" fontId="188" fillId="5" borderId="0" xfId="0" applyFont="1" applyFill="1" applyProtection="1">
      <protection hidden="1"/>
    </xf>
    <xf numFmtId="0" fontId="10" fillId="0" borderId="0" xfId="0" applyFont="1" applyAlignment="1">
      <alignment vertical="center"/>
    </xf>
    <xf numFmtId="0" fontId="183" fillId="5" borderId="0" xfId="0" applyFont="1" applyFill="1" applyAlignment="1" applyProtection="1">
      <alignment horizontal="left" indent="1"/>
      <protection hidden="1"/>
    </xf>
    <xf numFmtId="10" fontId="186" fillId="5" borderId="0" xfId="0" applyNumberFormat="1" applyFont="1" applyFill="1" applyAlignment="1" applyProtection="1">
      <alignment horizontal="center"/>
      <protection hidden="1"/>
    </xf>
    <xf numFmtId="0" fontId="185" fillId="5" borderId="0" xfId="0" applyFont="1" applyFill="1" applyAlignment="1" applyProtection="1">
      <alignment horizontal="left" vertical="center" indent="1"/>
      <protection hidden="1"/>
    </xf>
    <xf numFmtId="0" fontId="9" fillId="0" borderId="135" xfId="0" applyFont="1" applyBorder="1" applyAlignment="1" applyProtection="1">
      <alignment horizontal="left" vertical="center"/>
      <protection locked="0"/>
    </xf>
    <xf numFmtId="0" fontId="9" fillId="0" borderId="137" xfId="0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centerContinuous" vertical="center"/>
    </xf>
    <xf numFmtId="0" fontId="189" fillId="17" borderId="0" xfId="0" applyFont="1" applyFill="1" applyAlignment="1">
      <alignment horizontal="centerContinuous" vertical="center"/>
    </xf>
    <xf numFmtId="0" fontId="191" fillId="17" borderId="0" xfId="0" applyFont="1" applyFill="1" applyAlignment="1">
      <alignment horizontal="centerContinuous" vertical="center"/>
    </xf>
    <xf numFmtId="0" fontId="189" fillId="20" borderId="0" xfId="0" applyFont="1" applyFill="1" applyAlignment="1">
      <alignment horizontal="centerContinuous" vertical="center"/>
    </xf>
    <xf numFmtId="200" fontId="190" fillId="9" borderId="0" xfId="3" applyNumberFormat="1" applyFont="1" applyFill="1" applyBorder="1" applyAlignment="1" applyProtection="1">
      <alignment horizontal="right" vertical="center" indent="1"/>
      <protection hidden="1"/>
    </xf>
    <xf numFmtId="190" fontId="190" fillId="9" borderId="0" xfId="3" applyNumberFormat="1" applyFont="1" applyFill="1" applyBorder="1" applyAlignment="1" applyProtection="1">
      <alignment horizontal="right" vertical="center" indent="1"/>
      <protection hidden="1"/>
    </xf>
    <xf numFmtId="0" fontId="0" fillId="0" borderId="0" xfId="0" applyAlignment="1">
      <alignment horizontal="left" vertical="center" indent="2"/>
    </xf>
    <xf numFmtId="0" fontId="3" fillId="9" borderId="0" xfId="0" applyFont="1" applyFill="1" applyAlignment="1" applyProtection="1">
      <alignment horizontal="left" indent="1"/>
      <protection hidden="1"/>
    </xf>
    <xf numFmtId="0" fontId="0" fillId="9" borderId="0" xfId="0" applyFill="1" applyAlignment="1">
      <alignment vertical="center"/>
    </xf>
    <xf numFmtId="0" fontId="178" fillId="19" borderId="0" xfId="0" applyFont="1" applyFill="1" applyAlignment="1" applyProtection="1">
      <alignment horizontal="centerContinuous" vertical="center" wrapText="1"/>
      <protection hidden="1"/>
    </xf>
    <xf numFmtId="0" fontId="54" fillId="19" borderId="0" xfId="0" applyFont="1" applyFill="1" applyAlignment="1" applyProtection="1">
      <alignment horizontal="centerContinuous" vertical="center" wrapText="1"/>
      <protection hidden="1"/>
    </xf>
    <xf numFmtId="0" fontId="196" fillId="19" borderId="0" xfId="0" applyFont="1" applyFill="1" applyAlignment="1" applyProtection="1">
      <alignment horizontal="centerContinuous" vertical="center" wrapText="1"/>
      <protection hidden="1"/>
    </xf>
    <xf numFmtId="0" fontId="196" fillId="19" borderId="0" xfId="0" applyFont="1" applyFill="1" applyAlignment="1" applyProtection="1">
      <alignment horizontal="centerContinuous" vertical="center"/>
      <protection hidden="1"/>
    </xf>
    <xf numFmtId="177" fontId="192" fillId="9" borderId="0" xfId="2" applyNumberFormat="1" applyFont="1" applyFill="1" applyBorder="1" applyAlignment="1" applyProtection="1">
      <alignment horizontal="right" indent="1"/>
      <protection hidden="1"/>
    </xf>
    <xf numFmtId="0" fontId="0" fillId="9" borderId="0" xfId="0" applyFill="1" applyAlignment="1">
      <alignment horizontal="left" vertical="center" indent="2"/>
    </xf>
    <xf numFmtId="0" fontId="10" fillId="9" borderId="0" xfId="0" applyFont="1" applyFill="1" applyAlignment="1">
      <alignment horizontal="left" vertical="center" indent="2"/>
    </xf>
    <xf numFmtId="0" fontId="198" fillId="9" borderId="0" xfId="0" applyFont="1" applyFill="1" applyAlignment="1" applyProtection="1">
      <alignment horizontal="left" indent="1"/>
      <protection hidden="1"/>
    </xf>
    <xf numFmtId="0" fontId="10" fillId="9" borderId="0" xfId="0" applyFont="1" applyFill="1" applyAlignment="1">
      <alignment vertical="center"/>
    </xf>
    <xf numFmtId="0" fontId="200" fillId="19" borderId="0" xfId="0" applyFont="1" applyFill="1" applyAlignment="1" applyProtection="1">
      <alignment horizontal="centerContinuous" vertical="center"/>
      <protection hidden="1"/>
    </xf>
    <xf numFmtId="0" fontId="3" fillId="9" borderId="0" xfId="0" applyFont="1" applyFill="1" applyAlignment="1" applyProtection="1">
      <alignment vertical="center" wrapText="1"/>
      <protection hidden="1"/>
    </xf>
    <xf numFmtId="201" fontId="204" fillId="5" borderId="0" xfId="0" applyNumberFormat="1" applyFont="1" applyFill="1" applyProtection="1">
      <protection hidden="1"/>
    </xf>
    <xf numFmtId="194" fontId="198" fillId="9" borderId="0" xfId="0" applyNumberFormat="1" applyFont="1" applyFill="1" applyAlignment="1" applyProtection="1">
      <alignment horizontal="right" indent="1"/>
      <protection hidden="1"/>
    </xf>
    <xf numFmtId="0" fontId="205" fillId="9" borderId="0" xfId="0" applyFont="1" applyFill="1" applyAlignment="1" applyProtection="1">
      <alignment horizontal="left" indent="1"/>
      <protection hidden="1"/>
    </xf>
    <xf numFmtId="0" fontId="191" fillId="23" borderId="0" xfId="0" applyFont="1" applyFill="1" applyAlignment="1">
      <alignment horizontal="centerContinuous" vertical="center"/>
    </xf>
    <xf numFmtId="0" fontId="189" fillId="23" borderId="0" xfId="0" applyFont="1" applyFill="1" applyAlignment="1">
      <alignment horizontal="centerContinuous" vertical="center"/>
    </xf>
    <xf numFmtId="0" fontId="74" fillId="20" borderId="0" xfId="0" applyFont="1" applyFill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0" fontId="24" fillId="0" borderId="0" xfId="0" applyFont="1" applyAlignment="1">
      <alignment horizontal="centerContinuous" vertical="center"/>
    </xf>
    <xf numFmtId="0" fontId="24" fillId="0" borderId="0" xfId="0" applyFont="1" applyAlignment="1">
      <alignment horizontal="centerContinuous" vertical="top"/>
    </xf>
    <xf numFmtId="188" fontId="4" fillId="0" borderId="0" xfId="0" applyNumberFormat="1" applyFont="1" applyAlignment="1">
      <alignment horizontal="left" vertical="center"/>
    </xf>
    <xf numFmtId="177" fontId="3" fillId="9" borderId="0" xfId="0" applyNumberFormat="1" applyFont="1" applyFill="1" applyAlignment="1" applyProtection="1">
      <alignment horizontal="right" vertical="center" wrapText="1" indent="1"/>
      <protection hidden="1"/>
    </xf>
    <xf numFmtId="0" fontId="197" fillId="9" borderId="0" xfId="0" applyFont="1" applyFill="1" applyAlignment="1" applyProtection="1">
      <alignment horizontal="right" vertical="center" indent="1"/>
      <protection hidden="1"/>
    </xf>
    <xf numFmtId="190" fontId="43" fillId="5" borderId="405" xfId="3" applyNumberFormat="1" applyFont="1" applyFill="1" applyBorder="1" applyAlignment="1" applyProtection="1">
      <alignment horizontal="right" vertical="center" indent="1"/>
      <protection hidden="1"/>
    </xf>
    <xf numFmtId="165" fontId="43" fillId="5" borderId="405" xfId="2" applyFont="1" applyFill="1" applyBorder="1" applyAlignment="1" applyProtection="1">
      <alignment horizontal="right" vertical="center" indent="1"/>
      <protection hidden="1"/>
    </xf>
    <xf numFmtId="190" fontId="211" fillId="17" borderId="405" xfId="3" applyNumberFormat="1" applyFont="1" applyFill="1" applyBorder="1" applyAlignment="1" applyProtection="1">
      <alignment horizontal="right" vertical="center" indent="1"/>
      <protection hidden="1"/>
    </xf>
    <xf numFmtId="165" fontId="211" fillId="17" borderId="405" xfId="2" applyFont="1" applyFill="1" applyBorder="1" applyAlignment="1" applyProtection="1">
      <alignment horizontal="right" vertical="center" indent="1"/>
      <protection hidden="1"/>
    </xf>
    <xf numFmtId="0" fontId="191" fillId="12" borderId="0" xfId="0" applyFont="1" applyFill="1" applyAlignment="1">
      <alignment horizontal="centerContinuous" vertical="center"/>
    </xf>
    <xf numFmtId="0" fontId="189" fillId="12" borderId="0" xfId="0" applyFont="1" applyFill="1" applyAlignment="1">
      <alignment horizontal="centerContinuous" vertical="center"/>
    </xf>
    <xf numFmtId="0" fontId="33" fillId="16" borderId="0" xfId="0" applyFont="1" applyFill="1" applyAlignment="1">
      <alignment horizontal="centerContinuous" vertical="center"/>
    </xf>
    <xf numFmtId="0" fontId="141" fillId="16" borderId="0" xfId="0" applyFont="1" applyFill="1" applyAlignment="1">
      <alignment horizontal="centerContinuous" vertical="center"/>
    </xf>
    <xf numFmtId="165" fontId="43" fillId="14" borderId="136" xfId="2" applyFont="1" applyFill="1" applyBorder="1" applyAlignment="1" applyProtection="1">
      <alignment horizontal="center" vertical="center"/>
      <protection hidden="1"/>
    </xf>
    <xf numFmtId="165" fontId="43" fillId="14" borderId="138" xfId="2" applyFont="1" applyFill="1" applyBorder="1" applyAlignment="1" applyProtection="1">
      <alignment horizontal="center" vertical="center"/>
      <protection hidden="1"/>
    </xf>
    <xf numFmtId="0" fontId="194" fillId="17" borderId="407" xfId="0" applyFont="1" applyFill="1" applyBorder="1" applyAlignment="1" applyProtection="1">
      <alignment horizontal="center" vertical="center" wrapText="1"/>
      <protection hidden="1"/>
    </xf>
    <xf numFmtId="0" fontId="194" fillId="17" borderId="408" xfId="0" applyFont="1" applyFill="1" applyBorder="1" applyAlignment="1" applyProtection="1">
      <alignment vertical="center" wrapText="1"/>
      <protection hidden="1"/>
    </xf>
    <xf numFmtId="165" fontId="9" fillId="5" borderId="409" xfId="2" applyFont="1" applyFill="1" applyBorder="1" applyAlignment="1" applyProtection="1">
      <alignment horizontal="right" vertical="center" indent="1"/>
      <protection hidden="1"/>
    </xf>
    <xf numFmtId="165" fontId="211" fillId="17" borderId="409" xfId="2" applyFont="1" applyFill="1" applyBorder="1" applyAlignment="1" applyProtection="1">
      <alignment horizontal="right" vertical="center" indent="1"/>
      <protection hidden="1"/>
    </xf>
    <xf numFmtId="0" fontId="193" fillId="17" borderId="410" xfId="0" applyFont="1" applyFill="1" applyBorder="1" applyAlignment="1" applyProtection="1">
      <alignment horizontal="center" vertical="center" wrapText="1"/>
      <protection hidden="1"/>
    </xf>
    <xf numFmtId="0" fontId="194" fillId="17" borderId="411" xfId="0" applyFont="1" applyFill="1" applyBorder="1" applyAlignment="1" applyProtection="1">
      <alignment horizontal="center" vertical="center" wrapText="1"/>
      <protection hidden="1"/>
    </xf>
    <xf numFmtId="168" fontId="43" fillId="5" borderId="413" xfId="1" applyNumberFormat="1" applyFont="1" applyFill="1" applyBorder="1" applyAlignment="1" applyProtection="1">
      <alignment horizontal="left" vertical="center" indent="1"/>
      <protection hidden="1"/>
    </xf>
    <xf numFmtId="190" fontId="43" fillId="5" borderId="414" xfId="3" applyNumberFormat="1" applyFont="1" applyFill="1" applyBorder="1" applyAlignment="1" applyProtection="1">
      <alignment horizontal="right" vertical="center" indent="1"/>
      <protection hidden="1"/>
    </xf>
    <xf numFmtId="168" fontId="43" fillId="5" borderId="414" xfId="1" applyNumberFormat="1" applyFont="1" applyFill="1" applyBorder="1" applyAlignment="1" applyProtection="1">
      <alignment horizontal="right" vertical="center" indent="1"/>
      <protection hidden="1"/>
    </xf>
    <xf numFmtId="165" fontId="43" fillId="5" borderId="414" xfId="2" applyFont="1" applyFill="1" applyBorder="1" applyAlignment="1" applyProtection="1">
      <alignment horizontal="right" vertical="center" indent="1"/>
      <protection hidden="1"/>
    </xf>
    <xf numFmtId="168" fontId="43" fillId="2" borderId="413" xfId="1" applyNumberFormat="1" applyFont="1" applyFill="1" applyBorder="1" applyAlignment="1" applyProtection="1">
      <alignment horizontal="left" vertical="center" indent="1"/>
      <protection hidden="1"/>
    </xf>
    <xf numFmtId="190" fontId="122" fillId="2" borderId="414" xfId="3" applyNumberFormat="1" applyFont="1" applyFill="1" applyBorder="1" applyAlignment="1" applyProtection="1">
      <alignment horizontal="right" vertical="center" indent="1"/>
      <protection hidden="1"/>
    </xf>
    <xf numFmtId="9" fontId="122" fillId="2" borderId="414" xfId="1" applyFont="1" applyFill="1" applyBorder="1" applyAlignment="1" applyProtection="1">
      <alignment horizontal="right" vertical="center" indent="1"/>
      <protection hidden="1"/>
    </xf>
    <xf numFmtId="165" fontId="122" fillId="2" borderId="414" xfId="2" applyFont="1" applyFill="1" applyBorder="1" applyAlignment="1" applyProtection="1">
      <alignment horizontal="right" vertical="center" indent="2"/>
      <protection hidden="1"/>
    </xf>
    <xf numFmtId="0" fontId="0" fillId="0" borderId="25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54" xfId="0" applyBorder="1" applyAlignment="1">
      <alignment vertical="center"/>
    </xf>
    <xf numFmtId="0" fontId="0" fillId="0" borderId="53" xfId="0" applyBorder="1" applyAlignment="1">
      <alignment vertical="center"/>
    </xf>
    <xf numFmtId="0" fontId="0" fillId="0" borderId="69" xfId="0" applyBorder="1" applyAlignment="1">
      <alignment vertical="center"/>
    </xf>
    <xf numFmtId="0" fontId="0" fillId="0" borderId="70" xfId="0" applyBorder="1" applyAlignment="1">
      <alignment vertical="center"/>
    </xf>
    <xf numFmtId="0" fontId="0" fillId="0" borderId="71" xfId="0" applyBorder="1" applyAlignment="1">
      <alignment vertical="center"/>
    </xf>
    <xf numFmtId="0" fontId="0" fillId="0" borderId="54" xfId="0" applyBorder="1" applyAlignment="1">
      <alignment horizontal="centerContinuous" vertical="center"/>
    </xf>
    <xf numFmtId="0" fontId="0" fillId="0" borderId="53" xfId="0" applyBorder="1" applyAlignment="1">
      <alignment horizontal="centerContinuous" vertical="center"/>
    </xf>
    <xf numFmtId="0" fontId="18" fillId="0" borderId="54" xfId="0" applyFont="1" applyBorder="1" applyAlignment="1">
      <alignment horizontal="centerContinuous" vertical="center"/>
    </xf>
    <xf numFmtId="0" fontId="10" fillId="0" borderId="54" xfId="0" applyFont="1" applyBorder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0" fillId="0" borderId="53" xfId="0" applyFont="1" applyBorder="1" applyAlignment="1">
      <alignment horizontal="centerContinuous" vertical="center"/>
    </xf>
    <xf numFmtId="0" fontId="128" fillId="0" borderId="0" xfId="0" applyFont="1" applyAlignment="1">
      <alignment horizontal="center" vertical="center"/>
    </xf>
    <xf numFmtId="0" fontId="116" fillId="5" borderId="0" xfId="0" applyFont="1" applyFill="1" applyAlignment="1">
      <alignment vertical="center"/>
    </xf>
    <xf numFmtId="0" fontId="0" fillId="5" borderId="0" xfId="0" applyFill="1" applyAlignment="1" applyProtection="1">
      <alignment vertical="center"/>
      <protection locked="0"/>
    </xf>
    <xf numFmtId="0" fontId="0" fillId="0" borderId="54" xfId="0" applyBorder="1" applyAlignment="1" applyProtection="1">
      <alignment vertical="center"/>
      <protection locked="0"/>
    </xf>
    <xf numFmtId="14" fontId="0" fillId="0" borderId="53" xfId="0" applyNumberFormat="1" applyBorder="1" applyAlignment="1" applyProtection="1">
      <alignment horizontal="right" vertical="center" indent="1"/>
      <protection locked="0"/>
    </xf>
    <xf numFmtId="0" fontId="7" fillId="2" borderId="158" xfId="0" applyFont="1" applyFill="1" applyBorder="1" applyAlignment="1" applyProtection="1">
      <alignment horizontal="centerContinuous" vertical="center"/>
      <protection hidden="1"/>
    </xf>
    <xf numFmtId="0" fontId="7" fillId="2" borderId="159" xfId="0" applyFont="1" applyFill="1" applyBorder="1" applyAlignment="1" applyProtection="1">
      <alignment horizontal="centerContinuous" vertical="center"/>
      <protection hidden="1"/>
    </xf>
    <xf numFmtId="0" fontId="7" fillId="2" borderId="159" xfId="0" applyFont="1" applyFill="1" applyBorder="1" applyAlignment="1" applyProtection="1">
      <alignment horizontal="right" vertical="center" indent="1"/>
      <protection hidden="1"/>
    </xf>
    <xf numFmtId="0" fontId="9" fillId="2" borderId="161" xfId="0" applyFont="1" applyFill="1" applyBorder="1" applyAlignment="1" applyProtection="1">
      <alignment horizontal="centerContinuous"/>
      <protection hidden="1"/>
    </xf>
    <xf numFmtId="0" fontId="9" fillId="2" borderId="0" xfId="0" applyFont="1" applyFill="1" applyAlignment="1" applyProtection="1">
      <alignment horizontal="centerContinuous"/>
      <protection hidden="1"/>
    </xf>
    <xf numFmtId="0" fontId="9" fillId="2" borderId="0" xfId="0" applyFont="1" applyFill="1" applyAlignment="1" applyProtection="1">
      <alignment horizontal="right" indent="1"/>
      <protection hidden="1"/>
    </xf>
    <xf numFmtId="0" fontId="9" fillId="6" borderId="0" xfId="0" applyFont="1" applyFill="1" applyAlignment="1" applyProtection="1">
      <alignment horizontal="centerContinuous"/>
      <protection hidden="1"/>
    </xf>
    <xf numFmtId="0" fontId="9" fillId="2" borderId="167" xfId="0" applyFont="1" applyFill="1" applyBorder="1" applyAlignment="1" applyProtection="1">
      <alignment horizontal="centerContinuous"/>
      <protection hidden="1"/>
    </xf>
    <xf numFmtId="0" fontId="9" fillId="2" borderId="168" xfId="0" applyFont="1" applyFill="1" applyBorder="1" applyAlignment="1" applyProtection="1">
      <alignment horizontal="centerContinuous"/>
      <protection hidden="1"/>
    </xf>
    <xf numFmtId="0" fontId="9" fillId="2" borderId="168" xfId="0" applyFont="1" applyFill="1" applyBorder="1" applyAlignment="1" applyProtection="1">
      <alignment horizontal="right" indent="1"/>
      <protection hidden="1"/>
    </xf>
    <xf numFmtId="173" fontId="9" fillId="0" borderId="416" xfId="0" applyNumberFormat="1" applyFont="1" applyBorder="1" applyAlignment="1" applyProtection="1">
      <alignment horizontal="center" vertical="center"/>
      <protection locked="0" hidden="1"/>
    </xf>
    <xf numFmtId="173" fontId="43" fillId="0" borderId="416" xfId="3" applyNumberFormat="1" applyFont="1" applyBorder="1" applyAlignment="1" applyProtection="1">
      <alignment horizontal="center" vertical="center"/>
      <protection locked="0" hidden="1"/>
    </xf>
    <xf numFmtId="0" fontId="26" fillId="22" borderId="0" xfId="0" applyFont="1" applyFill="1"/>
    <xf numFmtId="0" fontId="30" fillId="2" borderId="24" xfId="0" applyFont="1" applyFill="1" applyBorder="1" applyAlignment="1" applyProtection="1">
      <alignment horizontal="centerContinuous" vertical="center" wrapText="1"/>
      <protection hidden="1"/>
    </xf>
    <xf numFmtId="0" fontId="125" fillId="20" borderId="370" xfId="0" applyFont="1" applyFill="1" applyBorder="1" applyAlignment="1" applyProtection="1">
      <alignment horizontal="center" vertical="center" wrapText="1"/>
      <protection hidden="1"/>
    </xf>
    <xf numFmtId="0" fontId="125" fillId="20" borderId="371" xfId="0" applyFont="1" applyFill="1" applyBorder="1" applyAlignment="1" applyProtection="1">
      <alignment horizontal="center" vertical="center" wrapText="1"/>
      <protection hidden="1"/>
    </xf>
    <xf numFmtId="0" fontId="137" fillId="20" borderId="371" xfId="0" applyFont="1" applyFill="1" applyBorder="1" applyAlignment="1" applyProtection="1">
      <alignment horizontal="center" vertical="center" wrapText="1"/>
      <protection hidden="1"/>
    </xf>
    <xf numFmtId="0" fontId="137" fillId="20" borderId="372" xfId="0" applyFont="1" applyFill="1" applyBorder="1" applyAlignment="1" applyProtection="1">
      <alignment horizontal="center" vertical="center" wrapText="1"/>
      <protection hidden="1"/>
    </xf>
    <xf numFmtId="0" fontId="26" fillId="22" borderId="0" xfId="0" applyFont="1" applyFill="1" applyProtection="1">
      <protection hidden="1"/>
    </xf>
    <xf numFmtId="0" fontId="137" fillId="18" borderId="72" xfId="0" applyFont="1" applyFill="1" applyBorder="1" applyAlignment="1" applyProtection="1">
      <alignment horizontal="justify" vertical="center" wrapText="1"/>
      <protection hidden="1"/>
    </xf>
    <xf numFmtId="0" fontId="137" fillId="18" borderId="35" xfId="0" applyFont="1" applyFill="1" applyBorder="1" applyAlignment="1" applyProtection="1">
      <alignment horizontal="center" vertical="center" wrapText="1"/>
      <protection hidden="1"/>
    </xf>
    <xf numFmtId="0" fontId="137" fillId="18" borderId="35" xfId="0" applyFont="1" applyFill="1" applyBorder="1" applyAlignment="1" applyProtection="1">
      <alignment horizontal="center" vertical="center"/>
      <protection hidden="1"/>
    </xf>
    <xf numFmtId="0" fontId="137" fillId="18" borderId="35" xfId="0" applyFont="1" applyFill="1" applyBorder="1" applyAlignment="1" applyProtection="1">
      <alignment horizontal="centerContinuous" vertical="center" wrapText="1"/>
      <protection hidden="1"/>
    </xf>
    <xf numFmtId="0" fontId="125" fillId="18" borderId="73" xfId="0" applyFont="1" applyFill="1" applyBorder="1" applyAlignment="1" applyProtection="1">
      <alignment horizontal="center" vertical="center" wrapText="1"/>
      <protection hidden="1"/>
    </xf>
    <xf numFmtId="0" fontId="137" fillId="18" borderId="72" xfId="0" applyFont="1" applyFill="1" applyBorder="1" applyAlignment="1" applyProtection="1">
      <alignment horizontal="center" vertical="center" wrapText="1"/>
      <protection hidden="1"/>
    </xf>
    <xf numFmtId="0" fontId="137" fillId="18" borderId="73" xfId="0" applyFont="1" applyFill="1" applyBorder="1" applyAlignment="1" applyProtection="1">
      <alignment horizontal="center" vertical="center" wrapText="1"/>
      <protection hidden="1"/>
    </xf>
    <xf numFmtId="0" fontId="213" fillId="50" borderId="362" xfId="0" applyFont="1" applyFill="1" applyBorder="1" applyAlignment="1" applyProtection="1">
      <alignment horizontal="center" vertical="center"/>
      <protection hidden="1"/>
    </xf>
    <xf numFmtId="0" fontId="213" fillId="50" borderId="362" xfId="0" applyFont="1" applyFill="1" applyBorder="1" applyAlignment="1" applyProtection="1">
      <alignment horizontal="center"/>
      <protection hidden="1"/>
    </xf>
    <xf numFmtId="0" fontId="25" fillId="2" borderId="54" xfId="0" applyFont="1" applyFill="1" applyBorder="1" applyAlignment="1" applyProtection="1">
      <alignment horizontal="justify" vertical="top" wrapText="1"/>
      <protection hidden="1"/>
    </xf>
    <xf numFmtId="196" fontId="25" fillId="2" borderId="53" xfId="3" applyNumberFormat="1" applyFont="1" applyFill="1" applyBorder="1" applyAlignment="1" applyProtection="1">
      <alignment horizontal="right" vertical="top" wrapText="1" indent="1"/>
      <protection hidden="1"/>
    </xf>
    <xf numFmtId="198" fontId="26" fillId="5" borderId="54" xfId="1" applyNumberFormat="1" applyFont="1" applyFill="1" applyBorder="1" applyAlignment="1">
      <alignment horizontal="right" vertical="center" indent="1"/>
    </xf>
    <xf numFmtId="198" fontId="26" fillId="5" borderId="53" xfId="1" applyNumberFormat="1" applyFont="1" applyFill="1" applyBorder="1" applyAlignment="1">
      <alignment horizontal="right" vertical="center" indent="1"/>
    </xf>
    <xf numFmtId="0" fontId="213" fillId="49" borderId="286" xfId="0" applyFont="1" applyFill="1" applyBorder="1" applyAlignment="1" applyProtection="1">
      <alignment horizontal="center" vertical="center"/>
      <protection hidden="1"/>
    </xf>
    <xf numFmtId="0" fontId="213" fillId="49" borderId="286" xfId="0" applyFont="1" applyFill="1" applyBorder="1" applyAlignment="1" applyProtection="1">
      <alignment horizontal="center"/>
      <protection hidden="1"/>
    </xf>
    <xf numFmtId="0" fontId="213" fillId="50" borderId="286" xfId="0" applyFont="1" applyFill="1" applyBorder="1" applyAlignment="1" applyProtection="1">
      <alignment horizontal="center" vertical="center"/>
      <protection hidden="1"/>
    </xf>
    <xf numFmtId="0" fontId="213" fillId="50" borderId="286" xfId="0" applyFont="1" applyFill="1" applyBorder="1" applyAlignment="1" applyProtection="1">
      <alignment horizontal="center"/>
      <protection hidden="1"/>
    </xf>
    <xf numFmtId="196" fontId="214" fillId="2" borderId="53" xfId="3" applyNumberFormat="1" applyFont="1" applyFill="1" applyBorder="1" applyAlignment="1" applyProtection="1">
      <alignment horizontal="right" vertical="top" wrapText="1" indent="1"/>
      <protection hidden="1"/>
    </xf>
    <xf numFmtId="0" fontId="213" fillId="50" borderId="376" xfId="0" applyFont="1" applyFill="1" applyBorder="1" applyAlignment="1" applyProtection="1">
      <alignment horizontal="center" vertical="center"/>
      <protection hidden="1"/>
    </xf>
    <xf numFmtId="0" fontId="213" fillId="50" borderId="376" xfId="0" applyFont="1" applyFill="1" applyBorder="1" applyAlignment="1" applyProtection="1">
      <alignment horizontal="center"/>
      <protection hidden="1"/>
    </xf>
    <xf numFmtId="0" fontId="25" fillId="2" borderId="69" xfId="0" applyFont="1" applyFill="1" applyBorder="1" applyAlignment="1" applyProtection="1">
      <alignment horizontal="justify" vertical="top" wrapText="1"/>
      <protection hidden="1"/>
    </xf>
    <xf numFmtId="0" fontId="25" fillId="2" borderId="70" xfId="0" applyFont="1" applyFill="1" applyBorder="1" applyAlignment="1" applyProtection="1">
      <alignment horizontal="center" vertical="top" wrapText="1"/>
      <protection hidden="1"/>
    </xf>
    <xf numFmtId="196" fontId="214" fillId="2" borderId="71" xfId="3" applyNumberFormat="1" applyFont="1" applyFill="1" applyBorder="1" applyAlignment="1" applyProtection="1">
      <alignment horizontal="right" vertical="top" wrapText="1" indent="1"/>
      <protection hidden="1"/>
    </xf>
    <xf numFmtId="196" fontId="214" fillId="2" borderId="0" xfId="3" applyNumberFormat="1" applyFont="1" applyFill="1" applyBorder="1" applyAlignment="1" applyProtection="1">
      <alignment horizontal="right" vertical="top" wrapText="1" indent="1"/>
      <protection hidden="1"/>
    </xf>
    <xf numFmtId="197" fontId="26" fillId="5" borderId="25" xfId="1" applyNumberFormat="1" applyFont="1" applyFill="1" applyBorder="1" applyAlignment="1">
      <alignment horizontal="right" vertical="center" indent="1"/>
    </xf>
    <xf numFmtId="197" fontId="26" fillId="5" borderId="26" xfId="1" applyNumberFormat="1" applyFont="1" applyFill="1" applyBorder="1" applyAlignment="1">
      <alignment horizontal="right" vertical="center" indent="1"/>
    </xf>
    <xf numFmtId="197" fontId="26" fillId="5" borderId="54" xfId="1" applyNumberFormat="1" applyFont="1" applyFill="1" applyBorder="1" applyAlignment="1">
      <alignment horizontal="right" vertical="center" indent="1"/>
    </xf>
    <xf numFmtId="197" fontId="26" fillId="5" borderId="53" xfId="1" applyNumberFormat="1" applyFont="1" applyFill="1" applyBorder="1" applyAlignment="1">
      <alignment horizontal="right" vertical="center" indent="1"/>
    </xf>
    <xf numFmtId="0" fontId="213" fillId="50" borderId="368" xfId="0" applyFont="1" applyFill="1" applyBorder="1" applyAlignment="1" applyProtection="1">
      <alignment horizontal="center" vertical="center"/>
      <protection hidden="1"/>
    </xf>
    <xf numFmtId="0" fontId="213" fillId="50" borderId="368" xfId="0" applyFont="1" applyFill="1" applyBorder="1" applyAlignment="1" applyProtection="1">
      <alignment horizontal="center"/>
      <protection hidden="1"/>
    </xf>
    <xf numFmtId="0" fontId="25" fillId="2" borderId="70" xfId="0" applyFont="1" applyFill="1" applyBorder="1" applyAlignment="1" applyProtection="1">
      <alignment horizontal="justify" vertical="top" wrapText="1"/>
      <protection hidden="1"/>
    </xf>
    <xf numFmtId="195" fontId="25" fillId="2" borderId="70" xfId="0" applyNumberFormat="1" applyFont="1" applyFill="1" applyBorder="1" applyAlignment="1" applyProtection="1">
      <alignment horizontal="left" vertical="top" wrapText="1"/>
      <protection hidden="1"/>
    </xf>
    <xf numFmtId="196" fontId="214" fillId="2" borderId="70" xfId="3" applyNumberFormat="1" applyFont="1" applyFill="1" applyBorder="1" applyAlignment="1" applyProtection="1">
      <alignment horizontal="right" vertical="top" wrapText="1" indent="1"/>
      <protection hidden="1"/>
    </xf>
    <xf numFmtId="197" fontId="26" fillId="5" borderId="69" xfId="1" applyNumberFormat="1" applyFont="1" applyFill="1" applyBorder="1" applyAlignment="1">
      <alignment horizontal="right" vertical="center" indent="1"/>
    </xf>
    <xf numFmtId="197" fontId="26" fillId="5" borderId="71" xfId="1" applyNumberFormat="1" applyFont="1" applyFill="1" applyBorder="1" applyAlignment="1">
      <alignment horizontal="right" vertical="center" indent="1"/>
    </xf>
    <xf numFmtId="0" fontId="30" fillId="2" borderId="361" xfId="0" applyFont="1" applyFill="1" applyBorder="1" applyAlignment="1" applyProtection="1">
      <alignment horizontal="right" vertical="distributed"/>
      <protection hidden="1"/>
    </xf>
    <xf numFmtId="0" fontId="46" fillId="2" borderId="69" xfId="0" applyFont="1" applyFill="1" applyBorder="1" applyAlignment="1" applyProtection="1">
      <alignment horizontal="left" vertical="center" indent="1"/>
      <protection hidden="1"/>
    </xf>
    <xf numFmtId="0" fontId="46" fillId="2" borderId="70" xfId="0" applyFont="1" applyFill="1" applyBorder="1" applyAlignment="1" applyProtection="1">
      <alignment horizontal="justify" vertical="top" wrapText="1"/>
      <protection hidden="1"/>
    </xf>
    <xf numFmtId="0" fontId="215" fillId="2" borderId="70" xfId="0" applyFont="1" applyFill="1" applyBorder="1" applyAlignment="1" applyProtection="1">
      <alignment horizontal="justify" vertical="top" wrapText="1"/>
      <protection hidden="1"/>
    </xf>
    <xf numFmtId="0" fontId="215" fillId="2" borderId="70" xfId="0" applyFont="1" applyFill="1" applyBorder="1" applyAlignment="1" applyProtection="1">
      <alignment horizontal="center" vertical="center" wrapText="1"/>
      <protection hidden="1"/>
    </xf>
    <xf numFmtId="0" fontId="215" fillId="2" borderId="72" xfId="0" applyFont="1" applyFill="1" applyBorder="1" applyAlignment="1" applyProtection="1">
      <alignment horizontal="justify" vertical="top" wrapText="1"/>
      <protection hidden="1"/>
    </xf>
    <xf numFmtId="0" fontId="215" fillId="2" borderId="73" xfId="0" applyFont="1" applyFill="1" applyBorder="1" applyAlignment="1" applyProtection="1">
      <alignment horizontal="justify" vertical="top" wrapText="1"/>
      <protection hidden="1"/>
    </xf>
    <xf numFmtId="0" fontId="213" fillId="49" borderId="362" xfId="0" applyFont="1" applyFill="1" applyBorder="1" applyAlignment="1" applyProtection="1">
      <alignment horizontal="center" vertical="center"/>
      <protection hidden="1"/>
    </xf>
    <xf numFmtId="0" fontId="137" fillId="18" borderId="72" xfId="0" applyFont="1" applyFill="1" applyBorder="1" applyAlignment="1" applyProtection="1">
      <alignment horizontal="justify" vertical="center"/>
      <protection hidden="1"/>
    </xf>
    <xf numFmtId="0" fontId="137" fillId="18" borderId="72" xfId="0" applyFont="1" applyFill="1" applyBorder="1" applyAlignment="1" applyProtection="1">
      <alignment horizontal="center" vertical="center"/>
      <protection hidden="1"/>
    </xf>
    <xf numFmtId="0" fontId="137" fillId="18" borderId="73" xfId="0" applyFont="1" applyFill="1" applyBorder="1" applyAlignment="1" applyProtection="1">
      <alignment horizontal="center" vertical="center"/>
      <protection hidden="1"/>
    </xf>
    <xf numFmtId="2" fontId="213" fillId="49" borderId="286" xfId="0" applyNumberFormat="1" applyFont="1" applyFill="1" applyBorder="1" applyAlignment="1" applyProtection="1">
      <alignment horizontal="right" indent="1"/>
      <protection hidden="1"/>
    </xf>
    <xf numFmtId="2" fontId="213" fillId="49" borderId="364" xfId="0" applyNumberFormat="1" applyFont="1" applyFill="1" applyBorder="1" applyAlignment="1" applyProtection="1">
      <alignment horizontal="right" indent="1"/>
      <protection hidden="1"/>
    </xf>
    <xf numFmtId="0" fontId="25" fillId="2" borderId="25" xfId="0" applyFont="1" applyFill="1" applyBorder="1" applyAlignment="1" applyProtection="1">
      <alignment horizontal="left" vertical="top" indent="1"/>
      <protection hidden="1"/>
    </xf>
    <xf numFmtId="0" fontId="25" fillId="2" borderId="24" xfId="0" applyFont="1" applyFill="1" applyBorder="1" applyAlignment="1" applyProtection="1">
      <alignment horizontal="center" vertical="top"/>
      <protection hidden="1"/>
    </xf>
    <xf numFmtId="198" fontId="26" fillId="5" borderId="25" xfId="1" applyNumberFormat="1" applyFont="1" applyFill="1" applyBorder="1" applyAlignment="1">
      <alignment horizontal="right" vertical="center"/>
    </xf>
    <xf numFmtId="198" fontId="26" fillId="5" borderId="26" xfId="1" applyNumberFormat="1" applyFont="1" applyFill="1" applyBorder="1" applyAlignment="1">
      <alignment horizontal="right" vertical="center"/>
    </xf>
    <xf numFmtId="0" fontId="30" fillId="2" borderId="181" xfId="0" applyFont="1" applyFill="1" applyBorder="1" applyAlignment="1" applyProtection="1">
      <alignment horizontal="right" vertical="distributed"/>
      <protection hidden="1"/>
    </xf>
    <xf numFmtId="0" fontId="25" fillId="2" borderId="54" xfId="0" applyFont="1" applyFill="1" applyBorder="1" applyAlignment="1" applyProtection="1">
      <alignment horizontal="left" vertical="top" indent="1"/>
      <protection hidden="1"/>
    </xf>
    <xf numFmtId="198" fontId="26" fillId="5" borderId="54" xfId="1" applyNumberFormat="1" applyFont="1" applyFill="1" applyBorder="1" applyAlignment="1">
      <alignment horizontal="right" vertical="center"/>
    </xf>
    <xf numFmtId="198" fontId="26" fillId="5" borderId="53" xfId="1" applyNumberFormat="1" applyFont="1" applyFill="1" applyBorder="1" applyAlignment="1">
      <alignment horizontal="right" vertical="center"/>
    </xf>
    <xf numFmtId="0" fontId="213" fillId="49" borderId="366" xfId="0" applyFont="1" applyFill="1" applyBorder="1" applyAlignment="1" applyProtection="1">
      <alignment horizontal="center" vertical="center"/>
      <protection hidden="1"/>
    </xf>
    <xf numFmtId="0" fontId="30" fillId="2" borderId="360" xfId="0" applyFont="1" applyFill="1" applyBorder="1" applyAlignment="1" applyProtection="1">
      <alignment horizontal="right" vertical="distributed"/>
      <protection hidden="1"/>
    </xf>
    <xf numFmtId="0" fontId="25" fillId="2" borderId="69" xfId="0" applyFont="1" applyFill="1" applyBorder="1" applyAlignment="1" applyProtection="1">
      <alignment horizontal="left" vertical="top" indent="1"/>
      <protection hidden="1"/>
    </xf>
    <xf numFmtId="0" fontId="25" fillId="2" borderId="70" xfId="0" applyFont="1" applyFill="1" applyBorder="1" applyAlignment="1" applyProtection="1">
      <alignment horizontal="center" vertical="top"/>
      <protection hidden="1"/>
    </xf>
    <xf numFmtId="197" fontId="26" fillId="5" borderId="25" xfId="1" applyNumberFormat="1" applyFont="1" applyFill="1" applyBorder="1" applyAlignment="1">
      <alignment horizontal="right" vertical="center"/>
    </xf>
    <xf numFmtId="197" fontId="26" fillId="5" borderId="26" xfId="1" applyNumberFormat="1" applyFont="1" applyFill="1" applyBorder="1" applyAlignment="1">
      <alignment horizontal="right" vertical="center"/>
    </xf>
    <xf numFmtId="197" fontId="26" fillId="5" borderId="54" xfId="1" applyNumberFormat="1" applyFont="1" applyFill="1" applyBorder="1" applyAlignment="1">
      <alignment horizontal="right" vertical="center"/>
    </xf>
    <xf numFmtId="197" fontId="26" fillId="5" borderId="53" xfId="1" applyNumberFormat="1" applyFont="1" applyFill="1" applyBorder="1" applyAlignment="1">
      <alignment horizontal="right" vertical="center"/>
    </xf>
    <xf numFmtId="0" fontId="213" fillId="50" borderId="379" xfId="0" applyFont="1" applyFill="1" applyBorder="1" applyAlignment="1" applyProtection="1">
      <alignment horizontal="left" indent="4"/>
      <protection hidden="1"/>
    </xf>
    <xf numFmtId="0" fontId="213" fillId="50" borderId="366" xfId="0" applyFont="1" applyFill="1" applyBorder="1" applyAlignment="1" applyProtection="1">
      <alignment horizontal="center" vertical="center"/>
      <protection hidden="1"/>
    </xf>
    <xf numFmtId="2" fontId="213" fillId="50" borderId="366" xfId="0" applyNumberFormat="1" applyFont="1" applyFill="1" applyBorder="1" applyAlignment="1" applyProtection="1">
      <alignment horizontal="right" indent="1"/>
      <protection hidden="1"/>
    </xf>
    <xf numFmtId="2" fontId="213" fillId="50" borderId="367" xfId="0" applyNumberFormat="1" applyFont="1" applyFill="1" applyBorder="1" applyAlignment="1" applyProtection="1">
      <alignment horizontal="right" indent="1"/>
      <protection hidden="1"/>
    </xf>
    <xf numFmtId="0" fontId="213" fillId="49" borderId="374" xfId="0" applyFont="1" applyFill="1" applyBorder="1" applyAlignment="1" applyProtection="1">
      <alignment horizontal="left" indent="4"/>
      <protection hidden="1"/>
    </xf>
    <xf numFmtId="0" fontId="25" fillId="22" borderId="0" xfId="0" applyFont="1" applyFill="1" applyProtection="1">
      <protection hidden="1"/>
    </xf>
    <xf numFmtId="0" fontId="213" fillId="50" borderId="377" xfId="0" applyFont="1" applyFill="1" applyBorder="1" applyAlignment="1" applyProtection="1">
      <alignment horizontal="left" indent="4"/>
      <protection hidden="1"/>
    </xf>
    <xf numFmtId="2" fontId="213" fillId="50" borderId="368" xfId="0" applyNumberFormat="1" applyFont="1" applyFill="1" applyBorder="1" applyAlignment="1" applyProtection="1">
      <alignment horizontal="right" indent="1"/>
      <protection hidden="1"/>
    </xf>
    <xf numFmtId="2" fontId="213" fillId="50" borderId="369" xfId="0" applyNumberFormat="1" applyFont="1" applyFill="1" applyBorder="1" applyAlignment="1" applyProtection="1">
      <alignment horizontal="right" indent="1"/>
      <protection hidden="1"/>
    </xf>
    <xf numFmtId="197" fontId="26" fillId="5" borderId="69" xfId="1" applyNumberFormat="1" applyFont="1" applyFill="1" applyBorder="1" applyAlignment="1">
      <alignment horizontal="right" vertical="center"/>
    </xf>
    <xf numFmtId="197" fontId="26" fillId="5" borderId="71" xfId="1" applyNumberFormat="1" applyFont="1" applyFill="1" applyBorder="1" applyAlignment="1">
      <alignment horizontal="right" vertical="center"/>
    </xf>
    <xf numFmtId="166" fontId="213" fillId="49" borderId="362" xfId="0" applyNumberFormat="1" applyFont="1" applyFill="1" applyBorder="1" applyAlignment="1" applyProtection="1">
      <alignment horizontal="right" indent="1"/>
      <protection hidden="1"/>
    </xf>
    <xf numFmtId="166" fontId="213" fillId="49" borderId="363" xfId="0" applyNumberFormat="1" applyFont="1" applyFill="1" applyBorder="1" applyAlignment="1" applyProtection="1">
      <alignment horizontal="right" indent="1"/>
      <protection hidden="1"/>
    </xf>
    <xf numFmtId="166" fontId="213" fillId="50" borderId="286" xfId="0" applyNumberFormat="1" applyFont="1" applyFill="1" applyBorder="1" applyAlignment="1" applyProtection="1">
      <alignment horizontal="right" indent="1"/>
      <protection hidden="1"/>
    </xf>
    <xf numFmtId="166" fontId="213" fillId="50" borderId="364" xfId="0" applyNumberFormat="1" applyFont="1" applyFill="1" applyBorder="1" applyAlignment="1" applyProtection="1">
      <alignment horizontal="right" indent="1"/>
      <protection hidden="1"/>
    </xf>
    <xf numFmtId="166" fontId="213" fillId="49" borderId="286" xfId="0" applyNumberFormat="1" applyFont="1" applyFill="1" applyBorder="1" applyAlignment="1" applyProtection="1">
      <alignment horizontal="right" indent="1"/>
      <protection hidden="1"/>
    </xf>
    <xf numFmtId="166" fontId="213" fillId="49" borderId="364" xfId="0" applyNumberFormat="1" applyFont="1" applyFill="1" applyBorder="1" applyAlignment="1" applyProtection="1">
      <alignment horizontal="right" indent="1"/>
      <protection hidden="1"/>
    </xf>
    <xf numFmtId="166" fontId="213" fillId="49" borderId="366" xfId="0" applyNumberFormat="1" applyFont="1" applyFill="1" applyBorder="1" applyAlignment="1" applyProtection="1">
      <alignment horizontal="right" indent="1"/>
      <protection hidden="1"/>
    </xf>
    <xf numFmtId="166" fontId="213" fillId="49" borderId="367" xfId="0" applyNumberFormat="1" applyFont="1" applyFill="1" applyBorder="1" applyAlignment="1" applyProtection="1">
      <alignment horizontal="right" indent="1"/>
      <protection hidden="1"/>
    </xf>
    <xf numFmtId="0" fontId="41" fillId="5" borderId="0" xfId="0" applyFont="1" applyFill="1" applyAlignment="1">
      <alignment vertical="center"/>
    </xf>
    <xf numFmtId="0" fontId="216" fillId="5" borderId="0" xfId="0" applyFont="1" applyFill="1" applyProtection="1">
      <protection hidden="1"/>
    </xf>
    <xf numFmtId="10" fontId="0" fillId="0" borderId="0" xfId="0" applyNumberFormat="1" applyProtection="1">
      <protection hidden="1"/>
    </xf>
    <xf numFmtId="0" fontId="4" fillId="0" borderId="0" xfId="0" applyFont="1" applyProtection="1">
      <protection hidden="1"/>
    </xf>
    <xf numFmtId="194" fontId="10" fillId="0" borderId="0" xfId="0" applyNumberFormat="1" applyFont="1" applyProtection="1">
      <protection hidden="1"/>
    </xf>
    <xf numFmtId="194" fontId="0" fillId="0" borderId="0" xfId="0" applyNumberFormat="1" applyProtection="1">
      <protection hidden="1"/>
    </xf>
    <xf numFmtId="0" fontId="0" fillId="28" borderId="0" xfId="0" applyFill="1" applyProtection="1">
      <protection hidden="1"/>
    </xf>
    <xf numFmtId="0" fontId="0" fillId="12" borderId="0" xfId="0" applyFill="1"/>
    <xf numFmtId="0" fontId="136" fillId="12" borderId="0" xfId="0" applyFont="1" applyFill="1"/>
    <xf numFmtId="0" fontId="75" fillId="12" borderId="0" xfId="0" applyFont="1" applyFill="1"/>
    <xf numFmtId="0" fontId="219" fillId="2" borderId="0" xfId="0" applyFont="1" applyFill="1" applyAlignment="1">
      <alignment horizontal="right"/>
    </xf>
    <xf numFmtId="187" fontId="32" fillId="2" borderId="353" xfId="0" applyNumberFormat="1" applyFont="1" applyFill="1" applyBorder="1" applyAlignment="1" applyProtection="1">
      <alignment horizontal="left" vertical="center" indent="1"/>
      <protection hidden="1"/>
    </xf>
    <xf numFmtId="164" fontId="4" fillId="44" borderId="0" xfId="3" applyFont="1" applyFill="1"/>
    <xf numFmtId="191" fontId="4" fillId="44" borderId="0" xfId="0" applyNumberFormat="1" applyFont="1" applyFill="1"/>
    <xf numFmtId="0" fontId="4" fillId="42" borderId="0" xfId="0" applyFont="1" applyFill="1"/>
    <xf numFmtId="164" fontId="4" fillId="42" borderId="0" xfId="3" applyFont="1" applyFill="1"/>
    <xf numFmtId="191" fontId="4" fillId="42" borderId="0" xfId="0" applyNumberFormat="1" applyFont="1" applyFill="1"/>
    <xf numFmtId="0" fontId="169" fillId="42" borderId="0" xfId="0" applyFont="1" applyFill="1"/>
    <xf numFmtId="0" fontId="114" fillId="42" borderId="0" xfId="0" applyFont="1" applyFill="1" applyAlignment="1">
      <alignment vertical="center" wrapText="1"/>
    </xf>
    <xf numFmtId="1" fontId="18" fillId="0" borderId="432" xfId="3" applyNumberFormat="1" applyFont="1" applyFill="1" applyBorder="1" applyAlignment="1" applyProtection="1">
      <alignment horizontal="center" vertical="center"/>
      <protection locked="0"/>
    </xf>
    <xf numFmtId="2" fontId="18" fillId="0" borderId="432" xfId="0" applyNumberFormat="1" applyFont="1" applyBorder="1" applyAlignment="1" applyProtection="1">
      <alignment horizontal="center" vertical="center"/>
      <protection locked="0"/>
    </xf>
    <xf numFmtId="1" fontId="18" fillId="0" borderId="432" xfId="0" applyNumberFormat="1" applyFont="1" applyBorder="1" applyAlignment="1" applyProtection="1">
      <alignment horizontal="center" vertical="center"/>
      <protection locked="0"/>
    </xf>
    <xf numFmtId="1" fontId="18" fillId="0" borderId="432" xfId="0" applyNumberFormat="1" applyFont="1" applyBorder="1" applyAlignment="1" applyProtection="1">
      <alignment horizontal="left" vertical="center" indent="1"/>
      <protection locked="0"/>
    </xf>
    <xf numFmtId="2" fontId="18" fillId="0" borderId="432" xfId="0" applyNumberFormat="1" applyFont="1" applyBorder="1" applyAlignment="1" applyProtection="1">
      <alignment horizontal="left" vertical="center" indent="1"/>
      <protection locked="0"/>
    </xf>
    <xf numFmtId="2" fontId="18" fillId="0" borderId="432" xfId="0" applyNumberFormat="1" applyFont="1" applyBorder="1" applyAlignment="1" applyProtection="1">
      <alignment horizontal="left" vertical="center" indent="1"/>
      <protection hidden="1"/>
    </xf>
    <xf numFmtId="202" fontId="0" fillId="0" borderId="0" xfId="0" applyNumberFormat="1"/>
    <xf numFmtId="202" fontId="4" fillId="0" borderId="0" xfId="0" applyNumberFormat="1" applyFont="1" applyAlignment="1" applyProtection="1">
      <alignment horizontal="center" vertical="center"/>
      <protection locked="0"/>
    </xf>
    <xf numFmtId="202" fontId="24" fillId="0" borderId="0" xfId="0" applyNumberFormat="1" applyFont="1" applyAlignment="1">
      <alignment horizontal="center" vertical="center"/>
    </xf>
    <xf numFmtId="202" fontId="24" fillId="0" borderId="0" xfId="0" applyNumberFormat="1" applyFont="1"/>
    <xf numFmtId="202" fontId="0" fillId="0" borderId="0" xfId="0" applyNumberFormat="1" applyAlignment="1" applyProtection="1">
      <alignment horizontal="center"/>
      <protection hidden="1"/>
    </xf>
    <xf numFmtId="202" fontId="175" fillId="49" borderId="383" xfId="0" applyNumberFormat="1" applyFont="1" applyFill="1" applyBorder="1" applyAlignment="1" applyProtection="1">
      <alignment horizontal="center" vertical="center" wrapText="1"/>
      <protection hidden="1"/>
    </xf>
    <xf numFmtId="202" fontId="176" fillId="49" borderId="286" xfId="0" applyNumberFormat="1" applyFont="1" applyFill="1" applyBorder="1" applyAlignment="1" applyProtection="1">
      <alignment horizontal="center" vertical="center" wrapText="1"/>
      <protection hidden="1"/>
    </xf>
    <xf numFmtId="202" fontId="175" fillId="49" borderId="286" xfId="0" applyNumberFormat="1" applyFont="1" applyFill="1" applyBorder="1" applyAlignment="1" applyProtection="1">
      <alignment horizontal="center" vertical="center" wrapText="1"/>
      <protection hidden="1"/>
    </xf>
    <xf numFmtId="202" fontId="175" fillId="50" borderId="383" xfId="0" applyNumberFormat="1" applyFont="1" applyFill="1" applyBorder="1" applyAlignment="1" applyProtection="1">
      <alignment horizontal="center" vertical="center" wrapText="1"/>
      <protection hidden="1"/>
    </xf>
    <xf numFmtId="202" fontId="176" fillId="50" borderId="286" xfId="0" applyNumberFormat="1" applyFont="1" applyFill="1" applyBorder="1" applyAlignment="1" applyProtection="1">
      <alignment horizontal="center" vertical="center" wrapText="1"/>
      <protection hidden="1"/>
    </xf>
    <xf numFmtId="202" fontId="175" fillId="50" borderId="286" xfId="0" applyNumberFormat="1" applyFont="1" applyFill="1" applyBorder="1" applyAlignment="1" applyProtection="1">
      <alignment horizontal="center" vertical="center" wrapText="1"/>
      <protection hidden="1"/>
    </xf>
    <xf numFmtId="202" fontId="10" fillId="0" borderId="0" xfId="0" applyNumberFormat="1" applyFont="1" applyAlignment="1">
      <alignment horizontal="left" vertical="center"/>
    </xf>
    <xf numFmtId="202" fontId="0" fillId="0" borderId="0" xfId="0" applyNumberFormat="1" applyAlignment="1">
      <alignment horizontal="left" vertical="center"/>
    </xf>
    <xf numFmtId="169" fontId="42" fillId="0" borderId="144" xfId="0" applyNumberFormat="1" applyFont="1" applyBorder="1" applyAlignment="1" applyProtection="1">
      <alignment horizontal="center" vertical="center"/>
      <protection locked="0"/>
    </xf>
    <xf numFmtId="2" fontId="223" fillId="0" borderId="37" xfId="0" quotePrefix="1" applyNumberFormat="1" applyFont="1" applyBorder="1" applyAlignment="1" applyProtection="1">
      <alignment horizontal="center" vertical="center"/>
      <protection locked="0"/>
    </xf>
    <xf numFmtId="169" fontId="120" fillId="0" borderId="38" xfId="0" quotePrefix="1" applyNumberFormat="1" applyFont="1" applyBorder="1" applyAlignment="1" applyProtection="1">
      <alignment horizontal="center" vertical="center"/>
      <protection locked="0"/>
    </xf>
    <xf numFmtId="169" fontId="120" fillId="0" borderId="38" xfId="0" applyNumberFormat="1" applyFont="1" applyBorder="1" applyAlignment="1" applyProtection="1">
      <alignment horizontal="center" vertical="center"/>
      <protection locked="0"/>
    </xf>
    <xf numFmtId="169" fontId="42" fillId="0" borderId="38" xfId="0" applyNumberFormat="1" applyFont="1" applyBorder="1" applyAlignment="1" applyProtection="1">
      <alignment horizontal="center" vertical="center"/>
      <protection locked="0"/>
    </xf>
    <xf numFmtId="169" fontId="42" fillId="0" borderId="39" xfId="0" applyNumberFormat="1" applyFont="1" applyBorder="1" applyAlignment="1" applyProtection="1">
      <alignment horizontal="center" vertical="center"/>
      <protection locked="0"/>
    </xf>
    <xf numFmtId="169" fontId="42" fillId="0" borderId="265" xfId="0" applyNumberFormat="1" applyFont="1" applyBorder="1" applyAlignment="1" applyProtection="1">
      <alignment horizontal="center" vertical="center"/>
      <protection locked="0"/>
    </xf>
    <xf numFmtId="169" fontId="42" fillId="0" borderId="145" xfId="0" applyNumberFormat="1" applyFont="1" applyBorder="1" applyAlignment="1" applyProtection="1">
      <alignment horizontal="center" vertical="center"/>
      <protection locked="0"/>
    </xf>
    <xf numFmtId="169" fontId="120" fillId="0" borderId="265" xfId="0" applyNumberFormat="1" applyFont="1" applyBorder="1" applyAlignment="1" applyProtection="1">
      <alignment horizontal="center" vertical="center"/>
      <protection locked="0"/>
    </xf>
    <xf numFmtId="169" fontId="42" fillId="0" borderId="266" xfId="0" applyNumberFormat="1" applyFont="1" applyBorder="1" applyAlignment="1" applyProtection="1">
      <alignment horizontal="center" vertical="center"/>
      <protection locked="0"/>
    </xf>
    <xf numFmtId="169" fontId="120" fillId="0" borderId="145" xfId="0" applyNumberFormat="1" applyFont="1" applyBorder="1" applyAlignment="1" applyProtection="1">
      <alignment horizontal="center" vertical="center"/>
      <protection locked="0"/>
    </xf>
    <xf numFmtId="169" fontId="42" fillId="0" borderId="147" xfId="0" applyNumberFormat="1" applyFont="1" applyBorder="1" applyAlignment="1" applyProtection="1">
      <alignment horizontal="center" vertical="center"/>
      <protection locked="0"/>
    </xf>
    <xf numFmtId="169" fontId="25" fillId="5" borderId="38" xfId="0" applyNumberFormat="1" applyFont="1" applyFill="1" applyBorder="1" applyAlignment="1" applyProtection="1">
      <alignment horizontal="center" vertical="center"/>
      <protection hidden="1"/>
    </xf>
    <xf numFmtId="169" fontId="120" fillId="0" borderId="144" xfId="0" applyNumberFormat="1" applyFont="1" applyBorder="1" applyAlignment="1" applyProtection="1">
      <alignment horizontal="center" vertical="center"/>
      <protection locked="0"/>
    </xf>
    <xf numFmtId="169" fontId="42" fillId="0" borderId="146" xfId="0" applyNumberFormat="1" applyFont="1" applyBorder="1" applyAlignment="1" applyProtection="1">
      <alignment horizontal="center" vertical="center"/>
      <protection locked="0"/>
    </xf>
    <xf numFmtId="3" fontId="120" fillId="0" borderId="38" xfId="0" applyNumberFormat="1" applyFont="1" applyBorder="1" applyAlignment="1" applyProtection="1">
      <alignment horizontal="center" vertical="center"/>
      <protection locked="0"/>
    </xf>
    <xf numFmtId="3" fontId="42" fillId="0" borderId="38" xfId="0" applyNumberFormat="1" applyFont="1" applyBorder="1" applyAlignment="1" applyProtection="1">
      <alignment horizontal="center" vertical="center"/>
      <protection locked="0"/>
    </xf>
    <xf numFmtId="3" fontId="42" fillId="0" borderId="39" xfId="0" applyNumberFormat="1" applyFont="1" applyBorder="1" applyAlignment="1" applyProtection="1">
      <alignment horizontal="center" vertical="center"/>
      <protection locked="0"/>
    </xf>
    <xf numFmtId="0" fontId="0" fillId="9" borderId="70" xfId="0" applyFill="1" applyBorder="1" applyAlignment="1" applyProtection="1">
      <alignment horizontal="center" vertical="center"/>
      <protection locked="0"/>
    </xf>
    <xf numFmtId="2" fontId="176" fillId="0" borderId="0" xfId="0" applyNumberFormat="1" applyFont="1" applyAlignment="1">
      <alignment horizontal="center" vertical="center" wrapText="1"/>
    </xf>
    <xf numFmtId="2" fontId="24" fillId="0" borderId="0" xfId="0" applyNumberFormat="1" applyFont="1" applyAlignment="1">
      <alignment horizontal="center" vertical="center" wrapText="1"/>
    </xf>
    <xf numFmtId="2" fontId="14" fillId="0" borderId="25" xfId="0" applyNumberFormat="1" applyFont="1" applyBorder="1" applyAlignment="1" applyProtection="1">
      <alignment horizontal="center" vertical="center" wrapText="1"/>
      <protection hidden="1"/>
    </xf>
    <xf numFmtId="2" fontId="14" fillId="0" borderId="24" xfId="0" applyNumberFormat="1" applyFont="1" applyBorder="1" applyAlignment="1" applyProtection="1">
      <alignment horizontal="center" vertical="center" wrapText="1"/>
      <protection hidden="1"/>
    </xf>
    <xf numFmtId="2" fontId="14" fillId="0" borderId="26" xfId="0" applyNumberFormat="1" applyFont="1" applyBorder="1" applyAlignment="1" applyProtection="1">
      <alignment horizontal="center" vertical="center" wrapText="1"/>
      <protection hidden="1"/>
    </xf>
    <xf numFmtId="2" fontId="176" fillId="0" borderId="25" xfId="0" applyNumberFormat="1" applyFont="1" applyBorder="1" applyAlignment="1" applyProtection="1">
      <alignment horizontal="center" vertical="center" wrapText="1"/>
      <protection hidden="1"/>
    </xf>
    <xf numFmtId="2" fontId="176" fillId="0" borderId="24" xfId="0" applyNumberFormat="1" applyFont="1" applyBorder="1" applyAlignment="1" applyProtection="1">
      <alignment horizontal="center" vertical="center" wrapText="1"/>
      <protection hidden="1"/>
    </xf>
    <xf numFmtId="2" fontId="24" fillId="0" borderId="54" xfId="0" applyNumberFormat="1" applyFont="1" applyBorder="1" applyAlignment="1">
      <alignment horizontal="center" vertical="center"/>
    </xf>
    <xf numFmtId="2" fontId="176" fillId="0" borderId="54" xfId="0" applyNumberFormat="1" applyFont="1" applyBorder="1" applyAlignment="1">
      <alignment horizontal="center" vertical="center"/>
    </xf>
    <xf numFmtId="2" fontId="176" fillId="0" borderId="0" xfId="0" applyNumberFormat="1" applyFont="1" applyAlignment="1">
      <alignment horizontal="center" vertical="center"/>
    </xf>
    <xf numFmtId="2" fontId="24" fillId="0" borderId="54" xfId="3" applyNumberFormat="1" applyFont="1" applyBorder="1" applyAlignment="1">
      <alignment horizontal="center" vertical="center"/>
    </xf>
    <xf numFmtId="2" fontId="24" fillId="0" borderId="0" xfId="3" applyNumberFormat="1" applyFont="1" applyBorder="1" applyAlignment="1">
      <alignment horizontal="center" vertical="center"/>
    </xf>
    <xf numFmtId="2" fontId="176" fillId="0" borderId="54" xfId="3" applyNumberFormat="1" applyFont="1" applyBorder="1" applyAlignment="1">
      <alignment horizontal="center" vertical="center"/>
    </xf>
    <xf numFmtId="2" fontId="176" fillId="0" borderId="0" xfId="3" applyNumberFormat="1" applyFont="1" applyBorder="1" applyAlignment="1">
      <alignment horizontal="center" vertical="center"/>
    </xf>
    <xf numFmtId="2" fontId="14" fillId="0" borderId="54" xfId="0" applyNumberFormat="1" applyFont="1" applyBorder="1" applyAlignment="1" applyProtection="1">
      <alignment horizontal="center" vertical="center"/>
      <protection hidden="1"/>
    </xf>
    <xf numFmtId="2" fontId="14" fillId="0" borderId="0" xfId="0" applyNumberFormat="1" applyFont="1" applyAlignment="1" applyProtection="1">
      <alignment horizontal="center" vertical="center"/>
      <protection hidden="1"/>
    </xf>
    <xf numFmtId="2" fontId="176" fillId="0" borderId="54" xfId="0" applyNumberFormat="1" applyFont="1" applyBorder="1" applyAlignment="1" applyProtection="1">
      <alignment horizontal="center" vertical="center"/>
      <protection hidden="1"/>
    </xf>
    <xf numFmtId="2" fontId="176" fillId="0" borderId="0" xfId="0" applyNumberFormat="1" applyFont="1" applyAlignment="1" applyProtection="1">
      <alignment horizontal="center" vertical="center"/>
      <protection hidden="1"/>
    </xf>
    <xf numFmtId="2" fontId="10" fillId="0" borderId="0" xfId="0" applyNumberFormat="1" applyFont="1" applyAlignment="1">
      <alignment horizontal="center" vertical="center"/>
    </xf>
    <xf numFmtId="2" fontId="10" fillId="0" borderId="53" xfId="0" applyNumberFormat="1" applyFont="1" applyBorder="1" applyAlignment="1" applyProtection="1">
      <alignment horizontal="center" vertical="center"/>
      <protection hidden="1"/>
    </xf>
    <xf numFmtId="2" fontId="21" fillId="49" borderId="418" xfId="3" applyNumberFormat="1" applyFont="1" applyFill="1" applyBorder="1" applyAlignment="1" applyProtection="1">
      <alignment horizontal="center" vertical="center"/>
      <protection locked="0" hidden="1"/>
    </xf>
    <xf numFmtId="2" fontId="21" fillId="49" borderId="418" xfId="0" applyNumberFormat="1" applyFont="1" applyFill="1" applyBorder="1" applyAlignment="1" applyProtection="1">
      <alignment horizontal="center" vertical="center"/>
      <protection locked="0" hidden="1"/>
    </xf>
    <xf numFmtId="2" fontId="223" fillId="49" borderId="418" xfId="3" applyNumberFormat="1" applyFont="1" applyFill="1" applyBorder="1" applyAlignment="1" applyProtection="1">
      <alignment horizontal="center" vertical="center"/>
      <protection locked="0" hidden="1"/>
    </xf>
    <xf numFmtId="2" fontId="152" fillId="49" borderId="418" xfId="0" applyNumberFormat="1" applyFont="1" applyFill="1" applyBorder="1" applyAlignment="1">
      <alignment horizontal="center" vertical="center"/>
    </xf>
    <xf numFmtId="2" fontId="152" fillId="49" borderId="418" xfId="3" applyNumberFormat="1" applyFont="1" applyFill="1" applyBorder="1" applyAlignment="1">
      <alignment horizontal="center" vertical="center"/>
    </xf>
    <xf numFmtId="2" fontId="218" fillId="49" borderId="418" xfId="3" applyNumberFormat="1" applyFont="1" applyFill="1" applyBorder="1" applyAlignment="1">
      <alignment horizontal="center" vertical="center"/>
    </xf>
    <xf numFmtId="2" fontId="213" fillId="49" borderId="418" xfId="3" applyNumberFormat="1" applyFont="1" applyFill="1" applyBorder="1" applyAlignment="1" applyProtection="1">
      <alignment horizontal="center" vertical="center"/>
      <protection locked="0"/>
    </xf>
    <xf numFmtId="2" fontId="221" fillId="49" borderId="418" xfId="3" applyNumberFormat="1" applyFont="1" applyFill="1" applyBorder="1" applyAlignment="1" applyProtection="1">
      <alignment horizontal="center" vertical="center"/>
      <protection locked="0"/>
    </xf>
    <xf numFmtId="2" fontId="21" fillId="50" borderId="286" xfId="3" applyNumberFormat="1" applyFont="1" applyFill="1" applyBorder="1" applyAlignment="1" applyProtection="1">
      <alignment horizontal="center" vertical="center"/>
      <protection locked="0" hidden="1"/>
    </xf>
    <xf numFmtId="2" fontId="223" fillId="50" borderId="286" xfId="3" applyNumberFormat="1" applyFont="1" applyFill="1" applyBorder="1" applyAlignment="1" applyProtection="1">
      <alignment horizontal="center" vertical="center"/>
      <protection locked="0" hidden="1"/>
    </xf>
    <xf numFmtId="2" fontId="217" fillId="50" borderId="286" xfId="3" applyNumberFormat="1" applyFont="1" applyFill="1" applyBorder="1" applyAlignment="1">
      <alignment horizontal="center" vertical="center"/>
    </xf>
    <xf numFmtId="2" fontId="221" fillId="50" borderId="286" xfId="3" applyNumberFormat="1" applyFont="1" applyFill="1" applyBorder="1" applyAlignment="1" applyProtection="1">
      <alignment horizontal="center" vertical="center"/>
      <protection locked="0"/>
    </xf>
    <xf numFmtId="2" fontId="218" fillId="50" borderId="286" xfId="3" applyNumberFormat="1" applyFont="1" applyFill="1" applyBorder="1" applyAlignment="1">
      <alignment horizontal="center" vertical="center"/>
    </xf>
    <xf numFmtId="2" fontId="21" fillId="49" borderId="286" xfId="3" applyNumberFormat="1" applyFont="1" applyFill="1" applyBorder="1" applyAlignment="1" applyProtection="1">
      <alignment horizontal="center" vertical="center"/>
      <protection locked="0" hidden="1"/>
    </xf>
    <xf numFmtId="2" fontId="223" fillId="49" borderId="286" xfId="3" applyNumberFormat="1" applyFont="1" applyFill="1" applyBorder="1" applyAlignment="1" applyProtection="1">
      <alignment horizontal="center" vertical="center"/>
      <protection locked="0" hidden="1"/>
    </xf>
    <xf numFmtId="2" fontId="152" fillId="49" borderId="286" xfId="0" applyNumberFormat="1" applyFont="1" applyFill="1" applyBorder="1" applyAlignment="1" applyProtection="1">
      <alignment horizontal="center" vertical="center" wrapText="1"/>
      <protection hidden="1"/>
    </xf>
    <xf numFmtId="2" fontId="217" fillId="49" borderId="286" xfId="3" applyNumberFormat="1" applyFont="1" applyFill="1" applyBorder="1" applyAlignment="1">
      <alignment horizontal="center" vertical="center"/>
    </xf>
    <xf numFmtId="2" fontId="221" fillId="49" borderId="286" xfId="3" applyNumberFormat="1" applyFont="1" applyFill="1" applyBorder="1" applyAlignment="1" applyProtection="1">
      <alignment horizontal="center" vertical="center"/>
      <protection locked="0"/>
    </xf>
    <xf numFmtId="2" fontId="218" fillId="49" borderId="286" xfId="3" applyNumberFormat="1" applyFont="1" applyFill="1" applyBorder="1" applyAlignment="1">
      <alignment horizontal="center" vertical="center"/>
    </xf>
    <xf numFmtId="2" fontId="152" fillId="50" borderId="286" xfId="0" applyNumberFormat="1" applyFont="1" applyFill="1" applyBorder="1" applyAlignment="1" applyProtection="1">
      <alignment horizontal="center" vertical="center" wrapText="1"/>
      <protection hidden="1"/>
    </xf>
    <xf numFmtId="2" fontId="217" fillId="50" borderId="286" xfId="3" applyNumberFormat="1" applyFont="1" applyFill="1" applyBorder="1" applyAlignment="1" applyProtection="1">
      <alignment horizontal="center" vertical="center"/>
      <protection hidden="1"/>
    </xf>
    <xf numFmtId="2" fontId="218" fillId="50" borderId="286" xfId="3" applyNumberFormat="1" applyFont="1" applyFill="1" applyBorder="1" applyAlignment="1" applyProtection="1">
      <alignment horizontal="center" vertical="center"/>
      <protection hidden="1"/>
    </xf>
    <xf numFmtId="2" fontId="152" fillId="50" borderId="286" xfId="0" applyNumberFormat="1" applyFont="1" applyFill="1" applyBorder="1" applyAlignment="1">
      <alignment horizontal="center" vertical="center"/>
    </xf>
    <xf numFmtId="2" fontId="213" fillId="50" borderId="286" xfId="3" applyNumberFormat="1" applyFont="1" applyFill="1" applyBorder="1" applyAlignment="1" applyProtection="1">
      <alignment horizontal="center" vertical="center"/>
      <protection locked="0"/>
    </xf>
    <xf numFmtId="2" fontId="21" fillId="49" borderId="422" xfId="3" applyNumberFormat="1" applyFont="1" applyFill="1" applyBorder="1" applyAlignment="1" applyProtection="1">
      <alignment horizontal="center" vertical="center"/>
      <protection locked="0" hidden="1"/>
    </xf>
    <xf numFmtId="2" fontId="223" fillId="49" borderId="422" xfId="3" applyNumberFormat="1" applyFont="1" applyFill="1" applyBorder="1" applyAlignment="1" applyProtection="1">
      <alignment horizontal="center" vertical="center"/>
      <protection locked="0" hidden="1"/>
    </xf>
    <xf numFmtId="2" fontId="152" fillId="49" borderId="422" xfId="0" applyNumberFormat="1" applyFont="1" applyFill="1" applyBorder="1" applyAlignment="1">
      <alignment horizontal="center" vertical="center"/>
    </xf>
    <xf numFmtId="2" fontId="217" fillId="49" borderId="422" xfId="3" applyNumberFormat="1" applyFont="1" applyFill="1" applyBorder="1" applyAlignment="1" applyProtection="1">
      <alignment horizontal="center" vertical="center"/>
      <protection hidden="1"/>
    </xf>
    <xf numFmtId="2" fontId="152" fillId="49" borderId="422" xfId="3" applyNumberFormat="1" applyFont="1" applyFill="1" applyBorder="1" applyAlignment="1" applyProtection="1">
      <alignment horizontal="center" vertical="center"/>
      <protection locked="0"/>
    </xf>
    <xf numFmtId="2" fontId="218" fillId="49" borderId="422" xfId="3" applyNumberFormat="1" applyFont="1" applyFill="1" applyBorder="1" applyAlignment="1" applyProtection="1">
      <alignment horizontal="center" vertical="center"/>
      <protection hidden="1"/>
    </xf>
    <xf numFmtId="2" fontId="221" fillId="49" borderId="422" xfId="3" applyNumberFormat="1" applyFont="1" applyFill="1" applyBorder="1" applyAlignment="1" applyProtection="1">
      <alignment horizontal="center" vertical="center"/>
      <protection locked="0"/>
    </xf>
    <xf numFmtId="2" fontId="174" fillId="0" borderId="388" xfId="0" applyNumberFormat="1" applyFont="1" applyBorder="1" applyAlignment="1" applyProtection="1">
      <alignment horizontal="center" vertical="center"/>
      <protection hidden="1"/>
    </xf>
    <xf numFmtId="2" fontId="128" fillId="3" borderId="69" xfId="0" applyNumberFormat="1" applyFont="1" applyFill="1" applyBorder="1" applyAlignment="1" applyProtection="1">
      <alignment horizontal="center" vertical="center"/>
      <protection hidden="1"/>
    </xf>
    <xf numFmtId="2" fontId="128" fillId="3" borderId="70" xfId="0" applyNumberFormat="1" applyFont="1" applyFill="1" applyBorder="1" applyAlignment="1" applyProtection="1">
      <alignment horizontal="center" vertical="center"/>
      <protection hidden="1"/>
    </xf>
    <xf numFmtId="2" fontId="222" fillId="3" borderId="70" xfId="0" applyNumberFormat="1" applyFont="1" applyFill="1" applyBorder="1" applyAlignment="1" applyProtection="1">
      <alignment horizontal="center" vertical="center" wrapText="1"/>
      <protection hidden="1"/>
    </xf>
    <xf numFmtId="2" fontId="128" fillId="3" borderId="71" xfId="0" applyNumberFormat="1" applyFont="1" applyFill="1" applyBorder="1" applyAlignment="1" applyProtection="1">
      <alignment horizontal="center" vertical="center"/>
      <protection hidden="1"/>
    </xf>
    <xf numFmtId="2" fontId="151" fillId="3" borderId="70" xfId="0" applyNumberFormat="1" applyFont="1" applyFill="1" applyBorder="1" applyAlignment="1" applyProtection="1">
      <alignment horizontal="center" vertical="center"/>
      <protection hidden="1"/>
    </xf>
    <xf numFmtId="2" fontId="151" fillId="3" borderId="71" xfId="0" applyNumberFormat="1" applyFont="1" applyFill="1" applyBorder="1" applyAlignment="1" applyProtection="1">
      <alignment horizontal="center" vertical="center"/>
      <protection hidden="1"/>
    </xf>
    <xf numFmtId="2" fontId="151" fillId="3" borderId="72" xfId="0" applyNumberFormat="1" applyFont="1" applyFill="1" applyBorder="1" applyAlignment="1" applyProtection="1">
      <alignment horizontal="center" vertical="center"/>
      <protection hidden="1"/>
    </xf>
    <xf numFmtId="2" fontId="151" fillId="3" borderId="35" xfId="0" applyNumberFormat="1" applyFont="1" applyFill="1" applyBorder="1" applyAlignment="1" applyProtection="1">
      <alignment horizontal="center" vertical="center"/>
      <protection hidden="1"/>
    </xf>
    <xf numFmtId="2" fontId="151" fillId="3" borderId="73" xfId="0" applyNumberFormat="1" applyFont="1" applyFill="1" applyBorder="1" applyAlignment="1" applyProtection="1">
      <alignment horizontal="center" vertical="center"/>
      <protection hidden="1"/>
    </xf>
    <xf numFmtId="2" fontId="152" fillId="49" borderId="385" xfId="0" applyNumberFormat="1" applyFont="1" applyFill="1" applyBorder="1" applyAlignment="1" applyProtection="1">
      <alignment horizontal="center" vertical="center"/>
      <protection hidden="1"/>
    </xf>
    <xf numFmtId="2" fontId="152" fillId="50" borderId="385" xfId="0" applyNumberFormat="1" applyFont="1" applyFill="1" applyBorder="1" applyAlignment="1" applyProtection="1">
      <alignment horizontal="center" vertical="center"/>
      <protection hidden="1"/>
    </xf>
    <xf numFmtId="2" fontId="153" fillId="50" borderId="385" xfId="0" applyNumberFormat="1" applyFont="1" applyFill="1" applyBorder="1" applyAlignment="1" applyProtection="1">
      <alignment horizontal="center" vertical="center"/>
      <protection hidden="1"/>
    </xf>
    <xf numFmtId="2" fontId="153" fillId="50" borderId="359" xfId="0" applyNumberFormat="1" applyFont="1" applyFill="1" applyBorder="1" applyAlignment="1" applyProtection="1">
      <alignment horizontal="center" vertical="center"/>
      <protection hidden="1"/>
    </xf>
    <xf numFmtId="2" fontId="152" fillId="50" borderId="388" xfId="0" applyNumberFormat="1" applyFont="1" applyFill="1" applyBorder="1" applyAlignment="1" applyProtection="1">
      <alignment horizontal="center" vertical="center"/>
      <protection locked="0" hidden="1"/>
    </xf>
    <xf numFmtId="2" fontId="217" fillId="49" borderId="424" xfId="0" applyNumberFormat="1" applyFont="1" applyFill="1" applyBorder="1" applyAlignment="1">
      <alignment horizontal="center" vertical="center"/>
    </xf>
    <xf numFmtId="2" fontId="153" fillId="49" borderId="418" xfId="0" applyNumberFormat="1" applyFont="1" applyFill="1" applyBorder="1" applyAlignment="1">
      <alignment horizontal="center" vertical="center"/>
    </xf>
    <xf numFmtId="2" fontId="218" fillId="49" borderId="424" xfId="3" applyNumberFormat="1" applyFont="1" applyFill="1" applyBorder="1" applyAlignment="1">
      <alignment horizontal="center" vertical="center"/>
    </xf>
    <xf numFmtId="2" fontId="218" fillId="49" borderId="425" xfId="3" applyNumberFormat="1" applyFont="1" applyFill="1" applyBorder="1" applyAlignment="1">
      <alignment horizontal="center" vertical="center"/>
    </xf>
    <xf numFmtId="2" fontId="218" fillId="49" borderId="430" xfId="3" applyNumberFormat="1" applyFont="1" applyFill="1" applyBorder="1" applyAlignment="1">
      <alignment horizontal="center" vertical="center"/>
    </xf>
    <xf numFmtId="2" fontId="217" fillId="50" borderId="426" xfId="0" applyNumberFormat="1" applyFont="1" applyFill="1" applyBorder="1" applyAlignment="1" applyProtection="1">
      <alignment horizontal="center" vertical="center"/>
      <protection hidden="1"/>
    </xf>
    <xf numFmtId="2" fontId="153" fillId="50" borderId="359" xfId="0" applyNumberFormat="1" applyFont="1" applyFill="1" applyBorder="1" applyAlignment="1">
      <alignment horizontal="center" vertical="center"/>
    </xf>
    <xf numFmtId="2" fontId="218" fillId="50" borderId="426" xfId="3" applyNumberFormat="1" applyFont="1" applyFill="1" applyBorder="1" applyAlignment="1">
      <alignment horizontal="center" vertical="center"/>
    </xf>
    <xf numFmtId="2" fontId="217" fillId="49" borderId="426" xfId="0" applyNumberFormat="1" applyFont="1" applyFill="1" applyBorder="1" applyAlignment="1" applyProtection="1">
      <alignment horizontal="center" vertical="center"/>
      <protection hidden="1"/>
    </xf>
    <xf numFmtId="2" fontId="218" fillId="49" borderId="426" xfId="3" applyNumberFormat="1" applyFont="1" applyFill="1" applyBorder="1" applyAlignment="1">
      <alignment horizontal="center" vertical="center"/>
    </xf>
    <xf numFmtId="2" fontId="213" fillId="49" borderId="286" xfId="3" applyNumberFormat="1" applyFont="1" applyFill="1" applyBorder="1" applyAlignment="1">
      <alignment horizontal="center" vertical="center"/>
    </xf>
    <xf numFmtId="2" fontId="221" fillId="49" borderId="286" xfId="3" applyNumberFormat="1" applyFont="1" applyFill="1" applyBorder="1" applyAlignment="1">
      <alignment horizontal="center" vertical="center"/>
    </xf>
    <xf numFmtId="2" fontId="218" fillId="50" borderId="426" xfId="3" applyNumberFormat="1" applyFont="1" applyFill="1" applyBorder="1" applyAlignment="1" applyProtection="1">
      <alignment horizontal="center" vertical="center"/>
      <protection hidden="1"/>
    </xf>
    <xf numFmtId="2" fontId="213" fillId="50" borderId="286" xfId="3" applyNumberFormat="1" applyFont="1" applyFill="1" applyBorder="1" applyAlignment="1" applyProtection="1">
      <alignment horizontal="center" vertical="center"/>
      <protection hidden="1"/>
    </xf>
    <xf numFmtId="2" fontId="221" fillId="50" borderId="286" xfId="3" applyNumberFormat="1" applyFont="1" applyFill="1" applyBorder="1" applyAlignment="1" applyProtection="1">
      <alignment horizontal="center" vertical="center"/>
      <protection hidden="1"/>
    </xf>
    <xf numFmtId="2" fontId="153" fillId="49" borderId="359" xfId="0" applyNumberFormat="1" applyFont="1" applyFill="1" applyBorder="1" applyAlignment="1" applyProtection="1">
      <alignment horizontal="center" vertical="center"/>
      <protection hidden="1"/>
    </xf>
    <xf numFmtId="2" fontId="218" fillId="49" borderId="426" xfId="3" applyNumberFormat="1" applyFont="1" applyFill="1" applyBorder="1" applyAlignment="1" applyProtection="1">
      <alignment horizontal="center" vertical="center"/>
      <protection hidden="1"/>
    </xf>
    <xf numFmtId="2" fontId="213" fillId="49" borderId="286" xfId="3" applyNumberFormat="1" applyFont="1" applyFill="1" applyBorder="1" applyAlignment="1" applyProtection="1">
      <alignment horizontal="center" vertical="center"/>
      <protection hidden="1"/>
    </xf>
    <xf numFmtId="2" fontId="221" fillId="49" borderId="286" xfId="3" applyNumberFormat="1" applyFont="1" applyFill="1" applyBorder="1" applyAlignment="1" applyProtection="1">
      <alignment horizontal="center" vertical="center"/>
      <protection hidden="1"/>
    </xf>
    <xf numFmtId="2" fontId="217" fillId="49" borderId="427" xfId="0" applyNumberFormat="1" applyFont="1" applyFill="1" applyBorder="1" applyAlignment="1">
      <alignment horizontal="center" vertical="center"/>
    </xf>
    <xf numFmtId="2" fontId="217" fillId="49" borderId="422" xfId="3" applyNumberFormat="1" applyFont="1" applyFill="1" applyBorder="1" applyAlignment="1">
      <alignment horizontal="center" vertical="center"/>
    </xf>
    <xf numFmtId="2" fontId="153" fillId="49" borderId="423" xfId="0" applyNumberFormat="1" applyFont="1" applyFill="1" applyBorder="1" applyAlignment="1">
      <alignment horizontal="center" vertical="center"/>
    </xf>
    <xf numFmtId="2" fontId="218" fillId="49" borderId="427" xfId="3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2" fontId="0" fillId="0" borderId="53" xfId="0" applyNumberFormat="1" applyBorder="1" applyAlignment="1" applyProtection="1">
      <alignment horizontal="center" vertical="center"/>
      <protection hidden="1"/>
    </xf>
    <xf numFmtId="2" fontId="24" fillId="0" borderId="53" xfId="0" applyNumberFormat="1" applyFont="1" applyBorder="1" applyAlignment="1" applyProtection="1">
      <alignment horizontal="center" vertical="center"/>
      <protection hidden="1"/>
    </xf>
    <xf numFmtId="2" fontId="217" fillId="49" borderId="417" xfId="0" applyNumberFormat="1" applyFont="1" applyFill="1" applyBorder="1" applyAlignment="1" applyProtection="1">
      <alignment horizontal="center" vertical="center"/>
      <protection hidden="1"/>
    </xf>
    <xf numFmtId="2" fontId="153" fillId="49" borderId="419" xfId="0" applyNumberFormat="1" applyFont="1" applyFill="1" applyBorder="1" applyAlignment="1">
      <alignment horizontal="center" vertical="center"/>
    </xf>
    <xf numFmtId="2" fontId="217" fillId="50" borderId="420" xfId="0" applyNumberFormat="1" applyFont="1" applyFill="1" applyBorder="1" applyAlignment="1" applyProtection="1">
      <alignment horizontal="center" vertical="center"/>
      <protection hidden="1"/>
    </xf>
    <xf numFmtId="2" fontId="174" fillId="50" borderId="286" xfId="0" applyNumberFormat="1" applyFont="1" applyFill="1" applyBorder="1" applyAlignment="1" applyProtection="1">
      <alignment horizontal="center" vertical="center"/>
      <protection hidden="1"/>
    </xf>
    <xf numFmtId="2" fontId="152" fillId="50" borderId="286" xfId="0" applyNumberFormat="1" applyFont="1" applyFill="1" applyBorder="1" applyAlignment="1" applyProtection="1">
      <alignment horizontal="center" vertical="center"/>
      <protection hidden="1"/>
    </xf>
    <xf numFmtId="2" fontId="153" fillId="50" borderId="384" xfId="3" applyNumberFormat="1" applyFont="1" applyFill="1" applyBorder="1" applyAlignment="1">
      <alignment horizontal="center" vertical="center"/>
    </xf>
    <xf numFmtId="2" fontId="153" fillId="50" borderId="0" xfId="0" applyNumberFormat="1" applyFont="1" applyFill="1" applyAlignment="1">
      <alignment horizontal="center" vertical="center"/>
    </xf>
    <xf numFmtId="2" fontId="153" fillId="50" borderId="384" xfId="0" applyNumberFormat="1" applyFont="1" applyFill="1" applyBorder="1" applyAlignment="1">
      <alignment horizontal="center" vertical="center"/>
    </xf>
    <xf numFmtId="2" fontId="217" fillId="49" borderId="420" xfId="0" applyNumberFormat="1" applyFont="1" applyFill="1" applyBorder="1" applyAlignment="1" applyProtection="1">
      <alignment horizontal="center" vertical="center"/>
      <protection hidden="1"/>
    </xf>
    <xf numFmtId="2" fontId="174" fillId="49" borderId="286" xfId="0" applyNumberFormat="1" applyFont="1" applyFill="1" applyBorder="1" applyAlignment="1" applyProtection="1">
      <alignment horizontal="center" vertical="center"/>
      <protection hidden="1"/>
    </xf>
    <xf numFmtId="2" fontId="152" fillId="49" borderId="286" xfId="0" applyNumberFormat="1" applyFont="1" applyFill="1" applyBorder="1" applyAlignment="1" applyProtection="1">
      <alignment horizontal="center" vertical="center"/>
      <protection hidden="1"/>
    </xf>
    <xf numFmtId="2" fontId="153" fillId="49" borderId="359" xfId="0" applyNumberFormat="1" applyFont="1" applyFill="1" applyBorder="1" applyAlignment="1">
      <alignment horizontal="center" vertical="center"/>
    </xf>
    <xf numFmtId="2" fontId="153" fillId="49" borderId="384" xfId="3" applyNumberFormat="1" applyFont="1" applyFill="1" applyBorder="1" applyAlignment="1">
      <alignment horizontal="center" vertical="center"/>
    </xf>
    <xf numFmtId="2" fontId="153" fillId="49" borderId="0" xfId="0" applyNumberFormat="1" applyFont="1" applyFill="1" applyAlignment="1">
      <alignment horizontal="center" vertical="center"/>
    </xf>
    <xf numFmtId="2" fontId="153" fillId="49" borderId="384" xfId="0" applyNumberFormat="1" applyFont="1" applyFill="1" applyBorder="1" applyAlignment="1">
      <alignment horizontal="center" vertical="center"/>
    </xf>
    <xf numFmtId="2" fontId="153" fillId="50" borderId="384" xfId="3" applyNumberFormat="1" applyFont="1" applyFill="1" applyBorder="1" applyAlignment="1" applyProtection="1">
      <alignment horizontal="center" vertical="center"/>
      <protection hidden="1"/>
    </xf>
    <xf numFmtId="2" fontId="153" fillId="50" borderId="0" xfId="0" applyNumberFormat="1" applyFont="1" applyFill="1" applyAlignment="1" applyProtection="1">
      <alignment horizontal="center" vertical="center"/>
      <protection hidden="1"/>
    </xf>
    <xf numFmtId="2" fontId="153" fillId="50" borderId="384" xfId="0" applyNumberFormat="1" applyFont="1" applyFill="1" applyBorder="1" applyAlignment="1" applyProtection="1">
      <alignment horizontal="center" vertical="center"/>
      <protection hidden="1"/>
    </xf>
    <xf numFmtId="2" fontId="153" fillId="49" borderId="384" xfId="3" applyNumberFormat="1" applyFont="1" applyFill="1" applyBorder="1" applyAlignment="1" applyProtection="1">
      <alignment horizontal="center" vertical="center"/>
      <protection hidden="1"/>
    </xf>
    <xf numFmtId="2" fontId="153" fillId="49" borderId="0" xfId="0" applyNumberFormat="1" applyFont="1" applyFill="1" applyAlignment="1" applyProtection="1">
      <alignment horizontal="center" vertical="center"/>
      <protection hidden="1"/>
    </xf>
    <xf numFmtId="2" fontId="153" fillId="49" borderId="384" xfId="0" applyNumberFormat="1" applyFont="1" applyFill="1" applyBorder="1" applyAlignment="1" applyProtection="1">
      <alignment horizontal="center" vertical="center"/>
      <protection hidden="1"/>
    </xf>
    <xf numFmtId="2" fontId="217" fillId="5" borderId="420" xfId="0" applyNumberFormat="1" applyFont="1" applyFill="1" applyBorder="1" applyAlignment="1" applyProtection="1">
      <alignment horizontal="center" vertical="center"/>
      <protection hidden="1"/>
    </xf>
    <xf numFmtId="2" fontId="21" fillId="50" borderId="286" xfId="3" applyNumberFormat="1" applyFont="1" applyFill="1" applyBorder="1" applyAlignment="1">
      <alignment horizontal="center" vertical="center"/>
    </xf>
    <xf numFmtId="2" fontId="223" fillId="50" borderId="286" xfId="3" applyNumberFormat="1" applyFont="1" applyFill="1" applyBorder="1" applyAlignment="1">
      <alignment horizontal="center" vertical="center"/>
    </xf>
    <xf numFmtId="2" fontId="153" fillId="50" borderId="286" xfId="0" applyNumberFormat="1" applyFont="1" applyFill="1" applyBorder="1" applyAlignment="1">
      <alignment horizontal="center" vertical="center"/>
    </xf>
    <xf numFmtId="2" fontId="152" fillId="50" borderId="286" xfId="3" applyNumberFormat="1" applyFont="1" applyFill="1" applyBorder="1" applyAlignment="1">
      <alignment horizontal="center" vertical="center"/>
    </xf>
    <xf numFmtId="2" fontId="217" fillId="49" borderId="421" xfId="0" applyNumberFormat="1" applyFont="1" applyFill="1" applyBorder="1" applyAlignment="1" applyProtection="1">
      <alignment horizontal="center" vertical="center"/>
      <protection hidden="1"/>
    </xf>
    <xf numFmtId="2" fontId="153" fillId="49" borderId="428" xfId="3" applyNumberFormat="1" applyFont="1" applyFill="1" applyBorder="1" applyAlignment="1">
      <alignment horizontal="center" vertical="center"/>
    </xf>
    <xf numFmtId="2" fontId="153" fillId="49" borderId="431" xfId="0" applyNumberFormat="1" applyFont="1" applyFill="1" applyBorder="1" applyAlignment="1">
      <alignment horizontal="center" vertical="center"/>
    </xf>
    <xf numFmtId="2" fontId="153" fillId="49" borderId="428" xfId="0" applyNumberFormat="1" applyFont="1" applyFill="1" applyBorder="1" applyAlignment="1">
      <alignment horizontal="center" vertical="center"/>
    </xf>
    <xf numFmtId="2" fontId="174" fillId="0" borderId="386" xfId="0" applyNumberFormat="1" applyFont="1" applyBorder="1" applyAlignment="1" applyProtection="1">
      <alignment horizontal="center" vertical="center"/>
      <protection hidden="1"/>
    </xf>
    <xf numFmtId="2" fontId="174" fillId="0" borderId="387" xfId="0" applyNumberFormat="1" applyFont="1" applyBorder="1" applyAlignment="1" applyProtection="1">
      <alignment horizontal="center" vertical="center"/>
      <protection locked="0" hidden="1"/>
    </xf>
    <xf numFmtId="2" fontId="0" fillId="0" borderId="0" xfId="1" applyNumberFormat="1" applyFont="1" applyAlignment="1">
      <alignment horizontal="center" vertical="center"/>
    </xf>
    <xf numFmtId="2" fontId="21" fillId="22" borderId="0" xfId="0" applyNumberFormat="1" applyFont="1" applyFill="1" applyAlignment="1" applyProtection="1">
      <alignment horizontal="center" vertical="center"/>
      <protection hidden="1"/>
    </xf>
    <xf numFmtId="2" fontId="21" fillId="21" borderId="194" xfId="0" applyNumberFormat="1" applyFont="1" applyFill="1" applyBorder="1" applyAlignment="1" applyProtection="1">
      <alignment horizontal="center" vertical="center"/>
      <protection hidden="1"/>
    </xf>
    <xf numFmtId="2" fontId="21" fillId="21" borderId="53" xfId="0" applyNumberFormat="1" applyFont="1" applyFill="1" applyBorder="1" applyAlignment="1" applyProtection="1">
      <alignment horizontal="center" vertical="center"/>
      <protection hidden="1"/>
    </xf>
    <xf numFmtId="2" fontId="21" fillId="21" borderId="54" xfId="0" applyNumberFormat="1" applyFont="1" applyFill="1" applyBorder="1" applyAlignment="1" applyProtection="1">
      <alignment horizontal="center" vertical="center"/>
      <protection hidden="1"/>
    </xf>
    <xf numFmtId="2" fontId="21" fillId="21" borderId="325" xfId="0" applyNumberFormat="1" applyFont="1" applyFill="1" applyBorder="1" applyAlignment="1" applyProtection="1">
      <alignment horizontal="center" vertical="center"/>
      <protection hidden="1"/>
    </xf>
    <xf numFmtId="2" fontId="174" fillId="3" borderId="429" xfId="0" applyNumberFormat="1" applyFont="1" applyFill="1" applyBorder="1" applyAlignment="1" applyProtection="1">
      <alignment horizontal="center" vertical="center"/>
      <protection hidden="1"/>
    </xf>
    <xf numFmtId="2" fontId="0" fillId="3" borderId="71" xfId="0" applyNumberFormat="1" applyFill="1" applyBorder="1" applyAlignment="1">
      <alignment horizontal="center" vertical="center"/>
    </xf>
    <xf numFmtId="2" fontId="174" fillId="49" borderId="383" xfId="0" applyNumberFormat="1" applyFont="1" applyFill="1" applyBorder="1" applyAlignment="1" applyProtection="1">
      <alignment horizontal="center" vertical="center"/>
      <protection hidden="1"/>
    </xf>
    <xf numFmtId="2" fontId="152" fillId="49" borderId="286" xfId="3" applyNumberFormat="1" applyFont="1" applyFill="1" applyBorder="1" applyAlignment="1" applyProtection="1">
      <alignment horizontal="center" vertical="center"/>
      <protection locked="0" hidden="1"/>
    </xf>
    <xf numFmtId="2" fontId="25" fillId="22" borderId="0" xfId="3" applyNumberFormat="1" applyFont="1" applyFill="1" applyAlignment="1" applyProtection="1">
      <alignment horizontal="center" vertical="center"/>
      <protection hidden="1"/>
    </xf>
    <xf numFmtId="2" fontId="174" fillId="50" borderId="383" xfId="0" applyNumberFormat="1" applyFont="1" applyFill="1" applyBorder="1" applyAlignment="1" applyProtection="1">
      <alignment horizontal="center" vertical="center"/>
      <protection hidden="1"/>
    </xf>
    <xf numFmtId="2" fontId="152" fillId="50" borderId="286" xfId="3" applyNumberFormat="1" applyFont="1" applyFill="1" applyBorder="1" applyAlignment="1" applyProtection="1">
      <alignment horizontal="center" vertical="center"/>
      <protection locked="0" hidden="1"/>
    </xf>
    <xf numFmtId="2" fontId="152" fillId="49" borderId="365" xfId="3" applyNumberFormat="1" applyFont="1" applyFill="1" applyBorder="1" applyAlignment="1" applyProtection="1">
      <alignment horizontal="center" vertical="center"/>
      <protection locked="0" hidden="1"/>
    </xf>
    <xf numFmtId="2" fontId="174" fillId="50" borderId="386" xfId="0" applyNumberFormat="1" applyFont="1" applyFill="1" applyBorder="1" applyAlignment="1" applyProtection="1">
      <alignment horizontal="center" vertical="center"/>
      <protection locked="0" hidden="1"/>
    </xf>
    <xf numFmtId="2" fontId="152" fillId="50" borderId="387" xfId="3" applyNumberFormat="1" applyFont="1" applyFill="1" applyBorder="1" applyAlignment="1" applyProtection="1">
      <alignment horizontal="center" vertical="center"/>
      <protection locked="0" hidden="1"/>
    </xf>
    <xf numFmtId="164" fontId="26" fillId="0" borderId="326" xfId="3" applyFont="1" applyBorder="1" applyAlignment="1" applyProtection="1">
      <alignment horizontal="center" vertical="center"/>
      <protection hidden="1"/>
    </xf>
    <xf numFmtId="164" fontId="26" fillId="0" borderId="53" xfId="3" applyFont="1" applyBorder="1" applyAlignment="1" applyProtection="1">
      <alignment horizontal="center" vertical="center"/>
      <protection hidden="1"/>
    </xf>
    <xf numFmtId="164" fontId="26" fillId="0" borderId="52" xfId="3" applyFont="1" applyBorder="1" applyAlignment="1" applyProtection="1">
      <alignment horizontal="center" vertical="center"/>
      <protection hidden="1"/>
    </xf>
    <xf numFmtId="164" fontId="26" fillId="0" borderId="325" xfId="3" applyFont="1" applyBorder="1" applyAlignment="1" applyProtection="1">
      <alignment horizontal="center" vertical="center"/>
      <protection hidden="1"/>
    </xf>
    <xf numFmtId="164" fontId="0" fillId="0" borderId="0" xfId="3" applyFont="1" applyAlignment="1">
      <alignment horizontal="center" vertical="center"/>
    </xf>
    <xf numFmtId="164" fontId="174" fillId="11" borderId="383" xfId="3" applyFont="1" applyFill="1" applyBorder="1" applyAlignment="1" applyProtection="1">
      <alignment horizontal="center" vertical="center"/>
      <protection hidden="1"/>
    </xf>
    <xf numFmtId="164" fontId="152" fillId="49" borderId="359" xfId="3" applyFont="1" applyFill="1" applyBorder="1" applyAlignment="1" applyProtection="1">
      <alignment horizontal="center" vertical="center"/>
      <protection hidden="1"/>
    </xf>
    <xf numFmtId="164" fontId="14" fillId="0" borderId="54" xfId="3" applyFont="1" applyFill="1" applyBorder="1" applyAlignment="1" applyProtection="1">
      <alignment horizontal="center" vertical="center"/>
      <protection hidden="1"/>
    </xf>
    <xf numFmtId="164" fontId="14" fillId="0" borderId="0" xfId="3" applyFont="1" applyFill="1" applyBorder="1" applyAlignment="1" applyProtection="1">
      <alignment horizontal="center" vertical="center"/>
      <protection hidden="1"/>
    </xf>
    <xf numFmtId="164" fontId="24" fillId="0" borderId="0" xfId="3" applyFont="1" applyBorder="1" applyAlignment="1" applyProtection="1">
      <alignment horizontal="center" vertical="center"/>
      <protection hidden="1"/>
    </xf>
    <xf numFmtId="164" fontId="14" fillId="5" borderId="53" xfId="3" applyFont="1" applyFill="1" applyBorder="1" applyAlignment="1" applyProtection="1">
      <alignment horizontal="center" vertical="center"/>
      <protection hidden="1"/>
    </xf>
    <xf numFmtId="164" fontId="14" fillId="5" borderId="0" xfId="3" applyFont="1" applyFill="1" applyAlignment="1" applyProtection="1">
      <alignment horizontal="center" vertical="center"/>
      <protection hidden="1"/>
    </xf>
    <xf numFmtId="164" fontId="25" fillId="0" borderId="53" xfId="3" applyFont="1" applyBorder="1" applyAlignment="1" applyProtection="1">
      <alignment horizontal="center" vertical="center"/>
      <protection hidden="1"/>
    </xf>
    <xf numFmtId="164" fontId="174" fillId="50" borderId="383" xfId="3" applyFont="1" applyFill="1" applyBorder="1" applyAlignment="1" applyProtection="1">
      <alignment horizontal="center" vertical="center"/>
      <protection hidden="1"/>
    </xf>
    <xf numFmtId="164" fontId="152" fillId="50" borderId="359" xfId="3" applyFont="1" applyFill="1" applyBorder="1" applyAlignment="1" applyProtection="1">
      <alignment horizontal="center" vertical="center"/>
      <protection hidden="1"/>
    </xf>
    <xf numFmtId="164" fontId="174" fillId="49" borderId="383" xfId="3" applyFont="1" applyFill="1" applyBorder="1" applyAlignment="1" applyProtection="1">
      <alignment horizontal="center" vertical="center"/>
      <protection hidden="1"/>
    </xf>
    <xf numFmtId="164" fontId="153" fillId="50" borderId="359" xfId="3" applyFont="1" applyFill="1" applyBorder="1" applyAlignment="1" applyProtection="1">
      <alignment horizontal="center" vertical="center"/>
      <protection hidden="1"/>
    </xf>
    <xf numFmtId="164" fontId="0" fillId="0" borderId="54" xfId="3" applyFont="1" applyBorder="1" applyAlignment="1">
      <alignment horizontal="center" vertical="center"/>
    </xf>
    <xf numFmtId="164" fontId="0" fillId="0" borderId="53" xfId="3" applyFont="1" applyBorder="1" applyAlignment="1">
      <alignment horizontal="center" vertical="center"/>
    </xf>
    <xf numFmtId="164" fontId="25" fillId="0" borderId="334" xfId="3" applyFont="1" applyBorder="1" applyAlignment="1" applyProtection="1">
      <alignment horizontal="center" vertical="center"/>
      <protection hidden="1"/>
    </xf>
    <xf numFmtId="164" fontId="25" fillId="0" borderId="330" xfId="3" applyFont="1" applyBorder="1" applyAlignment="1" applyProtection="1">
      <alignment horizontal="center" vertical="center"/>
      <protection hidden="1"/>
    </xf>
    <xf numFmtId="164" fontId="25" fillId="0" borderId="329" xfId="3" applyFont="1" applyBorder="1" applyAlignment="1" applyProtection="1">
      <alignment horizontal="center" vertical="center"/>
      <protection hidden="1"/>
    </xf>
    <xf numFmtId="164" fontId="25" fillId="0" borderId="326" xfId="3" applyFont="1" applyBorder="1" applyAlignment="1" applyProtection="1">
      <alignment horizontal="center" vertical="center"/>
      <protection locked="0" hidden="1"/>
    </xf>
    <xf numFmtId="164" fontId="25" fillId="0" borderId="53" xfId="3" applyFont="1" applyBorder="1" applyAlignment="1" applyProtection="1">
      <alignment horizontal="center" vertical="center"/>
      <protection locked="0" hidden="1"/>
    </xf>
    <xf numFmtId="164" fontId="25" fillId="0" borderId="52" xfId="3" applyFont="1" applyBorder="1" applyAlignment="1" applyProtection="1">
      <alignment horizontal="center" vertical="center"/>
      <protection locked="0" hidden="1"/>
    </xf>
    <xf numFmtId="164" fontId="25" fillId="0" borderId="382" xfId="3" applyFont="1" applyBorder="1" applyAlignment="1" applyProtection="1">
      <alignment horizontal="center" vertical="center"/>
      <protection locked="0" hidden="1"/>
    </xf>
    <xf numFmtId="164" fontId="25" fillId="0" borderId="381" xfId="3" applyFont="1" applyBorder="1" applyAlignment="1" applyProtection="1">
      <alignment horizontal="center" vertical="center"/>
      <protection locked="0" hidden="1"/>
    </xf>
    <xf numFmtId="164" fontId="25" fillId="0" borderId="380" xfId="3" applyFont="1" applyBorder="1" applyAlignment="1" applyProtection="1">
      <alignment horizontal="center" vertical="center"/>
      <protection locked="0" hidden="1"/>
    </xf>
    <xf numFmtId="164" fontId="174" fillId="5" borderId="386" xfId="3" applyFont="1" applyFill="1" applyBorder="1" applyAlignment="1" applyProtection="1">
      <alignment horizontal="center" vertical="center"/>
      <protection locked="0" hidden="1"/>
    </xf>
    <xf numFmtId="164" fontId="152" fillId="5" borderId="389" xfId="3" applyFont="1" applyFill="1" applyBorder="1" applyAlignment="1" applyProtection="1">
      <alignment horizontal="center" vertical="center"/>
      <protection locked="0" hidden="1"/>
    </xf>
    <xf numFmtId="164" fontId="14" fillId="5" borderId="69" xfId="3" applyFont="1" applyFill="1" applyBorder="1" applyAlignment="1" applyProtection="1">
      <alignment horizontal="center" vertical="center"/>
      <protection hidden="1"/>
    </xf>
    <xf numFmtId="164" fontId="14" fillId="5" borderId="70" xfId="3" applyFont="1" applyFill="1" applyBorder="1" applyAlignment="1" applyProtection="1">
      <alignment horizontal="center" vertical="center"/>
      <protection hidden="1"/>
    </xf>
    <xf numFmtId="164" fontId="24" fillId="5" borderId="70" xfId="3" applyFont="1" applyFill="1" applyBorder="1" applyAlignment="1" applyProtection="1">
      <alignment horizontal="center" vertical="center"/>
      <protection hidden="1"/>
    </xf>
    <xf numFmtId="164" fontId="0" fillId="5" borderId="71" xfId="3" applyFont="1" applyFill="1" applyBorder="1" applyAlignment="1">
      <alignment horizontal="center" vertical="center"/>
    </xf>
    <xf numFmtId="164" fontId="14" fillId="5" borderId="71" xfId="3" applyFont="1" applyFill="1" applyBorder="1" applyAlignment="1" applyProtection="1">
      <alignment horizontal="center" vertical="center"/>
      <protection hidden="1"/>
    </xf>
    <xf numFmtId="0" fontId="20" fillId="0" borderId="433" xfId="0" quotePrefix="1" applyFont="1" applyBorder="1" applyAlignment="1" applyProtection="1">
      <alignment horizontal="left" vertical="center"/>
      <protection locked="0"/>
    </xf>
    <xf numFmtId="169" fontId="42" fillId="0" borderId="434" xfId="0" applyNumberFormat="1" applyFont="1" applyBorder="1" applyAlignment="1" applyProtection="1">
      <alignment horizontal="center" vertical="center"/>
      <protection locked="0"/>
    </xf>
    <xf numFmtId="169" fontId="120" fillId="0" borderId="37" xfId="0" quotePrefix="1" applyNumberFormat="1" applyFont="1" applyBorder="1" applyAlignment="1" applyProtection="1">
      <alignment horizontal="center" vertical="center"/>
      <protection locked="0"/>
    </xf>
    <xf numFmtId="169" fontId="120" fillId="0" borderId="37" xfId="0" applyNumberFormat="1" applyFont="1" applyBorder="1" applyAlignment="1" applyProtection="1">
      <alignment horizontal="center" vertical="center"/>
      <protection locked="0"/>
    </xf>
    <xf numFmtId="169" fontId="120" fillId="0" borderId="435" xfId="0" applyNumberFormat="1" applyFont="1" applyBorder="1" applyAlignment="1" applyProtection="1">
      <alignment horizontal="center" vertical="center"/>
      <protection locked="0"/>
    </xf>
    <xf numFmtId="169" fontId="120" fillId="0" borderId="436" xfId="0" applyNumberFormat="1" applyFont="1" applyBorder="1" applyAlignment="1" applyProtection="1">
      <alignment horizontal="center" vertical="center"/>
      <protection locked="0"/>
    </xf>
    <xf numFmtId="169" fontId="120" fillId="0" borderId="434" xfId="0" applyNumberFormat="1" applyFont="1" applyBorder="1" applyAlignment="1" applyProtection="1">
      <alignment horizontal="center" vertical="center"/>
      <protection locked="0"/>
    </xf>
    <xf numFmtId="3" fontId="120" fillId="0" borderId="37" xfId="0" applyNumberFormat="1" applyFont="1" applyBorder="1" applyAlignment="1" applyProtection="1">
      <alignment horizontal="center" vertical="center"/>
      <protection locked="0"/>
    </xf>
    <xf numFmtId="169" fontId="25" fillId="5" borderId="37" xfId="0" applyNumberFormat="1" applyFont="1" applyFill="1" applyBorder="1" applyAlignment="1" applyProtection="1">
      <alignment horizontal="center" vertical="center"/>
      <protection hidden="1"/>
    </xf>
    <xf numFmtId="0" fontId="128" fillId="18" borderId="437" xfId="0" applyFont="1" applyFill="1" applyBorder="1" applyAlignment="1" applyProtection="1">
      <alignment horizontal="center" vertical="center" wrapText="1"/>
      <protection hidden="1"/>
    </xf>
    <xf numFmtId="0" fontId="128" fillId="18" borderId="438" xfId="0" applyFont="1" applyFill="1" applyBorder="1" applyAlignment="1" applyProtection="1">
      <alignment horizontal="center" vertical="center" wrapText="1"/>
      <protection hidden="1"/>
    </xf>
    <xf numFmtId="0" fontId="128" fillId="18" borderId="439" xfId="0" applyFont="1" applyFill="1" applyBorder="1" applyAlignment="1" applyProtection="1">
      <alignment horizontal="center" vertical="center" wrapText="1"/>
      <protection hidden="1"/>
    </xf>
    <xf numFmtId="0" fontId="28" fillId="18" borderId="440" xfId="0" applyFont="1" applyFill="1" applyBorder="1" applyAlignment="1" applyProtection="1">
      <alignment horizontal="center" vertical="center" wrapText="1"/>
      <protection hidden="1"/>
    </xf>
    <xf numFmtId="0" fontId="125" fillId="18" borderId="441" xfId="0" applyFont="1" applyFill="1" applyBorder="1" applyAlignment="1" applyProtection="1">
      <alignment horizontal="center" vertical="center" wrapText="1"/>
      <protection hidden="1"/>
    </xf>
    <xf numFmtId="0" fontId="128" fillId="18" borderId="442" xfId="0" applyFont="1" applyFill="1" applyBorder="1" applyAlignment="1" applyProtection="1">
      <alignment horizontal="center" vertical="center" wrapText="1"/>
      <protection hidden="1"/>
    </xf>
    <xf numFmtId="0" fontId="128" fillId="18" borderId="443" xfId="0" applyFont="1" applyFill="1" applyBorder="1" applyAlignment="1" applyProtection="1">
      <alignment horizontal="center" vertical="center" wrapText="1"/>
      <protection hidden="1"/>
    </xf>
    <xf numFmtId="167" fontId="128" fillId="18" borderId="438" xfId="0" applyNumberFormat="1" applyFont="1" applyFill="1" applyBorder="1" applyAlignment="1" applyProtection="1">
      <alignment horizontal="center" vertical="center" wrapText="1"/>
      <protection hidden="1"/>
    </xf>
    <xf numFmtId="0" fontId="128" fillId="18" borderId="444" xfId="0" applyFont="1" applyFill="1" applyBorder="1" applyAlignment="1" applyProtection="1">
      <alignment horizontal="center" vertical="center" wrapText="1"/>
      <protection hidden="1"/>
    </xf>
    <xf numFmtId="169" fontId="119" fillId="0" borderId="38" xfId="0" applyNumberFormat="1" applyFont="1" applyBorder="1" applyAlignment="1" applyProtection="1">
      <alignment horizontal="center" vertical="center"/>
      <protection locked="0"/>
    </xf>
    <xf numFmtId="169" fontId="119" fillId="0" borderId="145" xfId="0" applyNumberFormat="1" applyFont="1" applyBorder="1" applyAlignment="1" applyProtection="1">
      <alignment horizontal="center" vertical="center"/>
      <protection locked="0"/>
    </xf>
    <xf numFmtId="169" fontId="57" fillId="0" borderId="38" xfId="0" applyNumberFormat="1" applyFont="1" applyBorder="1" applyAlignment="1" applyProtection="1">
      <alignment horizontal="center" vertical="center"/>
      <protection locked="0"/>
    </xf>
    <xf numFmtId="169" fontId="226" fillId="0" borderId="38" xfId="0" applyNumberFormat="1" applyFont="1" applyBorder="1" applyAlignment="1" applyProtection="1">
      <alignment horizontal="center" vertical="center"/>
      <protection locked="0"/>
    </xf>
    <xf numFmtId="4" fontId="102" fillId="2" borderId="0" xfId="0" applyNumberFormat="1" applyFont="1" applyFill="1" applyAlignment="1" applyProtection="1">
      <alignment horizontal="center" vertical="center"/>
      <protection hidden="1"/>
    </xf>
    <xf numFmtId="167" fontId="67" fillId="2" borderId="0" xfId="0" applyNumberFormat="1" applyFont="1" applyFill="1" applyAlignment="1">
      <alignment horizontal="left"/>
    </xf>
    <xf numFmtId="0" fontId="227" fillId="20" borderId="0" xfId="0" applyFont="1" applyFill="1" applyAlignment="1">
      <alignment horizontal="centerContinuous" vertical="center" wrapText="1"/>
    </xf>
    <xf numFmtId="2" fontId="123" fillId="0" borderId="292" xfId="1" applyNumberFormat="1" applyFont="1" applyBorder="1" applyAlignment="1" applyProtection="1">
      <alignment horizontal="center" vertical="center"/>
      <protection locked="0"/>
    </xf>
    <xf numFmtId="4" fontId="123" fillId="0" borderId="292" xfId="3" applyNumberFormat="1" applyFont="1" applyBorder="1" applyAlignment="1" applyProtection="1">
      <alignment horizontal="center" vertical="center"/>
      <protection locked="0"/>
    </xf>
    <xf numFmtId="165" fontId="0" fillId="28" borderId="0" xfId="2" applyFont="1" applyFill="1" applyAlignment="1" applyProtection="1">
      <alignment horizontal="center" vertical="center"/>
      <protection hidden="1"/>
    </xf>
    <xf numFmtId="173" fontId="230" fillId="14" borderId="0" xfId="0" applyNumberFormat="1" applyFont="1" applyFill="1" applyAlignment="1" applyProtection="1">
      <alignment horizontal="center" vertical="center"/>
      <protection hidden="1"/>
    </xf>
    <xf numFmtId="173" fontId="58" fillId="14" borderId="0" xfId="0" applyNumberFormat="1" applyFont="1" applyFill="1" applyAlignment="1" applyProtection="1">
      <alignment horizontal="center" vertical="center"/>
      <protection hidden="1"/>
    </xf>
    <xf numFmtId="173" fontId="76" fillId="14" borderId="0" xfId="0" applyNumberFormat="1" applyFont="1" applyFill="1" applyAlignment="1" applyProtection="1">
      <alignment horizontal="center" vertical="center"/>
      <protection hidden="1"/>
    </xf>
    <xf numFmtId="0" fontId="0" fillId="2" borderId="0" xfId="0" applyFill="1" applyAlignment="1">
      <alignment vertical="center"/>
    </xf>
    <xf numFmtId="0" fontId="8" fillId="0" borderId="0" xfId="0" applyFont="1" applyAlignment="1">
      <alignment vertical="center"/>
    </xf>
    <xf numFmtId="173" fontId="20" fillId="14" borderId="0" xfId="0" applyNumberFormat="1" applyFont="1" applyFill="1" applyAlignment="1" applyProtection="1">
      <alignment horizontal="center" vertical="center"/>
      <protection hidden="1"/>
    </xf>
    <xf numFmtId="0" fontId="151" fillId="0" borderId="0" xfId="0" applyFont="1" applyAlignment="1">
      <alignment horizontal="center" vertical="center"/>
    </xf>
    <xf numFmtId="2" fontId="128" fillId="0" borderId="0" xfId="0" applyNumberFormat="1" applyFont="1" applyAlignment="1">
      <alignment horizontal="center" vertical="center"/>
    </xf>
    <xf numFmtId="2" fontId="152" fillId="9" borderId="422" xfId="0" applyNumberFormat="1" applyFont="1" applyFill="1" applyBorder="1" applyAlignment="1" applyProtection="1">
      <alignment horizontal="center" vertical="center"/>
      <protection locked="0"/>
    </xf>
    <xf numFmtId="1" fontId="123" fillId="9" borderId="292" xfId="3" applyNumberFormat="1" applyFont="1" applyFill="1" applyBorder="1" applyAlignment="1" applyProtection="1">
      <alignment horizontal="center" vertical="center"/>
      <protection hidden="1"/>
    </xf>
    <xf numFmtId="4" fontId="123" fillId="9" borderId="292" xfId="3" applyNumberFormat="1" applyFont="1" applyFill="1" applyBorder="1" applyAlignment="1" applyProtection="1">
      <alignment horizontal="center" vertical="center"/>
      <protection hidden="1"/>
    </xf>
    <xf numFmtId="9" fontId="41" fillId="50" borderId="0" xfId="1" applyFont="1" applyFill="1" applyAlignment="1">
      <alignment horizontal="center" vertical="center"/>
    </xf>
    <xf numFmtId="9" fontId="41" fillId="49" borderId="0" xfId="1" applyFont="1" applyFill="1" applyAlignment="1">
      <alignment horizontal="center" vertical="center"/>
    </xf>
    <xf numFmtId="9" fontId="76" fillId="49" borderId="0" xfId="1" applyFont="1" applyFill="1" applyAlignment="1">
      <alignment horizontal="center" vertical="center"/>
    </xf>
    <xf numFmtId="0" fontId="153" fillId="50" borderId="0" xfId="0" applyFont="1" applyFill="1" applyAlignment="1">
      <alignment horizontal="center" vertical="center"/>
    </xf>
    <xf numFmtId="0" fontId="153" fillId="49" borderId="0" xfId="0" applyFont="1" applyFill="1" applyAlignment="1">
      <alignment horizontal="center" vertical="center"/>
    </xf>
    <xf numFmtId="0" fontId="50" fillId="2" borderId="0" xfId="0" applyFont="1" applyFill="1" applyAlignment="1">
      <alignment horizontal="center" vertical="center"/>
    </xf>
    <xf numFmtId="173" fontId="12" fillId="2" borderId="0" xfId="0" applyNumberFormat="1" applyFont="1" applyFill="1" applyAlignment="1" applyProtection="1">
      <alignment horizontal="center" vertical="center"/>
      <protection hidden="1"/>
    </xf>
    <xf numFmtId="0" fontId="154" fillId="2" borderId="0" xfId="0" applyFont="1" applyFill="1"/>
    <xf numFmtId="0" fontId="8" fillId="2" borderId="0" xfId="0" applyFont="1" applyFill="1"/>
    <xf numFmtId="4" fontId="153" fillId="49" borderId="0" xfId="0" applyNumberFormat="1" applyFont="1" applyFill="1" applyAlignment="1">
      <alignment horizontal="right" vertical="center" indent="4"/>
    </xf>
    <xf numFmtId="4" fontId="153" fillId="50" borderId="0" xfId="0" applyNumberFormat="1" applyFont="1" applyFill="1" applyAlignment="1">
      <alignment horizontal="right" vertical="center" indent="4"/>
    </xf>
    <xf numFmtId="4" fontId="154" fillId="49" borderId="0" xfId="0" applyNumberFormat="1" applyFont="1" applyFill="1" applyAlignment="1">
      <alignment horizontal="right" vertical="center" indent="2"/>
    </xf>
    <xf numFmtId="4" fontId="154" fillId="50" borderId="0" xfId="0" applyNumberFormat="1" applyFont="1" applyFill="1" applyAlignment="1">
      <alignment horizontal="right" vertical="center" indent="2"/>
    </xf>
    <xf numFmtId="4" fontId="153" fillId="5" borderId="0" xfId="0" applyNumberFormat="1" applyFont="1" applyFill="1" applyAlignment="1">
      <alignment horizontal="right" vertical="center" indent="4"/>
    </xf>
    <xf numFmtId="4" fontId="153" fillId="50" borderId="0" xfId="0" applyNumberFormat="1" applyFont="1" applyFill="1" applyAlignment="1">
      <alignment horizontal="center" vertical="center"/>
    </xf>
    <xf numFmtId="2" fontId="57" fillId="0" borderId="0" xfId="2" applyNumberFormat="1" applyFont="1" applyAlignment="1" applyProtection="1">
      <alignment horizontal="right" indent="1"/>
      <protection hidden="1"/>
    </xf>
    <xf numFmtId="9" fontId="12" fillId="50" borderId="0" xfId="1" applyFont="1" applyFill="1" applyAlignment="1">
      <alignment horizontal="center" vertical="center"/>
    </xf>
    <xf numFmtId="0" fontId="152" fillId="49" borderId="359" xfId="0" applyFont="1" applyFill="1" applyBorder="1" applyAlignment="1" applyProtection="1">
      <alignment horizontal="right" vertical="center" indent="4"/>
      <protection hidden="1"/>
    </xf>
    <xf numFmtId="0" fontId="152" fillId="50" borderId="359" xfId="0" applyFont="1" applyFill="1" applyBorder="1" applyAlignment="1" applyProtection="1">
      <alignment horizontal="right" vertical="center" indent="4"/>
      <protection hidden="1"/>
    </xf>
    <xf numFmtId="203" fontId="152" fillId="49" borderId="359" xfId="0" applyNumberFormat="1" applyFont="1" applyFill="1" applyBorder="1" applyAlignment="1" applyProtection="1">
      <alignment horizontal="right" vertical="center" indent="4"/>
      <protection hidden="1"/>
    </xf>
    <xf numFmtId="203" fontId="152" fillId="50" borderId="0" xfId="0" applyNumberFormat="1" applyFont="1" applyFill="1" applyAlignment="1" applyProtection="1">
      <alignment horizontal="right" vertical="center" indent="4"/>
      <protection hidden="1"/>
    </xf>
    <xf numFmtId="0" fontId="174" fillId="49" borderId="359" xfId="0" applyFont="1" applyFill="1" applyBorder="1" applyAlignment="1" applyProtection="1">
      <alignment horizontal="right" vertical="center" indent="4"/>
      <protection hidden="1"/>
    </xf>
    <xf numFmtId="4" fontId="12" fillId="50" borderId="0" xfId="0" applyNumberFormat="1" applyFont="1" applyFill="1" applyAlignment="1">
      <alignment horizontal="right" vertical="center" indent="2"/>
    </xf>
    <xf numFmtId="0" fontId="233" fillId="49" borderId="0" xfId="0" applyFont="1" applyFill="1" applyAlignment="1">
      <alignment horizontal="center" vertical="center"/>
    </xf>
    <xf numFmtId="0" fontId="67" fillId="2" borderId="0" xfId="0" applyFont="1" applyFill="1"/>
    <xf numFmtId="0" fontId="235" fillId="2" borderId="25" xfId="0" applyFont="1" applyFill="1" applyBorder="1" applyAlignment="1" applyProtection="1">
      <alignment horizontal="centerContinuous" vertical="center" wrapText="1"/>
      <protection hidden="1"/>
    </xf>
    <xf numFmtId="0" fontId="26" fillId="22" borderId="25" xfId="0" applyFont="1" applyFill="1" applyBorder="1"/>
    <xf numFmtId="0" fontId="234" fillId="22" borderId="24" xfId="0" applyFont="1" applyFill="1" applyBorder="1" applyAlignment="1">
      <alignment horizontal="centerContinuous" vertical="center"/>
    </xf>
    <xf numFmtId="0" fontId="26" fillId="22" borderId="24" xfId="0" applyFont="1" applyFill="1" applyBorder="1" applyAlignment="1">
      <alignment horizontal="centerContinuous" vertical="center"/>
    </xf>
    <xf numFmtId="0" fontId="26" fillId="22" borderId="26" xfId="0" applyFont="1" applyFill="1" applyBorder="1" applyAlignment="1">
      <alignment horizontal="centerContinuous" vertical="center"/>
    </xf>
    <xf numFmtId="0" fontId="26" fillId="22" borderId="54" xfId="0" applyFont="1" applyFill="1" applyBorder="1"/>
    <xf numFmtId="0" fontId="137" fillId="20" borderId="446" xfId="0" applyFont="1" applyFill="1" applyBorder="1" applyAlignment="1" applyProtection="1">
      <alignment horizontal="center" vertical="center" wrapText="1"/>
      <protection hidden="1"/>
    </xf>
    <xf numFmtId="0" fontId="213" fillId="50" borderId="447" xfId="0" applyFont="1" applyFill="1" applyBorder="1" applyAlignment="1" applyProtection="1">
      <alignment horizontal="center"/>
      <protection hidden="1"/>
    </xf>
    <xf numFmtId="0" fontId="213" fillId="49" borderId="384" xfId="0" applyFont="1" applyFill="1" applyBorder="1" applyAlignment="1" applyProtection="1">
      <alignment horizontal="center"/>
      <protection hidden="1"/>
    </xf>
    <xf numFmtId="0" fontId="213" fillId="50" borderId="384" xfId="0" applyFont="1" applyFill="1" applyBorder="1" applyAlignment="1" applyProtection="1">
      <alignment horizontal="center"/>
      <protection hidden="1"/>
    </xf>
    <xf numFmtId="0" fontId="213" fillId="50" borderId="448" xfId="0" applyFont="1" applyFill="1" applyBorder="1" applyAlignment="1" applyProtection="1">
      <alignment horizontal="center"/>
      <protection hidden="1"/>
    </xf>
    <xf numFmtId="0" fontId="213" fillId="50" borderId="449" xfId="0" applyFont="1" applyFill="1" applyBorder="1" applyAlignment="1" applyProtection="1">
      <alignment horizontal="center"/>
      <protection hidden="1"/>
    </xf>
    <xf numFmtId="0" fontId="46" fillId="22" borderId="0" xfId="0" applyFont="1" applyFill="1" applyProtection="1">
      <protection hidden="1"/>
    </xf>
    <xf numFmtId="0" fontId="26" fillId="22" borderId="53" xfId="0" applyFont="1" applyFill="1" applyBorder="1" applyProtection="1">
      <protection hidden="1"/>
    </xf>
    <xf numFmtId="0" fontId="179" fillId="22" borderId="0" xfId="0" applyFont="1" applyFill="1" applyProtection="1">
      <protection hidden="1"/>
    </xf>
    <xf numFmtId="0" fontId="30" fillId="5" borderId="450" xfId="0" applyFont="1" applyFill="1" applyBorder="1" applyAlignment="1" applyProtection="1">
      <alignment horizontal="center" vertical="distributed"/>
      <protection hidden="1"/>
    </xf>
    <xf numFmtId="2" fontId="30" fillId="5" borderId="451" xfId="0" applyNumberFormat="1" applyFont="1" applyFill="1" applyBorder="1" applyAlignment="1" applyProtection="1">
      <alignment horizontal="center"/>
      <protection hidden="1"/>
    </xf>
    <xf numFmtId="0" fontId="30" fillId="5" borderId="450" xfId="0" applyFont="1" applyFill="1" applyBorder="1" applyAlignment="1" applyProtection="1">
      <alignment horizontal="center"/>
      <protection hidden="1"/>
    </xf>
    <xf numFmtId="0" fontId="30" fillId="5" borderId="53" xfId="0" applyFont="1" applyFill="1" applyBorder="1" applyAlignment="1" applyProtection="1">
      <alignment horizontal="center"/>
      <protection hidden="1"/>
    </xf>
    <xf numFmtId="0" fontId="30" fillId="5" borderId="451" xfId="0" applyFont="1" applyFill="1" applyBorder="1" applyAlignment="1" applyProtection="1">
      <alignment horizontal="center"/>
      <protection hidden="1"/>
    </xf>
    <xf numFmtId="0" fontId="25" fillId="22" borderId="53" xfId="0" applyFont="1" applyFill="1" applyBorder="1" applyProtection="1">
      <protection hidden="1"/>
    </xf>
    <xf numFmtId="0" fontId="26" fillId="22" borderId="53" xfId="0" applyFont="1" applyFill="1" applyBorder="1"/>
    <xf numFmtId="0" fontId="26" fillId="22" borderId="69" xfId="0" applyFont="1" applyFill="1" applyBorder="1"/>
    <xf numFmtId="0" fontId="26" fillId="22" borderId="70" xfId="0" applyFont="1" applyFill="1" applyBorder="1"/>
    <xf numFmtId="0" fontId="26" fillId="22" borderId="71" xfId="0" applyFont="1" applyFill="1" applyBorder="1"/>
    <xf numFmtId="0" fontId="30" fillId="2" borderId="26" xfId="0" applyFont="1" applyFill="1" applyBorder="1" applyAlignment="1" applyProtection="1">
      <alignment horizontal="centerContinuous" vertical="center" wrapText="1"/>
      <protection hidden="1"/>
    </xf>
    <xf numFmtId="0" fontId="25" fillId="2" borderId="0" xfId="0" applyFont="1" applyFill="1" applyAlignment="1" applyProtection="1">
      <alignment horizontal="center" vertical="top" wrapText="1"/>
      <protection hidden="1"/>
    </xf>
    <xf numFmtId="0" fontId="25" fillId="2" borderId="0" xfId="0" applyFont="1" applyFill="1" applyAlignment="1" applyProtection="1">
      <alignment horizontal="center" vertical="center" wrapText="1"/>
      <protection hidden="1"/>
    </xf>
    <xf numFmtId="2" fontId="25" fillId="2" borderId="0" xfId="0" applyNumberFormat="1" applyFont="1" applyFill="1" applyAlignment="1" applyProtection="1">
      <alignment horizontal="right" vertical="center" wrapText="1"/>
      <protection hidden="1"/>
    </xf>
    <xf numFmtId="195" fontId="25" fillId="2" borderId="0" xfId="0" applyNumberFormat="1" applyFont="1" applyFill="1" applyAlignment="1" applyProtection="1">
      <alignment horizontal="left" vertical="center" wrapText="1"/>
      <protection hidden="1"/>
    </xf>
    <xf numFmtId="0" fontId="25" fillId="2" borderId="0" xfId="0" applyFont="1" applyFill="1" applyAlignment="1" applyProtection="1">
      <alignment horizontal="justify" vertical="top" wrapText="1"/>
      <protection hidden="1"/>
    </xf>
    <xf numFmtId="195" fontId="25" fillId="2" borderId="0" xfId="0" applyNumberFormat="1" applyFont="1" applyFill="1" applyAlignment="1" applyProtection="1">
      <alignment horizontal="left" vertical="top" wrapText="1"/>
      <protection hidden="1"/>
    </xf>
    <xf numFmtId="16" fontId="25" fillId="2" borderId="0" xfId="0" applyNumberFormat="1" applyFont="1" applyFill="1" applyAlignment="1" applyProtection="1">
      <alignment horizontal="center" vertical="top" wrapText="1"/>
      <protection hidden="1"/>
    </xf>
    <xf numFmtId="0" fontId="26" fillId="47" borderId="54" xfId="0" applyFont="1" applyFill="1" applyBorder="1"/>
    <xf numFmtId="0" fontId="26" fillId="47" borderId="0" xfId="0" applyFont="1" applyFill="1"/>
    <xf numFmtId="0" fontId="26" fillId="47" borderId="53" xfId="0" applyFont="1" applyFill="1" applyBorder="1"/>
    <xf numFmtId="0" fontId="25" fillId="2" borderId="0" xfId="0" applyFont="1" applyFill="1" applyAlignment="1" applyProtection="1">
      <alignment horizontal="center" vertical="top"/>
      <protection hidden="1"/>
    </xf>
    <xf numFmtId="16" fontId="25" fillId="2" borderId="0" xfId="0" applyNumberFormat="1" applyFont="1" applyFill="1" applyAlignment="1" applyProtection="1">
      <alignment horizontal="center" vertical="top"/>
      <protection hidden="1"/>
    </xf>
    <xf numFmtId="0" fontId="26" fillId="47" borderId="69" xfId="0" applyFont="1" applyFill="1" applyBorder="1"/>
    <xf numFmtId="0" fontId="26" fillId="47" borderId="70" xfId="0" applyFont="1" applyFill="1" applyBorder="1"/>
    <xf numFmtId="0" fontId="26" fillId="47" borderId="71" xfId="0" applyFont="1" applyFill="1" applyBorder="1"/>
    <xf numFmtId="0" fontId="171" fillId="50" borderId="285" xfId="0" applyFont="1" applyFill="1" applyBorder="1" applyAlignment="1" applyProtection="1">
      <alignment horizontal="left" indent="1"/>
      <protection hidden="1"/>
    </xf>
    <xf numFmtId="0" fontId="152" fillId="50" borderId="286" xfId="0" applyFont="1" applyFill="1" applyBorder="1" applyAlignment="1" applyProtection="1">
      <alignment horizontal="left" indent="1"/>
      <protection hidden="1"/>
    </xf>
    <xf numFmtId="186" fontId="152" fillId="50" borderId="286" xfId="3" applyNumberFormat="1" applyFont="1" applyFill="1" applyBorder="1" applyProtection="1">
      <protection hidden="1"/>
    </xf>
    <xf numFmtId="9" fontId="173" fillId="50" borderId="359" xfId="1" applyFont="1" applyFill="1" applyBorder="1" applyAlignment="1" applyProtection="1">
      <alignment horizontal="center" vertical="center"/>
      <protection hidden="1"/>
    </xf>
    <xf numFmtId="186" fontId="152" fillId="50" borderId="359" xfId="3" applyNumberFormat="1" applyFont="1" applyFill="1" applyBorder="1" applyProtection="1">
      <protection hidden="1"/>
    </xf>
    <xf numFmtId="10" fontId="173" fillId="50" borderId="359" xfId="1" applyNumberFormat="1" applyFont="1" applyFill="1" applyBorder="1" applyAlignment="1" applyProtection="1">
      <alignment horizontal="center" vertical="center"/>
      <protection hidden="1"/>
    </xf>
    <xf numFmtId="0" fontId="171" fillId="49" borderId="285" xfId="0" applyFont="1" applyFill="1" applyBorder="1" applyAlignment="1" applyProtection="1">
      <alignment horizontal="left" indent="1"/>
      <protection hidden="1"/>
    </xf>
    <xf numFmtId="0" fontId="152" fillId="49" borderId="286" xfId="0" applyFont="1" applyFill="1" applyBorder="1" applyAlignment="1" applyProtection="1">
      <alignment horizontal="left" indent="1"/>
      <protection hidden="1"/>
    </xf>
    <xf numFmtId="186" fontId="152" fillId="49" borderId="286" xfId="3" applyNumberFormat="1" applyFont="1" applyFill="1" applyBorder="1" applyProtection="1">
      <protection hidden="1"/>
    </xf>
    <xf numFmtId="10" fontId="173" fillId="49" borderId="359" xfId="1" applyNumberFormat="1" applyFont="1" applyFill="1" applyBorder="1" applyAlignment="1" applyProtection="1">
      <alignment horizontal="center" vertical="center"/>
      <protection hidden="1"/>
    </xf>
    <xf numFmtId="186" fontId="152" fillId="49" borderId="359" xfId="3" applyNumberFormat="1" applyFont="1" applyFill="1" applyBorder="1" applyProtection="1">
      <protection hidden="1"/>
    </xf>
    <xf numFmtId="9" fontId="173" fillId="49" borderId="359" xfId="1" applyFont="1" applyFill="1" applyBorder="1" applyAlignment="1" applyProtection="1">
      <alignment horizontal="center" vertical="center"/>
      <protection hidden="1"/>
    </xf>
    <xf numFmtId="164" fontId="152" fillId="50" borderId="286" xfId="3" applyFont="1" applyFill="1" applyBorder="1" applyProtection="1">
      <protection hidden="1"/>
    </xf>
    <xf numFmtId="164" fontId="152" fillId="50" borderId="359" xfId="3" applyFont="1" applyFill="1" applyBorder="1" applyProtection="1">
      <protection hidden="1"/>
    </xf>
    <xf numFmtId="164" fontId="152" fillId="49" borderId="286" xfId="3" applyFont="1" applyFill="1" applyBorder="1" applyProtection="1">
      <protection hidden="1"/>
    </xf>
    <xf numFmtId="164" fontId="152" fillId="49" borderId="359" xfId="3" applyFont="1" applyFill="1" applyBorder="1" applyProtection="1">
      <protection hidden="1"/>
    </xf>
    <xf numFmtId="0" fontId="171" fillId="4" borderId="285" xfId="0" applyFont="1" applyFill="1" applyBorder="1" applyAlignment="1" applyProtection="1">
      <alignment horizontal="left" indent="1"/>
      <protection hidden="1"/>
    </xf>
    <xf numFmtId="0" fontId="152" fillId="4" borderId="286" xfId="0" applyFont="1" applyFill="1" applyBorder="1" applyAlignment="1" applyProtection="1">
      <alignment horizontal="left" indent="1"/>
      <protection hidden="1"/>
    </xf>
    <xf numFmtId="186" fontId="152" fillId="4" borderId="286" xfId="3" applyNumberFormat="1" applyFont="1" applyFill="1" applyBorder="1" applyProtection="1">
      <protection hidden="1"/>
    </xf>
    <xf numFmtId="186" fontId="152" fillId="4" borderId="359" xfId="3" applyNumberFormat="1" applyFont="1" applyFill="1" applyBorder="1" applyProtection="1">
      <protection hidden="1"/>
    </xf>
    <xf numFmtId="193" fontId="152" fillId="4" borderId="359" xfId="3" applyNumberFormat="1" applyFont="1" applyFill="1" applyBorder="1" applyProtection="1">
      <protection hidden="1"/>
    </xf>
    <xf numFmtId="0" fontId="142" fillId="0" borderId="0" xfId="0" applyFont="1" applyProtection="1">
      <protection hidden="1"/>
    </xf>
    <xf numFmtId="164" fontId="152" fillId="5" borderId="286" xfId="3" applyFont="1" applyFill="1" applyBorder="1" applyProtection="1">
      <protection hidden="1"/>
    </xf>
    <xf numFmtId="0" fontId="0" fillId="2" borderId="248" xfId="0" applyFill="1" applyBorder="1" applyProtection="1">
      <protection locked="0"/>
    </xf>
    <xf numFmtId="4" fontId="123" fillId="0" borderId="292" xfId="3" applyNumberFormat="1" applyFont="1" applyBorder="1" applyAlignment="1" applyProtection="1">
      <alignment horizontal="center" vertical="center"/>
      <protection locked="0" hidden="1"/>
    </xf>
    <xf numFmtId="9" fontId="123" fillId="0" borderId="292" xfId="1" applyFont="1" applyBorder="1" applyAlignment="1" applyProtection="1">
      <alignment horizontal="center" vertical="center"/>
      <protection locked="0" hidden="1"/>
    </xf>
    <xf numFmtId="2" fontId="123" fillId="0" borderId="292" xfId="1" applyNumberFormat="1" applyFont="1" applyBorder="1" applyAlignment="1" applyProtection="1">
      <alignment horizontal="center" vertical="center"/>
      <protection locked="0" hidden="1"/>
    </xf>
    <xf numFmtId="2" fontId="123" fillId="0" borderId="292" xfId="0" applyNumberFormat="1" applyFont="1" applyBorder="1" applyAlignment="1" applyProtection="1">
      <alignment horizontal="center" vertical="center"/>
      <protection locked="0" hidden="1"/>
    </xf>
    <xf numFmtId="3" fontId="152" fillId="49" borderId="286" xfId="0" applyNumberFormat="1" applyFont="1" applyFill="1" applyBorder="1" applyAlignment="1" applyProtection="1">
      <alignment horizontal="right" vertical="center" indent="4"/>
      <protection hidden="1"/>
    </xf>
    <xf numFmtId="3" fontId="152" fillId="50" borderId="286" xfId="0" applyNumberFormat="1" applyFont="1" applyFill="1" applyBorder="1" applyAlignment="1" applyProtection="1">
      <alignment horizontal="right" vertical="center" indent="4"/>
      <protection hidden="1"/>
    </xf>
    <xf numFmtId="4" fontId="152" fillId="49" borderId="286" xfId="0" applyNumberFormat="1" applyFont="1" applyFill="1" applyBorder="1" applyAlignment="1" applyProtection="1">
      <alignment horizontal="right" vertical="center" indent="4"/>
      <protection hidden="1"/>
    </xf>
    <xf numFmtId="4" fontId="152" fillId="50" borderId="286" xfId="0" applyNumberFormat="1" applyFont="1" applyFill="1" applyBorder="1" applyAlignment="1" applyProtection="1">
      <alignment horizontal="right" vertical="center" indent="4"/>
      <protection hidden="1"/>
    </xf>
    <xf numFmtId="4" fontId="152" fillId="50" borderId="0" xfId="0" applyNumberFormat="1" applyFont="1" applyFill="1" applyAlignment="1" applyProtection="1">
      <alignment horizontal="right" indent="4"/>
      <protection hidden="1"/>
    </xf>
    <xf numFmtId="0" fontId="233" fillId="49" borderId="0" xfId="0" applyFont="1" applyFill="1" applyAlignment="1" applyProtection="1">
      <alignment horizontal="center" vertical="center"/>
      <protection hidden="1"/>
    </xf>
    <xf numFmtId="4" fontId="174" fillId="49" borderId="286" xfId="0" applyNumberFormat="1" applyFont="1" applyFill="1" applyBorder="1" applyAlignment="1" applyProtection="1">
      <alignment horizontal="right" vertical="center" indent="4"/>
      <protection hidden="1"/>
    </xf>
    <xf numFmtId="4" fontId="230" fillId="49" borderId="0" xfId="0" applyNumberFormat="1" applyFont="1" applyFill="1" applyAlignment="1" applyProtection="1">
      <alignment horizontal="center" vertical="center"/>
      <protection hidden="1"/>
    </xf>
    <xf numFmtId="9" fontId="8" fillId="49" borderId="0" xfId="1" applyFont="1" applyFill="1" applyAlignment="1" applyProtection="1">
      <alignment horizontal="center" vertical="center"/>
      <protection hidden="1"/>
    </xf>
    <xf numFmtId="4" fontId="58" fillId="50" borderId="0" xfId="0" applyNumberFormat="1" applyFont="1" applyFill="1" applyAlignment="1" applyProtection="1">
      <alignment horizontal="center" vertical="center"/>
      <protection hidden="1"/>
    </xf>
    <xf numFmtId="9" fontId="41" fillId="50" borderId="0" xfId="1" applyFont="1" applyFill="1" applyAlignment="1" applyProtection="1">
      <alignment horizontal="center" vertical="center"/>
      <protection hidden="1"/>
    </xf>
    <xf numFmtId="4" fontId="41" fillId="49" borderId="0" xfId="0" applyNumberFormat="1" applyFont="1" applyFill="1" applyAlignment="1" applyProtection="1">
      <alignment horizontal="center" vertical="center"/>
      <protection hidden="1"/>
    </xf>
    <xf numFmtId="9" fontId="41" fillId="49" borderId="0" xfId="1" applyFont="1" applyFill="1" applyAlignment="1" applyProtection="1">
      <alignment horizontal="center" vertical="center"/>
      <protection hidden="1"/>
    </xf>
    <xf numFmtId="4" fontId="41" fillId="50" borderId="0" xfId="0" applyNumberFormat="1" applyFont="1" applyFill="1" applyAlignment="1" applyProtection="1">
      <alignment horizontal="center" vertical="center"/>
      <protection hidden="1"/>
    </xf>
    <xf numFmtId="4" fontId="76" fillId="49" borderId="0" xfId="0" applyNumberFormat="1" applyFont="1" applyFill="1" applyAlignment="1" applyProtection="1">
      <alignment horizontal="center" vertical="center"/>
      <protection hidden="1"/>
    </xf>
    <xf numFmtId="9" fontId="76" fillId="49" borderId="0" xfId="1" applyFont="1" applyFill="1" applyAlignment="1" applyProtection="1">
      <alignment horizontal="center" vertical="center"/>
      <protection hidden="1"/>
    </xf>
    <xf numFmtId="4" fontId="12" fillId="50" borderId="0" xfId="0" applyNumberFormat="1" applyFont="1" applyFill="1" applyAlignment="1" applyProtection="1">
      <alignment horizontal="center" vertical="center"/>
      <protection hidden="1"/>
    </xf>
    <xf numFmtId="9" fontId="12" fillId="50" borderId="0" xfId="1" applyFont="1" applyFill="1" applyAlignment="1" applyProtection="1">
      <alignment horizontal="center" vertical="center"/>
      <protection hidden="1"/>
    </xf>
    <xf numFmtId="0" fontId="236" fillId="20" borderId="74" xfId="0" applyFont="1" applyFill="1" applyBorder="1" applyAlignment="1" applyProtection="1">
      <alignment horizontal="center" vertical="center" wrapText="1"/>
      <protection hidden="1"/>
    </xf>
    <xf numFmtId="0" fontId="236" fillId="20" borderId="202" xfId="0" applyFont="1" applyFill="1" applyBorder="1" applyAlignment="1" applyProtection="1">
      <alignment horizontal="center" vertical="center" wrapText="1"/>
      <protection hidden="1"/>
    </xf>
    <xf numFmtId="0" fontId="236" fillId="20" borderId="204" xfId="0" applyFont="1" applyFill="1" applyBorder="1" applyAlignment="1" applyProtection="1">
      <alignment horizontal="center" vertical="center" wrapText="1"/>
      <protection hidden="1"/>
    </xf>
    <xf numFmtId="0" fontId="237" fillId="4" borderId="88" xfId="0" applyFont="1" applyFill="1" applyBorder="1" applyAlignment="1" applyProtection="1">
      <alignment horizontal="center" vertical="center"/>
      <protection hidden="1"/>
    </xf>
    <xf numFmtId="0" fontId="237" fillId="4" borderId="206" xfId="0" applyFont="1" applyFill="1" applyBorder="1" applyAlignment="1" applyProtection="1">
      <alignment horizontal="center" vertical="center"/>
      <protection hidden="1"/>
    </xf>
    <xf numFmtId="169" fontId="102" fillId="2" borderId="135" xfId="0" applyNumberFormat="1" applyFont="1" applyFill="1" applyBorder="1" applyAlignment="1" applyProtection="1">
      <alignment horizontal="left" vertical="center" indent="1"/>
      <protection hidden="1"/>
    </xf>
    <xf numFmtId="169" fontId="102" fillId="2" borderId="84" xfId="0" applyNumberFormat="1" applyFont="1" applyFill="1" applyBorder="1" applyAlignment="1" applyProtection="1">
      <alignment horizontal="center"/>
      <protection hidden="1"/>
    </xf>
    <xf numFmtId="169" fontId="102" fillId="2" borderId="84" xfId="0" applyNumberFormat="1" applyFont="1" applyFill="1" applyBorder="1" applyAlignment="1" applyProtection="1">
      <alignment horizontal="center" vertical="center"/>
      <protection hidden="1"/>
    </xf>
    <xf numFmtId="169" fontId="102" fillId="2" borderId="137" xfId="0" applyNumberFormat="1" applyFont="1" applyFill="1" applyBorder="1" applyAlignment="1" applyProtection="1">
      <alignment horizontal="left" vertical="center" indent="1"/>
      <protection hidden="1"/>
    </xf>
    <xf numFmtId="169" fontId="102" fillId="2" borderId="86" xfId="0" applyNumberFormat="1" applyFont="1" applyFill="1" applyBorder="1" applyAlignment="1" applyProtection="1">
      <alignment horizontal="center"/>
      <protection hidden="1"/>
    </xf>
    <xf numFmtId="169" fontId="102" fillId="2" borderId="86" xfId="0" applyNumberFormat="1" applyFont="1" applyFill="1" applyBorder="1" applyAlignment="1" applyProtection="1">
      <alignment horizontal="center" vertical="center"/>
      <protection hidden="1"/>
    </xf>
    <xf numFmtId="170" fontId="238" fillId="2" borderId="84" xfId="0" applyNumberFormat="1" applyFont="1" applyFill="1" applyBorder="1" applyAlignment="1" applyProtection="1">
      <alignment horizontal="right" indent="1"/>
      <protection hidden="1"/>
    </xf>
    <xf numFmtId="170" fontId="238" fillId="2" borderId="86" xfId="0" applyNumberFormat="1" applyFont="1" applyFill="1" applyBorder="1" applyAlignment="1" applyProtection="1">
      <alignment horizontal="right" indent="1"/>
      <protection hidden="1"/>
    </xf>
    <xf numFmtId="170" fontId="102" fillId="5" borderId="84" xfId="0" applyNumberFormat="1" applyFont="1" applyFill="1" applyBorder="1" applyAlignment="1" applyProtection="1">
      <alignment horizontal="right" indent="1"/>
      <protection hidden="1"/>
    </xf>
    <xf numFmtId="170" fontId="102" fillId="5" borderId="86" xfId="0" applyNumberFormat="1" applyFont="1" applyFill="1" applyBorder="1" applyAlignment="1" applyProtection="1">
      <alignment horizontal="right" indent="1"/>
      <protection hidden="1"/>
    </xf>
    <xf numFmtId="169" fontId="102" fillId="5" borderId="84" xfId="0" applyNumberFormat="1" applyFont="1" applyFill="1" applyBorder="1" applyAlignment="1" applyProtection="1">
      <alignment horizontal="center"/>
      <protection hidden="1"/>
    </xf>
    <xf numFmtId="173" fontId="239" fillId="5" borderId="150" xfId="0" applyNumberFormat="1" applyFont="1" applyFill="1" applyBorder="1" applyAlignment="1" applyProtection="1">
      <alignment horizontal="center"/>
      <protection hidden="1"/>
    </xf>
    <xf numFmtId="10" fontId="102" fillId="5" borderId="136" xfId="1" applyNumberFormat="1" applyFont="1" applyFill="1" applyBorder="1" applyAlignment="1" applyProtection="1">
      <alignment horizontal="right" indent="1"/>
      <protection hidden="1"/>
    </xf>
    <xf numFmtId="169" fontId="102" fillId="5" borderId="86" xfId="0" applyNumberFormat="1" applyFont="1" applyFill="1" applyBorder="1" applyAlignment="1" applyProtection="1">
      <alignment horizontal="center"/>
      <protection hidden="1"/>
    </xf>
    <xf numFmtId="173" fontId="239" fillId="5" borderId="151" xfId="0" applyNumberFormat="1" applyFont="1" applyFill="1" applyBorder="1" applyAlignment="1" applyProtection="1">
      <alignment horizontal="center"/>
      <protection hidden="1"/>
    </xf>
    <xf numFmtId="10" fontId="102" fillId="5" borderId="138" xfId="1" applyNumberFormat="1" applyFont="1" applyFill="1" applyBorder="1" applyAlignment="1" applyProtection="1">
      <alignment horizontal="right" indent="1"/>
      <protection hidden="1"/>
    </xf>
    <xf numFmtId="170" fontId="240" fillId="5" borderId="84" xfId="0" applyNumberFormat="1" applyFont="1" applyFill="1" applyBorder="1" applyAlignment="1" applyProtection="1">
      <alignment horizontal="right" indent="1"/>
      <protection hidden="1"/>
    </xf>
    <xf numFmtId="170" fontId="240" fillId="5" borderId="86" xfId="0" applyNumberFormat="1" applyFont="1" applyFill="1" applyBorder="1" applyAlignment="1" applyProtection="1">
      <alignment horizontal="right" indent="1"/>
      <protection hidden="1"/>
    </xf>
    <xf numFmtId="169" fontId="240" fillId="5" borderId="84" xfId="0" applyNumberFormat="1" applyFont="1" applyFill="1" applyBorder="1" applyAlignment="1" applyProtection="1">
      <alignment horizontal="center"/>
      <protection hidden="1"/>
    </xf>
    <xf numFmtId="173" fontId="241" fillId="5" borderId="150" xfId="0" applyNumberFormat="1" applyFont="1" applyFill="1" applyBorder="1" applyAlignment="1" applyProtection="1">
      <alignment horizontal="center"/>
      <protection hidden="1"/>
    </xf>
    <xf numFmtId="10" fontId="240" fillId="5" borderId="136" xfId="1" applyNumberFormat="1" applyFont="1" applyFill="1" applyBorder="1" applyAlignment="1" applyProtection="1">
      <alignment horizontal="right" indent="1"/>
      <protection hidden="1"/>
    </xf>
    <xf numFmtId="169" fontId="240" fillId="5" borderId="86" xfId="0" applyNumberFormat="1" applyFont="1" applyFill="1" applyBorder="1" applyAlignment="1" applyProtection="1">
      <alignment horizontal="center"/>
      <protection hidden="1"/>
    </xf>
    <xf numFmtId="173" fontId="241" fillId="5" borderId="151" xfId="0" applyNumberFormat="1" applyFont="1" applyFill="1" applyBorder="1" applyAlignment="1" applyProtection="1">
      <alignment horizontal="center"/>
      <protection hidden="1"/>
    </xf>
    <xf numFmtId="10" fontId="240" fillId="5" borderId="138" xfId="1" applyNumberFormat="1" applyFont="1" applyFill="1" applyBorder="1" applyAlignment="1" applyProtection="1">
      <alignment horizontal="right" indent="1"/>
      <protection hidden="1"/>
    </xf>
    <xf numFmtId="177" fontId="242" fillId="9" borderId="0" xfId="2" applyNumberFormat="1" applyFont="1" applyFill="1" applyBorder="1" applyAlignment="1" applyProtection="1">
      <alignment horizontal="right" indent="1"/>
      <protection hidden="1"/>
    </xf>
    <xf numFmtId="177" fontId="197" fillId="9" borderId="0" xfId="2" applyNumberFormat="1" applyFont="1" applyFill="1" applyBorder="1" applyAlignment="1" applyProtection="1">
      <alignment horizontal="right" indent="1"/>
      <protection hidden="1"/>
    </xf>
    <xf numFmtId="204" fontId="43" fillId="14" borderId="83" xfId="1" applyNumberFormat="1" applyFont="1" applyFill="1" applyBorder="1" applyAlignment="1" applyProtection="1">
      <alignment horizontal="center" vertical="center"/>
      <protection hidden="1"/>
    </xf>
    <xf numFmtId="204" fontId="43" fillId="14" borderId="84" xfId="1" applyNumberFormat="1" applyFont="1" applyFill="1" applyBorder="1" applyAlignment="1" applyProtection="1">
      <alignment horizontal="center" vertical="center"/>
      <protection hidden="1"/>
    </xf>
    <xf numFmtId="204" fontId="43" fillId="14" borderId="392" xfId="1" applyNumberFormat="1" applyFont="1" applyFill="1" applyBorder="1" applyAlignment="1" applyProtection="1">
      <alignment horizontal="center" vertical="center"/>
      <protection hidden="1"/>
    </xf>
    <xf numFmtId="0" fontId="54" fillId="4" borderId="88" xfId="0" applyFont="1" applyFill="1" applyBorder="1" applyAlignment="1" applyProtection="1">
      <alignment horizontal="center" vertical="center"/>
      <protection hidden="1"/>
    </xf>
    <xf numFmtId="173" fontId="43" fillId="14" borderId="83" xfId="1" applyNumberFormat="1" applyFont="1" applyFill="1" applyBorder="1" applyAlignment="1" applyProtection="1">
      <alignment horizontal="center" vertical="center"/>
      <protection hidden="1"/>
    </xf>
    <xf numFmtId="173" fontId="43" fillId="14" borderId="84" xfId="1" applyNumberFormat="1" applyFont="1" applyFill="1" applyBorder="1" applyAlignment="1" applyProtection="1">
      <alignment horizontal="center" vertical="center"/>
      <protection hidden="1"/>
    </xf>
    <xf numFmtId="173" fontId="43" fillId="14" borderId="392" xfId="1" applyNumberFormat="1" applyFont="1" applyFill="1" applyBorder="1" applyAlignment="1" applyProtection="1">
      <alignment horizontal="center" vertical="center"/>
      <protection hidden="1"/>
    </xf>
    <xf numFmtId="205" fontId="9" fillId="4" borderId="35" xfId="1" applyNumberFormat="1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>
      <alignment horizontal="left" indent="1"/>
    </xf>
    <xf numFmtId="0" fontId="0" fillId="0" borderId="293" xfId="0" applyBorder="1" applyAlignment="1">
      <alignment horizontal="center" vertical="center"/>
    </xf>
    <xf numFmtId="0" fontId="0" fillId="0" borderId="294" xfId="0" applyBorder="1" applyAlignment="1">
      <alignment horizontal="center" vertical="center"/>
    </xf>
    <xf numFmtId="0" fontId="0" fillId="0" borderId="295" xfId="0" applyBorder="1" applyProtection="1">
      <protection hidden="1"/>
    </xf>
    <xf numFmtId="0" fontId="0" fillId="9" borderId="242" xfId="0" applyFill="1" applyBorder="1" applyAlignment="1" applyProtection="1">
      <alignment horizontal="center" vertical="center"/>
      <protection locked="0"/>
    </xf>
    <xf numFmtId="0" fontId="24" fillId="0" borderId="173" xfId="0" applyFont="1" applyBorder="1" applyProtection="1">
      <protection hidden="1"/>
    </xf>
    <xf numFmtId="0" fontId="0" fillId="0" borderId="242" xfId="0" applyBorder="1" applyAlignment="1">
      <alignment horizontal="center" vertical="center"/>
    </xf>
    <xf numFmtId="0" fontId="0" fillId="0" borderId="173" xfId="0" applyBorder="1" applyProtection="1">
      <protection hidden="1"/>
    </xf>
    <xf numFmtId="0" fontId="0" fillId="0" borderId="296" xfId="0" applyBorder="1" applyAlignment="1">
      <alignment horizontal="center" vertical="center"/>
    </xf>
    <xf numFmtId="0" fontId="0" fillId="0" borderId="297" xfId="0" applyBorder="1" applyAlignment="1">
      <alignment horizontal="left" indent="1"/>
    </xf>
    <xf numFmtId="0" fontId="0" fillId="0" borderId="36" xfId="0" applyBorder="1" applyProtection="1">
      <protection hidden="1"/>
    </xf>
    <xf numFmtId="168" fontId="0" fillId="0" borderId="0" xfId="1" applyNumberFormat="1" applyFont="1" applyBorder="1" applyAlignment="1">
      <alignment horizontal="left" indent="1"/>
    </xf>
    <xf numFmtId="168" fontId="0" fillId="0" borderId="294" xfId="1" applyNumberFormat="1" applyFont="1" applyBorder="1" applyAlignment="1">
      <alignment horizontal="center" vertical="center"/>
    </xf>
    <xf numFmtId="168" fontId="0" fillId="0" borderId="297" xfId="1" applyNumberFormat="1" applyFont="1" applyBorder="1" applyAlignment="1">
      <alignment horizontal="left" indent="1"/>
    </xf>
    <xf numFmtId="167" fontId="0" fillId="0" borderId="0" xfId="0" applyNumberFormat="1" applyProtection="1">
      <protection hidden="1"/>
    </xf>
    <xf numFmtId="0" fontId="0" fillId="0" borderId="173" xfId="0" applyBorder="1" applyAlignment="1" applyProtection="1">
      <alignment horizontal="center" vertical="center"/>
      <protection hidden="1"/>
    </xf>
    <xf numFmtId="0" fontId="10" fillId="0" borderId="173" xfId="0" quotePrefix="1" applyFont="1" applyBorder="1" applyAlignment="1" applyProtection="1">
      <alignment horizontal="center" vertical="center"/>
      <protection hidden="1"/>
    </xf>
    <xf numFmtId="49" fontId="10" fillId="0" borderId="295" xfId="0" applyNumberFormat="1" applyFont="1" applyBorder="1" applyAlignment="1" applyProtection="1">
      <alignment horizontal="center" vertical="center"/>
      <protection hidden="1"/>
    </xf>
    <xf numFmtId="0" fontId="25" fillId="5" borderId="0" xfId="0" applyFont="1" applyFill="1" applyAlignment="1">
      <alignment vertical="center"/>
    </xf>
    <xf numFmtId="0" fontId="212" fillId="5" borderId="0" xfId="0" applyFont="1" applyFill="1" applyProtection="1">
      <protection hidden="1"/>
    </xf>
    <xf numFmtId="175" fontId="190" fillId="0" borderId="24" xfId="1" applyNumberFormat="1" applyFont="1" applyFill="1" applyBorder="1" applyAlignment="1" applyProtection="1">
      <alignment horizontal="center"/>
      <protection locked="0"/>
    </xf>
    <xf numFmtId="173" fontId="190" fillId="0" borderId="24" xfId="1" applyNumberFormat="1" applyFont="1" applyFill="1" applyBorder="1" applyAlignment="1" applyProtection="1">
      <alignment horizontal="center"/>
      <protection locked="0"/>
    </xf>
    <xf numFmtId="0" fontId="9" fillId="0" borderId="142" xfId="0" applyFont="1" applyBorder="1" applyAlignment="1" applyProtection="1">
      <alignment horizontal="left" vertical="center"/>
      <protection locked="0"/>
    </xf>
    <xf numFmtId="173" fontId="9" fillId="0" borderId="131" xfId="1" applyNumberFormat="1" applyFont="1" applyFill="1" applyBorder="1" applyAlignment="1" applyProtection="1">
      <alignment horizontal="right" vertical="center" indent="1"/>
      <protection locked="0"/>
    </xf>
    <xf numFmtId="190" fontId="243" fillId="9" borderId="0" xfId="3" applyNumberFormat="1" applyFont="1" applyFill="1" applyBorder="1" applyAlignment="1" applyProtection="1">
      <alignment horizontal="right" vertical="center" indent="1"/>
      <protection hidden="1"/>
    </xf>
    <xf numFmtId="190" fontId="181" fillId="5" borderId="414" xfId="3" applyNumberFormat="1" applyFont="1" applyFill="1" applyBorder="1" applyAlignment="1" applyProtection="1">
      <alignment horizontal="right" vertical="center" indent="1"/>
      <protection hidden="1"/>
    </xf>
    <xf numFmtId="168" fontId="181" fillId="5" borderId="414" xfId="1" applyNumberFormat="1" applyFont="1" applyFill="1" applyBorder="1" applyAlignment="1" applyProtection="1">
      <alignment horizontal="right" vertical="center" indent="1"/>
      <protection hidden="1"/>
    </xf>
    <xf numFmtId="165" fontId="181" fillId="5" borderId="414" xfId="2" applyFont="1" applyFill="1" applyBorder="1" applyAlignment="1" applyProtection="1">
      <alignment horizontal="right" vertical="center" indent="1"/>
      <protection hidden="1"/>
    </xf>
    <xf numFmtId="190" fontId="181" fillId="2" borderId="414" xfId="3" applyNumberFormat="1" applyFont="1" applyFill="1" applyBorder="1" applyAlignment="1" applyProtection="1">
      <alignment horizontal="right" vertical="center" indent="1"/>
      <protection hidden="1"/>
    </xf>
    <xf numFmtId="9" fontId="181" fillId="2" borderId="414" xfId="1" applyFont="1" applyFill="1" applyBorder="1" applyAlignment="1" applyProtection="1">
      <alignment horizontal="right" vertical="center" indent="1"/>
      <protection hidden="1"/>
    </xf>
    <xf numFmtId="177" fontId="181" fillId="2" borderId="414" xfId="2" applyNumberFormat="1" applyFont="1" applyFill="1" applyBorder="1" applyAlignment="1" applyProtection="1">
      <alignment horizontal="center" vertical="center"/>
      <protection hidden="1"/>
    </xf>
    <xf numFmtId="0" fontId="216" fillId="5" borderId="0" xfId="0" applyFont="1" applyFill="1" applyAlignment="1" applyProtection="1">
      <alignment horizontal="center" vertical="center"/>
      <protection hidden="1"/>
    </xf>
    <xf numFmtId="168" fontId="182" fillId="5" borderId="406" xfId="0" applyNumberFormat="1" applyFont="1" applyFill="1" applyBorder="1" applyAlignment="1" applyProtection="1">
      <alignment horizontal="left" indent="1"/>
      <protection hidden="1"/>
    </xf>
    <xf numFmtId="2" fontId="9" fillId="4" borderId="35" xfId="3" applyNumberFormat="1" applyFont="1" applyFill="1" applyBorder="1" applyAlignment="1" applyProtection="1">
      <alignment horizontal="center" vertical="center"/>
      <protection hidden="1"/>
    </xf>
    <xf numFmtId="0" fontId="0" fillId="5" borderId="0" xfId="0" applyFill="1" applyProtection="1">
      <protection hidden="1"/>
    </xf>
    <xf numFmtId="0" fontId="10" fillId="2" borderId="194" xfId="0" applyFont="1" applyFill="1" applyBorder="1" applyAlignment="1">
      <alignment horizontal="center" vertical="center"/>
    </xf>
    <xf numFmtId="0" fontId="0" fillId="2" borderId="457" xfId="0" applyFill="1" applyBorder="1" applyAlignment="1">
      <alignment vertical="center"/>
    </xf>
    <xf numFmtId="0" fontId="25" fillId="2" borderId="456" xfId="0" applyFont="1" applyFill="1" applyBorder="1" applyAlignment="1">
      <alignment horizontal="center" vertical="center"/>
    </xf>
    <xf numFmtId="0" fontId="41" fillId="2" borderId="459" xfId="0" applyFont="1" applyFill="1" applyBorder="1" applyAlignment="1">
      <alignment vertical="center"/>
    </xf>
    <xf numFmtId="0" fontId="0" fillId="2" borderId="458" xfId="0" applyFill="1" applyBorder="1" applyAlignment="1">
      <alignment vertical="center"/>
    </xf>
    <xf numFmtId="0" fontId="246" fillId="53" borderId="460" xfId="0" applyFont="1" applyFill="1" applyBorder="1" applyAlignment="1" applyProtection="1">
      <alignment horizontal="centerContinuous" vertical="center" wrapText="1"/>
      <protection hidden="1"/>
    </xf>
    <xf numFmtId="0" fontId="187" fillId="53" borderId="461" xfId="0" applyFont="1" applyFill="1" applyBorder="1" applyAlignment="1" applyProtection="1">
      <alignment horizontal="centerContinuous" vertical="center"/>
      <protection hidden="1"/>
    </xf>
    <xf numFmtId="0" fontId="118" fillId="2" borderId="462" xfId="0" applyFont="1" applyFill="1" applyBorder="1" applyAlignment="1" applyProtection="1">
      <alignment horizontal="left" vertical="center" indent="1"/>
      <protection hidden="1"/>
    </xf>
    <xf numFmtId="199" fontId="184" fillId="2" borderId="463" xfId="3" applyNumberFormat="1" applyFont="1" applyFill="1" applyBorder="1" applyAlignment="1" applyProtection="1">
      <alignment horizontal="center" vertical="center"/>
      <protection locked="0" hidden="1"/>
    </xf>
    <xf numFmtId="1" fontId="184" fillId="0" borderId="463" xfId="1" applyNumberFormat="1" applyFont="1" applyFill="1" applyBorder="1" applyAlignment="1" applyProtection="1">
      <alignment horizontal="center" vertical="center"/>
      <protection locked="0" hidden="1"/>
    </xf>
    <xf numFmtId="177" fontId="184" fillId="0" borderId="463" xfId="2" applyNumberFormat="1" applyFont="1" applyFill="1" applyBorder="1" applyAlignment="1" applyProtection="1">
      <alignment horizontal="center" vertical="center"/>
      <protection locked="0" hidden="1"/>
    </xf>
    <xf numFmtId="0" fontId="118" fillId="2" borderId="464" xfId="0" applyFont="1" applyFill="1" applyBorder="1" applyAlignment="1" applyProtection="1">
      <alignment horizontal="left" vertical="center" indent="1"/>
      <protection hidden="1"/>
    </xf>
    <xf numFmtId="177" fontId="184" fillId="0" borderId="465" xfId="2" applyNumberFormat="1" applyFont="1" applyFill="1" applyBorder="1" applyAlignment="1" applyProtection="1">
      <alignment horizontal="center" vertical="center"/>
      <protection locked="0" hidden="1"/>
    </xf>
    <xf numFmtId="0" fontId="182" fillId="5" borderId="38" xfId="0" applyFont="1" applyFill="1" applyBorder="1" applyProtection="1">
      <protection hidden="1"/>
    </xf>
    <xf numFmtId="0" fontId="247" fillId="5" borderId="0" xfId="0" applyFont="1" applyFill="1" applyAlignment="1" applyProtection="1">
      <alignment horizontal="center" vertical="center"/>
      <protection hidden="1"/>
    </xf>
    <xf numFmtId="175" fontId="190" fillId="0" borderId="70" xfId="1" applyNumberFormat="1" applyFont="1" applyFill="1" applyBorder="1" applyAlignment="1" applyProtection="1">
      <alignment horizontal="center"/>
      <protection locked="0"/>
    </xf>
    <xf numFmtId="175" fontId="190" fillId="4" borderId="70" xfId="1" applyNumberFormat="1" applyFont="1" applyFill="1" applyBorder="1" applyAlignment="1" applyProtection="1">
      <alignment horizontal="center"/>
      <protection hidden="1"/>
    </xf>
    <xf numFmtId="173" fontId="190" fillId="0" borderId="70" xfId="1" applyNumberFormat="1" applyFont="1" applyFill="1" applyBorder="1" applyAlignment="1" applyProtection="1">
      <alignment horizontal="center"/>
      <protection locked="0"/>
    </xf>
    <xf numFmtId="165" fontId="182" fillId="5" borderId="0" xfId="2" applyFont="1" applyFill="1" applyProtection="1">
      <protection hidden="1"/>
    </xf>
    <xf numFmtId="0" fontId="210" fillId="17" borderId="406" xfId="0" applyFont="1" applyFill="1" applyBorder="1" applyAlignment="1" applyProtection="1">
      <alignment horizontal="centerContinuous" vertical="center"/>
      <protection hidden="1"/>
    </xf>
    <xf numFmtId="0" fontId="210" fillId="17" borderId="38" xfId="0" applyFont="1" applyFill="1" applyBorder="1" applyAlignment="1" applyProtection="1">
      <alignment horizontal="centerContinuous" vertical="center"/>
      <protection hidden="1"/>
    </xf>
    <xf numFmtId="168" fontId="210" fillId="17" borderId="406" xfId="0" applyNumberFormat="1" applyFont="1" applyFill="1" applyBorder="1" applyAlignment="1" applyProtection="1">
      <alignment horizontal="centerContinuous" vertical="center"/>
      <protection hidden="1"/>
    </xf>
    <xf numFmtId="10" fontId="9" fillId="0" borderId="131" xfId="1" applyNumberFormat="1" applyFont="1" applyBorder="1" applyAlignment="1" applyProtection="1">
      <alignment horizontal="center" vertical="center"/>
      <protection locked="0"/>
    </xf>
    <xf numFmtId="177" fontId="122" fillId="0" borderId="131" xfId="2" applyNumberFormat="1" applyFont="1" applyBorder="1" applyAlignment="1" applyProtection="1">
      <alignment horizontal="left" vertical="center"/>
      <protection locked="0"/>
    </xf>
    <xf numFmtId="165" fontId="43" fillId="14" borderId="143" xfId="2" applyFont="1" applyFill="1" applyBorder="1" applyAlignment="1" applyProtection="1">
      <alignment horizontal="center" vertical="center"/>
      <protection hidden="1"/>
    </xf>
    <xf numFmtId="0" fontId="44" fillId="4" borderId="54" xfId="0" applyFont="1" applyFill="1" applyBorder="1" applyAlignment="1" applyProtection="1">
      <alignment horizontal="center" vertical="center" wrapText="1"/>
      <protection hidden="1"/>
    </xf>
    <xf numFmtId="0" fontId="16" fillId="4" borderId="260" xfId="0" applyFont="1" applyFill="1" applyBorder="1" applyAlignment="1" applyProtection="1">
      <alignment horizontal="center" vertical="center" wrapText="1"/>
      <protection hidden="1"/>
    </xf>
    <xf numFmtId="0" fontId="7" fillId="4" borderId="260" xfId="0" applyFont="1" applyFill="1" applyBorder="1" applyAlignment="1" applyProtection="1">
      <alignment horizontal="center" vertical="center" wrapText="1"/>
      <protection hidden="1"/>
    </xf>
    <xf numFmtId="0" fontId="46" fillId="4" borderId="260" xfId="0" applyFont="1" applyFill="1" applyBorder="1" applyAlignment="1" applyProtection="1">
      <alignment horizontal="center" vertical="center" wrapText="1"/>
      <protection hidden="1"/>
    </xf>
    <xf numFmtId="0" fontId="248" fillId="4" borderId="466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Alignment="1">
      <alignment horizontal="center" vertical="center"/>
    </xf>
    <xf numFmtId="0" fontId="247" fillId="5" borderId="0" xfId="0" applyFont="1" applyFill="1" applyAlignment="1" applyProtection="1">
      <alignment horizontal="left" vertical="center"/>
      <protection hidden="1"/>
    </xf>
    <xf numFmtId="175" fontId="116" fillId="5" borderId="0" xfId="0" applyNumberFormat="1" applyFont="1" applyFill="1" applyAlignment="1">
      <alignment vertical="center"/>
    </xf>
    <xf numFmtId="194" fontId="247" fillId="5" borderId="0" xfId="0" applyNumberFormat="1" applyFont="1" applyFill="1" applyAlignment="1" applyProtection="1">
      <alignment horizontal="center" vertical="center"/>
      <protection hidden="1"/>
    </xf>
    <xf numFmtId="0" fontId="247" fillId="5" borderId="24" xfId="0" applyFont="1" applyFill="1" applyBorder="1" applyProtection="1">
      <protection hidden="1"/>
    </xf>
    <xf numFmtId="0" fontId="0" fillId="5" borderId="24" xfId="0" applyFill="1" applyBorder="1" applyAlignment="1">
      <alignment vertical="center"/>
    </xf>
    <xf numFmtId="0" fontId="8" fillId="5" borderId="24" xfId="0" applyFont="1" applyFill="1" applyBorder="1" applyAlignment="1">
      <alignment horizontal="right" vertical="center"/>
    </xf>
    <xf numFmtId="0" fontId="247" fillId="5" borderId="70" xfId="0" applyFont="1" applyFill="1" applyBorder="1" applyAlignment="1" applyProtection="1">
      <alignment horizontal="left"/>
      <protection hidden="1"/>
    </xf>
    <xf numFmtId="0" fontId="0" fillId="5" borderId="70" xfId="0" applyFill="1" applyBorder="1" applyAlignment="1">
      <alignment vertical="center"/>
    </xf>
    <xf numFmtId="0" fontId="8" fillId="5" borderId="70" xfId="0" applyFont="1" applyFill="1" applyBorder="1" applyAlignment="1">
      <alignment horizontal="right" vertical="center"/>
    </xf>
    <xf numFmtId="0" fontId="216" fillId="53" borderId="0" xfId="0" applyFont="1" applyFill="1" applyAlignment="1" applyProtection="1">
      <alignment horizontal="center" vertical="center"/>
      <protection hidden="1"/>
    </xf>
    <xf numFmtId="0" fontId="108" fillId="23" borderId="0" xfId="0" applyFont="1" applyFill="1" applyProtection="1">
      <protection hidden="1"/>
    </xf>
    <xf numFmtId="0" fontId="121" fillId="23" borderId="0" xfId="0" applyFont="1" applyFill="1" applyProtection="1">
      <protection hidden="1"/>
    </xf>
    <xf numFmtId="0" fontId="109" fillId="23" borderId="0" xfId="0" applyFont="1" applyFill="1" applyAlignment="1" applyProtection="1">
      <alignment vertical="center"/>
      <protection hidden="1"/>
    </xf>
    <xf numFmtId="0" fontId="250" fillId="23" borderId="0" xfId="0" applyFont="1" applyFill="1" applyProtection="1">
      <protection hidden="1"/>
    </xf>
    <xf numFmtId="0" fontId="110" fillId="23" borderId="0" xfId="0" applyFont="1" applyFill="1" applyAlignment="1" applyProtection="1">
      <alignment vertical="center" wrapText="1"/>
      <protection hidden="1"/>
    </xf>
    <xf numFmtId="0" fontId="0" fillId="4" borderId="0" xfId="0" applyFill="1" applyAlignment="1" applyProtection="1">
      <alignment horizontal="center"/>
      <protection hidden="1"/>
    </xf>
    <xf numFmtId="0" fontId="0" fillId="4" borderId="0" xfId="0" applyFill="1" applyProtection="1">
      <protection hidden="1"/>
    </xf>
    <xf numFmtId="0" fontId="17" fillId="4" borderId="0" xfId="0" applyFont="1" applyFill="1" applyProtection="1">
      <protection hidden="1"/>
    </xf>
    <xf numFmtId="0" fontId="4" fillId="19" borderId="0" xfId="0" applyFont="1" applyFill="1" applyProtection="1">
      <protection locked="0"/>
    </xf>
    <xf numFmtId="0" fontId="4" fillId="19" borderId="0" xfId="0" applyFont="1" applyFill="1"/>
    <xf numFmtId="0" fontId="142" fillId="19" borderId="0" xfId="0" applyFont="1" applyFill="1"/>
    <xf numFmtId="0" fontId="52" fillId="19" borderId="0" xfId="0" applyFont="1" applyFill="1"/>
    <xf numFmtId="0" fontId="62" fillId="23" borderId="25" xfId="0" applyFont="1" applyFill="1" applyBorder="1" applyAlignment="1">
      <alignment vertical="center"/>
    </xf>
    <xf numFmtId="0" fontId="62" fillId="23" borderId="24" xfId="0" applyFont="1" applyFill="1" applyBorder="1" applyAlignment="1">
      <alignment vertical="center"/>
    </xf>
    <xf numFmtId="0" fontId="63" fillId="23" borderId="26" xfId="0" applyFont="1" applyFill="1" applyBorder="1" applyAlignment="1">
      <alignment horizontal="center" vertical="center"/>
    </xf>
    <xf numFmtId="0" fontId="63" fillId="23" borderId="254" xfId="0" applyFont="1" applyFill="1" applyBorder="1" applyAlignment="1">
      <alignment horizontal="center" vertical="center"/>
    </xf>
    <xf numFmtId="0" fontId="63" fillId="23" borderId="255" xfId="0" applyFont="1" applyFill="1" applyBorder="1" applyAlignment="1">
      <alignment horizontal="center" vertical="center"/>
    </xf>
    <xf numFmtId="0" fontId="63" fillId="23" borderId="256" xfId="0" applyFont="1" applyFill="1" applyBorder="1" applyAlignment="1">
      <alignment horizontal="center" vertical="center"/>
    </xf>
    <xf numFmtId="0" fontId="62" fillId="23" borderId="69" xfId="0" applyFont="1" applyFill="1" applyBorder="1" applyAlignment="1">
      <alignment vertical="center"/>
    </xf>
    <xf numFmtId="0" fontId="62" fillId="23" borderId="70" xfId="0" applyFont="1" applyFill="1" applyBorder="1" applyAlignment="1">
      <alignment vertical="center"/>
    </xf>
    <xf numFmtId="0" fontId="63" fillId="23" borderId="71" xfId="0" applyFont="1" applyFill="1" applyBorder="1" applyAlignment="1">
      <alignment horizontal="center" vertical="center"/>
    </xf>
    <xf numFmtId="0" fontId="127" fillId="18" borderId="249" xfId="0" applyFont="1" applyFill="1" applyBorder="1" applyAlignment="1">
      <alignment horizontal="center" vertical="center" wrapText="1"/>
    </xf>
    <xf numFmtId="0" fontId="31" fillId="18" borderId="249" xfId="0" applyFont="1" applyFill="1" applyBorder="1" applyAlignment="1">
      <alignment horizontal="center" vertical="center" wrapText="1"/>
    </xf>
    <xf numFmtId="0" fontId="31" fillId="18" borderId="250" xfId="0" applyFont="1" applyFill="1" applyBorder="1" applyAlignment="1">
      <alignment horizontal="center" vertical="center" wrapText="1"/>
    </xf>
    <xf numFmtId="0" fontId="31" fillId="18" borderId="259" xfId="0" applyFont="1" applyFill="1" applyBorder="1" applyAlignment="1">
      <alignment horizontal="center" vertical="center" wrapText="1"/>
    </xf>
    <xf numFmtId="0" fontId="28" fillId="23" borderId="262" xfId="0" applyFont="1" applyFill="1" applyBorder="1" applyAlignment="1" applyProtection="1">
      <alignment horizontal="center" vertical="center"/>
      <protection hidden="1"/>
    </xf>
    <xf numFmtId="0" fontId="28" fillId="23" borderId="261" xfId="0" applyFont="1" applyFill="1" applyBorder="1" applyAlignment="1" applyProtection="1">
      <alignment horizontal="center" vertical="center"/>
      <protection hidden="1"/>
    </xf>
    <xf numFmtId="0" fontId="28" fillId="23" borderId="260" xfId="0" applyFont="1" applyFill="1" applyBorder="1" applyAlignment="1" applyProtection="1">
      <alignment horizontal="center" vertical="center"/>
      <protection hidden="1"/>
    </xf>
    <xf numFmtId="0" fontId="28" fillId="23" borderId="263" xfId="0" applyFont="1" applyFill="1" applyBorder="1" applyAlignment="1" applyProtection="1">
      <alignment horizontal="center" vertical="center"/>
      <protection hidden="1"/>
    </xf>
    <xf numFmtId="0" fontId="28" fillId="23" borderId="264" xfId="0" applyFont="1" applyFill="1" applyBorder="1" applyAlignment="1" applyProtection="1">
      <alignment horizontal="center" vertical="center"/>
      <protection hidden="1"/>
    </xf>
    <xf numFmtId="0" fontId="28" fillId="23" borderId="260" xfId="0" applyFont="1" applyFill="1" applyBorder="1" applyAlignment="1" applyProtection="1">
      <alignment horizontal="center" vertical="center"/>
      <protection locked="0"/>
    </xf>
    <xf numFmtId="0" fontId="137" fillId="23" borderId="262" xfId="0" applyFont="1" applyFill="1" applyBorder="1" applyAlignment="1" applyProtection="1">
      <alignment horizontal="center" vertical="center"/>
      <protection hidden="1"/>
    </xf>
    <xf numFmtId="0" fontId="125" fillId="23" borderId="261" xfId="0" applyFont="1" applyFill="1" applyBorder="1" applyAlignment="1" applyProtection="1">
      <alignment horizontal="center" vertical="center"/>
      <protection hidden="1"/>
    </xf>
    <xf numFmtId="0" fontId="125" fillId="23" borderId="260" xfId="0" applyFont="1" applyFill="1" applyBorder="1" applyAlignment="1" applyProtection="1">
      <alignment horizontal="center" vertical="center"/>
      <protection hidden="1"/>
    </xf>
    <xf numFmtId="0" fontId="125" fillId="23" borderId="263" xfId="0" applyFont="1" applyFill="1" applyBorder="1" applyAlignment="1" applyProtection="1">
      <alignment horizontal="center" vertical="center"/>
      <protection hidden="1"/>
    </xf>
    <xf numFmtId="0" fontId="125" fillId="23" borderId="264" xfId="0" applyFont="1" applyFill="1" applyBorder="1" applyAlignment="1" applyProtection="1">
      <alignment horizontal="center" vertical="center"/>
      <protection hidden="1"/>
    </xf>
    <xf numFmtId="0" fontId="125" fillId="23" borderId="260" xfId="0" applyFont="1" applyFill="1" applyBorder="1" applyAlignment="1" applyProtection="1">
      <alignment horizontal="center" vertical="center"/>
      <protection locked="0"/>
    </xf>
    <xf numFmtId="0" fontId="19" fillId="18" borderId="139" xfId="0" applyFont="1" applyFill="1" applyBorder="1" applyAlignment="1" applyProtection="1">
      <alignment horizontal="center" vertical="center"/>
      <protection hidden="1"/>
    </xf>
    <xf numFmtId="0" fontId="19" fillId="18" borderId="140" xfId="0" applyFont="1" applyFill="1" applyBorder="1" applyAlignment="1" applyProtection="1">
      <alignment horizontal="center" vertical="center"/>
      <protection hidden="1"/>
    </xf>
    <xf numFmtId="0" fontId="19" fillId="18" borderId="148" xfId="0" applyFont="1" applyFill="1" applyBorder="1" applyAlignment="1" applyProtection="1">
      <alignment horizontal="center" vertical="center"/>
      <protection hidden="1"/>
    </xf>
    <xf numFmtId="0" fontId="19" fillId="18" borderId="141" xfId="0" applyFont="1" applyFill="1" applyBorder="1" applyAlignment="1" applyProtection="1">
      <alignment horizontal="center" vertical="center"/>
      <protection hidden="1"/>
    </xf>
    <xf numFmtId="0" fontId="38" fillId="20" borderId="56" xfId="0" applyFont="1" applyFill="1" applyBorder="1" applyAlignment="1">
      <alignment horizontal="centerContinuous" vertical="center"/>
    </xf>
    <xf numFmtId="0" fontId="39" fillId="20" borderId="56" xfId="0" applyFont="1" applyFill="1" applyBorder="1" applyAlignment="1">
      <alignment horizontal="centerContinuous"/>
    </xf>
    <xf numFmtId="0" fontId="39" fillId="20" borderId="55" xfId="0" applyFont="1" applyFill="1" applyBorder="1" applyAlignment="1">
      <alignment horizontal="centerContinuous"/>
    </xf>
    <xf numFmtId="167" fontId="28" fillId="23" borderId="0" xfId="0" applyNumberFormat="1" applyFont="1" applyFill="1" applyAlignment="1" applyProtection="1">
      <alignment horizontal="center" vertical="center"/>
      <protection hidden="1"/>
    </xf>
    <xf numFmtId="167" fontId="28" fillId="23" borderId="0" xfId="0" applyNumberFormat="1" applyFont="1" applyFill="1" applyAlignment="1" applyProtection="1">
      <alignment horizontal="center" vertical="center" wrapText="1"/>
      <protection hidden="1"/>
    </xf>
    <xf numFmtId="0" fontId="28" fillId="23" borderId="44" xfId="0" applyFont="1" applyFill="1" applyBorder="1" applyAlignment="1" applyProtection="1">
      <alignment horizontal="center" vertical="center" wrapText="1"/>
      <protection hidden="1"/>
    </xf>
    <xf numFmtId="0" fontId="139" fillId="23" borderId="0" xfId="0" applyFont="1" applyFill="1" applyAlignment="1">
      <alignment horizontal="centerContinuous" vertical="center"/>
    </xf>
    <xf numFmtId="0" fontId="0" fillId="23" borderId="0" xfId="0" applyFill="1" applyAlignment="1">
      <alignment horizontal="centerContinuous"/>
    </xf>
    <xf numFmtId="0" fontId="137" fillId="17" borderId="469" xfId="0" applyFont="1" applyFill="1" applyBorder="1" applyAlignment="1">
      <alignment horizontal="center" vertical="center"/>
    </xf>
    <xf numFmtId="0" fontId="137" fillId="17" borderId="293" xfId="0" applyFont="1" applyFill="1" applyBorder="1" applyAlignment="1">
      <alignment horizontal="center" vertical="center"/>
    </xf>
    <xf numFmtId="0" fontId="137" fillId="17" borderId="471" xfId="0" applyFont="1" applyFill="1" applyBorder="1" applyAlignment="1">
      <alignment horizontal="center" vertical="center"/>
    </xf>
    <xf numFmtId="9" fontId="255" fillId="19" borderId="0" xfId="1" applyFont="1" applyFill="1" applyBorder="1" applyAlignment="1" applyProtection="1">
      <alignment horizontal="center"/>
      <protection hidden="1"/>
    </xf>
    <xf numFmtId="9" fontId="255" fillId="19" borderId="53" xfId="1" applyFont="1" applyFill="1" applyBorder="1" applyAlignment="1" applyProtection="1">
      <alignment horizontal="center"/>
      <protection hidden="1"/>
    </xf>
    <xf numFmtId="0" fontId="257" fillId="5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>
      <alignment horizontal="center" vertical="center"/>
    </xf>
    <xf numFmtId="167" fontId="116" fillId="5" borderId="0" xfId="0" applyNumberFormat="1" applyFont="1" applyFill="1" applyAlignment="1">
      <alignment horizontal="center" vertical="center"/>
    </xf>
    <xf numFmtId="206" fontId="116" fillId="5" borderId="0" xfId="0" applyNumberFormat="1" applyFont="1" applyFill="1" applyAlignment="1">
      <alignment vertical="center"/>
    </xf>
    <xf numFmtId="205" fontId="256" fillId="53" borderId="473" xfId="0" applyNumberFormat="1" applyFont="1" applyFill="1" applyBorder="1" applyAlignment="1" applyProtection="1">
      <alignment horizontal="center" vertical="center"/>
      <protection hidden="1"/>
    </xf>
    <xf numFmtId="0" fontId="0" fillId="53" borderId="474" xfId="0" applyFill="1" applyBorder="1" applyAlignment="1">
      <alignment vertical="center"/>
    </xf>
    <xf numFmtId="0" fontId="216" fillId="53" borderId="474" xfId="0" applyFont="1" applyFill="1" applyBorder="1" applyAlignment="1" applyProtection="1">
      <alignment horizontal="center" vertical="center"/>
      <protection hidden="1"/>
    </xf>
    <xf numFmtId="0" fontId="216" fillId="53" borderId="475" xfId="0" applyFont="1" applyFill="1" applyBorder="1" applyAlignment="1" applyProtection="1">
      <alignment horizontal="center" vertical="center"/>
      <protection hidden="1"/>
    </xf>
    <xf numFmtId="0" fontId="216" fillId="5" borderId="476" xfId="0" applyFont="1" applyFill="1" applyBorder="1" applyAlignment="1" applyProtection="1">
      <alignment horizontal="center" vertical="center"/>
      <protection hidden="1"/>
    </xf>
    <xf numFmtId="0" fontId="216" fillId="5" borderId="87" xfId="0" applyFont="1" applyFill="1" applyBorder="1" applyAlignment="1" applyProtection="1">
      <alignment horizontal="center" vertical="center"/>
      <protection hidden="1"/>
    </xf>
    <xf numFmtId="0" fontId="216" fillId="5" borderId="477" xfId="0" applyFont="1" applyFill="1" applyBorder="1" applyAlignment="1" applyProtection="1">
      <alignment horizontal="center" vertical="center"/>
      <protection hidden="1"/>
    </xf>
    <xf numFmtId="0" fontId="0" fillId="5" borderId="76" xfId="0" applyFill="1" applyBorder="1" applyAlignment="1">
      <alignment vertical="center"/>
    </xf>
    <xf numFmtId="0" fontId="216" fillId="5" borderId="76" xfId="0" applyFont="1" applyFill="1" applyBorder="1" applyAlignment="1" applyProtection="1">
      <alignment horizontal="center" vertical="center"/>
      <protection hidden="1"/>
    </xf>
    <xf numFmtId="0" fontId="216" fillId="5" borderId="77" xfId="0" applyFont="1" applyFill="1" applyBorder="1" applyAlignment="1" applyProtection="1">
      <alignment horizontal="center" vertical="center"/>
      <protection hidden="1"/>
    </xf>
    <xf numFmtId="190" fontId="181" fillId="2" borderId="478" xfId="0" applyNumberFormat="1" applyFont="1" applyFill="1" applyBorder="1" applyAlignment="1" applyProtection="1">
      <alignment horizontal="right" vertical="center"/>
      <protection hidden="1"/>
    </xf>
    <xf numFmtId="190" fontId="181" fillId="5" borderId="0" xfId="0" applyNumberFormat="1" applyFont="1" applyFill="1" applyAlignment="1" applyProtection="1">
      <alignment horizontal="right" vertical="center"/>
      <protection hidden="1"/>
    </xf>
    <xf numFmtId="201" fontId="258" fillId="5" borderId="0" xfId="0" applyNumberFormat="1" applyFont="1" applyFill="1" applyProtection="1">
      <protection hidden="1"/>
    </xf>
    <xf numFmtId="0" fontId="176" fillId="5" borderId="0" xfId="0" applyFont="1" applyFill="1" applyAlignment="1">
      <alignment horizontal="center" vertical="center"/>
    </xf>
    <xf numFmtId="206" fontId="41" fillId="5" borderId="0" xfId="0" applyNumberFormat="1" applyFont="1" applyFill="1" applyAlignment="1">
      <alignment vertical="center"/>
    </xf>
    <xf numFmtId="0" fontId="116" fillId="5" borderId="0" xfId="0" applyFont="1" applyFill="1" applyAlignment="1">
      <alignment horizontal="center" vertical="center"/>
    </xf>
    <xf numFmtId="207" fontId="116" fillId="5" borderId="0" xfId="0" applyNumberFormat="1" applyFont="1" applyFill="1" applyAlignment="1">
      <alignment vertical="center"/>
    </xf>
    <xf numFmtId="208" fontId="116" fillId="5" borderId="0" xfId="0" applyNumberFormat="1" applyFont="1" applyFill="1" applyAlignment="1">
      <alignment vertical="center"/>
    </xf>
    <xf numFmtId="175" fontId="247" fillId="5" borderId="0" xfId="0" applyNumberFormat="1" applyFont="1" applyFill="1" applyAlignment="1" applyProtection="1">
      <alignment horizontal="center" vertical="center"/>
      <protection hidden="1"/>
    </xf>
    <xf numFmtId="0" fontId="18" fillId="0" borderId="479" xfId="2" applyNumberFormat="1" applyFont="1" applyBorder="1" applyAlignment="1" applyProtection="1">
      <alignment vertical="center"/>
      <protection locked="0"/>
    </xf>
    <xf numFmtId="0" fontId="135" fillId="22" borderId="0" xfId="0" applyFont="1" applyFill="1" applyAlignment="1">
      <alignment horizontal="centerContinuous" vertical="center"/>
    </xf>
    <xf numFmtId="0" fontId="0" fillId="22" borderId="0" xfId="0" applyFill="1" applyAlignment="1">
      <alignment horizontal="center" vertical="center"/>
    </xf>
    <xf numFmtId="0" fontId="24" fillId="22" borderId="0" xfId="0" applyFont="1" applyFill="1" applyAlignment="1">
      <alignment horizontal="center" vertical="center"/>
    </xf>
    <xf numFmtId="0" fontId="18" fillId="22" borderId="0" xfId="0" applyFont="1" applyFill="1" applyAlignment="1">
      <alignment horizontal="centerContinuous" vertical="center"/>
    </xf>
    <xf numFmtId="0" fontId="0" fillId="22" borderId="246" xfId="0" applyFill="1" applyBorder="1" applyAlignment="1">
      <alignment horizontal="center" vertical="center"/>
    </xf>
    <xf numFmtId="0" fontId="134" fillId="22" borderId="0" xfId="0" applyFont="1" applyFill="1" applyAlignment="1">
      <alignment horizontal="centerContinuous" vertical="center"/>
    </xf>
    <xf numFmtId="0" fontId="19" fillId="18" borderId="0" xfId="0" applyFont="1" applyFill="1" applyAlignment="1">
      <alignment horizontal="center" vertical="center"/>
    </xf>
    <xf numFmtId="0" fontId="259" fillId="22" borderId="0" xfId="0" applyFont="1" applyFill="1" applyAlignment="1" applyProtection="1">
      <alignment horizontal="center" vertical="center"/>
      <protection locked="0"/>
    </xf>
    <xf numFmtId="0" fontId="260" fillId="22" borderId="0" xfId="0" applyFont="1" applyFill="1" applyAlignment="1">
      <alignment horizontal="center" vertical="center"/>
    </xf>
    <xf numFmtId="0" fontId="69" fillId="18" borderId="485" xfId="0" applyFont="1" applyFill="1" applyBorder="1" applyAlignment="1">
      <alignment horizontal="center" vertical="center" wrapText="1"/>
    </xf>
    <xf numFmtId="0" fontId="72" fillId="18" borderId="486" xfId="0" applyFont="1" applyFill="1" applyBorder="1" applyAlignment="1">
      <alignment horizontal="center" vertical="center" wrapText="1"/>
    </xf>
    <xf numFmtId="0" fontId="0" fillId="22" borderId="0" xfId="0" applyFill="1" applyAlignment="1">
      <alignment vertical="center"/>
    </xf>
    <xf numFmtId="0" fontId="0" fillId="16" borderId="0" xfId="0" applyFill="1" applyAlignment="1">
      <alignment vertical="center"/>
    </xf>
    <xf numFmtId="0" fontId="0" fillId="22" borderId="161" xfId="0" applyFill="1" applyBorder="1" applyAlignment="1">
      <alignment vertical="center"/>
    </xf>
    <xf numFmtId="0" fontId="0" fillId="22" borderId="162" xfId="0" applyFill="1" applyBorder="1" applyAlignment="1">
      <alignment vertical="center"/>
    </xf>
    <xf numFmtId="0" fontId="19" fillId="18" borderId="161" xfId="0" applyFont="1" applyFill="1" applyBorder="1" applyAlignment="1">
      <alignment horizontal="center" vertical="center"/>
    </xf>
    <xf numFmtId="0" fontId="0" fillId="2" borderId="162" xfId="0" applyFill="1" applyBorder="1" applyAlignment="1">
      <alignment vertical="center"/>
    </xf>
    <xf numFmtId="0" fontId="10" fillId="22" borderId="0" xfId="0" applyFont="1" applyFill="1" applyAlignment="1">
      <alignment vertical="center"/>
    </xf>
    <xf numFmtId="0" fontId="0" fillId="2" borderId="70" xfId="0" applyFill="1" applyBorder="1" applyAlignment="1">
      <alignment horizontal="center" vertical="center"/>
    </xf>
    <xf numFmtId="0" fontId="0" fillId="2" borderId="166" xfId="0" applyFill="1" applyBorder="1" applyAlignment="1">
      <alignment vertical="center"/>
    </xf>
    <xf numFmtId="0" fontId="4" fillId="2" borderId="0" xfId="0" applyFont="1" applyFill="1" applyAlignment="1">
      <alignment horizontal="center" vertical="center"/>
    </xf>
    <xf numFmtId="2" fontId="18" fillId="2" borderId="168" xfId="0" applyNumberFormat="1" applyFont="1" applyFill="1" applyBorder="1" applyAlignment="1">
      <alignment horizontal="center" vertical="center"/>
    </xf>
    <xf numFmtId="0" fontId="0" fillId="2" borderId="169" xfId="0" applyFill="1" applyBorder="1" applyAlignment="1">
      <alignment vertical="center"/>
    </xf>
    <xf numFmtId="0" fontId="0" fillId="22" borderId="246" xfId="0" applyFill="1" applyBorder="1" applyAlignment="1">
      <alignment vertical="center"/>
    </xf>
    <xf numFmtId="0" fontId="0" fillId="9" borderId="25" xfId="0" applyFill="1" applyBorder="1" applyAlignment="1">
      <alignment horizontal="left" vertical="center"/>
    </xf>
    <xf numFmtId="0" fontId="0" fillId="9" borderId="24" xfId="0" applyFill="1" applyBorder="1" applyAlignment="1">
      <alignment horizontal="left" vertical="center"/>
    </xf>
    <xf numFmtId="0" fontId="0" fillId="9" borderId="26" xfId="0" applyFill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0" fillId="9" borderId="53" xfId="0" applyFill="1" applyBorder="1" applyAlignment="1">
      <alignment vertical="center"/>
    </xf>
    <xf numFmtId="0" fontId="10" fillId="9" borderId="69" xfId="0" applyFont="1" applyFill="1" applyBorder="1" applyAlignment="1">
      <alignment horizontal="left" vertical="center"/>
    </xf>
    <xf numFmtId="0" fontId="10" fillId="9" borderId="70" xfId="0" applyFont="1" applyFill="1" applyBorder="1" applyAlignment="1">
      <alignment horizontal="left" vertical="center"/>
    </xf>
    <xf numFmtId="0" fontId="0" fillId="9" borderId="71" xfId="0" applyFill="1" applyBorder="1" applyAlignment="1">
      <alignment vertical="center"/>
    </xf>
    <xf numFmtId="0" fontId="260" fillId="22" borderId="0" xfId="0" applyFont="1" applyFill="1" applyAlignment="1">
      <alignment vertical="center"/>
    </xf>
    <xf numFmtId="0" fontId="30" fillId="2" borderId="181" xfId="0" applyFont="1" applyFill="1" applyBorder="1" applyAlignment="1" applyProtection="1">
      <alignment horizontal="left" vertical="center"/>
      <protection hidden="1"/>
    </xf>
    <xf numFmtId="4" fontId="20" fillId="5" borderId="0" xfId="0" applyNumberFormat="1" applyFont="1" applyFill="1" applyAlignment="1" applyProtection="1">
      <alignment horizontal="right" vertical="center"/>
      <protection hidden="1"/>
    </xf>
    <xf numFmtId="4" fontId="0" fillId="9" borderId="0" xfId="0" applyNumberFormat="1" applyFill="1" applyAlignment="1">
      <alignment vertical="center"/>
    </xf>
    <xf numFmtId="4" fontId="79" fillId="22" borderId="0" xfId="0" applyNumberFormat="1" applyFont="1" applyFill="1" applyAlignment="1">
      <alignment vertical="center"/>
    </xf>
    <xf numFmtId="0" fontId="79" fillId="22" borderId="0" xfId="0" applyFont="1" applyFill="1" applyAlignment="1">
      <alignment vertical="center"/>
    </xf>
    <xf numFmtId="0" fontId="0" fillId="18" borderId="73" xfId="0" applyFill="1" applyBorder="1" applyAlignment="1">
      <alignment vertical="center"/>
    </xf>
    <xf numFmtId="0" fontId="0" fillId="2" borderId="24" xfId="0" applyFill="1" applyBorder="1" applyAlignment="1">
      <alignment vertical="center"/>
    </xf>
    <xf numFmtId="164" fontId="103" fillId="2" borderId="53" xfId="3" applyFont="1" applyFill="1" applyBorder="1" applyAlignment="1">
      <alignment vertical="center"/>
    </xf>
    <xf numFmtId="0" fontId="0" fillId="2" borderId="70" xfId="0" applyFill="1" applyBorder="1" applyAlignment="1">
      <alignment vertical="center"/>
    </xf>
    <xf numFmtId="164" fontId="103" fillId="2" borderId="71" xfId="3" applyFont="1" applyFill="1" applyBorder="1" applyAlignment="1">
      <alignment vertical="center"/>
    </xf>
    <xf numFmtId="0" fontId="71" fillId="55" borderId="0" xfId="0" applyFont="1" applyFill="1" applyAlignment="1">
      <alignment horizontal="centerContinuous" vertical="center"/>
    </xf>
    <xf numFmtId="182" fontId="263" fillId="22" borderId="0" xfId="0" applyNumberFormat="1" applyFont="1" applyFill="1" applyAlignment="1">
      <alignment vertical="center"/>
    </xf>
    <xf numFmtId="0" fontId="264" fillId="27" borderId="0" xfId="0" applyFont="1" applyFill="1" applyAlignment="1">
      <alignment horizontal="centerContinuous" vertical="center"/>
    </xf>
    <xf numFmtId="0" fontId="128" fillId="20" borderId="174" xfId="0" applyFont="1" applyFill="1" applyBorder="1" applyAlignment="1">
      <alignment horizontal="center" vertical="center"/>
    </xf>
    <xf numFmtId="0" fontId="267" fillId="20" borderId="75" xfId="0" applyFont="1" applyFill="1" applyBorder="1" applyAlignment="1">
      <alignment horizontal="center" vertical="center" wrapText="1"/>
    </xf>
    <xf numFmtId="0" fontId="128" fillId="20" borderId="175" xfId="0" applyFont="1" applyFill="1" applyBorder="1" applyAlignment="1">
      <alignment horizontal="center" vertical="center"/>
    </xf>
    <xf numFmtId="0" fontId="72" fillId="20" borderId="63" xfId="0" applyFont="1" applyFill="1" applyBorder="1" applyAlignment="1">
      <alignment horizontal="centerContinuous" vertical="center"/>
    </xf>
    <xf numFmtId="0" fontId="125" fillId="20" borderId="33" xfId="0" applyFont="1" applyFill="1" applyBorder="1" applyAlignment="1">
      <alignment horizontal="centerContinuous" vertical="center"/>
    </xf>
    <xf numFmtId="0" fontId="125" fillId="20" borderId="214" xfId="0" applyFont="1" applyFill="1" applyBorder="1" applyAlignment="1">
      <alignment horizontal="centerContinuous" vertical="center"/>
    </xf>
    <xf numFmtId="0" fontId="268" fillId="56" borderId="176" xfId="0" applyFont="1" applyFill="1" applyBorder="1" applyAlignment="1">
      <alignment horizontal="center" vertical="center"/>
    </xf>
    <xf numFmtId="0" fontId="268" fillId="56" borderId="178" xfId="0" applyFont="1" applyFill="1" applyBorder="1" applyAlignment="1">
      <alignment horizontal="center" vertical="center"/>
    </xf>
    <xf numFmtId="167" fontId="268" fillId="4" borderId="176" xfId="0" applyNumberFormat="1" applyFont="1" applyFill="1" applyBorder="1" applyAlignment="1">
      <alignment horizontal="center" vertical="center"/>
    </xf>
    <xf numFmtId="0" fontId="25" fillId="4" borderId="64" xfId="0" applyFont="1" applyFill="1" applyBorder="1" applyAlignment="1">
      <alignment horizontal="center" vertical="center"/>
    </xf>
    <xf numFmtId="0" fontId="266" fillId="4" borderId="64" xfId="0" applyFont="1" applyFill="1" applyBorder="1" applyAlignment="1">
      <alignment horizontal="center" vertical="center"/>
    </xf>
    <xf numFmtId="0" fontId="25" fillId="4" borderId="65" xfId="0" applyFont="1" applyFill="1" applyBorder="1" applyAlignment="1">
      <alignment horizontal="center" vertical="center"/>
    </xf>
    <xf numFmtId="0" fontId="19" fillId="18" borderId="163" xfId="0" applyFont="1" applyFill="1" applyBorder="1" applyAlignment="1">
      <alignment horizontal="center" vertical="center"/>
    </xf>
    <xf numFmtId="0" fontId="19" fillId="18" borderId="24" xfId="0" applyFont="1" applyFill="1" applyBorder="1" applyAlignment="1">
      <alignment horizontal="center" vertical="center"/>
    </xf>
    <xf numFmtId="0" fontId="19" fillId="18" borderId="164" xfId="0" applyFont="1" applyFill="1" applyBorder="1" applyAlignment="1">
      <alignment horizontal="center" vertical="center"/>
    </xf>
    <xf numFmtId="209" fontId="0" fillId="48" borderId="177" xfId="0" applyNumberFormat="1" applyFill="1" applyBorder="1" applyAlignment="1">
      <alignment horizontal="center" vertical="center"/>
    </xf>
    <xf numFmtId="209" fontId="0" fillId="48" borderId="178" xfId="0" applyNumberFormat="1" applyFill="1" applyBorder="1" applyAlignment="1">
      <alignment horizontal="center" vertical="center"/>
    </xf>
    <xf numFmtId="209" fontId="0" fillId="48" borderId="180" xfId="0" applyNumberFormat="1" applyFill="1" applyBorder="1" applyAlignment="1">
      <alignment horizontal="center" vertical="center"/>
    </xf>
    <xf numFmtId="167" fontId="269" fillId="0" borderId="2" xfId="0" applyNumberFormat="1" applyFont="1" applyBorder="1" applyAlignment="1" applyProtection="1">
      <alignment horizontal="center" vertical="center"/>
      <protection locked="0"/>
    </xf>
    <xf numFmtId="167" fontId="269" fillId="4" borderId="2" xfId="0" applyNumberFormat="1" applyFont="1" applyFill="1" applyBorder="1" applyAlignment="1" applyProtection="1">
      <alignment horizontal="center" vertical="center"/>
      <protection hidden="1"/>
    </xf>
    <xf numFmtId="10" fontId="26" fillId="0" borderId="2" xfId="1" applyNumberFormat="1" applyFont="1" applyBorder="1" applyAlignment="1" applyProtection="1">
      <alignment horizontal="center" vertical="center"/>
      <protection locked="0"/>
    </xf>
    <xf numFmtId="167" fontId="271" fillId="0" borderId="2" xfId="0" applyNumberFormat="1" applyFont="1" applyBorder="1" applyAlignment="1" applyProtection="1">
      <alignment horizontal="center" vertical="center"/>
      <protection locked="0"/>
    </xf>
    <xf numFmtId="167" fontId="24" fillId="0" borderId="177" xfId="0" applyNumberFormat="1" applyFont="1" applyBorder="1" applyAlignment="1">
      <alignment vertical="center"/>
    </xf>
    <xf numFmtId="198" fontId="21" fillId="5" borderId="119" xfId="3" applyNumberFormat="1" applyFont="1" applyFill="1" applyBorder="1" applyAlignment="1" applyProtection="1">
      <alignment horizontal="right" vertical="center" indent="2"/>
      <protection hidden="1"/>
    </xf>
    <xf numFmtId="197" fontId="21" fillId="5" borderId="119" xfId="3" applyNumberFormat="1" applyFont="1" applyFill="1" applyBorder="1" applyAlignment="1" applyProtection="1">
      <alignment horizontal="right" vertical="center" indent="2"/>
      <protection hidden="1"/>
    </xf>
    <xf numFmtId="0" fontId="19" fillId="18" borderId="25" xfId="0" applyFont="1" applyFill="1" applyBorder="1" applyAlignment="1">
      <alignment horizontal="center" vertical="center" wrapText="1"/>
    </xf>
    <xf numFmtId="0" fontId="19" fillId="18" borderId="24" xfId="0" applyFont="1" applyFill="1" applyBorder="1" applyAlignment="1">
      <alignment horizontal="center" vertical="center" wrapText="1"/>
    </xf>
    <xf numFmtId="198" fontId="21" fillId="5" borderId="490" xfId="3" applyNumberFormat="1" applyFont="1" applyFill="1" applyBorder="1" applyAlignment="1" applyProtection="1">
      <alignment horizontal="right" vertical="center" indent="2"/>
      <protection hidden="1"/>
    </xf>
    <xf numFmtId="197" fontId="21" fillId="5" borderId="23" xfId="3" applyNumberFormat="1" applyFont="1" applyFill="1" applyBorder="1" applyAlignment="1" applyProtection="1">
      <alignment horizontal="right" vertical="center" indent="2"/>
      <protection hidden="1"/>
    </xf>
    <xf numFmtId="0" fontId="20" fillId="4" borderId="490" xfId="0" applyFont="1" applyFill="1" applyBorder="1" applyAlignment="1" applyProtection="1">
      <alignment horizontal="center" vertical="center"/>
      <protection hidden="1"/>
    </xf>
    <xf numFmtId="0" fontId="20" fillId="4" borderId="119" xfId="0" applyFont="1" applyFill="1" applyBorder="1" applyAlignment="1" applyProtection="1">
      <alignment horizontal="center" vertical="center"/>
      <protection hidden="1"/>
    </xf>
    <xf numFmtId="0" fontId="20" fillId="4" borderId="119" xfId="0" applyFont="1" applyFill="1" applyBorder="1" applyAlignment="1" applyProtection="1">
      <alignment horizontal="center" vertical="center"/>
      <protection locked="0" hidden="1"/>
    </xf>
    <xf numFmtId="0" fontId="20" fillId="4" borderId="23" xfId="0" applyFont="1" applyFill="1" applyBorder="1" applyAlignment="1" applyProtection="1">
      <alignment horizontal="center" vertical="center"/>
      <protection locked="0" hidden="1"/>
    </xf>
    <xf numFmtId="0" fontId="73" fillId="55" borderId="0" xfId="0" applyFont="1" applyFill="1" applyAlignment="1">
      <alignment horizontal="centerContinuous" vertical="center"/>
    </xf>
    <xf numFmtId="10" fontId="26" fillId="0" borderId="177" xfId="1" applyNumberFormat="1" applyFont="1" applyFill="1" applyBorder="1" applyAlignment="1" applyProtection="1">
      <alignment horizontal="center" vertical="center"/>
      <protection locked="0"/>
    </xf>
    <xf numFmtId="0" fontId="4" fillId="2" borderId="161" xfId="0" applyFont="1" applyFill="1" applyBorder="1" applyAlignment="1">
      <alignment horizontal="left" vertical="center" indent="1"/>
    </xf>
    <xf numFmtId="0" fontId="4" fillId="2" borderId="165" xfId="0" applyFont="1" applyFill="1" applyBorder="1" applyAlignment="1">
      <alignment horizontal="left" vertical="center" indent="1"/>
    </xf>
    <xf numFmtId="0" fontId="4" fillId="11" borderId="480" xfId="0" applyFont="1" applyFill="1" applyBorder="1" applyAlignment="1" applyProtection="1">
      <alignment horizontal="left" vertical="center" indent="1"/>
      <protection locked="0"/>
    </xf>
    <xf numFmtId="0" fontId="4" fillId="2" borderId="167" xfId="0" applyFont="1" applyFill="1" applyBorder="1" applyAlignment="1">
      <alignment horizontal="left" vertical="center" indent="1"/>
    </xf>
    <xf numFmtId="0" fontId="147" fillId="2" borderId="0" xfId="0" quotePrefix="1" applyFont="1" applyFill="1" applyAlignment="1">
      <alignment horizontal="center" vertical="center"/>
    </xf>
    <xf numFmtId="0" fontId="272" fillId="2" borderId="484" xfId="0" applyFont="1" applyFill="1" applyBorder="1" applyAlignment="1">
      <alignment horizontal="center" vertical="center" wrapText="1"/>
    </xf>
    <xf numFmtId="0" fontId="272" fillId="2" borderId="487" xfId="0" applyFont="1" applyFill="1" applyBorder="1" applyAlignment="1">
      <alignment horizontal="center" vertical="center" wrapText="1"/>
    </xf>
    <xf numFmtId="0" fontId="272" fillId="2" borderId="485" xfId="0" applyFont="1" applyFill="1" applyBorder="1" applyAlignment="1">
      <alignment horizontal="center" vertical="center" wrapText="1"/>
    </xf>
    <xf numFmtId="0" fontId="272" fillId="2" borderId="486" xfId="0" applyFont="1" applyFill="1" applyBorder="1" applyAlignment="1">
      <alignment horizontal="center" vertical="center" wrapText="1"/>
    </xf>
    <xf numFmtId="0" fontId="273" fillId="11" borderId="485" xfId="0" applyFont="1" applyFill="1" applyBorder="1" applyAlignment="1" applyProtection="1">
      <alignment horizontal="center" vertical="center" wrapText="1"/>
      <protection locked="0"/>
    </xf>
    <xf numFmtId="2" fontId="272" fillId="2" borderId="488" xfId="0" applyNumberFormat="1" applyFont="1" applyFill="1" applyBorder="1" applyAlignment="1">
      <alignment horizontal="center" vertical="center" wrapText="1"/>
    </xf>
    <xf numFmtId="2" fontId="272" fillId="2" borderId="489" xfId="0" applyNumberFormat="1" applyFont="1" applyFill="1" applyBorder="1" applyAlignment="1">
      <alignment horizontal="center" vertical="center" wrapText="1"/>
    </xf>
    <xf numFmtId="167" fontId="179" fillId="4" borderId="177" xfId="0" quotePrefix="1" applyNumberFormat="1" applyFont="1" applyFill="1" applyBorder="1" applyAlignment="1">
      <alignment horizontal="center" vertical="center"/>
    </xf>
    <xf numFmtId="173" fontId="179" fillId="4" borderId="180" xfId="0" quotePrefix="1" applyNumberFormat="1" applyFont="1" applyFill="1" applyBorder="1" applyAlignment="1">
      <alignment horizontal="center" vertical="center"/>
    </xf>
    <xf numFmtId="200" fontId="26" fillId="4" borderId="2" xfId="0" applyNumberFormat="1" applyFont="1" applyFill="1" applyBorder="1" applyAlignment="1">
      <alignment horizontal="center" vertical="center"/>
    </xf>
    <xf numFmtId="200" fontId="26" fillId="4" borderId="179" xfId="0" applyNumberFormat="1" applyFont="1" applyFill="1" applyBorder="1" applyAlignment="1">
      <alignment horizontal="center" vertical="center"/>
    </xf>
    <xf numFmtId="2" fontId="270" fillId="0" borderId="2" xfId="1" applyNumberFormat="1" applyFont="1" applyFill="1" applyBorder="1" applyAlignment="1">
      <alignment horizontal="center" vertical="center" wrapText="1"/>
    </xf>
    <xf numFmtId="0" fontId="274" fillId="4" borderId="53" xfId="0" quotePrefix="1" applyFont="1" applyFill="1" applyBorder="1" applyAlignment="1">
      <alignment horizontal="left" vertical="center" indent="1"/>
    </xf>
    <xf numFmtId="0" fontId="274" fillId="4" borderId="177" xfId="1" quotePrefix="1" applyNumberFormat="1" applyFont="1" applyFill="1" applyBorder="1" applyAlignment="1">
      <alignment horizontal="left" vertical="center" wrapText="1" indent="1"/>
    </xf>
    <xf numFmtId="0" fontId="274" fillId="4" borderId="180" xfId="0" applyFont="1" applyFill="1" applyBorder="1" applyAlignment="1">
      <alignment horizontal="left" vertical="center" indent="1"/>
    </xf>
    <xf numFmtId="0" fontId="47" fillId="55" borderId="174" xfId="0" applyFont="1" applyFill="1" applyBorder="1" applyAlignment="1">
      <alignment horizontal="center" vertical="center"/>
    </xf>
    <xf numFmtId="0" fontId="47" fillId="55" borderId="75" xfId="0" applyFont="1" applyFill="1" applyBorder="1" applyAlignment="1">
      <alignment horizontal="center" vertical="center"/>
    </xf>
    <xf numFmtId="0" fontId="47" fillId="55" borderId="175" xfId="0" applyFont="1" applyFill="1" applyBorder="1" applyAlignment="1">
      <alignment horizontal="center" vertical="center"/>
    </xf>
    <xf numFmtId="0" fontId="75" fillId="9" borderId="54" xfId="0" applyFont="1" applyFill="1" applyBorder="1" applyAlignment="1">
      <alignment horizontal="left" vertical="center" indent="1"/>
    </xf>
    <xf numFmtId="0" fontId="0" fillId="9" borderId="54" xfId="0" applyFill="1" applyBorder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18" fillId="9" borderId="54" xfId="0" applyFont="1" applyFill="1" applyBorder="1" applyAlignment="1">
      <alignment horizontal="centerContinuous" vertical="center"/>
    </xf>
    <xf numFmtId="0" fontId="18" fillId="9" borderId="0" xfId="0" applyFont="1" applyFill="1" applyAlignment="1">
      <alignment horizontal="centerContinuous" vertical="center"/>
    </xf>
    <xf numFmtId="0" fontId="18" fillId="9" borderId="53" xfId="0" applyFont="1" applyFill="1" applyBorder="1" applyAlignment="1">
      <alignment horizontal="centerContinuous" vertical="center"/>
    </xf>
    <xf numFmtId="0" fontId="74" fillId="55" borderId="25" xfId="0" applyFont="1" applyFill="1" applyBorder="1" applyAlignment="1">
      <alignment vertical="center"/>
    </xf>
    <xf numFmtId="0" fontId="74" fillId="55" borderId="24" xfId="0" applyFont="1" applyFill="1" applyBorder="1" applyAlignment="1">
      <alignment vertical="center"/>
    </xf>
    <xf numFmtId="0" fontId="74" fillId="55" borderId="26" xfId="0" applyFont="1" applyFill="1" applyBorder="1" applyAlignment="1">
      <alignment vertical="center"/>
    </xf>
    <xf numFmtId="0" fontId="0" fillId="18" borderId="72" xfId="0" applyFill="1" applyBorder="1" applyAlignment="1">
      <alignment vertical="center"/>
    </xf>
    <xf numFmtId="164" fontId="67" fillId="2" borderId="25" xfId="3" applyFont="1" applyFill="1" applyBorder="1" applyAlignment="1">
      <alignment vertical="center"/>
    </xf>
    <xf numFmtId="164" fontId="67" fillId="2" borderId="54" xfId="3" applyFont="1" applyFill="1" applyBorder="1" applyAlignment="1">
      <alignment vertical="center"/>
    </xf>
    <xf numFmtId="1" fontId="0" fillId="2" borderId="0" xfId="0" applyNumberFormat="1" applyFill="1" applyAlignment="1">
      <alignment horizontal="center" vertical="center"/>
    </xf>
    <xf numFmtId="2" fontId="4" fillId="2" borderId="0" xfId="0" applyNumberFormat="1" applyFont="1" applyFill="1" applyAlignment="1">
      <alignment horizontal="center" vertical="center" wrapText="1"/>
    </xf>
    <xf numFmtId="180" fontId="265" fillId="2" borderId="0" xfId="0" applyNumberFormat="1" applyFont="1" applyFill="1" applyAlignment="1">
      <alignment horizontal="center" vertical="center" wrapText="1"/>
    </xf>
    <xf numFmtId="2" fontId="10" fillId="2" borderId="0" xfId="0" applyNumberFormat="1" applyFont="1" applyFill="1" applyAlignment="1">
      <alignment vertical="center" wrapText="1"/>
    </xf>
    <xf numFmtId="181" fontId="265" fillId="2" borderId="0" xfId="0" applyNumberFormat="1" applyFont="1" applyFill="1" applyAlignment="1">
      <alignment horizontal="center" vertical="center" wrapText="1"/>
    </xf>
    <xf numFmtId="164" fontId="67" fillId="2" borderId="69" xfId="3" applyFont="1" applyFill="1" applyBorder="1" applyAlignment="1">
      <alignment vertical="center"/>
    </xf>
    <xf numFmtId="0" fontId="30" fillId="22" borderId="181" xfId="0" applyFont="1" applyFill="1" applyBorder="1" applyAlignment="1" applyProtection="1">
      <alignment horizontal="left" vertical="center"/>
      <protection hidden="1"/>
    </xf>
    <xf numFmtId="4" fontId="20" fillId="22" borderId="0" xfId="0" applyNumberFormat="1" applyFont="1" applyFill="1" applyAlignment="1" applyProtection="1">
      <alignment horizontal="right" vertical="center"/>
      <protection hidden="1"/>
    </xf>
    <xf numFmtId="2" fontId="8" fillId="0" borderId="0" xfId="0" applyNumberFormat="1" applyFont="1" applyProtection="1">
      <protection hidden="1"/>
    </xf>
    <xf numFmtId="2" fontId="8" fillId="0" borderId="0" xfId="0" applyNumberFormat="1" applyFont="1" applyAlignment="1" applyProtection="1">
      <alignment horizontal="left" vertical="center"/>
      <protection hidden="1"/>
    </xf>
    <xf numFmtId="2" fontId="8" fillId="0" borderId="0" xfId="0" applyNumberFormat="1" applyFont="1" applyAlignment="1" applyProtection="1">
      <alignment horizontal="center" vertical="center"/>
      <protection hidden="1"/>
    </xf>
    <xf numFmtId="2" fontId="8" fillId="0" borderId="0" xfId="0" applyNumberFormat="1" applyFont="1" applyAlignment="1" applyProtection="1">
      <alignment horizontal="center" vertical="center" wrapText="1"/>
      <protection hidden="1"/>
    </xf>
    <xf numFmtId="2" fontId="8" fillId="0" borderId="0" xfId="0" applyNumberFormat="1" applyFont="1" applyAlignment="1" applyProtection="1">
      <alignment horizontal="center" wrapText="1"/>
      <protection hidden="1"/>
    </xf>
    <xf numFmtId="2" fontId="8" fillId="0" borderId="0" xfId="0" applyNumberFormat="1" applyFont="1" applyAlignment="1" applyProtection="1">
      <alignment horizontal="left"/>
      <protection hidden="1"/>
    </xf>
    <xf numFmtId="2" fontId="21" fillId="0" borderId="0" xfId="0" applyNumberFormat="1" applyFont="1" applyProtection="1">
      <protection hidden="1"/>
    </xf>
    <xf numFmtId="2" fontId="170" fillId="0" borderId="0" xfId="0" applyNumberFormat="1" applyFont="1" applyAlignment="1" applyProtection="1">
      <alignment vertical="center"/>
      <protection hidden="1"/>
    </xf>
    <xf numFmtId="2" fontId="36" fillId="0" borderId="0" xfId="0" applyNumberFormat="1" applyFont="1" applyAlignment="1" applyProtection="1">
      <alignment horizontal="center" vertical="center"/>
      <protection hidden="1"/>
    </xf>
    <xf numFmtId="2" fontId="36" fillId="0" borderId="0" xfId="0" applyNumberFormat="1" applyFont="1" applyAlignment="1" applyProtection="1">
      <alignment vertical="center"/>
      <protection hidden="1"/>
    </xf>
    <xf numFmtId="2" fontId="21" fillId="0" borderId="0" xfId="0" applyNumberFormat="1" applyFont="1" applyAlignment="1" applyProtection="1">
      <alignment vertical="center"/>
      <protection hidden="1"/>
    </xf>
    <xf numFmtId="2" fontId="21" fillId="0" borderId="355" xfId="0" applyNumberFormat="1" applyFont="1" applyBorder="1" applyAlignment="1" applyProtection="1">
      <alignment horizontal="right" vertical="distributed"/>
      <protection hidden="1"/>
    </xf>
    <xf numFmtId="2" fontId="21" fillId="0" borderId="300" xfId="0" applyNumberFormat="1" applyFont="1" applyBorder="1" applyAlignment="1" applyProtection="1">
      <alignment horizontal="right" vertical="distributed"/>
      <protection hidden="1"/>
    </xf>
    <xf numFmtId="2" fontId="21" fillId="0" borderId="299" xfId="0" applyNumberFormat="1" applyFont="1" applyBorder="1" applyAlignment="1" applyProtection="1">
      <alignment vertical="center"/>
      <protection hidden="1"/>
    </xf>
    <xf numFmtId="2" fontId="25" fillId="0" borderId="300" xfId="0" applyNumberFormat="1" applyFont="1" applyBorder="1" applyAlignment="1" applyProtection="1">
      <alignment horizontal="right" vertical="distributed"/>
      <protection hidden="1"/>
    </xf>
    <xf numFmtId="2" fontId="36" fillId="0" borderId="35" xfId="0" applyNumberFormat="1" applyFont="1" applyBorder="1" applyAlignment="1" applyProtection="1">
      <alignment horizontal="right" vertical="distributed"/>
      <protection hidden="1"/>
    </xf>
    <xf numFmtId="2" fontId="160" fillId="0" borderId="302" xfId="0" applyNumberFormat="1" applyFont="1" applyBorder="1" applyAlignment="1" applyProtection="1">
      <alignment horizontal="center" vertical="distributed"/>
      <protection hidden="1"/>
    </xf>
    <xf numFmtId="2" fontId="21" fillId="0" borderId="181" xfId="0" applyNumberFormat="1" applyFont="1" applyBorder="1" applyAlignment="1" applyProtection="1">
      <alignment horizontal="right" vertical="distributed"/>
      <protection hidden="1"/>
    </xf>
    <xf numFmtId="2" fontId="21" fillId="0" borderId="304" xfId="0" applyNumberFormat="1" applyFont="1" applyBorder="1" applyAlignment="1" applyProtection="1">
      <alignment horizontal="right" vertical="distributed"/>
      <protection hidden="1"/>
    </xf>
    <xf numFmtId="2" fontId="8" fillId="0" borderId="51" xfId="0" applyNumberFormat="1" applyFont="1" applyBorder="1" applyProtection="1">
      <protection hidden="1"/>
    </xf>
    <xf numFmtId="2" fontId="25" fillId="0" borderId="304" xfId="0" applyNumberFormat="1" applyFont="1" applyBorder="1" applyAlignment="1" applyProtection="1">
      <alignment horizontal="right" vertical="distributed"/>
      <protection hidden="1"/>
    </xf>
    <xf numFmtId="2" fontId="36" fillId="0" borderId="25" xfId="0" applyNumberFormat="1" applyFont="1" applyBorder="1" applyAlignment="1" applyProtection="1">
      <alignment horizontal="center" vertical="distributed"/>
      <protection hidden="1"/>
    </xf>
    <xf numFmtId="2" fontId="162" fillId="0" borderId="26" xfId="0" applyNumberFormat="1" applyFont="1" applyBorder="1" applyAlignment="1" applyProtection="1">
      <alignment horizontal="center" vertical="distributed"/>
      <protection hidden="1"/>
    </xf>
    <xf numFmtId="2" fontId="36" fillId="0" borderId="54" xfId="0" applyNumberFormat="1" applyFont="1" applyBorder="1" applyAlignment="1" applyProtection="1">
      <alignment horizontal="center" vertical="distributed" wrapText="1"/>
      <protection hidden="1"/>
    </xf>
    <xf numFmtId="2" fontId="36" fillId="0" borderId="54" xfId="0" applyNumberFormat="1" applyFont="1" applyBorder="1" applyAlignment="1" applyProtection="1">
      <alignment vertical="distributed" wrapText="1"/>
      <protection hidden="1"/>
    </xf>
    <xf numFmtId="2" fontId="36" fillId="0" borderId="72" xfId="0" applyNumberFormat="1" applyFont="1" applyBorder="1" applyAlignment="1" applyProtection="1">
      <alignment vertical="distributed" wrapText="1"/>
      <protection hidden="1"/>
    </xf>
    <xf numFmtId="2" fontId="8" fillId="0" borderId="35" xfId="0" applyNumberFormat="1" applyFont="1" applyBorder="1" applyAlignment="1" applyProtection="1">
      <alignment horizontal="right" vertical="center" wrapText="1"/>
      <protection hidden="1"/>
    </xf>
    <xf numFmtId="2" fontId="160" fillId="0" borderId="305" xfId="0" applyNumberFormat="1" applyFont="1" applyBorder="1" applyAlignment="1" applyProtection="1">
      <alignment horizontal="center" vertical="distributed"/>
      <protection hidden="1"/>
    </xf>
    <xf numFmtId="2" fontId="36" fillId="0" borderId="306" xfId="0" applyNumberFormat="1" applyFont="1" applyBorder="1" applyAlignment="1" applyProtection="1">
      <alignment vertical="justify"/>
      <protection hidden="1"/>
    </xf>
    <xf numFmtId="2" fontId="162" fillId="0" borderId="26" xfId="0" applyNumberFormat="1" applyFont="1" applyBorder="1" applyAlignment="1" applyProtection="1">
      <alignment vertical="justify"/>
      <protection hidden="1"/>
    </xf>
    <xf numFmtId="2" fontId="163" fillId="0" borderId="25" xfId="0" applyNumberFormat="1" applyFont="1" applyBorder="1" applyAlignment="1" applyProtection="1">
      <alignment vertical="justify"/>
      <protection hidden="1"/>
    </xf>
    <xf numFmtId="2" fontId="21" fillId="0" borderId="25" xfId="0" applyNumberFormat="1" applyFont="1" applyBorder="1" applyAlignment="1" applyProtection="1">
      <alignment vertical="distributed"/>
      <protection hidden="1"/>
    </xf>
    <xf numFmtId="2" fontId="36" fillId="0" borderId="69" xfId="0" applyNumberFormat="1" applyFont="1" applyBorder="1" applyAlignment="1" applyProtection="1">
      <alignment horizontal="center" vertical="distributed"/>
      <protection hidden="1"/>
    </xf>
    <xf numFmtId="2" fontId="36" fillId="0" borderId="71" xfId="0" applyNumberFormat="1" applyFont="1" applyBorder="1" applyAlignment="1" applyProtection="1">
      <alignment horizontal="center" vertical="distributed"/>
      <protection hidden="1"/>
    </xf>
    <xf numFmtId="2" fontId="36" fillId="0" borderId="54" xfId="0" applyNumberFormat="1" applyFont="1" applyBorder="1" applyAlignment="1" applyProtection="1">
      <alignment horizontal="center" vertical="distributed"/>
      <protection hidden="1"/>
    </xf>
    <xf numFmtId="2" fontId="36" fillId="0" borderId="53" xfId="0" applyNumberFormat="1" applyFont="1" applyBorder="1" applyAlignment="1" applyProtection="1">
      <alignment horizontal="center" vertical="distributed"/>
      <protection hidden="1"/>
    </xf>
    <xf numFmtId="2" fontId="36" fillId="0" borderId="54" xfId="0" applyNumberFormat="1" applyFont="1" applyBorder="1" applyAlignment="1" applyProtection="1">
      <alignment vertical="distributed"/>
      <protection hidden="1"/>
    </xf>
    <xf numFmtId="2" fontId="36" fillId="0" borderId="53" xfId="0" applyNumberFormat="1" applyFont="1" applyBorder="1" applyAlignment="1" applyProtection="1">
      <alignment vertical="distributed"/>
      <protection hidden="1"/>
    </xf>
    <xf numFmtId="2" fontId="36" fillId="0" borderId="308" xfId="0" applyNumberFormat="1" applyFont="1" applyBorder="1" applyAlignment="1" applyProtection="1">
      <alignment vertical="justify"/>
      <protection hidden="1"/>
    </xf>
    <xf numFmtId="2" fontId="36" fillId="0" borderId="71" xfId="0" applyNumberFormat="1" applyFont="1" applyBorder="1" applyAlignment="1" applyProtection="1">
      <alignment vertical="justify"/>
      <protection hidden="1"/>
    </xf>
    <xf numFmtId="2" fontId="163" fillId="0" borderId="69" xfId="0" applyNumberFormat="1" applyFont="1" applyBorder="1" applyAlignment="1" applyProtection="1">
      <alignment vertical="justify"/>
      <protection hidden="1"/>
    </xf>
    <xf numFmtId="2" fontId="163" fillId="0" borderId="71" xfId="0" applyNumberFormat="1" applyFont="1" applyBorder="1" applyAlignment="1" applyProtection="1">
      <alignment vertical="justify"/>
      <protection hidden="1"/>
    </xf>
    <xf numFmtId="2" fontId="21" fillId="0" borderId="69" xfId="0" applyNumberFormat="1" applyFont="1" applyBorder="1" applyAlignment="1" applyProtection="1">
      <alignment vertical="distributed"/>
      <protection hidden="1"/>
    </xf>
    <xf numFmtId="2" fontId="21" fillId="0" borderId="71" xfId="0" applyNumberFormat="1" applyFont="1" applyBorder="1" applyAlignment="1" applyProtection="1">
      <alignment vertical="distributed"/>
      <protection hidden="1"/>
    </xf>
    <xf numFmtId="2" fontId="21" fillId="0" borderId="310" xfId="0" applyNumberFormat="1" applyFont="1" applyBorder="1" applyAlignment="1" applyProtection="1">
      <alignment vertical="center"/>
      <protection locked="0" hidden="1"/>
    </xf>
    <xf numFmtId="2" fontId="8" fillId="0" borderId="0" xfId="0" applyNumberFormat="1" applyFont="1" applyAlignment="1" applyProtection="1">
      <alignment vertical="center"/>
      <protection hidden="1"/>
    </xf>
    <xf numFmtId="2" fontId="25" fillId="0" borderId="194" xfId="0" applyNumberFormat="1" applyFont="1" applyBorder="1" applyAlignment="1" applyProtection="1">
      <alignment horizontal="right" vertical="distributed"/>
      <protection hidden="1"/>
    </xf>
    <xf numFmtId="2" fontId="20" fillId="0" borderId="181" xfId="0" applyNumberFormat="1" applyFont="1" applyBorder="1" applyAlignment="1" applyProtection="1">
      <alignment horizontal="center" vertical="center"/>
      <protection hidden="1"/>
    </xf>
    <xf numFmtId="2" fontId="20" fillId="0" borderId="304" xfId="0" applyNumberFormat="1" applyFont="1" applyBorder="1" applyAlignment="1" applyProtection="1">
      <alignment horizontal="center" vertical="center"/>
      <protection hidden="1"/>
    </xf>
    <xf numFmtId="2" fontId="20" fillId="0" borderId="176" xfId="0" applyNumberFormat="1" applyFont="1" applyBorder="1" applyAlignment="1" applyProtection="1">
      <alignment horizontal="center" vertical="center"/>
      <protection hidden="1"/>
    </xf>
    <xf numFmtId="2" fontId="20" fillId="0" borderId="193" xfId="0" applyNumberFormat="1" applyFont="1" applyBorder="1" applyAlignment="1" applyProtection="1">
      <alignment horizontal="center" vertical="center"/>
      <protection hidden="1"/>
    </xf>
    <xf numFmtId="2" fontId="20" fillId="0" borderId="51" xfId="0" applyNumberFormat="1" applyFont="1" applyBorder="1" applyAlignment="1" applyProtection="1">
      <alignment horizontal="center" vertical="center"/>
      <protection hidden="1"/>
    </xf>
    <xf numFmtId="2" fontId="12" fillId="0" borderId="0" xfId="0" applyNumberFormat="1" applyFont="1" applyAlignment="1" applyProtection="1">
      <alignment vertical="center"/>
      <protection hidden="1"/>
    </xf>
    <xf numFmtId="2" fontId="30" fillId="0" borderId="304" xfId="0" applyNumberFormat="1" applyFont="1" applyBorder="1" applyAlignment="1" applyProtection="1">
      <alignment horizontal="right" vertical="center"/>
      <protection hidden="1"/>
    </xf>
    <xf numFmtId="2" fontId="20" fillId="0" borderId="57" xfId="0" applyNumberFormat="1" applyFont="1" applyBorder="1" applyAlignment="1" applyProtection="1">
      <alignment horizontal="center" vertical="center"/>
      <protection hidden="1"/>
    </xf>
    <xf numFmtId="2" fontId="20" fillId="0" borderId="314" xfId="0" applyNumberFormat="1" applyFont="1" applyBorder="1" applyAlignment="1" applyProtection="1">
      <alignment horizontal="center" vertical="center"/>
      <protection hidden="1"/>
    </xf>
    <xf numFmtId="2" fontId="20" fillId="0" borderId="316" xfId="0" applyNumberFormat="1" applyFont="1" applyBorder="1" applyAlignment="1" applyProtection="1">
      <alignment horizontal="center" vertical="center"/>
      <protection hidden="1"/>
    </xf>
    <xf numFmtId="2" fontId="20" fillId="0" borderId="177" xfId="0" applyNumberFormat="1" applyFont="1" applyBorder="1" applyAlignment="1" applyProtection="1">
      <alignment horizontal="center" vertical="center"/>
      <protection hidden="1"/>
    </xf>
    <xf numFmtId="2" fontId="20" fillId="0" borderId="2" xfId="0" applyNumberFormat="1" applyFont="1" applyBorder="1" applyAlignment="1" applyProtection="1">
      <alignment horizontal="center" vertical="center"/>
      <protection hidden="1"/>
    </xf>
    <xf numFmtId="2" fontId="20" fillId="0" borderId="2" xfId="0" applyNumberFormat="1" applyFont="1" applyBorder="1" applyAlignment="1" applyProtection="1">
      <alignment horizontal="center" vertical="center"/>
      <protection locked="0" hidden="1"/>
    </xf>
    <xf numFmtId="2" fontId="20" fillId="0" borderId="57" xfId="0" applyNumberFormat="1" applyFont="1" applyBorder="1" applyAlignment="1" applyProtection="1">
      <alignment horizontal="center" vertical="center"/>
      <protection locked="0" hidden="1"/>
    </xf>
    <xf numFmtId="2" fontId="20" fillId="0" borderId="317" xfId="0" applyNumberFormat="1" applyFont="1" applyBorder="1" applyAlignment="1" applyProtection="1">
      <alignment horizontal="center" vertical="center"/>
      <protection locked="0" hidden="1"/>
    </xf>
    <xf numFmtId="2" fontId="20" fillId="0" borderId="181" xfId="0" applyNumberFormat="1" applyFont="1" applyBorder="1" applyAlignment="1" applyProtection="1">
      <alignment horizontal="left" vertical="center"/>
      <protection hidden="1"/>
    </xf>
    <xf numFmtId="2" fontId="36" fillId="0" borderId="304" xfId="0" applyNumberFormat="1" applyFont="1" applyBorder="1" applyAlignment="1" applyProtection="1">
      <alignment horizontal="center" vertical="center"/>
      <protection hidden="1"/>
    </xf>
    <xf numFmtId="2" fontId="57" fillId="0" borderId="318" xfId="0" applyNumberFormat="1" applyFont="1" applyBorder="1" applyAlignment="1" applyProtection="1">
      <alignment horizontal="right" vertical="center" indent="1"/>
      <protection hidden="1"/>
    </xf>
    <xf numFmtId="2" fontId="57" fillId="0" borderId="53" xfId="0" applyNumberFormat="1" applyFont="1" applyBorder="1" applyAlignment="1" applyProtection="1">
      <alignment horizontal="right" vertical="center" indent="1"/>
      <protection hidden="1"/>
    </xf>
    <xf numFmtId="2" fontId="21" fillId="0" borderId="319" xfId="0" applyNumberFormat="1" applyFont="1" applyBorder="1" applyAlignment="1" applyProtection="1">
      <alignment horizontal="center" vertical="center"/>
      <protection hidden="1"/>
    </xf>
    <xf numFmtId="2" fontId="25" fillId="0" borderId="304" xfId="0" applyNumberFormat="1" applyFont="1" applyBorder="1" applyAlignment="1" applyProtection="1">
      <alignment horizontal="left" vertical="center"/>
      <protection hidden="1"/>
    </xf>
    <xf numFmtId="2" fontId="21" fillId="0" borderId="52" xfId="0" applyNumberFormat="1" applyFont="1" applyBorder="1" applyAlignment="1" applyProtection="1">
      <alignment horizontal="right" vertical="center" indent="1"/>
      <protection hidden="1"/>
    </xf>
    <xf numFmtId="2" fontId="21" fillId="0" borderId="53" xfId="0" applyNumberFormat="1" applyFont="1" applyBorder="1" applyAlignment="1" applyProtection="1">
      <alignment horizontal="right" vertical="center" indent="1"/>
      <protection hidden="1"/>
    </xf>
    <xf numFmtId="2" fontId="21" fillId="0" borderId="318" xfId="0" applyNumberFormat="1" applyFont="1" applyBorder="1" applyAlignment="1" applyProtection="1">
      <alignment horizontal="right" vertical="center" indent="1"/>
      <protection hidden="1"/>
    </xf>
    <xf numFmtId="2" fontId="21" fillId="0" borderId="320" xfId="0" applyNumberFormat="1" applyFont="1" applyBorder="1" applyAlignment="1" applyProtection="1">
      <alignment horizontal="right" vertical="center" indent="1"/>
      <protection hidden="1"/>
    </xf>
    <xf numFmtId="2" fontId="21" fillId="0" borderId="321" xfId="0" applyNumberFormat="1" applyFont="1" applyBorder="1" applyAlignment="1" applyProtection="1">
      <alignment horizontal="right" vertical="center" indent="1"/>
      <protection hidden="1"/>
    </xf>
    <xf numFmtId="2" fontId="8" fillId="0" borderId="0" xfId="0" applyNumberFormat="1" applyFont="1" applyAlignment="1" applyProtection="1">
      <alignment horizontal="right" vertical="center" indent="1"/>
      <protection hidden="1"/>
    </xf>
    <xf numFmtId="2" fontId="8" fillId="0" borderId="322" xfId="0" applyNumberFormat="1" applyFont="1" applyBorder="1" applyAlignment="1" applyProtection="1">
      <alignment horizontal="right" vertical="center" indent="1"/>
      <protection hidden="1"/>
    </xf>
    <xf numFmtId="2" fontId="21" fillId="0" borderId="323" xfId="0" applyNumberFormat="1" applyFont="1" applyBorder="1" applyAlignment="1" applyProtection="1">
      <alignment horizontal="right" vertical="center" indent="1"/>
      <protection hidden="1"/>
    </xf>
    <xf numFmtId="2" fontId="21" fillId="0" borderId="324" xfId="0" applyNumberFormat="1" applyFont="1" applyBorder="1" applyAlignment="1" applyProtection="1">
      <alignment horizontal="right" vertical="center" indent="1"/>
      <protection hidden="1"/>
    </xf>
    <xf numFmtId="2" fontId="8" fillId="0" borderId="318" xfId="0" applyNumberFormat="1" applyFont="1" applyBorder="1" applyAlignment="1" applyProtection="1">
      <alignment horizontal="right" vertical="center" indent="1"/>
      <protection locked="0" hidden="1"/>
    </xf>
    <xf numFmtId="2" fontId="8" fillId="0" borderId="53" xfId="0" applyNumberFormat="1" applyFont="1" applyBorder="1" applyAlignment="1" applyProtection="1">
      <alignment horizontal="right" vertical="center" indent="1"/>
      <protection locked="0" hidden="1"/>
    </xf>
    <xf numFmtId="2" fontId="8" fillId="0" borderId="322" xfId="0" applyNumberFormat="1" applyFont="1" applyBorder="1" applyAlignment="1" applyProtection="1">
      <alignment horizontal="right" vertical="center" indent="1"/>
      <protection locked="0" hidden="1"/>
    </xf>
    <xf numFmtId="2" fontId="57" fillId="0" borderId="52" xfId="0" applyNumberFormat="1" applyFont="1" applyBorder="1" applyAlignment="1" applyProtection="1">
      <alignment horizontal="right" vertical="center" indent="1"/>
      <protection hidden="1"/>
    </xf>
    <xf numFmtId="2" fontId="21" fillId="0" borderId="6" xfId="0" applyNumberFormat="1" applyFont="1" applyBorder="1" applyAlignment="1" applyProtection="1">
      <alignment horizontal="center" vertical="center"/>
      <protection hidden="1"/>
    </xf>
    <xf numFmtId="2" fontId="21" fillId="0" borderId="326" xfId="0" applyNumberFormat="1" applyFont="1" applyBorder="1" applyAlignment="1" applyProtection="1">
      <alignment horizontal="right" vertical="center" indent="1"/>
      <protection hidden="1"/>
    </xf>
    <xf numFmtId="2" fontId="8" fillId="0" borderId="52" xfId="0" applyNumberFormat="1" applyFont="1" applyBorder="1" applyAlignment="1" applyProtection="1">
      <alignment horizontal="right" vertical="center" indent="1"/>
      <protection locked="0" hidden="1"/>
    </xf>
    <xf numFmtId="2" fontId="21" fillId="0" borderId="328" xfId="0" applyNumberFormat="1" applyFont="1" applyBorder="1" applyAlignment="1" applyProtection="1">
      <alignment horizontal="right" vertical="center" indent="1"/>
      <protection hidden="1"/>
    </xf>
    <xf numFmtId="2" fontId="21" fillId="0" borderId="327" xfId="0" applyNumberFormat="1" applyFont="1" applyBorder="1" applyAlignment="1" applyProtection="1">
      <alignment horizontal="right" vertical="center" indent="1"/>
      <protection hidden="1"/>
    </xf>
    <xf numFmtId="2" fontId="20" fillId="0" borderId="356" xfId="0" applyNumberFormat="1" applyFont="1" applyBorder="1" applyAlignment="1" applyProtection="1">
      <alignment horizontal="left" vertical="center"/>
      <protection hidden="1"/>
    </xf>
    <xf numFmtId="2" fontId="36" fillId="0" borderId="332" xfId="0" applyNumberFormat="1" applyFont="1" applyBorder="1" applyAlignment="1" applyProtection="1">
      <alignment horizontal="center" vertical="center"/>
      <protection hidden="1"/>
    </xf>
    <xf numFmtId="2" fontId="57" fillId="0" borderId="329" xfId="0" applyNumberFormat="1" applyFont="1" applyBorder="1" applyAlignment="1" applyProtection="1">
      <alignment horizontal="right" vertical="center" indent="1"/>
      <protection hidden="1"/>
    </xf>
    <xf numFmtId="2" fontId="57" fillId="0" borderId="330" xfId="0" applyNumberFormat="1" applyFont="1" applyBorder="1" applyAlignment="1" applyProtection="1">
      <alignment horizontal="right" vertical="center" indent="1"/>
      <protection hidden="1"/>
    </xf>
    <xf numFmtId="2" fontId="21" fillId="0" borderId="331" xfId="0" applyNumberFormat="1" applyFont="1" applyBorder="1" applyAlignment="1" applyProtection="1">
      <alignment horizontal="center" vertical="center"/>
      <protection hidden="1"/>
    </xf>
    <xf numFmtId="2" fontId="25" fillId="0" borderId="332" xfId="0" applyNumberFormat="1" applyFont="1" applyBorder="1" applyAlignment="1" applyProtection="1">
      <alignment horizontal="left" vertical="center"/>
      <protection hidden="1"/>
    </xf>
    <xf numFmtId="2" fontId="21" fillId="0" borderId="329" xfId="0" applyNumberFormat="1" applyFont="1" applyBorder="1" applyAlignment="1" applyProtection="1">
      <alignment horizontal="right" vertical="center" indent="1"/>
      <protection hidden="1"/>
    </xf>
    <xf numFmtId="2" fontId="21" fillId="0" borderId="330" xfId="0" applyNumberFormat="1" applyFont="1" applyBorder="1" applyAlignment="1" applyProtection="1">
      <alignment horizontal="right" vertical="center" indent="1"/>
      <protection hidden="1"/>
    </xf>
    <xf numFmtId="2" fontId="21" fillId="0" borderId="333" xfId="0" applyNumberFormat="1" applyFont="1" applyBorder="1" applyAlignment="1" applyProtection="1">
      <alignment horizontal="right" vertical="center" indent="1"/>
      <protection hidden="1"/>
    </xf>
    <xf numFmtId="2" fontId="21" fillId="0" borderId="334" xfId="0" applyNumberFormat="1" applyFont="1" applyBorder="1" applyAlignment="1" applyProtection="1">
      <alignment horizontal="right" vertical="center" indent="1"/>
      <protection hidden="1"/>
    </xf>
    <xf numFmtId="2" fontId="8" fillId="0" borderId="329" xfId="0" applyNumberFormat="1" applyFont="1" applyBorder="1" applyAlignment="1" applyProtection="1">
      <alignment horizontal="right" vertical="center" indent="1"/>
      <protection locked="0" hidden="1"/>
    </xf>
    <xf numFmtId="2" fontId="8" fillId="0" borderId="330" xfId="0" applyNumberFormat="1" applyFont="1" applyBorder="1" applyAlignment="1" applyProtection="1">
      <alignment horizontal="right" vertical="center" indent="1"/>
      <protection locked="0" hidden="1"/>
    </xf>
    <xf numFmtId="2" fontId="8" fillId="0" borderId="335" xfId="0" applyNumberFormat="1" applyFont="1" applyBorder="1" applyAlignment="1" applyProtection="1">
      <alignment horizontal="right" vertical="center" indent="1"/>
      <protection locked="0" hidden="1"/>
    </xf>
    <xf numFmtId="2" fontId="57" fillId="0" borderId="54" xfId="0" applyNumberFormat="1" applyFont="1" applyBorder="1" applyAlignment="1" applyProtection="1">
      <alignment horizontal="center" vertical="center"/>
      <protection hidden="1"/>
    </xf>
    <xf numFmtId="2" fontId="57" fillId="0" borderId="327" xfId="0" applyNumberFormat="1" applyFont="1" applyBorder="1" applyAlignment="1" applyProtection="1">
      <alignment horizontal="center" vertical="center"/>
      <protection hidden="1"/>
    </xf>
    <xf numFmtId="2" fontId="21" fillId="0" borderId="51" xfId="0" applyNumberFormat="1" applyFont="1" applyBorder="1" applyAlignment="1" applyProtection="1">
      <alignment horizontal="center" vertical="center"/>
      <protection hidden="1"/>
    </xf>
    <xf numFmtId="2" fontId="21" fillId="0" borderId="54" xfId="0" applyNumberFormat="1" applyFont="1" applyBorder="1" applyAlignment="1" applyProtection="1">
      <alignment horizontal="right" vertical="center" indent="1"/>
      <protection hidden="1"/>
    </xf>
    <xf numFmtId="2" fontId="21" fillId="0" borderId="54" xfId="0" applyNumberFormat="1" applyFont="1" applyBorder="1" applyAlignment="1" applyProtection="1">
      <alignment horizontal="right" vertical="center" indent="1"/>
      <protection locked="0" hidden="1"/>
    </xf>
    <xf numFmtId="2" fontId="21" fillId="0" borderId="242" xfId="0" applyNumberFormat="1" applyFont="1" applyBorder="1" applyAlignment="1" applyProtection="1">
      <alignment horizontal="right" vertical="center" indent="1"/>
      <protection locked="0" hidden="1"/>
    </xf>
    <xf numFmtId="2" fontId="21" fillId="0" borderId="52" xfId="0" applyNumberFormat="1" applyFont="1" applyBorder="1" applyAlignment="1" applyProtection="1">
      <alignment horizontal="right" vertical="center" indent="1"/>
      <protection locked="0" hidden="1"/>
    </xf>
    <xf numFmtId="2" fontId="21" fillId="0" borderId="0" xfId="0" applyNumberFormat="1" applyFont="1" applyAlignment="1" applyProtection="1">
      <alignment horizontal="right" vertical="center" indent="1"/>
      <protection locked="0" hidden="1"/>
    </xf>
    <xf numFmtId="2" fontId="21" fillId="0" borderId="336" xfId="0" applyNumberFormat="1" applyFont="1" applyBorder="1" applyAlignment="1" applyProtection="1">
      <alignment horizontal="right" vertical="center" indent="1"/>
      <protection locked="0" hidden="1"/>
    </xf>
    <xf numFmtId="2" fontId="57" fillId="0" borderId="337" xfId="0" applyNumberFormat="1" applyFont="1" applyBorder="1" applyAlignment="1" applyProtection="1">
      <alignment horizontal="center" vertical="center"/>
      <protection hidden="1"/>
    </xf>
    <xf numFmtId="2" fontId="57" fillId="0" borderId="338" xfId="0" applyNumberFormat="1" applyFont="1" applyBorder="1" applyAlignment="1" applyProtection="1">
      <alignment horizontal="center" vertical="center"/>
      <protection hidden="1"/>
    </xf>
    <xf numFmtId="2" fontId="21" fillId="0" borderId="338" xfId="0" applyNumberFormat="1" applyFont="1" applyBorder="1" applyAlignment="1" applyProtection="1">
      <alignment horizontal="right" vertical="center" indent="1"/>
      <protection hidden="1"/>
    </xf>
    <xf numFmtId="2" fontId="21" fillId="0" borderId="337" xfId="0" applyNumberFormat="1" applyFont="1" applyBorder="1" applyAlignment="1" applyProtection="1">
      <alignment horizontal="right" vertical="center" indent="1"/>
      <protection hidden="1"/>
    </xf>
    <xf numFmtId="2" fontId="21" fillId="0" borderId="337" xfId="0" applyNumberFormat="1" applyFont="1" applyBorder="1" applyAlignment="1" applyProtection="1">
      <alignment horizontal="right" vertical="center" indent="1"/>
      <protection locked="0" hidden="1"/>
    </xf>
    <xf numFmtId="2" fontId="21" fillId="0" borderId="339" xfId="0" applyNumberFormat="1" applyFont="1" applyBorder="1" applyAlignment="1" applyProtection="1">
      <alignment horizontal="right" vertical="center" indent="1"/>
      <protection locked="0" hidden="1"/>
    </xf>
    <xf numFmtId="2" fontId="21" fillId="0" borderId="329" xfId="0" applyNumberFormat="1" applyFont="1" applyBorder="1" applyAlignment="1" applyProtection="1">
      <alignment horizontal="right" vertical="center" indent="1"/>
      <protection locked="0" hidden="1"/>
    </xf>
    <xf numFmtId="2" fontId="21" fillId="0" borderId="340" xfId="0" applyNumberFormat="1" applyFont="1" applyBorder="1" applyAlignment="1" applyProtection="1">
      <alignment horizontal="right" vertical="center" indent="1"/>
      <protection locked="0" hidden="1"/>
    </xf>
    <xf numFmtId="2" fontId="21" fillId="0" borderId="341" xfId="0" applyNumberFormat="1" applyFont="1" applyBorder="1" applyAlignment="1" applyProtection="1">
      <alignment horizontal="right" vertical="center" indent="1"/>
      <protection locked="0" hidden="1"/>
    </xf>
    <xf numFmtId="2" fontId="20" fillId="0" borderId="357" xfId="0" applyNumberFormat="1" applyFont="1" applyBorder="1" applyAlignment="1" applyProtection="1">
      <alignment horizontal="left" vertical="center"/>
      <protection hidden="1"/>
    </xf>
    <xf numFmtId="2" fontId="57" fillId="0" borderId="52" xfId="0" applyNumberFormat="1" applyFont="1" applyBorder="1" applyAlignment="1" applyProtection="1">
      <alignment horizontal="center" vertical="center"/>
      <protection locked="0" hidden="1"/>
    </xf>
    <xf numFmtId="2" fontId="57" fillId="0" borderId="0" xfId="0" applyNumberFormat="1" applyFont="1" applyAlignment="1" applyProtection="1">
      <alignment horizontal="center" vertical="center"/>
      <protection locked="0" hidden="1"/>
    </xf>
    <xf numFmtId="2" fontId="21" fillId="0" borderId="342" xfId="0" applyNumberFormat="1" applyFont="1" applyBorder="1" applyAlignment="1" applyProtection="1">
      <alignment horizontal="center" vertical="center"/>
      <protection hidden="1"/>
    </xf>
    <xf numFmtId="2" fontId="21" fillId="0" borderId="343" xfId="0" applyNumberFormat="1" applyFont="1" applyBorder="1" applyAlignment="1" applyProtection="1">
      <alignment horizontal="left" vertical="center"/>
      <protection hidden="1"/>
    </xf>
    <xf numFmtId="2" fontId="21" fillId="0" borderId="344" xfId="0" applyNumberFormat="1" applyFont="1" applyBorder="1" applyAlignment="1" applyProtection="1">
      <alignment horizontal="right" vertical="center" indent="1"/>
      <protection locked="0" hidden="1"/>
    </xf>
    <xf numFmtId="2" fontId="21" fillId="0" borderId="325" xfId="0" applyNumberFormat="1" applyFont="1" applyBorder="1" applyAlignment="1" applyProtection="1">
      <alignment horizontal="right" vertical="center" indent="1"/>
      <protection locked="0" hidden="1"/>
    </xf>
    <xf numFmtId="2" fontId="21" fillId="0" borderId="326" xfId="0" applyNumberFormat="1" applyFont="1" applyBorder="1" applyAlignment="1" applyProtection="1">
      <alignment horizontal="right" vertical="center" indent="1"/>
      <protection locked="0" hidden="1"/>
    </xf>
    <xf numFmtId="2" fontId="21" fillId="0" borderId="327" xfId="0" applyNumberFormat="1" applyFont="1" applyBorder="1" applyAlignment="1" applyProtection="1">
      <alignment horizontal="right" vertical="center" indent="1"/>
      <protection locked="0" hidden="1"/>
    </xf>
    <xf numFmtId="2" fontId="21" fillId="0" borderId="322" xfId="0" applyNumberFormat="1" applyFont="1" applyBorder="1" applyAlignment="1" applyProtection="1">
      <alignment horizontal="right" vertical="center" indent="1"/>
      <protection locked="0" hidden="1"/>
    </xf>
    <xf numFmtId="2" fontId="21" fillId="0" borderId="0" xfId="0" applyNumberFormat="1" applyFont="1" applyAlignment="1" applyProtection="1">
      <alignment horizontal="center" vertical="center"/>
      <protection hidden="1"/>
    </xf>
    <xf numFmtId="2" fontId="21" fillId="0" borderId="194" xfId="0" applyNumberFormat="1" applyFont="1" applyBorder="1" applyAlignment="1" applyProtection="1">
      <alignment horizontal="left" vertical="center"/>
      <protection hidden="1"/>
    </xf>
    <xf numFmtId="2" fontId="21" fillId="0" borderId="173" xfId="0" applyNumberFormat="1" applyFont="1" applyBorder="1" applyAlignment="1" applyProtection="1">
      <alignment horizontal="right" vertical="center" indent="1"/>
      <protection locked="0" hidden="1"/>
    </xf>
    <xf numFmtId="2" fontId="57" fillId="0" borderId="0" xfId="0" applyNumberFormat="1" applyFont="1" applyAlignment="1" applyProtection="1">
      <alignment horizontal="center" vertical="center"/>
      <protection hidden="1"/>
    </xf>
    <xf numFmtId="2" fontId="21" fillId="0" borderId="0" xfId="0" applyNumberFormat="1" applyFont="1" applyAlignment="1" applyProtection="1">
      <alignment horizontal="right" vertical="center" indent="1"/>
      <protection hidden="1"/>
    </xf>
    <xf numFmtId="2" fontId="21" fillId="0" borderId="325" xfId="0" applyNumberFormat="1" applyFont="1" applyBorder="1" applyAlignment="1" applyProtection="1">
      <alignment horizontal="right" vertical="center" indent="1"/>
      <protection hidden="1"/>
    </xf>
    <xf numFmtId="2" fontId="36" fillId="0" borderId="304" xfId="0" applyNumberFormat="1" applyFont="1" applyBorder="1" applyAlignment="1" applyProtection="1">
      <alignment horizontal="center"/>
      <protection hidden="1"/>
    </xf>
    <xf numFmtId="2" fontId="57" fillId="0" borderId="52" xfId="0" applyNumberFormat="1" applyFont="1" applyBorder="1" applyAlignment="1" applyProtection="1">
      <alignment horizontal="center" vertical="center"/>
      <protection hidden="1"/>
    </xf>
    <xf numFmtId="2" fontId="21" fillId="0" borderId="173" xfId="0" applyNumberFormat="1" applyFont="1" applyBorder="1" applyAlignment="1" applyProtection="1">
      <alignment horizontal="right" vertical="center" indent="1"/>
      <protection hidden="1"/>
    </xf>
    <xf numFmtId="2" fontId="8" fillId="0" borderId="36" xfId="0" applyNumberFormat="1" applyFont="1" applyBorder="1" applyAlignment="1" applyProtection="1">
      <alignment vertical="center"/>
      <protection hidden="1"/>
    </xf>
    <xf numFmtId="2" fontId="8" fillId="0" borderId="23" xfId="0" applyNumberFormat="1" applyFont="1" applyBorder="1" applyAlignment="1" applyProtection="1">
      <alignment vertical="center"/>
      <protection hidden="1"/>
    </xf>
    <xf numFmtId="2" fontId="8" fillId="0" borderId="57" xfId="0" applyNumberFormat="1" applyFont="1" applyBorder="1" applyAlignment="1" applyProtection="1">
      <alignment vertical="center"/>
      <protection hidden="1"/>
    </xf>
    <xf numFmtId="2" fontId="8" fillId="0" borderId="2" xfId="0" applyNumberFormat="1" applyFont="1" applyBorder="1" applyAlignment="1" applyProtection="1">
      <alignment vertical="center"/>
      <protection hidden="1"/>
    </xf>
    <xf numFmtId="2" fontId="21" fillId="0" borderId="51" xfId="0" applyNumberFormat="1" applyFont="1" applyBorder="1" applyAlignment="1" applyProtection="1">
      <alignment horizontal="center" vertical="center"/>
      <protection locked="0" hidden="1"/>
    </xf>
    <xf numFmtId="2" fontId="20" fillId="0" borderId="358" xfId="0" applyNumberFormat="1" applyFont="1" applyBorder="1" applyAlignment="1" applyProtection="1">
      <alignment horizontal="left" vertical="center"/>
      <protection hidden="1"/>
    </xf>
    <xf numFmtId="2" fontId="57" fillId="0" borderId="345" xfId="0" applyNumberFormat="1" applyFont="1" applyBorder="1" applyAlignment="1" applyProtection="1">
      <alignment horizontal="center" vertical="center"/>
      <protection locked="0" hidden="1"/>
    </xf>
    <xf numFmtId="2" fontId="57" fillId="0" borderId="298" xfId="0" applyNumberFormat="1" applyFont="1" applyBorder="1" applyAlignment="1" applyProtection="1">
      <alignment horizontal="center" vertical="center"/>
      <protection locked="0" hidden="1"/>
    </xf>
    <xf numFmtId="2" fontId="21" fillId="0" borderId="346" xfId="0" applyNumberFormat="1" applyFont="1" applyBorder="1" applyAlignment="1" applyProtection="1">
      <alignment horizontal="center" vertical="center"/>
      <protection hidden="1"/>
    </xf>
    <xf numFmtId="2" fontId="21" fillId="0" borderId="347" xfId="0" applyNumberFormat="1" applyFont="1" applyBorder="1" applyAlignment="1" applyProtection="1">
      <alignment horizontal="left" vertical="center"/>
      <protection hidden="1"/>
    </xf>
    <xf numFmtId="2" fontId="21" fillId="0" borderId="345" xfId="0" applyNumberFormat="1" applyFont="1" applyBorder="1" applyAlignment="1" applyProtection="1">
      <alignment horizontal="right" vertical="center" indent="1"/>
      <protection locked="0" hidden="1"/>
    </xf>
    <xf numFmtId="2" fontId="21" fillId="0" borderId="298" xfId="0" applyNumberFormat="1" applyFont="1" applyBorder="1" applyAlignment="1" applyProtection="1">
      <alignment horizontal="right" vertical="center" indent="1"/>
      <protection locked="0" hidden="1"/>
    </xf>
    <xf numFmtId="2" fontId="21" fillId="0" borderId="348" xfId="0" applyNumberFormat="1" applyFont="1" applyBorder="1" applyAlignment="1" applyProtection="1">
      <alignment horizontal="right" vertical="center" indent="1"/>
      <protection locked="0" hidden="1"/>
    </xf>
    <xf numFmtId="2" fontId="21" fillId="0" borderId="349" xfId="0" applyNumberFormat="1" applyFont="1" applyBorder="1" applyAlignment="1" applyProtection="1">
      <alignment horizontal="right" vertical="center" indent="1"/>
      <protection locked="0" hidden="1"/>
    </xf>
    <xf numFmtId="2" fontId="21" fillId="0" borderId="350" xfId="0" applyNumberFormat="1" applyFont="1" applyBorder="1" applyAlignment="1" applyProtection="1">
      <alignment horizontal="right" vertical="center" indent="1"/>
      <protection locked="0" hidden="1"/>
    </xf>
    <xf numFmtId="2" fontId="21" fillId="0" borderId="351" xfId="0" applyNumberFormat="1" applyFont="1" applyBorder="1" applyAlignment="1" applyProtection="1">
      <alignment horizontal="right" vertical="center" indent="1"/>
      <protection locked="0" hidden="1"/>
    </xf>
    <xf numFmtId="2" fontId="8" fillId="0" borderId="0" xfId="0" applyNumberFormat="1" applyFont="1" applyAlignment="1" applyProtection="1">
      <alignment horizontal="center"/>
      <protection hidden="1"/>
    </xf>
    <xf numFmtId="2" fontId="8" fillId="0" borderId="173" xfId="0" applyNumberFormat="1" applyFont="1" applyBorder="1" applyProtection="1">
      <protection hidden="1"/>
    </xf>
    <xf numFmtId="2" fontId="36" fillId="0" borderId="0" xfId="0" applyNumberFormat="1" applyFont="1" applyAlignment="1" applyProtection="1">
      <alignment horizontal="center"/>
      <protection hidden="1"/>
    </xf>
    <xf numFmtId="2" fontId="36" fillId="0" borderId="0" xfId="0" applyNumberFormat="1" applyFont="1" applyProtection="1">
      <protection hidden="1"/>
    </xf>
    <xf numFmtId="2" fontId="21" fillId="0" borderId="120" xfId="0" applyNumberFormat="1" applyFont="1" applyBorder="1" applyAlignment="1" applyProtection="1">
      <alignment horizontal="left" vertical="distributed"/>
      <protection hidden="1"/>
    </xf>
    <xf numFmtId="2" fontId="21" fillId="0" borderId="238" xfId="0" applyNumberFormat="1" applyFont="1" applyBorder="1" applyAlignment="1" applyProtection="1">
      <alignment horizontal="left" vertical="distributed"/>
      <protection hidden="1"/>
    </xf>
    <xf numFmtId="2" fontId="21" fillId="0" borderId="25" xfId="0" applyNumberFormat="1" applyFont="1" applyBorder="1" applyAlignment="1" applyProtection="1">
      <alignment horizontal="center" vertical="distributed"/>
      <protection hidden="1"/>
    </xf>
    <xf numFmtId="2" fontId="21" fillId="0" borderId="54" xfId="0" applyNumberFormat="1" applyFont="1" applyBorder="1" applyAlignment="1" applyProtection="1">
      <alignment horizontal="center" vertical="distributed"/>
      <protection hidden="1"/>
    </xf>
    <xf numFmtId="2" fontId="21" fillId="0" borderId="54" xfId="0" applyNumberFormat="1" applyFont="1" applyBorder="1" applyProtection="1">
      <protection hidden="1"/>
    </xf>
    <xf numFmtId="2" fontId="21" fillId="0" borderId="2" xfId="0" applyNumberFormat="1" applyFont="1" applyBorder="1" applyAlignment="1" applyProtection="1">
      <alignment horizontal="center"/>
      <protection hidden="1"/>
    </xf>
    <xf numFmtId="2" fontId="21" fillId="0" borderId="57" xfId="0" applyNumberFormat="1" applyFont="1" applyBorder="1" applyAlignment="1" applyProtection="1">
      <alignment horizontal="center"/>
      <protection hidden="1"/>
    </xf>
    <xf numFmtId="2" fontId="21" fillId="0" borderId="54" xfId="0" applyNumberFormat="1" applyFont="1" applyBorder="1" applyAlignment="1" applyProtection="1">
      <alignment horizontal="center"/>
      <protection hidden="1"/>
    </xf>
    <xf numFmtId="2" fontId="21" fillId="0" borderId="238" xfId="0" applyNumberFormat="1" applyFont="1" applyBorder="1" applyAlignment="1" applyProtection="1">
      <alignment horizontal="left"/>
      <protection hidden="1"/>
    </xf>
    <xf numFmtId="2" fontId="8" fillId="0" borderId="52" xfId="0" applyNumberFormat="1" applyFont="1" applyBorder="1" applyAlignment="1" applyProtection="1">
      <alignment horizontal="center"/>
      <protection hidden="1"/>
    </xf>
    <xf numFmtId="2" fontId="8" fillId="0" borderId="53" xfId="0" applyNumberFormat="1" applyFont="1" applyBorder="1" applyAlignment="1" applyProtection="1">
      <alignment horizontal="center"/>
      <protection hidden="1"/>
    </xf>
    <xf numFmtId="2" fontId="8" fillId="0" borderId="54" xfId="0" applyNumberFormat="1" applyFont="1" applyBorder="1" applyAlignment="1" applyProtection="1">
      <alignment horizontal="center"/>
      <protection hidden="1"/>
    </xf>
    <xf numFmtId="2" fontId="8" fillId="0" borderId="54" xfId="0" applyNumberFormat="1" applyFont="1" applyBorder="1" applyAlignment="1" applyProtection="1">
      <alignment horizontal="right"/>
      <protection hidden="1"/>
    </xf>
    <xf numFmtId="2" fontId="8" fillId="0" borderId="53" xfId="0" applyNumberFormat="1" applyFont="1" applyBorder="1" applyAlignment="1" applyProtection="1">
      <alignment horizontal="right"/>
      <protection hidden="1"/>
    </xf>
    <xf numFmtId="2" fontId="21" fillId="0" borderId="352" xfId="0" applyNumberFormat="1" applyFont="1" applyBorder="1" applyAlignment="1" applyProtection="1">
      <alignment horizontal="left"/>
      <protection hidden="1"/>
    </xf>
    <xf numFmtId="2" fontId="8" fillId="0" borderId="329" xfId="0" applyNumberFormat="1" applyFont="1" applyBorder="1" applyAlignment="1" applyProtection="1">
      <alignment horizontal="center"/>
      <protection hidden="1"/>
    </xf>
    <xf numFmtId="2" fontId="8" fillId="0" borderId="330" xfId="0" applyNumberFormat="1" applyFont="1" applyBorder="1" applyAlignment="1" applyProtection="1">
      <alignment horizontal="center"/>
      <protection hidden="1"/>
    </xf>
    <xf numFmtId="2" fontId="8" fillId="0" borderId="337" xfId="0" applyNumberFormat="1" applyFont="1" applyBorder="1" applyAlignment="1" applyProtection="1">
      <alignment horizontal="center"/>
      <protection hidden="1"/>
    </xf>
    <xf numFmtId="2" fontId="8" fillId="0" borderId="337" xfId="0" applyNumberFormat="1" applyFont="1" applyBorder="1" applyAlignment="1" applyProtection="1">
      <alignment horizontal="right"/>
      <protection hidden="1"/>
    </xf>
    <xf numFmtId="2" fontId="8" fillId="0" borderId="330" xfId="0" applyNumberFormat="1" applyFont="1" applyBorder="1" applyAlignment="1" applyProtection="1">
      <alignment horizontal="right"/>
      <protection hidden="1"/>
    </xf>
    <xf numFmtId="2" fontId="21" fillId="0" borderId="54" xfId="0" applyNumberFormat="1" applyFont="1" applyBorder="1" applyAlignment="1" applyProtection="1">
      <alignment horizontal="left"/>
      <protection hidden="1"/>
    </xf>
    <xf numFmtId="2" fontId="21" fillId="0" borderId="242" xfId="0" applyNumberFormat="1" applyFont="1" applyBorder="1" applyAlignment="1" applyProtection="1">
      <alignment horizontal="center"/>
      <protection hidden="1"/>
    </xf>
    <xf numFmtId="2" fontId="21" fillId="0" borderId="54" xfId="0" applyNumberFormat="1" applyFont="1" applyBorder="1" applyAlignment="1" applyProtection="1">
      <alignment horizontal="right"/>
      <protection hidden="1"/>
    </xf>
    <xf numFmtId="2" fontId="21" fillId="0" borderId="242" xfId="0" applyNumberFormat="1" applyFont="1" applyBorder="1" applyAlignment="1" applyProtection="1">
      <alignment horizontal="right"/>
      <protection hidden="1"/>
    </xf>
    <xf numFmtId="2" fontId="21" fillId="0" borderId="327" xfId="0" applyNumberFormat="1" applyFont="1" applyBorder="1" applyAlignment="1" applyProtection="1">
      <alignment horizontal="right"/>
      <protection hidden="1"/>
    </xf>
    <xf numFmtId="2" fontId="8" fillId="0" borderId="0" xfId="0" applyNumberFormat="1" applyFont="1" applyAlignment="1" applyProtection="1">
      <alignment horizontal="right"/>
      <protection hidden="1"/>
    </xf>
    <xf numFmtId="2" fontId="21" fillId="0" borderId="0" xfId="0" applyNumberFormat="1" applyFont="1" applyAlignment="1" applyProtection="1">
      <alignment horizontal="center"/>
      <protection hidden="1"/>
    </xf>
    <xf numFmtId="2" fontId="21" fillId="0" borderId="193" xfId="0" applyNumberFormat="1" applyFont="1" applyBorder="1" applyAlignment="1" applyProtection="1">
      <alignment horizontal="center"/>
      <protection hidden="1"/>
    </xf>
    <xf numFmtId="2" fontId="8" fillId="0" borderId="54" xfId="0" applyNumberFormat="1" applyFont="1" applyBorder="1" applyAlignment="1" applyProtection="1">
      <alignment horizontal="right"/>
      <protection locked="0" hidden="1"/>
    </xf>
    <xf numFmtId="2" fontId="8" fillId="0" borderId="53" xfId="0" applyNumberFormat="1" applyFont="1" applyBorder="1" applyAlignment="1" applyProtection="1">
      <alignment horizontal="right"/>
      <protection locked="0" hidden="1"/>
    </xf>
    <xf numFmtId="2" fontId="8" fillId="0" borderId="337" xfId="0" applyNumberFormat="1" applyFont="1" applyBorder="1" applyAlignment="1" applyProtection="1">
      <alignment horizontal="right"/>
      <protection locked="0" hidden="1"/>
    </xf>
    <xf numFmtId="2" fontId="8" fillId="0" borderId="330" xfId="0" applyNumberFormat="1" applyFont="1" applyBorder="1" applyAlignment="1" applyProtection="1">
      <alignment horizontal="right"/>
      <protection locked="0" hidden="1"/>
    </xf>
    <xf numFmtId="2" fontId="21" fillId="0" borderId="54" xfId="0" applyNumberFormat="1" applyFont="1" applyBorder="1" applyAlignment="1" applyProtection="1">
      <alignment horizontal="right"/>
      <protection locked="0" hidden="1"/>
    </xf>
    <xf numFmtId="2" fontId="21" fillId="0" borderId="242" xfId="0" applyNumberFormat="1" applyFont="1" applyBorder="1" applyAlignment="1" applyProtection="1">
      <alignment horizontal="right"/>
      <protection locked="0" hidden="1"/>
    </xf>
    <xf numFmtId="2" fontId="21" fillId="0" borderId="0" xfId="0" applyNumberFormat="1" applyFont="1" applyAlignment="1" applyProtection="1">
      <alignment horizontal="left"/>
      <protection hidden="1"/>
    </xf>
    <xf numFmtId="2" fontId="21" fillId="0" borderId="0" xfId="0" applyNumberFormat="1" applyFont="1" applyAlignment="1" applyProtection="1">
      <alignment horizontal="center" vertical="distributed"/>
      <protection hidden="1"/>
    </xf>
    <xf numFmtId="2" fontId="160" fillId="0" borderId="0" xfId="0" applyNumberFormat="1" applyFont="1" applyAlignment="1" applyProtection="1">
      <alignment horizontal="center"/>
      <protection hidden="1"/>
    </xf>
    <xf numFmtId="2" fontId="163" fillId="0" borderId="0" xfId="0" applyNumberFormat="1" applyFont="1" applyAlignment="1" applyProtection="1">
      <alignment horizontal="center"/>
      <protection hidden="1"/>
    </xf>
    <xf numFmtId="2" fontId="163" fillId="0" borderId="0" xfId="0" applyNumberFormat="1" applyFont="1" applyProtection="1">
      <protection hidden="1"/>
    </xf>
    <xf numFmtId="2" fontId="21" fillId="0" borderId="0" xfId="0" applyNumberFormat="1" applyFont="1" applyAlignment="1" applyProtection="1">
      <alignment horizontal="right"/>
      <protection hidden="1"/>
    </xf>
    <xf numFmtId="2" fontId="21" fillId="28" borderId="0" xfId="0" applyNumberFormat="1" applyFont="1" applyFill="1" applyAlignment="1" applyProtection="1">
      <alignment horizontal="center"/>
      <protection hidden="1"/>
    </xf>
    <xf numFmtId="2" fontId="21" fillId="28" borderId="0" xfId="0" applyNumberFormat="1" applyFont="1" applyFill="1" applyProtection="1">
      <protection hidden="1"/>
    </xf>
    <xf numFmtId="2" fontId="21" fillId="0" borderId="0" xfId="0" applyNumberFormat="1" applyFont="1" applyProtection="1">
      <protection locked="0" hidden="1"/>
    </xf>
    <xf numFmtId="2" fontId="21" fillId="0" borderId="0" xfId="0" applyNumberFormat="1" applyFont="1" applyProtection="1">
      <protection locked="0"/>
    </xf>
    <xf numFmtId="2" fontId="276" fillId="0" borderId="0" xfId="0" quotePrefix="1" applyNumberFormat="1" applyFont="1" applyAlignment="1" applyProtection="1">
      <alignment horizontal="left"/>
      <protection hidden="1"/>
    </xf>
    <xf numFmtId="173" fontId="9" fillId="0" borderId="23" xfId="0" applyNumberFormat="1" applyFont="1" applyBorder="1" applyAlignment="1" applyProtection="1">
      <alignment horizontal="center" vertical="center"/>
      <protection locked="0" hidden="1"/>
    </xf>
    <xf numFmtId="10" fontId="9" fillId="0" borderId="491" xfId="1" applyNumberFormat="1" applyFont="1" applyFill="1" applyBorder="1" applyAlignment="1" applyProtection="1">
      <alignment horizontal="center" vertical="center"/>
      <protection locked="0"/>
    </xf>
    <xf numFmtId="9" fontId="9" fillId="2" borderId="491" xfId="1" applyFont="1" applyFill="1" applyBorder="1" applyAlignment="1" applyProtection="1">
      <alignment horizontal="center" vertical="center"/>
      <protection hidden="1"/>
    </xf>
    <xf numFmtId="0" fontId="122" fillId="0" borderId="142" xfId="0" applyFont="1" applyBorder="1" applyAlignment="1" applyProtection="1">
      <alignment horizontal="left" indent="1"/>
      <protection locked="0" hidden="1"/>
    </xf>
    <xf numFmtId="0" fontId="122" fillId="0" borderId="135" xfId="0" applyFont="1" applyBorder="1" applyAlignment="1" applyProtection="1">
      <alignment horizontal="left" indent="1"/>
      <protection locked="0" hidden="1"/>
    </xf>
    <xf numFmtId="0" fontId="122" fillId="0" borderId="137" xfId="0" applyFont="1" applyBorder="1" applyAlignment="1" applyProtection="1">
      <alignment horizontal="left" indent="1"/>
      <protection locked="0" hidden="1"/>
    </xf>
    <xf numFmtId="0" fontId="277" fillId="23" borderId="256" xfId="0" applyFont="1" applyFill="1" applyBorder="1" applyAlignment="1">
      <alignment horizontal="center" vertical="center"/>
    </xf>
    <xf numFmtId="0" fontId="278" fillId="23" borderId="257" xfId="0" applyFont="1" applyFill="1" applyBorder="1" applyAlignment="1">
      <alignment horizontal="center" vertical="center"/>
    </xf>
    <xf numFmtId="0" fontId="278" fillId="23" borderId="258" xfId="0" applyFont="1" applyFill="1" applyBorder="1" applyAlignment="1">
      <alignment horizontal="center" vertical="center"/>
    </xf>
    <xf numFmtId="0" fontId="0" fillId="0" borderId="54" xfId="0" applyBorder="1" applyAlignment="1">
      <alignment horizontal="center"/>
    </xf>
    <xf numFmtId="0" fontId="0" fillId="0" borderId="53" xfId="0" applyBorder="1" applyAlignment="1">
      <alignment horizontal="center"/>
    </xf>
    <xf numFmtId="210" fontId="55" fillId="4" borderId="0" xfId="0" applyNumberFormat="1" applyFont="1" applyFill="1" applyAlignment="1" applyProtection="1">
      <alignment vertical="center"/>
      <protection hidden="1"/>
    </xf>
    <xf numFmtId="209" fontId="30" fillId="26" borderId="179" xfId="0" applyNumberFormat="1" applyFont="1" applyFill="1" applyBorder="1" applyAlignment="1">
      <alignment horizontal="center" vertical="center"/>
    </xf>
    <xf numFmtId="209" fontId="0" fillId="5" borderId="179" xfId="0" applyNumberFormat="1" applyFill="1" applyBorder="1" applyAlignment="1">
      <alignment horizontal="center" vertical="center"/>
    </xf>
    <xf numFmtId="198" fontId="0" fillId="48" borderId="2" xfId="0" applyNumberFormat="1" applyFill="1" applyBorder="1" applyAlignment="1">
      <alignment horizontal="center" vertical="center"/>
    </xf>
    <xf numFmtId="209" fontId="0" fillId="26" borderId="176" xfId="0" applyNumberFormat="1" applyFill="1" applyBorder="1" applyAlignment="1">
      <alignment horizontal="center" vertical="center"/>
    </xf>
    <xf numFmtId="204" fontId="32" fillId="2" borderId="79" xfId="1" applyNumberFormat="1" applyFont="1" applyFill="1" applyBorder="1" applyAlignment="1">
      <alignment horizontal="right" vertical="center" indent="1"/>
    </xf>
    <xf numFmtId="204" fontId="32" fillId="2" borderId="81" xfId="1" applyNumberFormat="1" applyFont="1" applyFill="1" applyBorder="1" applyAlignment="1">
      <alignment horizontal="right" vertical="center" indent="1"/>
    </xf>
    <xf numFmtId="204" fontId="32" fillId="2" borderId="247" xfId="1" applyNumberFormat="1" applyFont="1" applyFill="1" applyBorder="1" applyAlignment="1">
      <alignment horizontal="right" vertical="center" indent="1"/>
    </xf>
    <xf numFmtId="0" fontId="28" fillId="17" borderId="494" xfId="0" applyFont="1" applyFill="1" applyBorder="1" applyAlignment="1">
      <alignment horizontal="center" vertical="center"/>
    </xf>
    <xf numFmtId="0" fontId="0" fillId="2" borderId="495" xfId="0" applyFill="1" applyBorder="1"/>
    <xf numFmtId="0" fontId="73" fillId="17" borderId="253" xfId="0" applyFont="1" applyFill="1" applyBorder="1" applyAlignment="1" applyProtection="1">
      <alignment vertical="center"/>
      <protection locked="0"/>
    </xf>
    <xf numFmtId="187" fontId="32" fillId="0" borderId="479" xfId="0" applyNumberFormat="1" applyFont="1" applyBorder="1" applyAlignment="1" applyProtection="1">
      <alignment horizontal="center" vertical="center"/>
      <protection locked="0"/>
    </xf>
    <xf numFmtId="0" fontId="159" fillId="2" borderId="496" xfId="0" applyFont="1" applyFill="1" applyBorder="1" applyAlignment="1">
      <alignment horizontal="left" vertical="center"/>
    </xf>
    <xf numFmtId="0" fontId="159" fillId="2" borderId="0" xfId="0" applyFont="1" applyFill="1"/>
    <xf numFmtId="0" fontId="159" fillId="2" borderId="497" xfId="0" applyFont="1" applyFill="1" applyBorder="1"/>
    <xf numFmtId="167" fontId="28" fillId="20" borderId="496" xfId="0" applyNumberFormat="1" applyFont="1" applyFill="1" applyBorder="1" applyAlignment="1" applyProtection="1">
      <alignment horizontal="center" vertical="center"/>
      <protection hidden="1"/>
    </xf>
    <xf numFmtId="167" fontId="28" fillId="20" borderId="0" xfId="0" applyNumberFormat="1" applyFont="1" applyFill="1" applyAlignment="1" applyProtection="1">
      <alignment horizontal="center" vertical="center"/>
      <protection hidden="1"/>
    </xf>
    <xf numFmtId="167" fontId="28" fillId="20" borderId="497" xfId="0" applyNumberFormat="1" applyFont="1" applyFill="1" applyBorder="1" applyAlignment="1" applyProtection="1">
      <alignment horizontal="center" vertical="center"/>
      <protection hidden="1"/>
    </xf>
    <xf numFmtId="173" fontId="20" fillId="15" borderId="496" xfId="0" applyNumberFormat="1" applyFont="1" applyFill="1" applyBorder="1" applyAlignment="1" applyProtection="1">
      <alignment horizontal="left"/>
      <protection hidden="1"/>
    </xf>
    <xf numFmtId="173" fontId="33" fillId="15" borderId="0" xfId="0" applyNumberFormat="1" applyFont="1" applyFill="1" applyAlignment="1" applyProtection="1">
      <alignment horizontal="right" indent="1"/>
      <protection hidden="1"/>
    </xf>
    <xf numFmtId="173" fontId="20" fillId="5" borderId="0" xfId="0" applyNumberFormat="1" applyFont="1" applyFill="1" applyAlignment="1" applyProtection="1">
      <alignment horizontal="center"/>
      <protection hidden="1"/>
    </xf>
    <xf numFmtId="3" fontId="20" fillId="45" borderId="0" xfId="0" applyNumberFormat="1" applyFont="1" applyFill="1" applyAlignment="1" applyProtection="1">
      <alignment horizontal="right" indent="1"/>
      <protection hidden="1"/>
    </xf>
    <xf numFmtId="204" fontId="32" fillId="2" borderId="499" xfId="1" applyNumberFormat="1" applyFont="1" applyFill="1" applyBorder="1" applyAlignment="1">
      <alignment horizontal="right" vertical="center" indent="1"/>
    </xf>
    <xf numFmtId="204" fontId="32" fillId="2" borderId="497" xfId="1" applyNumberFormat="1" applyFont="1" applyFill="1" applyBorder="1" applyAlignment="1">
      <alignment horizontal="right" vertical="center" indent="1"/>
    </xf>
    <xf numFmtId="204" fontId="32" fillId="2" borderId="500" xfId="1" applyNumberFormat="1" applyFont="1" applyFill="1" applyBorder="1" applyAlignment="1">
      <alignment horizontal="right" vertical="center" indent="1"/>
    </xf>
    <xf numFmtId="4" fontId="33" fillId="2" borderId="501" xfId="0" applyNumberFormat="1" applyFont="1" applyFill="1" applyBorder="1" applyProtection="1">
      <protection hidden="1"/>
    </xf>
    <xf numFmtId="173" fontId="33" fillId="2" borderId="50" xfId="0" applyNumberFormat="1" applyFont="1" applyFill="1" applyBorder="1" applyAlignment="1" applyProtection="1">
      <alignment horizontal="right" indent="1"/>
      <protection hidden="1"/>
    </xf>
    <xf numFmtId="173" fontId="33" fillId="2" borderId="50" xfId="0" applyNumberFormat="1" applyFont="1" applyFill="1" applyBorder="1" applyProtection="1">
      <protection hidden="1"/>
    </xf>
    <xf numFmtId="4" fontId="33" fillId="2" borderId="50" xfId="0" applyNumberFormat="1" applyFont="1" applyFill="1" applyBorder="1" applyAlignment="1" applyProtection="1">
      <alignment horizontal="center"/>
      <protection hidden="1"/>
    </xf>
    <xf numFmtId="0" fontId="0" fillId="2" borderId="252" xfId="0" applyFill="1" applyBorder="1"/>
    <xf numFmtId="204" fontId="4" fillId="2" borderId="502" xfId="0" applyNumberFormat="1" applyFont="1" applyFill="1" applyBorder="1"/>
    <xf numFmtId="204" fontId="4" fillId="2" borderId="503" xfId="0" applyNumberFormat="1" applyFont="1" applyFill="1" applyBorder="1"/>
    <xf numFmtId="0" fontId="279" fillId="5" borderId="0" xfId="0" applyFont="1" applyFill="1" applyAlignment="1">
      <alignment horizontal="center"/>
    </xf>
    <xf numFmtId="167" fontId="53" fillId="27" borderId="9" xfId="0" applyNumberFormat="1" applyFont="1" applyFill="1" applyBorder="1" applyAlignment="1" applyProtection="1">
      <alignment horizontal="center" vertical="center"/>
      <protection hidden="1"/>
    </xf>
    <xf numFmtId="164" fontId="224" fillId="27" borderId="196" xfId="3" applyFont="1" applyFill="1" applyBorder="1" applyAlignment="1" applyProtection="1">
      <alignment horizontal="center" vertical="center"/>
      <protection hidden="1"/>
    </xf>
    <xf numFmtId="167" fontId="53" fillId="27" borderId="12" xfId="0" applyNumberFormat="1" applyFont="1" applyFill="1" applyBorder="1" applyAlignment="1" applyProtection="1">
      <alignment horizontal="center" vertical="center"/>
      <protection hidden="1"/>
    </xf>
    <xf numFmtId="164" fontId="224" fillId="27" borderId="197" xfId="3" applyFont="1" applyFill="1" applyBorder="1" applyAlignment="1" applyProtection="1">
      <alignment horizontal="center" vertical="center"/>
      <protection hidden="1"/>
    </xf>
    <xf numFmtId="164" fontId="224" fillId="27" borderId="10" xfId="3" applyFont="1" applyFill="1" applyBorder="1" applyAlignment="1" applyProtection="1">
      <alignment horizontal="right" vertical="center" indent="1"/>
      <protection hidden="1"/>
    </xf>
    <xf numFmtId="164" fontId="224" fillId="27" borderId="13" xfId="3" applyFont="1" applyFill="1" applyBorder="1" applyAlignment="1" applyProtection="1">
      <alignment horizontal="right" vertical="center" indent="1"/>
      <protection hidden="1"/>
    </xf>
    <xf numFmtId="164" fontId="225" fillId="27" borderId="10" xfId="3" applyFont="1" applyFill="1" applyBorder="1" applyAlignment="1" applyProtection="1">
      <alignment horizontal="right" vertical="center" indent="1"/>
      <protection locked="0"/>
    </xf>
    <xf numFmtId="164" fontId="224" fillId="27" borderId="11" xfId="3" applyFont="1" applyFill="1" applyBorder="1" applyAlignment="1" applyProtection="1">
      <alignment horizontal="right" vertical="center" indent="1"/>
      <protection hidden="1"/>
    </xf>
    <xf numFmtId="0" fontId="184" fillId="0" borderId="0" xfId="5" applyFont="1"/>
    <xf numFmtId="0" fontId="25" fillId="0" borderId="0" xfId="0" applyFont="1"/>
    <xf numFmtId="0" fontId="24" fillId="5" borderId="0" xfId="0" applyFont="1" applyFill="1" applyAlignment="1">
      <alignment horizontal="center" vertical="center"/>
    </xf>
    <xf numFmtId="0" fontId="176" fillId="5" borderId="0" xfId="0" applyFont="1" applyFill="1"/>
    <xf numFmtId="0" fontId="280" fillId="5" borderId="0" xfId="0" applyFont="1" applyFill="1"/>
    <xf numFmtId="0" fontId="19" fillId="17" borderId="293" xfId="0" applyFont="1" applyFill="1" applyBorder="1" applyAlignment="1">
      <alignment horizontal="center"/>
    </xf>
    <xf numFmtId="0" fontId="151" fillId="11" borderId="470" xfId="0" applyFont="1" applyFill="1" applyBorder="1" applyAlignment="1" applyProtection="1">
      <alignment horizontal="center" vertical="center"/>
      <protection locked="0" hidden="1"/>
    </xf>
    <xf numFmtId="0" fontId="24" fillId="11" borderId="284" xfId="0" applyFont="1" applyFill="1" applyBorder="1" applyAlignment="1" applyProtection="1">
      <alignment horizontal="left" vertical="center" indent="1"/>
      <protection locked="0" hidden="1"/>
    </xf>
    <xf numFmtId="0" fontId="24" fillId="11" borderId="284" xfId="0" applyFont="1" applyFill="1" applyBorder="1" applyAlignment="1" applyProtection="1">
      <alignment horizontal="center" vertical="center"/>
      <protection locked="0" hidden="1"/>
    </xf>
    <xf numFmtId="0" fontId="24" fillId="11" borderId="472" xfId="0" applyFont="1" applyFill="1" applyBorder="1" applyAlignment="1" applyProtection="1">
      <alignment horizontal="center" vertical="center"/>
      <protection locked="0" hidden="1"/>
    </xf>
    <xf numFmtId="0" fontId="0" fillId="5" borderId="0" xfId="0" applyFill="1" applyProtection="1">
      <protection locked="0" hidden="1"/>
    </xf>
    <xf numFmtId="0" fontId="24" fillId="11" borderId="2" xfId="0" applyFont="1" applyFill="1" applyBorder="1" applyAlignment="1" applyProtection="1">
      <alignment horizontal="center" vertical="center"/>
      <protection locked="0" hidden="1"/>
    </xf>
    <xf numFmtId="0" fontId="279" fillId="5" borderId="0" xfId="0" applyFont="1" applyFill="1"/>
    <xf numFmtId="0" fontId="0" fillId="57" borderId="0" xfId="0" applyFill="1"/>
    <xf numFmtId="164" fontId="24" fillId="5" borderId="109" xfId="2" applyNumberFormat="1" applyFont="1" applyFill="1" applyBorder="1" applyAlignment="1" applyProtection="1">
      <alignment horizontal="left" vertical="center" indent="1"/>
      <protection hidden="1"/>
    </xf>
    <xf numFmtId="164" fontId="24" fillId="5" borderId="110" xfId="2" applyNumberFormat="1" applyFont="1" applyFill="1" applyBorder="1" applyAlignment="1" applyProtection="1">
      <alignment horizontal="left" vertical="center" indent="1"/>
      <protection hidden="1"/>
    </xf>
    <xf numFmtId="164" fontId="24" fillId="5" borderId="111" xfId="2" applyNumberFormat="1" applyFont="1" applyFill="1" applyBorder="1" applyAlignment="1" applyProtection="1">
      <alignment horizontal="left" vertical="center" indent="1"/>
      <protection hidden="1"/>
    </xf>
    <xf numFmtId="164" fontId="265" fillId="4" borderId="26" xfId="2" applyNumberFormat="1" applyFont="1" applyFill="1" applyBorder="1" applyAlignment="1" applyProtection="1">
      <alignment horizontal="left" vertical="center" indent="1"/>
      <protection hidden="1"/>
    </xf>
    <xf numFmtId="0" fontId="281" fillId="20" borderId="71" xfId="0" applyFont="1" applyFill="1" applyBorder="1" applyAlignment="1" applyProtection="1">
      <alignment horizontal="left" indent="1"/>
      <protection hidden="1"/>
    </xf>
    <xf numFmtId="0" fontId="128" fillId="6" borderId="0" xfId="0" applyFont="1" applyFill="1" applyAlignment="1" applyProtection="1">
      <alignment horizontal="left" indent="1"/>
      <protection hidden="1"/>
    </xf>
    <xf numFmtId="0" fontId="37" fillId="6" borderId="0" xfId="0" applyFont="1" applyFill="1" applyProtection="1">
      <protection hidden="1"/>
    </xf>
    <xf numFmtId="2" fontId="24" fillId="7" borderId="244" xfId="0" applyNumberFormat="1" applyFont="1" applyFill="1" applyBorder="1" applyAlignment="1" applyProtection="1">
      <alignment horizontal="center" vertical="center"/>
      <protection hidden="1"/>
    </xf>
    <xf numFmtId="0" fontId="128" fillId="3" borderId="23" xfId="0" applyFont="1" applyFill="1" applyBorder="1" applyAlignment="1" applyProtection="1">
      <alignment horizontal="center" vertical="center"/>
      <protection hidden="1"/>
    </xf>
    <xf numFmtId="0" fontId="244" fillId="2" borderId="2" xfId="0" applyFont="1" applyFill="1" applyBorder="1" applyAlignment="1" applyProtection="1">
      <alignment horizontal="left" vertical="center" indent="1"/>
      <protection hidden="1"/>
    </xf>
    <xf numFmtId="0" fontId="244" fillId="7" borderId="245" xfId="0" applyFont="1" applyFill="1" applyBorder="1" applyAlignment="1" applyProtection="1">
      <alignment horizontal="centerContinuous"/>
      <protection hidden="1"/>
    </xf>
    <xf numFmtId="0" fontId="24" fillId="6" borderId="0" xfId="0" applyFont="1" applyFill="1" applyProtection="1">
      <protection hidden="1"/>
    </xf>
    <xf numFmtId="0" fontId="24" fillId="6" borderId="160" xfId="0" applyFont="1" applyFill="1" applyBorder="1" applyProtection="1">
      <protection hidden="1"/>
    </xf>
    <xf numFmtId="0" fontId="24" fillId="6" borderId="162" xfId="0" applyFont="1" applyFill="1" applyBorder="1" applyProtection="1">
      <protection hidden="1"/>
    </xf>
    <xf numFmtId="0" fontId="24" fillId="6" borderId="169" xfId="0" applyFont="1" applyFill="1" applyBorder="1" applyProtection="1">
      <protection hidden="1"/>
    </xf>
    <xf numFmtId="0" fontId="117" fillId="20" borderId="0" xfId="0" applyFont="1" applyFill="1" applyAlignment="1" applyProtection="1">
      <alignment horizontal="centerContinuous" vertical="center"/>
      <protection hidden="1"/>
    </xf>
    <xf numFmtId="0" fontId="24" fillId="26" borderId="0" xfId="0" applyFont="1" applyFill="1" applyAlignment="1" applyProtection="1">
      <alignment horizontal="center" vertical="center"/>
      <protection hidden="1"/>
    </xf>
    <xf numFmtId="0" fontId="244" fillId="4" borderId="234" xfId="0" applyFont="1" applyFill="1" applyBorder="1" applyAlignment="1" applyProtection="1">
      <alignment horizontal="center" vertical="center" wrapText="1"/>
      <protection hidden="1"/>
    </xf>
    <xf numFmtId="169" fontId="181" fillId="8" borderId="228" xfId="0" applyNumberFormat="1" applyFont="1" applyFill="1" applyBorder="1" applyAlignment="1" applyProtection="1">
      <alignment horizontal="left"/>
      <protection hidden="1"/>
    </xf>
    <xf numFmtId="169" fontId="181" fillId="8" borderId="58" xfId="0" applyNumberFormat="1" applyFont="1" applyFill="1" applyBorder="1" applyAlignment="1" applyProtection="1">
      <alignment horizontal="left"/>
      <protection hidden="1"/>
    </xf>
    <xf numFmtId="169" fontId="282" fillId="3" borderId="1" xfId="0" applyNumberFormat="1" applyFont="1" applyFill="1" applyBorder="1" applyAlignment="1" applyProtection="1">
      <alignment horizontal="right" indent="1"/>
      <protection hidden="1"/>
    </xf>
    <xf numFmtId="0" fontId="244" fillId="4" borderId="230" xfId="0" applyFont="1" applyFill="1" applyBorder="1" applyAlignment="1" applyProtection="1">
      <alignment horizontal="center" vertical="center" wrapText="1"/>
      <protection hidden="1"/>
    </xf>
    <xf numFmtId="0" fontId="244" fillId="4" borderId="231" xfId="0" applyFont="1" applyFill="1" applyBorder="1" applyAlignment="1" applyProtection="1">
      <alignment horizontal="center" vertical="center" wrapText="1"/>
      <protection hidden="1"/>
    </xf>
    <xf numFmtId="0" fontId="244" fillId="4" borderId="232" xfId="0" applyFont="1" applyFill="1" applyBorder="1" applyAlignment="1" applyProtection="1">
      <alignment horizontal="center" vertical="center" wrapText="1"/>
      <protection hidden="1"/>
    </xf>
    <xf numFmtId="0" fontId="244" fillId="4" borderId="233" xfId="0" applyFont="1" applyFill="1" applyBorder="1" applyAlignment="1" applyProtection="1">
      <alignment horizontal="center" vertical="center" wrapText="1"/>
      <protection hidden="1"/>
    </xf>
    <xf numFmtId="0" fontId="283" fillId="5" borderId="0" xfId="0" applyFont="1" applyFill="1"/>
    <xf numFmtId="0" fontId="279" fillId="5" borderId="0" xfId="0" applyFont="1" applyFill="1" applyAlignment="1">
      <alignment horizontal="center" vertical="center"/>
    </xf>
    <xf numFmtId="0" fontId="279" fillId="5" borderId="0" xfId="0" applyFont="1" applyFill="1" applyProtection="1">
      <protection hidden="1"/>
    </xf>
    <xf numFmtId="0" fontId="279" fillId="5" borderId="0" xfId="0" applyFont="1" applyFill="1" applyAlignment="1" applyProtection="1">
      <alignment horizontal="center" vertical="center"/>
      <protection hidden="1"/>
    </xf>
    <xf numFmtId="0" fontId="24" fillId="27" borderId="2" xfId="0" applyFont="1" applyFill="1" applyBorder="1" applyAlignment="1" applyProtection="1">
      <alignment horizontal="center" vertical="center"/>
      <protection locked="0" hidden="1"/>
    </xf>
    <xf numFmtId="14" fontId="24" fillId="27" borderId="2" xfId="0" applyNumberFormat="1" applyFont="1" applyFill="1" applyBorder="1" applyAlignment="1" applyProtection="1">
      <alignment horizontal="center" vertical="center"/>
      <protection locked="0" hidden="1"/>
    </xf>
    <xf numFmtId="0" fontId="97" fillId="38" borderId="0" xfId="0" applyFont="1" applyFill="1" applyAlignment="1" applyProtection="1">
      <alignment horizontal="center" vertical="center"/>
      <protection hidden="1"/>
    </xf>
    <xf numFmtId="0" fontId="97" fillId="4" borderId="0" xfId="0" applyFont="1" applyFill="1" applyProtection="1">
      <protection hidden="1"/>
    </xf>
    <xf numFmtId="0" fontId="82" fillId="30" borderId="0" xfId="0" applyFont="1" applyFill="1" applyAlignment="1" applyProtection="1">
      <alignment horizontal="center" vertical="center" wrapText="1"/>
      <protection hidden="1"/>
    </xf>
    <xf numFmtId="0" fontId="84" fillId="31" borderId="187" xfId="0" applyFont="1" applyFill="1" applyBorder="1" applyAlignment="1" applyProtection="1">
      <alignment horizontal="center" vertical="center"/>
      <protection hidden="1"/>
    </xf>
    <xf numFmtId="0" fontId="85" fillId="32" borderId="183" xfId="0" applyFont="1" applyFill="1" applyBorder="1" applyAlignment="1" applyProtection="1">
      <alignment vertical="center"/>
      <protection hidden="1"/>
    </xf>
    <xf numFmtId="0" fontId="90" fillId="30" borderId="0" xfId="0" applyFont="1" applyFill="1" applyAlignment="1" applyProtection="1">
      <alignment horizontal="left" vertical="center"/>
      <protection hidden="1"/>
    </xf>
    <xf numFmtId="0" fontId="65" fillId="11" borderId="0" xfId="0" applyFont="1" applyFill="1" applyAlignment="1" applyProtection="1">
      <alignment vertical="center"/>
      <protection hidden="1"/>
    </xf>
    <xf numFmtId="0" fontId="93" fillId="30" borderId="174" xfId="0" applyFont="1" applyFill="1" applyBorder="1" applyAlignment="1" applyProtection="1">
      <alignment horizontal="left" vertical="center"/>
      <protection hidden="1"/>
    </xf>
    <xf numFmtId="0" fontId="93" fillId="11" borderId="176" xfId="0" applyFont="1" applyFill="1" applyBorder="1" applyAlignment="1" applyProtection="1">
      <alignment vertical="center"/>
      <protection hidden="1"/>
    </xf>
    <xf numFmtId="0" fontId="95" fillId="11" borderId="0" xfId="0" applyFont="1" applyFill="1" applyAlignment="1" applyProtection="1">
      <alignment vertical="center"/>
      <protection hidden="1"/>
    </xf>
    <xf numFmtId="0" fontId="87" fillId="30" borderId="54" xfId="0" applyFont="1" applyFill="1" applyBorder="1" applyAlignment="1" applyProtection="1">
      <alignment horizontal="left" vertical="center" wrapText="1"/>
      <protection hidden="1"/>
    </xf>
    <xf numFmtId="0" fontId="87" fillId="30" borderId="53" xfId="0" applyFont="1" applyFill="1" applyBorder="1" applyAlignment="1" applyProtection="1">
      <alignment horizontal="left" vertical="center" wrapText="1"/>
      <protection hidden="1"/>
    </xf>
    <xf numFmtId="0" fontId="97" fillId="30" borderId="0" xfId="0" applyFont="1" applyFill="1" applyAlignment="1" applyProtection="1">
      <alignment horizontal="center" vertical="center"/>
      <protection hidden="1"/>
    </xf>
    <xf numFmtId="0" fontId="97" fillId="11" borderId="0" xfId="0" applyFont="1" applyFill="1" applyProtection="1">
      <protection hidden="1"/>
    </xf>
    <xf numFmtId="0" fontId="97" fillId="39" borderId="0" xfId="0" applyFont="1" applyFill="1" applyAlignment="1" applyProtection="1">
      <alignment horizontal="center" vertical="center"/>
      <protection hidden="1"/>
    </xf>
    <xf numFmtId="0" fontId="97" fillId="28" borderId="0" xfId="0" applyFont="1" applyFill="1" applyProtection="1">
      <protection hidden="1"/>
    </xf>
    <xf numFmtId="0" fontId="97" fillId="40" borderId="0" xfId="0" applyFont="1" applyFill="1" applyAlignment="1" applyProtection="1">
      <alignment horizontal="center" vertical="center"/>
      <protection hidden="1"/>
    </xf>
    <xf numFmtId="0" fontId="97" fillId="5" borderId="0" xfId="0" applyFont="1" applyFill="1" applyProtection="1">
      <protection hidden="1"/>
    </xf>
    <xf numFmtId="0" fontId="213" fillId="5" borderId="379" xfId="0" applyFont="1" applyFill="1" applyBorder="1" applyAlignment="1" applyProtection="1">
      <alignment horizontal="center" vertical="center"/>
      <protection hidden="1"/>
    </xf>
    <xf numFmtId="0" fontId="213" fillId="5" borderId="374" xfId="0" applyFont="1" applyFill="1" applyBorder="1" applyAlignment="1" applyProtection="1">
      <alignment horizontal="center" vertical="center"/>
      <protection hidden="1"/>
    </xf>
    <xf numFmtId="0" fontId="213" fillId="5" borderId="378" xfId="0" applyFont="1" applyFill="1" applyBorder="1" applyAlignment="1" applyProtection="1">
      <alignment horizontal="center" vertical="center"/>
      <protection hidden="1"/>
    </xf>
    <xf numFmtId="0" fontId="30" fillId="2" borderId="25" xfId="0" applyFont="1" applyFill="1" applyBorder="1" applyAlignment="1" applyProtection="1">
      <alignment horizontal="center" vertical="center" wrapText="1"/>
      <protection hidden="1"/>
    </xf>
    <xf numFmtId="0" fontId="30" fillId="2" borderId="54" xfId="0" applyFont="1" applyFill="1" applyBorder="1" applyAlignment="1" applyProtection="1">
      <alignment horizontal="center" vertical="center" wrapText="1"/>
      <protection hidden="1"/>
    </xf>
    <xf numFmtId="0" fontId="30" fillId="2" borderId="69" xfId="0" applyFont="1" applyFill="1" applyBorder="1" applyAlignment="1" applyProtection="1">
      <alignment horizontal="center" vertical="center" wrapText="1"/>
      <protection hidden="1"/>
    </xf>
    <xf numFmtId="0" fontId="30" fillId="2" borderId="120" xfId="0" applyFont="1" applyFill="1" applyBorder="1" applyAlignment="1" applyProtection="1">
      <alignment horizontal="center" vertical="center" wrapText="1"/>
      <protection hidden="1"/>
    </xf>
    <xf numFmtId="0" fontId="30" fillId="2" borderId="238" xfId="0" applyFont="1" applyFill="1" applyBorder="1" applyAlignment="1" applyProtection="1">
      <alignment horizontal="center" vertical="center" wrapText="1"/>
      <protection hidden="1"/>
    </xf>
    <xf numFmtId="0" fontId="30" fillId="2" borderId="391" xfId="0" applyFont="1" applyFill="1" applyBorder="1" applyAlignment="1" applyProtection="1">
      <alignment horizontal="center" vertical="center" wrapText="1"/>
      <protection hidden="1"/>
    </xf>
    <xf numFmtId="0" fontId="213" fillId="50" borderId="373" xfId="0" applyFont="1" applyFill="1" applyBorder="1" applyAlignment="1" applyProtection="1">
      <alignment horizontal="center" vertical="center" wrapText="1"/>
      <protection hidden="1"/>
    </xf>
    <xf numFmtId="0" fontId="213" fillId="49" borderId="374" xfId="0" applyFont="1" applyFill="1" applyBorder="1" applyAlignment="1" applyProtection="1">
      <alignment horizontal="center" vertical="center" wrapText="1"/>
      <protection hidden="1"/>
    </xf>
    <xf numFmtId="0" fontId="213" fillId="50" borderId="374" xfId="0" applyFont="1" applyFill="1" applyBorder="1" applyAlignment="1" applyProtection="1">
      <alignment horizontal="center" vertical="center" wrapText="1"/>
      <protection hidden="1"/>
    </xf>
    <xf numFmtId="0" fontId="213" fillId="50" borderId="375" xfId="0" applyFont="1" applyFill="1" applyBorder="1" applyAlignment="1" applyProtection="1">
      <alignment horizontal="center" vertical="center" wrapText="1"/>
      <protection hidden="1"/>
    </xf>
    <xf numFmtId="0" fontId="213" fillId="50" borderId="377" xfId="0" applyFont="1" applyFill="1" applyBorder="1" applyAlignment="1" applyProtection="1">
      <alignment horizontal="center" vertical="center" wrapText="1"/>
      <protection hidden="1"/>
    </xf>
    <xf numFmtId="0" fontId="213" fillId="5" borderId="373" xfId="0" applyFont="1" applyFill="1" applyBorder="1" applyAlignment="1" applyProtection="1">
      <alignment horizontal="center" vertical="center"/>
      <protection hidden="1"/>
    </xf>
    <xf numFmtId="0" fontId="114" fillId="44" borderId="0" xfId="0" applyFont="1" applyFill="1" applyAlignment="1">
      <alignment horizontal="left" vertical="center" wrapText="1" indent="1"/>
    </xf>
    <xf numFmtId="0" fontId="145" fillId="0" borderId="0" xfId="0" applyFont="1" applyAlignment="1" applyProtection="1">
      <alignment horizontal="center"/>
      <protection hidden="1"/>
    </xf>
    <xf numFmtId="0" fontId="75" fillId="0" borderId="0" xfId="0" applyFont="1" applyAlignment="1" applyProtection="1">
      <alignment horizontal="center"/>
      <protection hidden="1"/>
    </xf>
    <xf numFmtId="0" fontId="148" fillId="54" borderId="0" xfId="0" applyFont="1" applyFill="1" applyAlignment="1" applyProtection="1">
      <alignment horizontal="center" vertical="center"/>
      <protection hidden="1"/>
    </xf>
    <xf numFmtId="0" fontId="149" fillId="20" borderId="0" xfId="0" applyFont="1" applyFill="1" applyAlignment="1" applyProtection="1">
      <alignment vertical="center"/>
      <protection hidden="1"/>
    </xf>
    <xf numFmtId="0" fontId="150" fillId="51" borderId="0" xfId="0" applyFont="1" applyFill="1" applyAlignment="1" applyProtection="1">
      <alignment horizontal="center" vertical="center"/>
      <protection hidden="1"/>
    </xf>
    <xf numFmtId="188" fontId="4" fillId="0" borderId="0" xfId="0" applyNumberFormat="1" applyFont="1" applyAlignment="1" applyProtection="1">
      <alignment horizontal="right" vertical="center"/>
      <protection hidden="1"/>
    </xf>
    <xf numFmtId="0" fontId="144" fillId="0" borderId="0" xfId="0" applyFont="1" applyAlignment="1" applyProtection="1">
      <alignment horizontal="center"/>
      <protection hidden="1"/>
    </xf>
    <xf numFmtId="0" fontId="55" fillId="0" borderId="0" xfId="0" applyFont="1" applyAlignment="1" applyProtection="1">
      <alignment horizontal="center" vertical="center"/>
      <protection hidden="1"/>
    </xf>
    <xf numFmtId="0" fontId="114" fillId="42" borderId="0" xfId="0" applyFont="1" applyFill="1" applyAlignment="1">
      <alignment horizontal="left" vertical="center" wrapText="1" indent="1"/>
    </xf>
    <xf numFmtId="0" fontId="148" fillId="43" borderId="0" xfId="0" applyFont="1" applyFill="1" applyAlignment="1" applyProtection="1">
      <alignment horizontal="center" vertical="center"/>
      <protection hidden="1"/>
    </xf>
    <xf numFmtId="0" fontId="149" fillId="3" borderId="0" xfId="0" applyFont="1" applyFill="1" applyAlignment="1" applyProtection="1">
      <alignment vertical="center"/>
      <protection hidden="1"/>
    </xf>
    <xf numFmtId="0" fontId="180" fillId="52" borderId="0" xfId="0" applyFont="1" applyFill="1" applyAlignment="1" applyProtection="1">
      <alignment horizontal="center" vertical="center"/>
      <protection hidden="1"/>
    </xf>
    <xf numFmtId="2" fontId="161" fillId="0" borderId="191" xfId="0" applyNumberFormat="1" applyFont="1" applyBorder="1" applyAlignment="1" applyProtection="1">
      <alignment horizontal="center" vertical="center"/>
      <protection hidden="1"/>
    </xf>
    <xf numFmtId="2" fontId="161" fillId="0" borderId="192" xfId="0" applyNumberFormat="1" applyFont="1" applyBorder="1" applyAlignment="1" applyProtection="1">
      <alignment horizontal="center" vertical="center"/>
      <protection hidden="1"/>
    </xf>
    <xf numFmtId="2" fontId="161" fillId="0" borderId="301" xfId="0" applyNumberFormat="1" applyFont="1" applyBorder="1" applyAlignment="1" applyProtection="1">
      <alignment horizontal="center" vertical="center"/>
      <protection hidden="1"/>
    </xf>
    <xf numFmtId="2" fontId="167" fillId="0" borderId="191" xfId="0" applyNumberFormat="1" applyFont="1" applyBorder="1" applyAlignment="1" applyProtection="1">
      <alignment horizontal="center" vertical="center"/>
      <protection locked="0" hidden="1"/>
    </xf>
    <xf numFmtId="2" fontId="167" fillId="0" borderId="192" xfId="0" applyNumberFormat="1" applyFont="1" applyBorder="1" applyAlignment="1" applyProtection="1">
      <alignment horizontal="center" vertical="center"/>
      <protection locked="0" hidden="1"/>
    </xf>
    <xf numFmtId="2" fontId="161" fillId="0" borderId="303" xfId="0" applyNumberFormat="1" applyFont="1" applyBorder="1" applyAlignment="1" applyProtection="1">
      <alignment horizontal="center" vertical="center"/>
      <protection hidden="1"/>
    </xf>
    <xf numFmtId="2" fontId="36" fillId="0" borderId="25" xfId="0" applyNumberFormat="1" applyFont="1" applyBorder="1" applyAlignment="1" applyProtection="1">
      <alignment horizontal="center" vertical="distributed" wrapText="1"/>
      <protection locked="0" hidden="1"/>
    </xf>
    <xf numFmtId="2" fontId="36" fillId="0" borderId="26" xfId="0" applyNumberFormat="1" applyFont="1" applyBorder="1" applyAlignment="1" applyProtection="1">
      <alignment horizontal="center" vertical="distributed" wrapText="1"/>
      <protection locked="0" hidden="1"/>
    </xf>
    <xf numFmtId="2" fontId="168" fillId="0" borderId="69" xfId="0" applyNumberFormat="1" applyFont="1" applyBorder="1" applyAlignment="1" applyProtection="1">
      <alignment horizontal="center" vertical="center"/>
      <protection locked="0" hidden="1"/>
    </xf>
    <xf numFmtId="2" fontId="168" fillId="0" borderId="71" xfId="0" applyNumberFormat="1" applyFont="1" applyBorder="1" applyAlignment="1" applyProtection="1">
      <alignment horizontal="center" vertical="center"/>
      <protection locked="0" hidden="1"/>
    </xf>
    <xf numFmtId="2" fontId="160" fillId="0" borderId="72" xfId="0" applyNumberFormat="1" applyFont="1" applyBorder="1" applyAlignment="1" applyProtection="1">
      <alignment horizontal="center" vertical="center"/>
      <protection hidden="1"/>
    </xf>
    <xf numFmtId="2" fontId="160" fillId="0" borderId="307" xfId="0" applyNumberFormat="1" applyFont="1" applyBorder="1" applyAlignment="1" applyProtection="1">
      <alignment horizontal="center" vertical="center"/>
      <protection hidden="1"/>
    </xf>
    <xf numFmtId="2" fontId="168" fillId="0" borderId="25" xfId="0" applyNumberFormat="1" applyFont="1" applyBorder="1" applyAlignment="1" applyProtection="1">
      <alignment horizontal="center" vertical="center"/>
      <protection hidden="1"/>
    </xf>
    <xf numFmtId="2" fontId="168" fillId="0" borderId="26" xfId="0" applyNumberFormat="1" applyFont="1" applyBorder="1" applyAlignment="1" applyProtection="1">
      <alignment horizontal="center" vertical="center"/>
      <protection hidden="1"/>
    </xf>
    <xf numFmtId="2" fontId="163" fillId="0" borderId="25" xfId="0" applyNumberFormat="1" applyFont="1" applyBorder="1" applyAlignment="1" applyProtection="1">
      <alignment horizontal="center" vertical="center"/>
      <protection hidden="1"/>
    </xf>
    <xf numFmtId="2" fontId="163" fillId="0" borderId="26" xfId="0" applyNumberFormat="1" applyFont="1" applyBorder="1" applyAlignment="1" applyProtection="1">
      <alignment horizontal="center" vertical="center"/>
      <protection hidden="1"/>
    </xf>
    <xf numFmtId="2" fontId="21" fillId="0" borderId="63" xfId="0" applyNumberFormat="1" applyFont="1" applyBorder="1" applyAlignment="1" applyProtection="1">
      <alignment horizontal="center" vertical="center"/>
      <protection locked="0" hidden="1"/>
    </xf>
    <xf numFmtId="2" fontId="21" fillId="0" borderId="214" xfId="0" applyNumberFormat="1" applyFont="1" applyBorder="1" applyAlignment="1" applyProtection="1">
      <alignment horizontal="center" vertical="center"/>
      <protection locked="0" hidden="1"/>
    </xf>
    <xf numFmtId="2" fontId="163" fillId="0" borderId="311" xfId="0" applyNumberFormat="1" applyFont="1" applyBorder="1" applyAlignment="1" applyProtection="1">
      <alignment horizontal="center" vertical="center"/>
      <protection hidden="1"/>
    </xf>
    <xf numFmtId="2" fontId="8" fillId="0" borderId="312" xfId="0" applyNumberFormat="1" applyFont="1" applyBorder="1" applyAlignment="1" applyProtection="1">
      <alignment horizontal="right" vertical="center" wrapText="1"/>
      <protection hidden="1"/>
    </xf>
    <xf numFmtId="2" fontId="8" fillId="0" borderId="315" xfId="0" applyNumberFormat="1" applyFont="1" applyBorder="1" applyAlignment="1" applyProtection="1">
      <alignment horizontal="right" vertical="center" wrapText="1"/>
      <protection hidden="1"/>
    </xf>
    <xf numFmtId="2" fontId="160" fillId="0" borderId="305" xfId="0" applyNumberFormat="1" applyFont="1" applyBorder="1" applyAlignment="1" applyProtection="1">
      <alignment horizontal="center" vertical="center"/>
      <protection hidden="1"/>
    </xf>
    <xf numFmtId="2" fontId="160" fillId="0" borderId="309" xfId="0" applyNumberFormat="1" applyFont="1" applyBorder="1" applyAlignment="1" applyProtection="1">
      <alignment horizontal="center" vertical="center"/>
      <protection hidden="1"/>
    </xf>
    <xf numFmtId="2" fontId="36" fillId="0" borderId="72" xfId="0" applyNumberFormat="1" applyFont="1" applyBorder="1" applyAlignment="1" applyProtection="1">
      <alignment horizontal="center" vertical="distributed"/>
      <protection hidden="1"/>
    </xf>
    <xf numFmtId="2" fontId="36" fillId="0" borderId="73" xfId="0" applyNumberFormat="1" applyFont="1" applyBorder="1" applyAlignment="1" applyProtection="1">
      <alignment horizontal="center" vertical="distributed"/>
      <protection hidden="1"/>
    </xf>
    <xf numFmtId="2" fontId="21" fillId="0" borderId="313" xfId="0" applyNumberFormat="1" applyFont="1" applyBorder="1" applyAlignment="1" applyProtection="1">
      <alignment horizontal="center" vertical="center"/>
      <protection locked="0" hidden="1"/>
    </xf>
    <xf numFmtId="2" fontId="164" fillId="0" borderId="0" xfId="4" applyNumberFormat="1" applyFont="1" applyFill="1" applyAlignment="1" applyProtection="1">
      <alignment horizontal="center"/>
      <protection hidden="1"/>
    </xf>
    <xf numFmtId="2" fontId="164" fillId="0" borderId="0" xfId="4" applyNumberFormat="1" applyFont="1" applyFill="1" applyAlignment="1" applyProtection="1">
      <alignment horizontal="left"/>
      <protection hidden="1"/>
    </xf>
    <xf numFmtId="2" fontId="21" fillId="0" borderId="25" xfId="0" applyNumberFormat="1" applyFont="1" applyBorder="1" applyAlignment="1" applyProtection="1">
      <alignment horizontal="center" vertical="distributed"/>
      <protection hidden="1"/>
    </xf>
    <xf numFmtId="2" fontId="21" fillId="0" borderId="26" xfId="0" applyNumberFormat="1" applyFont="1" applyBorder="1" applyAlignment="1" applyProtection="1">
      <alignment horizontal="center" vertical="distributed"/>
      <protection hidden="1"/>
    </xf>
    <xf numFmtId="2" fontId="21" fillId="0" borderId="69" xfId="0" applyNumberFormat="1" applyFont="1" applyBorder="1" applyAlignment="1" applyProtection="1">
      <alignment horizontal="center" vertical="distributed"/>
      <protection hidden="1"/>
    </xf>
    <xf numFmtId="2" fontId="21" fillId="0" borderId="71" xfId="0" applyNumberFormat="1" applyFont="1" applyBorder="1" applyAlignment="1" applyProtection="1">
      <alignment horizontal="center" vertical="distributed"/>
      <protection hidden="1"/>
    </xf>
    <xf numFmtId="2" fontId="21" fillId="0" borderId="238" xfId="0" applyNumberFormat="1" applyFont="1" applyBorder="1" applyAlignment="1" applyProtection="1">
      <alignment horizontal="left" vertical="distributed"/>
      <protection hidden="1"/>
    </xf>
    <xf numFmtId="2" fontId="25" fillId="0" borderId="25" xfId="0" applyNumberFormat="1" applyFont="1" applyBorder="1" applyAlignment="1" applyProtection="1">
      <alignment horizontal="center" vertical="distributed"/>
      <protection hidden="1"/>
    </xf>
    <xf numFmtId="2" fontId="25" fillId="0" borderId="26" xfId="0" applyNumberFormat="1" applyFont="1" applyBorder="1" applyAlignment="1" applyProtection="1">
      <alignment horizontal="center" vertical="distributed"/>
      <protection hidden="1"/>
    </xf>
    <xf numFmtId="2" fontId="25" fillId="0" borderId="69" xfId="0" applyNumberFormat="1" applyFont="1" applyBorder="1" applyAlignment="1" applyProtection="1">
      <alignment horizontal="center" vertical="distributed"/>
      <protection hidden="1"/>
    </xf>
    <xf numFmtId="2" fontId="25" fillId="0" borderId="71" xfId="0" applyNumberFormat="1" applyFont="1" applyBorder="1" applyAlignment="1" applyProtection="1">
      <alignment horizontal="center" vertical="distributed"/>
      <protection hidden="1"/>
    </xf>
    <xf numFmtId="2" fontId="21" fillId="0" borderId="25" xfId="0" applyNumberFormat="1" applyFont="1" applyBorder="1" applyAlignment="1" applyProtection="1">
      <alignment horizontal="center" vertical="center"/>
      <protection hidden="1"/>
    </xf>
    <xf numFmtId="2" fontId="21" fillId="0" borderId="26" xfId="0" applyNumberFormat="1" applyFont="1" applyBorder="1" applyAlignment="1" applyProtection="1">
      <alignment horizontal="center" vertical="center"/>
      <protection hidden="1"/>
    </xf>
    <xf numFmtId="2" fontId="21" fillId="0" borderId="63" xfId="0" applyNumberFormat="1" applyFont="1" applyBorder="1" applyAlignment="1" applyProtection="1">
      <alignment horizontal="center" vertical="center"/>
      <protection hidden="1"/>
    </xf>
    <xf numFmtId="2" fontId="21" fillId="0" borderId="214" xfId="0" applyNumberFormat="1" applyFont="1" applyBorder="1" applyAlignment="1" applyProtection="1">
      <alignment horizontal="center" vertical="center"/>
      <protection hidden="1"/>
    </xf>
    <xf numFmtId="2" fontId="36" fillId="0" borderId="72" xfId="0" applyNumberFormat="1" applyFont="1" applyBorder="1" applyAlignment="1" applyProtection="1">
      <alignment horizontal="center" vertical="distributed"/>
      <protection locked="0" hidden="1"/>
    </xf>
    <xf numFmtId="2" fontId="36" fillId="0" borderId="73" xfId="0" applyNumberFormat="1" applyFont="1" applyBorder="1" applyAlignment="1" applyProtection="1">
      <alignment horizontal="center" vertical="distributed"/>
      <protection locked="0" hidden="1"/>
    </xf>
    <xf numFmtId="2" fontId="21" fillId="0" borderId="25" xfId="0" applyNumberFormat="1" applyFont="1" applyBorder="1" applyAlignment="1" applyProtection="1">
      <alignment horizontal="center" vertical="distributed"/>
      <protection locked="0" hidden="1"/>
    </xf>
    <xf numFmtId="2" fontId="21" fillId="0" borderId="26" xfId="0" applyNumberFormat="1" applyFont="1" applyBorder="1" applyAlignment="1" applyProtection="1">
      <alignment horizontal="center" vertical="distributed"/>
      <protection locked="0" hidden="1"/>
    </xf>
    <xf numFmtId="2" fontId="21" fillId="0" borderId="69" xfId="0" applyNumberFormat="1" applyFont="1" applyBorder="1" applyAlignment="1" applyProtection="1">
      <alignment horizontal="center" vertical="distributed"/>
      <protection locked="0" hidden="1"/>
    </xf>
    <xf numFmtId="2" fontId="21" fillId="0" borderId="71" xfId="0" applyNumberFormat="1" applyFont="1" applyBorder="1" applyAlignment="1" applyProtection="1">
      <alignment horizontal="center" vertical="distributed"/>
      <protection locked="0" hidden="1"/>
    </xf>
    <xf numFmtId="0" fontId="253" fillId="23" borderId="0" xfId="0" applyFont="1" applyFill="1" applyAlignment="1" applyProtection="1">
      <alignment horizontal="center" vertical="center"/>
      <protection hidden="1"/>
    </xf>
    <xf numFmtId="0" fontId="253" fillId="23" borderId="261" xfId="0" applyFont="1" applyFill="1" applyBorder="1" applyAlignment="1" applyProtection="1">
      <alignment horizontal="center" vertical="center"/>
      <protection hidden="1"/>
    </xf>
    <xf numFmtId="0" fontId="253" fillId="23" borderId="467" xfId="0" applyFont="1" applyFill="1" applyBorder="1" applyAlignment="1" applyProtection="1">
      <alignment horizontal="center" vertical="center"/>
      <protection hidden="1"/>
    </xf>
    <xf numFmtId="0" fontId="253" fillId="23" borderId="468" xfId="0" applyFont="1" applyFill="1" applyBorder="1" applyAlignment="1" applyProtection="1">
      <alignment horizontal="center" vertical="center"/>
      <protection hidden="1"/>
    </xf>
    <xf numFmtId="167" fontId="124" fillId="0" borderId="235" xfId="0" applyNumberFormat="1" applyFont="1" applyBorder="1" applyAlignment="1" applyProtection="1">
      <alignment horizontal="center" vertical="center" wrapText="1"/>
      <protection locked="0"/>
    </xf>
    <xf numFmtId="167" fontId="124" fillId="0" borderId="236" xfId="0" applyNumberFormat="1" applyFont="1" applyBorder="1" applyAlignment="1" applyProtection="1">
      <alignment horizontal="center" vertical="center" wrapText="1"/>
      <protection locked="0"/>
    </xf>
    <xf numFmtId="167" fontId="124" fillId="0" borderId="239" xfId="0" applyNumberFormat="1" applyFont="1" applyBorder="1" applyAlignment="1" applyProtection="1">
      <alignment horizontal="center" vertical="center" wrapText="1"/>
      <protection locked="0"/>
    </xf>
    <xf numFmtId="167" fontId="124" fillId="0" borderId="240" xfId="0" applyNumberFormat="1" applyFont="1" applyBorder="1" applyAlignment="1" applyProtection="1">
      <alignment horizontal="center" vertical="center" wrapText="1"/>
      <protection locked="0"/>
    </xf>
    <xf numFmtId="167" fontId="124" fillId="0" borderId="15" xfId="0" applyNumberFormat="1" applyFont="1" applyBorder="1" applyAlignment="1" applyProtection="1">
      <alignment horizontal="left" vertical="center" wrapText="1" readingOrder="1"/>
      <protection locked="0"/>
    </xf>
    <xf numFmtId="167" fontId="124" fillId="0" borderId="16" xfId="0" applyNumberFormat="1" applyFont="1" applyBorder="1" applyAlignment="1" applyProtection="1">
      <alignment horizontal="left" vertical="center" wrapText="1" readingOrder="1"/>
      <protection locked="0"/>
    </xf>
    <xf numFmtId="167" fontId="53" fillId="27" borderId="15" xfId="0" applyNumberFormat="1" applyFont="1" applyFill="1" applyBorder="1" applyAlignment="1" applyProtection="1">
      <alignment horizontal="left" vertical="center" wrapText="1"/>
      <protection hidden="1"/>
    </xf>
    <xf numFmtId="167" fontId="53" fillId="27" borderId="16" xfId="0" applyNumberFormat="1" applyFont="1" applyFill="1" applyBorder="1" applyAlignment="1" applyProtection="1">
      <alignment horizontal="left" vertical="center" wrapText="1"/>
      <protection hidden="1"/>
    </xf>
    <xf numFmtId="2" fontId="53" fillId="27" borderId="239" xfId="0" applyNumberFormat="1" applyFont="1" applyFill="1" applyBorder="1" applyAlignment="1" applyProtection="1">
      <alignment horizontal="center" vertical="center" wrapText="1"/>
      <protection hidden="1"/>
    </xf>
    <xf numFmtId="2" fontId="53" fillId="27" borderId="240" xfId="0" applyNumberFormat="1" applyFont="1" applyFill="1" applyBorder="1" applyAlignment="1" applyProtection="1">
      <alignment horizontal="center" vertical="center" wrapText="1"/>
      <protection hidden="1"/>
    </xf>
    <xf numFmtId="167" fontId="53" fillId="27" borderId="239" xfId="0" applyNumberFormat="1" applyFont="1" applyFill="1" applyBorder="1" applyAlignment="1" applyProtection="1">
      <alignment horizontal="center" vertical="center" wrapText="1"/>
      <protection hidden="1"/>
    </xf>
    <xf numFmtId="167" fontId="53" fillId="27" borderId="240" xfId="0" applyNumberFormat="1" applyFont="1" applyFill="1" applyBorder="1" applyAlignment="1" applyProtection="1">
      <alignment horizontal="center" vertical="center" wrapText="1"/>
      <protection hidden="1"/>
    </xf>
    <xf numFmtId="0" fontId="38" fillId="23" borderId="273" xfId="0" applyFont="1" applyFill="1" applyBorder="1" applyAlignment="1">
      <alignment horizontal="center" vertical="center"/>
    </xf>
    <xf numFmtId="0" fontId="38" fillId="23" borderId="274" xfId="0" applyFont="1" applyFill="1" applyBorder="1" applyAlignment="1">
      <alignment horizontal="center" vertical="center"/>
    </xf>
    <xf numFmtId="0" fontId="38" fillId="23" borderId="275" xfId="0" applyFont="1" applyFill="1" applyBorder="1" applyAlignment="1">
      <alignment horizontal="center" vertical="center"/>
    </xf>
    <xf numFmtId="0" fontId="104" fillId="17" borderId="0" xfId="0" applyFont="1" applyFill="1" applyAlignment="1">
      <alignment horizontal="center" vertical="center"/>
    </xf>
    <xf numFmtId="0" fontId="64" fillId="17" borderId="481" xfId="0" applyFont="1" applyFill="1" applyBorder="1" applyAlignment="1">
      <alignment horizontal="center" vertical="center" wrapText="1"/>
    </xf>
    <xf numFmtId="0" fontId="64" fillId="17" borderId="484" xfId="0" applyFont="1" applyFill="1" applyBorder="1" applyAlignment="1">
      <alignment horizontal="center" vertical="center" wrapText="1"/>
    </xf>
    <xf numFmtId="0" fontId="70" fillId="3" borderId="0" xfId="0" applyFont="1" applyFill="1" applyAlignment="1">
      <alignment horizontal="center" vertical="center"/>
    </xf>
    <xf numFmtId="0" fontId="262" fillId="20" borderId="158" xfId="0" applyFont="1" applyFill="1" applyBorder="1" applyAlignment="1">
      <alignment horizontal="center" vertical="center"/>
    </xf>
    <xf numFmtId="0" fontId="262" fillId="20" borderId="159" xfId="0" applyFont="1" applyFill="1" applyBorder="1" applyAlignment="1">
      <alignment horizontal="center" vertical="center"/>
    </xf>
    <xf numFmtId="0" fontId="262" fillId="20" borderId="160" xfId="0" applyFont="1" applyFill="1" applyBorder="1" applyAlignment="1">
      <alignment horizontal="center" vertical="center"/>
    </xf>
    <xf numFmtId="0" fontId="261" fillId="20" borderId="170" xfId="0" applyFont="1" applyFill="1" applyBorder="1" applyAlignment="1">
      <alignment horizontal="center" vertical="center"/>
    </xf>
    <xf numFmtId="0" fontId="261" fillId="20" borderId="171" xfId="0" applyFont="1" applyFill="1" applyBorder="1" applyAlignment="1">
      <alignment horizontal="center" vertical="center"/>
    </xf>
    <xf numFmtId="0" fontId="261" fillId="20" borderId="172" xfId="0" applyFont="1" applyFill="1" applyBorder="1" applyAlignment="1">
      <alignment horizontal="center" vertical="center"/>
    </xf>
    <xf numFmtId="0" fontId="68" fillId="17" borderId="482" xfId="0" applyFont="1" applyFill="1" applyBorder="1" applyAlignment="1">
      <alignment horizontal="center" vertical="center" wrapText="1"/>
    </xf>
    <xf numFmtId="0" fontId="68" fillId="17" borderId="483" xfId="0" applyFont="1" applyFill="1" applyBorder="1" applyAlignment="1">
      <alignment horizontal="center" vertical="center" wrapText="1"/>
    </xf>
    <xf numFmtId="0" fontId="191" fillId="53" borderId="453" xfId="0" applyFont="1" applyFill="1" applyBorder="1" applyAlignment="1">
      <alignment horizontal="center" vertical="center"/>
    </xf>
    <xf numFmtId="0" fontId="191" fillId="53" borderId="454" xfId="0" applyFont="1" applyFill="1" applyBorder="1" applyAlignment="1">
      <alignment horizontal="center" vertical="center"/>
    </xf>
    <xf numFmtId="0" fontId="191" fillId="53" borderId="455" xfId="0" applyFont="1" applyFill="1" applyBorder="1" applyAlignment="1">
      <alignment horizontal="center" vertical="center"/>
    </xf>
    <xf numFmtId="3" fontId="249" fillId="0" borderId="194" xfId="3" applyNumberFormat="1" applyFont="1" applyFill="1" applyBorder="1" applyAlignment="1" applyProtection="1">
      <alignment horizontal="center" vertical="center"/>
      <protection locked="0"/>
    </xf>
    <xf numFmtId="3" fontId="249" fillId="0" borderId="0" xfId="3" applyNumberFormat="1" applyFont="1" applyFill="1" applyBorder="1" applyAlignment="1" applyProtection="1">
      <alignment horizontal="center" vertical="center"/>
      <protection locked="0"/>
    </xf>
    <xf numFmtId="3" fontId="249" fillId="0" borderId="456" xfId="3" applyNumberFormat="1" applyFont="1" applyFill="1" applyBorder="1" applyAlignment="1" applyProtection="1">
      <alignment horizontal="center" vertical="center"/>
      <protection locked="0"/>
    </xf>
    <xf numFmtId="177" fontId="244" fillId="5" borderId="414" xfId="2" applyNumberFormat="1" applyFont="1" applyFill="1" applyBorder="1" applyAlignment="1" applyProtection="1">
      <alignment horizontal="center" vertical="center"/>
      <protection hidden="1"/>
    </xf>
    <xf numFmtId="177" fontId="244" fillId="5" borderId="415" xfId="2" applyNumberFormat="1" applyFont="1" applyFill="1" applyBorder="1" applyAlignment="1" applyProtection="1">
      <alignment horizontal="center" vertical="center"/>
      <protection hidden="1"/>
    </xf>
    <xf numFmtId="177" fontId="244" fillId="2" borderId="414" xfId="2" applyNumberFormat="1" applyFont="1" applyFill="1" applyBorder="1" applyAlignment="1" applyProtection="1">
      <alignment horizontal="center" vertical="center"/>
      <protection hidden="1"/>
    </xf>
    <xf numFmtId="177" fontId="244" fillId="2" borderId="415" xfId="2" applyNumberFormat="1" applyFont="1" applyFill="1" applyBorder="1" applyAlignment="1" applyProtection="1">
      <alignment horizontal="center" vertical="center"/>
      <protection hidden="1"/>
    </xf>
    <xf numFmtId="0" fontId="194" fillId="17" borderId="411" xfId="0" applyFont="1" applyFill="1" applyBorder="1" applyAlignment="1" applyProtection="1">
      <alignment horizontal="center" vertical="center" wrapText="1"/>
      <protection hidden="1"/>
    </xf>
    <xf numFmtId="0" fontId="194" fillId="17" borderId="412" xfId="0" applyFont="1" applyFill="1" applyBorder="1" applyAlignment="1" applyProtection="1">
      <alignment horizontal="center" vertical="center" wrapText="1"/>
      <protection hidden="1"/>
    </xf>
    <xf numFmtId="177" fontId="203" fillId="5" borderId="414" xfId="2" applyNumberFormat="1" applyFont="1" applyFill="1" applyBorder="1" applyAlignment="1" applyProtection="1">
      <alignment horizontal="right" vertical="center" indent="3"/>
      <protection hidden="1"/>
    </xf>
    <xf numFmtId="177" fontId="203" fillId="5" borderId="415" xfId="2" applyNumberFormat="1" applyFont="1" applyFill="1" applyBorder="1" applyAlignment="1" applyProtection="1">
      <alignment horizontal="right" vertical="center" indent="3"/>
      <protection hidden="1"/>
    </xf>
    <xf numFmtId="0" fontId="47" fillId="20" borderId="74" xfId="0" applyFont="1" applyFill="1" applyBorder="1" applyAlignment="1" applyProtection="1">
      <alignment horizontal="center" vertical="center" wrapText="1"/>
      <protection hidden="1"/>
    </xf>
    <xf numFmtId="0" fontId="47" fillId="20" borderId="452" xfId="0" applyFont="1" applyFill="1" applyBorder="1" applyAlignment="1" applyProtection="1">
      <alignment horizontal="center" vertical="center" wrapText="1"/>
      <protection hidden="1"/>
    </xf>
    <xf numFmtId="0" fontId="10" fillId="0" borderId="54" xfId="0" applyFont="1" applyBorder="1" applyAlignment="1" applyProtection="1">
      <alignment horizontal="left" vertical="center" indent="1"/>
      <protection locked="0"/>
    </xf>
    <xf numFmtId="0" fontId="10" fillId="0" borderId="0" xfId="0" applyFont="1" applyAlignment="1" applyProtection="1">
      <alignment horizontal="left" vertical="center" indent="1"/>
      <protection locked="0"/>
    </xf>
    <xf numFmtId="0" fontId="10" fillId="0" borderId="53" xfId="0" applyFont="1" applyBorder="1" applyAlignment="1" applyProtection="1">
      <alignment horizontal="left" vertical="center" indent="1"/>
      <protection locked="0"/>
    </xf>
    <xf numFmtId="188" fontId="0" fillId="0" borderId="0" xfId="0" applyNumberFormat="1" applyAlignment="1">
      <alignment horizontal="right" vertical="center" indent="1"/>
    </xf>
    <xf numFmtId="177" fontId="16" fillId="2" borderId="414" xfId="2" applyNumberFormat="1" applyFont="1" applyFill="1" applyBorder="1" applyAlignment="1" applyProtection="1">
      <alignment horizontal="right" vertical="center" indent="3"/>
      <protection hidden="1"/>
    </xf>
    <xf numFmtId="177" fontId="16" fillId="2" borderId="415" xfId="2" applyNumberFormat="1" applyFont="1" applyFill="1" applyBorder="1" applyAlignment="1" applyProtection="1">
      <alignment horizontal="right" vertical="center" indent="3"/>
      <protection hidden="1"/>
    </xf>
    <xf numFmtId="0" fontId="18" fillId="0" borderId="5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53" xfId="0" applyFont="1" applyBorder="1" applyAlignment="1">
      <alignment horizontal="center" vertical="center"/>
    </xf>
    <xf numFmtId="0" fontId="10" fillId="0" borderId="54" xfId="0" applyFont="1" applyBorder="1" applyAlignment="1">
      <alignment horizontal="left" vertical="center" indent="1"/>
    </xf>
    <xf numFmtId="0" fontId="10" fillId="0" borderId="0" xfId="0" applyFont="1" applyAlignment="1">
      <alignment horizontal="left" vertical="center" indent="1"/>
    </xf>
    <xf numFmtId="0" fontId="10" fillId="0" borderId="53" xfId="0" applyFont="1" applyBorder="1" applyAlignment="1">
      <alignment horizontal="left" vertical="center" indent="1"/>
    </xf>
    <xf numFmtId="0" fontId="47" fillId="44" borderId="74" xfId="0" applyFont="1" applyFill="1" applyBorder="1" applyAlignment="1" applyProtection="1">
      <alignment horizontal="center" vertical="center" wrapText="1"/>
      <protection hidden="1"/>
    </xf>
    <xf numFmtId="0" fontId="47" fillId="44" borderId="452" xfId="0" applyFont="1" applyFill="1" applyBorder="1" applyAlignment="1" applyProtection="1">
      <alignment horizontal="center" vertical="center" wrapText="1"/>
      <protection hidden="1"/>
    </xf>
    <xf numFmtId="0" fontId="251" fillId="44" borderId="25" xfId="0" applyFont="1" applyFill="1" applyBorder="1" applyAlignment="1">
      <alignment horizontal="center" vertical="center"/>
    </xf>
    <xf numFmtId="0" fontId="251" fillId="44" borderId="24" xfId="0" applyFont="1" applyFill="1" applyBorder="1" applyAlignment="1">
      <alignment horizontal="center" vertical="center"/>
    </xf>
    <xf numFmtId="0" fontId="251" fillId="44" borderId="26" xfId="0" applyFont="1" applyFill="1" applyBorder="1" applyAlignment="1">
      <alignment horizontal="center" vertical="center"/>
    </xf>
    <xf numFmtId="0" fontId="245" fillId="44" borderId="54" xfId="0" applyFont="1" applyFill="1" applyBorder="1" applyAlignment="1">
      <alignment horizontal="center" vertical="center"/>
    </xf>
    <xf numFmtId="0" fontId="245" fillId="44" borderId="0" xfId="0" applyFont="1" applyFill="1" applyAlignment="1">
      <alignment horizontal="center" vertical="center"/>
    </xf>
    <xf numFmtId="0" fontId="245" fillId="44" borderId="53" xfId="0" applyFont="1" applyFill="1" applyBorder="1" applyAlignment="1">
      <alignment horizontal="center" vertical="center"/>
    </xf>
    <xf numFmtId="0" fontId="252" fillId="23" borderId="0" xfId="0" applyFont="1" applyFill="1" applyAlignment="1" applyProtection="1">
      <alignment horizontal="right" vertical="center" indent="2"/>
      <protection hidden="1"/>
    </xf>
    <xf numFmtId="0" fontId="252" fillId="23" borderId="53" xfId="0" applyFont="1" applyFill="1" applyBorder="1" applyAlignment="1" applyProtection="1">
      <alignment horizontal="right" vertical="center" indent="2"/>
      <protection hidden="1"/>
    </xf>
    <xf numFmtId="0" fontId="147" fillId="48" borderId="54" xfId="0" applyFont="1" applyFill="1" applyBorder="1" applyAlignment="1" applyProtection="1">
      <alignment horizontal="center" vertical="center"/>
      <protection hidden="1"/>
    </xf>
    <xf numFmtId="0" fontId="147" fillId="48" borderId="0" xfId="0" applyFont="1" applyFill="1" applyAlignment="1" applyProtection="1">
      <alignment horizontal="center" vertical="center"/>
      <protection hidden="1"/>
    </xf>
    <xf numFmtId="0" fontId="147" fillId="48" borderId="53" xfId="0" applyFont="1" applyFill="1" applyBorder="1" applyAlignment="1" applyProtection="1">
      <alignment horizontal="center" vertical="center"/>
      <protection hidden="1"/>
    </xf>
    <xf numFmtId="188" fontId="4" fillId="48" borderId="0" xfId="0" applyNumberFormat="1" applyFont="1" applyFill="1" applyAlignment="1" applyProtection="1">
      <alignment horizontal="right" vertical="center"/>
      <protection hidden="1"/>
    </xf>
    <xf numFmtId="188" fontId="4" fillId="48" borderId="53" xfId="0" applyNumberFormat="1" applyFont="1" applyFill="1" applyBorder="1" applyAlignment="1" applyProtection="1">
      <alignment horizontal="right" vertical="center"/>
      <protection hidden="1"/>
    </xf>
    <xf numFmtId="0" fontId="75" fillId="48" borderId="54" xfId="0" applyFont="1" applyFill="1" applyBorder="1" applyAlignment="1" applyProtection="1">
      <alignment horizontal="center" vertical="center"/>
      <protection hidden="1"/>
    </xf>
    <xf numFmtId="0" fontId="75" fillId="48" borderId="0" xfId="0" applyFont="1" applyFill="1" applyAlignment="1" applyProtection="1">
      <alignment horizontal="center" vertical="center"/>
      <protection hidden="1"/>
    </xf>
    <xf numFmtId="0" fontId="75" fillId="48" borderId="53" xfId="0" applyFont="1" applyFill="1" applyBorder="1" applyAlignment="1" applyProtection="1">
      <alignment horizontal="center" vertical="center"/>
      <protection hidden="1"/>
    </xf>
    <xf numFmtId="0" fontId="123" fillId="48" borderId="54" xfId="0" applyFont="1" applyFill="1" applyBorder="1" applyAlignment="1" applyProtection="1">
      <alignment horizontal="center" vertical="center"/>
      <protection hidden="1"/>
    </xf>
    <xf numFmtId="0" fontId="123" fillId="48" borderId="0" xfId="0" applyFont="1" applyFill="1" applyAlignment="1" applyProtection="1">
      <alignment horizontal="center" vertical="center"/>
      <protection hidden="1"/>
    </xf>
    <xf numFmtId="0" fontId="123" fillId="48" borderId="53" xfId="0" applyFont="1" applyFill="1" applyBorder="1" applyAlignment="1" applyProtection="1">
      <alignment horizontal="center" vertical="center"/>
      <protection hidden="1"/>
    </xf>
    <xf numFmtId="0" fontId="61" fillId="21" borderId="72" xfId="0" applyFont="1" applyFill="1" applyBorder="1" applyAlignment="1" applyProtection="1">
      <alignment horizontal="center" vertical="center"/>
      <protection hidden="1"/>
    </xf>
    <xf numFmtId="0" fontId="61" fillId="21" borderId="35" xfId="0" applyFont="1" applyFill="1" applyBorder="1" applyAlignment="1" applyProtection="1">
      <alignment horizontal="center" vertical="center"/>
      <protection hidden="1"/>
    </xf>
    <xf numFmtId="0" fontId="61" fillId="21" borderId="73" xfId="0" applyFont="1" applyFill="1" applyBorder="1" applyAlignment="1" applyProtection="1">
      <alignment horizontal="center" vertical="center"/>
      <protection hidden="1"/>
    </xf>
    <xf numFmtId="0" fontId="0" fillId="9" borderId="130" xfId="0" applyFill="1" applyBorder="1" applyAlignment="1" applyProtection="1">
      <alignment horizontal="left" vertical="center" wrapText="1" indent="1"/>
      <protection hidden="1"/>
    </xf>
    <xf numFmtId="0" fontId="0" fillId="9" borderId="76" xfId="0" applyFill="1" applyBorder="1" applyAlignment="1" applyProtection="1">
      <alignment horizontal="left" vertical="center" wrapText="1" indent="1"/>
      <protection hidden="1"/>
    </xf>
    <xf numFmtId="0" fontId="0" fillId="9" borderId="77" xfId="0" applyFill="1" applyBorder="1" applyAlignment="1" applyProtection="1">
      <alignment horizontal="left" vertical="center" wrapText="1" indent="1"/>
      <protection hidden="1"/>
    </xf>
    <xf numFmtId="0" fontId="123" fillId="19" borderId="127" xfId="0" applyFont="1" applyFill="1" applyBorder="1" applyAlignment="1" applyProtection="1">
      <alignment horizontal="left" vertical="center" wrapText="1" indent="6"/>
      <protection hidden="1"/>
    </xf>
    <xf numFmtId="0" fontId="123" fillId="19" borderId="68" xfId="0" applyFont="1" applyFill="1" applyBorder="1" applyAlignment="1" applyProtection="1">
      <alignment horizontal="left" vertical="center" wrapText="1" indent="6"/>
      <protection hidden="1"/>
    </xf>
    <xf numFmtId="0" fontId="123" fillId="19" borderId="128" xfId="0" applyFont="1" applyFill="1" applyBorder="1" applyAlignment="1" applyProtection="1">
      <alignment horizontal="left" vertical="center" wrapText="1" indent="6"/>
      <protection hidden="1"/>
    </xf>
    <xf numFmtId="0" fontId="74" fillId="20" borderId="121" xfId="0" applyFont="1" applyFill="1" applyBorder="1" applyAlignment="1" applyProtection="1">
      <alignment horizontal="center" vertical="center" wrapText="1"/>
      <protection hidden="1"/>
    </xf>
    <xf numFmtId="0" fontId="74" fillId="20" borderId="122" xfId="0" applyFont="1" applyFill="1" applyBorder="1" applyAlignment="1" applyProtection="1">
      <alignment horizontal="center" vertical="center" wrapText="1"/>
      <protection hidden="1"/>
    </xf>
    <xf numFmtId="0" fontId="74" fillId="20" borderId="123" xfId="0" applyFont="1" applyFill="1" applyBorder="1" applyAlignment="1" applyProtection="1">
      <alignment horizontal="center" vertical="center" wrapText="1"/>
      <protection hidden="1"/>
    </xf>
    <xf numFmtId="0" fontId="19" fillId="20" borderId="124" xfId="0" applyFont="1" applyFill="1" applyBorder="1" applyAlignment="1" applyProtection="1">
      <alignment horizontal="center" vertical="center" wrapText="1"/>
      <protection hidden="1"/>
    </xf>
    <xf numFmtId="0" fontId="19" fillId="20" borderId="125" xfId="0" applyFont="1" applyFill="1" applyBorder="1" applyAlignment="1" applyProtection="1">
      <alignment horizontal="center" vertical="center" wrapText="1"/>
      <protection hidden="1"/>
    </xf>
    <xf numFmtId="0" fontId="19" fillId="20" borderId="126" xfId="0" applyFont="1" applyFill="1" applyBorder="1" applyAlignment="1" applyProtection="1">
      <alignment horizontal="center" vertical="center" wrapText="1"/>
      <protection hidden="1"/>
    </xf>
    <xf numFmtId="0" fontId="44" fillId="2" borderId="0" xfId="0" applyFont="1" applyFill="1" applyAlignment="1" applyProtection="1">
      <alignment horizontal="left" vertical="center" indent="1"/>
      <protection hidden="1"/>
    </xf>
    <xf numFmtId="0" fontId="0" fillId="0" borderId="0" xfId="0" applyAlignment="1" applyProtection="1">
      <alignment horizontal="center"/>
      <protection locked="0"/>
    </xf>
    <xf numFmtId="188" fontId="0" fillId="0" borderId="0" xfId="0" applyNumberFormat="1" applyAlignment="1" applyProtection="1">
      <alignment horizontal="right"/>
      <protection hidden="1"/>
    </xf>
    <xf numFmtId="0" fontId="132" fillId="2" borderId="0" xfId="4" applyFill="1" applyBorder="1" applyAlignment="1">
      <alignment horizontal="right" vertical="center" indent="1"/>
    </xf>
    <xf numFmtId="0" fontId="155" fillId="2" borderId="0" xfId="0" applyFont="1" applyFill="1" applyAlignment="1">
      <alignment horizontal="right" vertical="center" indent="1"/>
    </xf>
    <xf numFmtId="0" fontId="18" fillId="0" borderId="253" xfId="2" applyNumberFormat="1" applyFont="1" applyBorder="1" applyAlignment="1" applyProtection="1">
      <alignment horizontal="center" vertical="center"/>
      <protection locked="0"/>
    </xf>
    <xf numFmtId="0" fontId="118" fillId="4" borderId="0" xfId="0" applyFont="1" applyFill="1" applyAlignment="1" applyProtection="1">
      <alignment horizontal="left" vertical="center" indent="1"/>
      <protection hidden="1"/>
    </xf>
    <xf numFmtId="177" fontId="118" fillId="4" borderId="0" xfId="0" applyNumberFormat="1" applyFont="1" applyFill="1" applyAlignment="1" applyProtection="1">
      <alignment horizontal="left" vertical="center" indent="1"/>
      <protection hidden="1"/>
    </xf>
    <xf numFmtId="0" fontId="33" fillId="17" borderId="46" xfId="0" applyFont="1" applyFill="1" applyBorder="1" applyAlignment="1" applyProtection="1">
      <alignment horizontal="center" vertical="center"/>
      <protection hidden="1"/>
    </xf>
    <xf numFmtId="0" fontId="33" fillId="17" borderId="4" xfId="0" applyFont="1" applyFill="1" applyBorder="1" applyAlignment="1" applyProtection="1">
      <alignment horizontal="center" vertical="center"/>
      <protection hidden="1"/>
    </xf>
    <xf numFmtId="0" fontId="33" fillId="17" borderId="5" xfId="0" applyFont="1" applyFill="1" applyBorder="1" applyAlignment="1" applyProtection="1">
      <alignment horizontal="center" vertical="center"/>
      <protection hidden="1"/>
    </xf>
    <xf numFmtId="0" fontId="33" fillId="16" borderId="46" xfId="0" applyFont="1" applyFill="1" applyBorder="1" applyAlignment="1" applyProtection="1">
      <alignment horizontal="center" vertical="center"/>
      <protection hidden="1"/>
    </xf>
    <xf numFmtId="0" fontId="33" fillId="16" borderId="4" xfId="0" applyFont="1" applyFill="1" applyBorder="1" applyAlignment="1" applyProtection="1">
      <alignment horizontal="center" vertical="center"/>
      <protection hidden="1"/>
    </xf>
    <xf numFmtId="0" fontId="33" fillId="16" borderId="5" xfId="0" applyFont="1" applyFill="1" applyBorder="1" applyAlignment="1" applyProtection="1">
      <alignment horizontal="center" vertical="center"/>
      <protection hidden="1"/>
    </xf>
    <xf numFmtId="0" fontId="33" fillId="17" borderId="44" xfId="0" applyFont="1" applyFill="1" applyBorder="1" applyAlignment="1" applyProtection="1">
      <alignment horizontal="center" vertical="center"/>
      <protection hidden="1"/>
    </xf>
    <xf numFmtId="0" fontId="33" fillId="17" borderId="0" xfId="0" applyFont="1" applyFill="1" applyAlignment="1" applyProtection="1">
      <alignment horizontal="center" vertical="center"/>
      <protection hidden="1"/>
    </xf>
    <xf numFmtId="0" fontId="10" fillId="2" borderId="0" xfId="0" applyFont="1" applyFill="1" applyAlignment="1" applyProtection="1">
      <alignment horizontal="left" vertical="center" indent="1"/>
      <protection locked="0"/>
    </xf>
    <xf numFmtId="0" fontId="220" fillId="2" borderId="0" xfId="0" applyFont="1" applyFill="1" applyAlignment="1" applyProtection="1">
      <alignment horizontal="right" vertical="center" indent="1"/>
      <protection hidden="1"/>
    </xf>
    <xf numFmtId="0" fontId="0" fillId="0" borderId="0" xfId="0" applyAlignment="1" applyProtection="1">
      <alignment horizontal="center"/>
      <protection hidden="1"/>
    </xf>
    <xf numFmtId="0" fontId="10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/>
      <protection hidden="1"/>
    </xf>
    <xf numFmtId="0" fontId="132" fillId="2" borderId="492" xfId="4" applyFill="1" applyBorder="1" applyAlignment="1">
      <alignment horizontal="right" indent="1"/>
    </xf>
    <xf numFmtId="0" fontId="155" fillId="2" borderId="493" xfId="0" applyFont="1" applyFill="1" applyBorder="1" applyAlignment="1">
      <alignment horizontal="right" indent="1"/>
    </xf>
    <xf numFmtId="0" fontId="4" fillId="0" borderId="69" xfId="0" applyFont="1" applyBorder="1" applyAlignment="1" applyProtection="1">
      <alignment horizontal="center"/>
      <protection hidden="1"/>
    </xf>
    <xf numFmtId="0" fontId="4" fillId="0" borderId="70" xfId="0" applyFont="1" applyBorder="1" applyAlignment="1" applyProtection="1">
      <alignment horizontal="center"/>
      <protection hidden="1"/>
    </xf>
    <xf numFmtId="0" fontId="4" fillId="0" borderId="71" xfId="0" applyFont="1" applyBorder="1" applyAlignment="1" applyProtection="1">
      <alignment horizontal="center"/>
      <protection hidden="1"/>
    </xf>
    <xf numFmtId="0" fontId="18" fillId="0" borderId="54" xfId="0" applyFont="1" applyBorder="1" applyAlignment="1" applyProtection="1">
      <alignment horizontal="center"/>
      <protection hidden="1"/>
    </xf>
    <xf numFmtId="0" fontId="18" fillId="0" borderId="53" xfId="0" applyFont="1" applyBorder="1" applyAlignment="1" applyProtection="1">
      <alignment horizontal="center"/>
      <protection hidden="1"/>
    </xf>
    <xf numFmtId="0" fontId="0" fillId="0" borderId="54" xfId="0" applyBorder="1" applyAlignment="1" applyProtection="1">
      <alignment horizontal="center"/>
      <protection hidden="1"/>
    </xf>
    <xf numFmtId="0" fontId="0" fillId="0" borderId="53" xfId="0" applyBorder="1" applyAlignment="1" applyProtection="1">
      <alignment horizontal="center"/>
      <protection hidden="1"/>
    </xf>
    <xf numFmtId="0" fontId="254" fillId="17" borderId="253" xfId="0" applyFont="1" applyFill="1" applyBorder="1" applyAlignment="1" applyProtection="1">
      <alignment horizontal="center" vertical="center"/>
      <protection hidden="1"/>
    </xf>
    <xf numFmtId="0" fontId="254" fillId="17" borderId="479" xfId="0" applyFont="1" applyFill="1" applyBorder="1" applyAlignment="1" applyProtection="1">
      <alignment horizontal="center" vertical="center"/>
      <protection hidden="1"/>
    </xf>
    <xf numFmtId="0" fontId="123" fillId="0" borderId="54" xfId="0" applyFont="1" applyBorder="1" applyAlignment="1">
      <alignment horizontal="center"/>
    </xf>
    <xf numFmtId="0" fontId="123" fillId="0" borderId="0" xfId="0" applyFont="1" applyAlignment="1">
      <alignment horizontal="center"/>
    </xf>
    <xf numFmtId="0" fontId="123" fillId="0" borderId="53" xfId="0" applyFont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3" xfId="0" applyBorder="1" applyAlignment="1">
      <alignment horizontal="center"/>
    </xf>
    <xf numFmtId="0" fontId="38" fillId="20" borderId="498" xfId="0" applyFont="1" applyFill="1" applyBorder="1" applyAlignment="1" applyProtection="1">
      <alignment horizontal="center" vertical="center"/>
      <protection hidden="1"/>
    </xf>
    <xf numFmtId="0" fontId="38" fillId="20" borderId="4" xfId="0" applyFont="1" applyFill="1" applyBorder="1" applyAlignment="1" applyProtection="1">
      <alignment horizontal="center" vertical="center"/>
      <protection hidden="1"/>
    </xf>
    <xf numFmtId="0" fontId="38" fillId="20" borderId="5" xfId="0" applyFont="1" applyFill="1" applyBorder="1" applyAlignment="1" applyProtection="1">
      <alignment horizontal="center" vertical="center"/>
      <protection hidden="1"/>
    </xf>
    <xf numFmtId="0" fontId="130" fillId="16" borderId="498" xfId="0" applyFont="1" applyFill="1" applyBorder="1" applyAlignment="1" applyProtection="1">
      <alignment horizontal="center" vertical="center" wrapText="1"/>
      <protection hidden="1"/>
    </xf>
    <xf numFmtId="0" fontId="130" fillId="16" borderId="4" xfId="0" applyFont="1" applyFill="1" applyBorder="1" applyAlignment="1" applyProtection="1">
      <alignment horizontal="center" vertical="center" wrapText="1"/>
      <protection hidden="1"/>
    </xf>
    <xf numFmtId="0" fontId="130" fillId="16" borderId="5" xfId="0" applyFont="1" applyFill="1" applyBorder="1" applyAlignment="1" applyProtection="1">
      <alignment horizontal="center" vertical="center" wrapText="1"/>
      <protection hidden="1"/>
    </xf>
    <xf numFmtId="0" fontId="19" fillId="20" borderId="50" xfId="0" applyFont="1" applyFill="1" applyBorder="1" applyAlignment="1">
      <alignment horizontal="center" vertical="center"/>
    </xf>
    <xf numFmtId="0" fontId="19" fillId="20" borderId="49" xfId="0" applyFont="1" applyFill="1" applyBorder="1" applyAlignment="1">
      <alignment horizontal="center" vertical="center"/>
    </xf>
    <xf numFmtId="0" fontId="10" fillId="0" borderId="54" xfId="0" applyFont="1" applyBorder="1" applyAlignment="1" applyProtection="1">
      <alignment horizontal="center"/>
      <protection hidden="1"/>
    </xf>
    <xf numFmtId="188" fontId="0" fillId="0" borderId="54" xfId="0" applyNumberFormat="1" applyBorder="1" applyAlignment="1" applyProtection="1">
      <alignment horizontal="right" indent="1"/>
      <protection hidden="1"/>
    </xf>
    <xf numFmtId="188" fontId="0" fillId="0" borderId="0" xfId="0" applyNumberFormat="1" applyAlignment="1" applyProtection="1">
      <alignment horizontal="right" indent="1"/>
      <protection hidden="1"/>
    </xf>
    <xf numFmtId="188" fontId="0" fillId="0" borderId="53" xfId="0" applyNumberFormat="1" applyBorder="1" applyAlignment="1" applyProtection="1">
      <alignment horizontal="right" indent="1"/>
      <protection hidden="1"/>
    </xf>
    <xf numFmtId="0" fontId="152" fillId="49" borderId="0" xfId="0" applyFont="1" applyFill="1" applyAlignment="1" applyProtection="1">
      <alignment horizontal="left" vertical="center" indent="1"/>
      <protection hidden="1"/>
    </xf>
    <xf numFmtId="0" fontId="152" fillId="49" borderId="285" xfId="0" applyFont="1" applyFill="1" applyBorder="1" applyAlignment="1" applyProtection="1">
      <alignment horizontal="left" vertical="center" indent="1"/>
      <protection hidden="1"/>
    </xf>
    <xf numFmtId="0" fontId="4" fillId="0" borderId="0" xfId="0" applyFont="1" applyAlignment="1" applyProtection="1">
      <alignment horizontal="center"/>
      <protection hidden="1"/>
    </xf>
    <xf numFmtId="0" fontId="152" fillId="50" borderId="0" xfId="0" applyFont="1" applyFill="1" applyAlignment="1" applyProtection="1">
      <alignment horizontal="left" vertical="center" indent="1"/>
      <protection hidden="1"/>
    </xf>
    <xf numFmtId="0" fontId="152" fillId="50" borderId="285" xfId="0" applyFont="1" applyFill="1" applyBorder="1" applyAlignment="1" applyProtection="1">
      <alignment horizontal="left" vertical="center" indent="1"/>
      <protection hidden="1"/>
    </xf>
    <xf numFmtId="0" fontId="223" fillId="49" borderId="285" xfId="0" applyFont="1" applyFill="1" applyBorder="1" applyAlignment="1" applyProtection="1">
      <alignment horizontal="left" vertical="center" indent="1"/>
      <protection hidden="1"/>
    </xf>
    <xf numFmtId="0" fontId="223" fillId="49" borderId="286" xfId="0" applyFont="1" applyFill="1" applyBorder="1" applyAlignment="1" applyProtection="1">
      <alignment horizontal="left" vertical="center" indent="1"/>
      <protection hidden="1"/>
    </xf>
    <xf numFmtId="0" fontId="223" fillId="49" borderId="359" xfId="0" applyFont="1" applyFill="1" applyBorder="1" applyAlignment="1" applyProtection="1">
      <alignment horizontal="left" vertical="center" indent="1"/>
      <protection hidden="1"/>
    </xf>
    <xf numFmtId="0" fontId="231" fillId="49" borderId="285" xfId="0" applyFont="1" applyFill="1" applyBorder="1" applyAlignment="1" applyProtection="1">
      <alignment horizontal="left" vertical="center" indent="1"/>
      <protection hidden="1"/>
    </xf>
    <xf numFmtId="0" fontId="231" fillId="49" borderId="286" xfId="0" applyFont="1" applyFill="1" applyBorder="1" applyAlignment="1" applyProtection="1">
      <alignment horizontal="left" vertical="center" indent="1"/>
      <protection hidden="1"/>
    </xf>
    <xf numFmtId="0" fontId="231" fillId="49" borderId="359" xfId="0" applyFont="1" applyFill="1" applyBorder="1" applyAlignment="1" applyProtection="1">
      <alignment horizontal="left" vertical="center" indent="1"/>
      <protection hidden="1"/>
    </xf>
    <xf numFmtId="0" fontId="57" fillId="49" borderId="285" xfId="0" applyFont="1" applyFill="1" applyBorder="1" applyAlignment="1" applyProtection="1">
      <alignment horizontal="left" vertical="center" indent="1"/>
      <protection hidden="1"/>
    </xf>
    <xf numFmtId="0" fontId="57" fillId="49" borderId="286" xfId="0" applyFont="1" applyFill="1" applyBorder="1" applyAlignment="1" applyProtection="1">
      <alignment horizontal="left" vertical="center" indent="1"/>
      <protection hidden="1"/>
    </xf>
    <xf numFmtId="0" fontId="57" fillId="49" borderId="359" xfId="0" applyFont="1" applyFill="1" applyBorder="1" applyAlignment="1" applyProtection="1">
      <alignment horizontal="left" vertical="center" indent="1"/>
      <protection hidden="1"/>
    </xf>
    <xf numFmtId="0" fontId="57" fillId="50" borderId="285" xfId="0" applyFont="1" applyFill="1" applyBorder="1" applyAlignment="1" applyProtection="1">
      <alignment horizontal="left" vertical="center" indent="1"/>
      <protection hidden="1"/>
    </xf>
    <xf numFmtId="0" fontId="57" fillId="50" borderId="286" xfId="0" applyFont="1" applyFill="1" applyBorder="1" applyAlignment="1" applyProtection="1">
      <alignment horizontal="left" vertical="center" indent="1"/>
      <protection hidden="1"/>
    </xf>
    <xf numFmtId="0" fontId="57" fillId="50" borderId="359" xfId="0" applyFont="1" applyFill="1" applyBorder="1" applyAlignment="1" applyProtection="1">
      <alignment horizontal="left" vertical="center" indent="1"/>
      <protection hidden="1"/>
    </xf>
    <xf numFmtId="173" fontId="12" fillId="14" borderId="287" xfId="0" applyNumberFormat="1" applyFont="1" applyFill="1" applyBorder="1" applyAlignment="1" applyProtection="1">
      <alignment horizontal="center" vertical="center"/>
      <protection hidden="1"/>
    </xf>
    <xf numFmtId="0" fontId="74" fillId="23" borderId="288" xfId="0" applyFont="1" applyFill="1" applyBorder="1" applyAlignment="1" applyProtection="1">
      <alignment horizontal="center" vertical="center" wrapText="1"/>
      <protection hidden="1"/>
    </xf>
    <xf numFmtId="0" fontId="74" fillId="23" borderId="289" xfId="0" applyFont="1" applyFill="1" applyBorder="1" applyAlignment="1" applyProtection="1">
      <alignment horizontal="center" vertical="center" wrapText="1"/>
      <protection hidden="1"/>
    </xf>
    <xf numFmtId="0" fontId="74" fillId="23" borderId="290" xfId="0" applyFont="1" applyFill="1" applyBorder="1" applyAlignment="1" applyProtection="1">
      <alignment horizontal="center" vertical="center" wrapText="1"/>
      <protection hidden="1"/>
    </xf>
    <xf numFmtId="0" fontId="28" fillId="20" borderId="288" xfId="0" applyFont="1" applyFill="1" applyBorder="1" applyAlignment="1" applyProtection="1">
      <alignment horizontal="center" vertical="center" wrapText="1"/>
      <protection hidden="1"/>
    </xf>
    <xf numFmtId="0" fontId="28" fillId="20" borderId="289" xfId="0" applyFont="1" applyFill="1" applyBorder="1" applyAlignment="1" applyProtection="1">
      <alignment horizontal="center" vertical="center" wrapText="1"/>
      <protection hidden="1"/>
    </xf>
    <xf numFmtId="0" fontId="28" fillId="20" borderId="290" xfId="0" applyFont="1" applyFill="1" applyBorder="1" applyAlignment="1" applyProtection="1">
      <alignment horizontal="center" vertical="center" wrapText="1"/>
      <protection hidden="1"/>
    </xf>
    <xf numFmtId="0" fontId="74" fillId="20" borderId="288" xfId="0" applyFont="1" applyFill="1" applyBorder="1" applyAlignment="1" applyProtection="1">
      <alignment horizontal="center" vertical="center" wrapText="1"/>
      <protection hidden="1"/>
    </xf>
    <xf numFmtId="0" fontId="74" fillId="20" borderId="289" xfId="0" applyFont="1" applyFill="1" applyBorder="1" applyAlignment="1" applyProtection="1">
      <alignment horizontal="center" vertical="center" wrapText="1"/>
      <protection hidden="1"/>
    </xf>
    <xf numFmtId="0" fontId="74" fillId="20" borderId="290" xfId="0" applyFont="1" applyFill="1" applyBorder="1" applyAlignment="1" applyProtection="1">
      <alignment horizontal="center" vertical="center" wrapText="1"/>
      <protection hidden="1"/>
    </xf>
    <xf numFmtId="0" fontId="174" fillId="49" borderId="0" xfId="0" applyFont="1" applyFill="1" applyAlignment="1" applyProtection="1">
      <alignment horizontal="left" vertical="center" indent="1"/>
      <protection hidden="1"/>
    </xf>
    <xf numFmtId="0" fontId="174" fillId="49" borderId="285" xfId="0" applyFont="1" applyFill="1" applyBorder="1" applyAlignment="1" applyProtection="1">
      <alignment horizontal="left" vertical="center" indent="1"/>
      <protection hidden="1"/>
    </xf>
    <xf numFmtId="0" fontId="74" fillId="20" borderId="445" xfId="0" applyFont="1" applyFill="1" applyBorder="1" applyAlignment="1" applyProtection="1">
      <alignment horizontal="center" vertical="center" wrapText="1"/>
      <protection hidden="1"/>
    </xf>
    <xf numFmtId="0" fontId="152" fillId="49" borderId="0" xfId="0" applyFont="1" applyFill="1" applyAlignment="1">
      <alignment horizontal="left" vertical="center" indent="1"/>
    </xf>
    <xf numFmtId="0" fontId="152" fillId="49" borderId="285" xfId="0" applyFont="1" applyFill="1" applyBorder="1" applyAlignment="1">
      <alignment horizontal="left" vertical="center" indent="1"/>
    </xf>
    <xf numFmtId="0" fontId="152" fillId="50" borderId="0" xfId="0" applyFont="1" applyFill="1" applyAlignment="1">
      <alignment horizontal="left" vertical="center" indent="1"/>
    </xf>
    <xf numFmtId="0" fontId="152" fillId="50" borderId="285" xfId="0" applyFont="1" applyFill="1" applyBorder="1" applyAlignment="1">
      <alignment horizontal="left" vertical="center" indent="1"/>
    </xf>
    <xf numFmtId="0" fontId="152" fillId="50" borderId="286" xfId="0" applyFont="1" applyFill="1" applyBorder="1" applyAlignment="1">
      <alignment horizontal="left" vertical="center" indent="1"/>
    </xf>
    <xf numFmtId="0" fontId="152" fillId="49" borderId="286" xfId="0" applyFont="1" applyFill="1" applyBorder="1" applyAlignment="1">
      <alignment horizontal="left" vertical="center" indent="1"/>
    </xf>
    <xf numFmtId="0" fontId="57" fillId="50" borderId="285" xfId="0" applyFont="1" applyFill="1" applyBorder="1" applyAlignment="1">
      <alignment horizontal="left" vertical="center" indent="1"/>
    </xf>
    <xf numFmtId="0" fontId="57" fillId="50" borderId="286" xfId="0" applyFont="1" applyFill="1" applyBorder="1" applyAlignment="1">
      <alignment horizontal="left" vertical="center" indent="1"/>
    </xf>
    <xf numFmtId="0" fontId="57" fillId="49" borderId="285" xfId="0" applyFont="1" applyFill="1" applyBorder="1" applyAlignment="1">
      <alignment horizontal="left" vertical="center" indent="1"/>
    </xf>
    <xf numFmtId="0" fontId="57" fillId="49" borderId="286" xfId="0" applyFont="1" applyFill="1" applyBorder="1" applyAlignment="1">
      <alignment horizontal="left" vertical="center" indent="1"/>
    </xf>
    <xf numFmtId="0" fontId="231" fillId="49" borderId="285" xfId="0" applyFont="1" applyFill="1" applyBorder="1" applyAlignment="1">
      <alignment horizontal="left" vertical="center" indent="1"/>
    </xf>
    <xf numFmtId="0" fontId="231" fillId="49" borderId="286" xfId="0" applyFont="1" applyFill="1" applyBorder="1" applyAlignment="1">
      <alignment horizontal="left" vertical="center" indent="1"/>
    </xf>
    <xf numFmtId="0" fontId="231" fillId="49" borderId="359" xfId="0" applyFont="1" applyFill="1" applyBorder="1" applyAlignment="1">
      <alignment horizontal="left" vertical="center" indent="1"/>
    </xf>
    <xf numFmtId="0" fontId="232" fillId="50" borderId="285" xfId="0" applyFont="1" applyFill="1" applyBorder="1" applyAlignment="1">
      <alignment horizontal="left" vertical="center" indent="1"/>
    </xf>
    <xf numFmtId="0" fontId="232" fillId="50" borderId="286" xfId="0" applyFont="1" applyFill="1" applyBorder="1" applyAlignment="1">
      <alignment horizontal="left" vertical="center" indent="1"/>
    </xf>
    <xf numFmtId="0" fontId="232" fillId="50" borderId="359" xfId="0" applyFont="1" applyFill="1" applyBorder="1" applyAlignment="1">
      <alignment horizontal="left" vertical="center" indent="1"/>
    </xf>
    <xf numFmtId="0" fontId="57" fillId="49" borderId="0" xfId="0" applyFont="1" applyFill="1" applyAlignment="1">
      <alignment horizontal="left" vertical="center" indent="1"/>
    </xf>
    <xf numFmtId="0" fontId="152" fillId="2" borderId="0" xfId="0" applyFont="1" applyFill="1" applyAlignment="1">
      <alignment horizontal="left"/>
    </xf>
    <xf numFmtId="0" fontId="232" fillId="50" borderId="285" xfId="0" applyFont="1" applyFill="1" applyBorder="1" applyAlignment="1" applyProtection="1">
      <alignment horizontal="left" vertical="center" indent="1"/>
      <protection hidden="1"/>
    </xf>
    <xf numFmtId="0" fontId="232" fillId="50" borderId="286" xfId="0" applyFont="1" applyFill="1" applyBorder="1" applyAlignment="1" applyProtection="1">
      <alignment horizontal="left" vertical="center" indent="1"/>
      <protection hidden="1"/>
    </xf>
    <xf numFmtId="0" fontId="232" fillId="50" borderId="359" xfId="0" applyFont="1" applyFill="1" applyBorder="1" applyAlignment="1" applyProtection="1">
      <alignment horizontal="left" vertical="center" indent="1"/>
      <protection hidden="1"/>
    </xf>
    <xf numFmtId="0" fontId="20" fillId="50" borderId="285" xfId="0" applyFont="1" applyFill="1" applyBorder="1" applyAlignment="1" applyProtection="1">
      <alignment horizontal="left" vertical="center" indent="1"/>
      <protection hidden="1"/>
    </xf>
    <xf numFmtId="0" fontId="20" fillId="50" borderId="286" xfId="0" applyFont="1" applyFill="1" applyBorder="1" applyAlignment="1" applyProtection="1">
      <alignment horizontal="left" vertical="center" indent="1"/>
      <protection hidden="1"/>
    </xf>
    <xf numFmtId="0" fontId="20" fillId="50" borderId="359" xfId="0" applyFont="1" applyFill="1" applyBorder="1" applyAlignment="1" applyProtection="1">
      <alignment horizontal="left" vertical="center" indent="1"/>
      <protection hidden="1"/>
    </xf>
    <xf numFmtId="0" fontId="57" fillId="50" borderId="0" xfId="0" applyFont="1" applyFill="1" applyAlignment="1">
      <alignment horizontal="left" vertical="center" indent="1"/>
    </xf>
    <xf numFmtId="0" fontId="57" fillId="50" borderId="359" xfId="0" applyFont="1" applyFill="1" applyBorder="1" applyAlignment="1">
      <alignment horizontal="left" vertical="center" indent="1"/>
    </xf>
    <xf numFmtId="0" fontId="223" fillId="49" borderId="285" xfId="0" applyFont="1" applyFill="1" applyBorder="1" applyAlignment="1">
      <alignment horizontal="left" vertical="center" indent="1"/>
    </xf>
    <xf numFmtId="0" fontId="223" fillId="49" borderId="286" xfId="0" applyFont="1" applyFill="1" applyBorder="1" applyAlignment="1">
      <alignment horizontal="left" vertical="center" indent="1"/>
    </xf>
    <xf numFmtId="0" fontId="223" fillId="49" borderId="359" xfId="0" applyFont="1" applyFill="1" applyBorder="1" applyAlignment="1">
      <alignment horizontal="left" vertical="center" indent="1"/>
    </xf>
    <xf numFmtId="0" fontId="20" fillId="50" borderId="285" xfId="0" applyFont="1" applyFill="1" applyBorder="1" applyAlignment="1">
      <alignment horizontal="left" vertical="center" indent="1"/>
    </xf>
    <xf numFmtId="0" fontId="20" fillId="50" borderId="286" xfId="0" applyFont="1" applyFill="1" applyBorder="1" applyAlignment="1">
      <alignment horizontal="left" vertical="center" indent="1"/>
    </xf>
    <xf numFmtId="0" fontId="20" fillId="50" borderId="359" xfId="0" applyFont="1" applyFill="1" applyBorder="1" applyAlignment="1">
      <alignment horizontal="left" vertical="center" indent="1"/>
    </xf>
  </cellXfs>
  <cellStyles count="6">
    <cellStyle name="Hiperlink" xfId="4" builtinId="8"/>
    <cellStyle name="Moeda" xfId="2" builtinId="4"/>
    <cellStyle name="Normal" xfId="0" builtinId="0"/>
    <cellStyle name="Normal 2" xfId="5" xr:uid="{7DB4792C-791F-452A-9CF2-7BB4C2353ACE}"/>
    <cellStyle name="Porcentagem" xfId="1" builtinId="5"/>
    <cellStyle name="Vírgula" xfId="3" builtinId="3"/>
  </cellStyles>
  <dxfs count="131"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FF0000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FF99"/>
        </patternFill>
      </fill>
    </dxf>
    <dxf>
      <font>
        <color rgb="FF9C0006"/>
      </font>
      <fill>
        <patternFill>
          <bgColor rgb="FFFFFFCC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theme="7" tint="0.79998168889431442"/>
        </patternFill>
      </fill>
    </dxf>
    <dxf>
      <fill>
        <patternFill>
          <bgColor rgb="FF00B0F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/>
        <color rgb="FFFF0000"/>
      </font>
    </dxf>
    <dxf>
      <font>
        <color rgb="FF9C0006"/>
      </font>
      <fill>
        <patternFill>
          <bgColor theme="7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59996337778862885"/>
        </patternFill>
      </fill>
    </dxf>
    <dxf>
      <fill>
        <patternFill>
          <fgColor theme="5" tint="0.59996337778862885"/>
          <bgColor theme="5" tint="0.59996337778862885"/>
        </patternFill>
      </fill>
    </dxf>
    <dxf>
      <fill>
        <patternFill>
          <bgColor theme="5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theme="5" tint="0.59996337778862885"/>
          <bgColor theme="5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59996337778862885"/>
        </patternFill>
      </fill>
    </dxf>
    <dxf>
      <font>
        <color theme="0" tint="-4.9989318521683403E-2"/>
      </font>
    </dxf>
    <dxf>
      <font>
        <color theme="0" tint="-0.3499862666707357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4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Arial"/>
        <family val="2"/>
        <scheme val="none"/>
      </font>
      <numFmt numFmtId="170" formatCode="_-* #,##0.000_-;\-* #,##0.000_-;_-* &quot;-&quot;??_-;_-@_-"/>
      <fill>
        <patternFill patternType="solid">
          <fgColor indexed="64"/>
          <bgColor theme="7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94" formatCode="0\ &quot;g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00"/>
        <name val="Aharoni"/>
        <charset val="177"/>
        <scheme val="none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 tint="-0.14990691854609822"/>
        </left>
        <right style="medium">
          <color theme="0" tint="-0.14990691854609822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39994506668294322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7"/>
      </font>
      <fill>
        <patternFill>
          <bgColor rgb="FFFF0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fgColor theme="0" tint="-0.34998626667073579"/>
          <bgColor theme="0" tint="-0.34998626667073579"/>
        </patternFill>
      </fill>
    </dxf>
    <dxf>
      <font>
        <color theme="0" tint="-0.34998626667073579"/>
      </font>
      <fill>
        <patternFill>
          <fgColor theme="0" tint="-0.34998626667073579"/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rgb="FFFF0000"/>
      </font>
    </dxf>
    <dxf>
      <font>
        <color theme="0"/>
      </font>
      <fill>
        <patternFill>
          <bgColor theme="0"/>
        </patternFill>
      </fill>
    </dxf>
    <dxf>
      <font>
        <b/>
        <color theme="1"/>
      </font>
      <border>
        <bottom style="thin">
          <color theme="7"/>
        </bottom>
        <vertical/>
        <horizontal/>
      </border>
    </dxf>
    <dxf>
      <font>
        <sz val="7.5"/>
        <color theme="1"/>
      </font>
      <fill>
        <gradientFill degree="90">
          <stop position="0">
            <color theme="0"/>
          </stop>
          <stop position="1">
            <color theme="4"/>
          </stop>
        </gradient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1"/>
      </font>
      <border>
        <bottom style="thin">
          <color theme="7"/>
        </bottom>
        <vertical/>
        <horizontal/>
      </border>
    </dxf>
    <dxf>
      <font>
        <sz val="7.5"/>
        <color theme="1"/>
      </font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1"/>
      </font>
      <border>
        <bottom style="thin">
          <color theme="7"/>
        </bottom>
        <vertical/>
        <horizontal/>
      </border>
    </dxf>
    <dxf>
      <font>
        <sz val="7.5"/>
        <color theme="1"/>
      </font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1"/>
      </font>
      <border>
        <bottom style="thin">
          <color theme="7"/>
        </bottom>
        <vertical/>
        <horizontal/>
      </border>
    </dxf>
    <dxf>
      <font>
        <sz val="7.5"/>
        <color theme="1"/>
      </font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  <dxf>
      <font>
        <b/>
        <color theme="1"/>
      </font>
      <border>
        <bottom style="thin">
          <color theme="7"/>
        </bottom>
        <vertical/>
        <horizontal/>
      </border>
    </dxf>
    <dxf>
      <font>
        <sz val="7.5"/>
        <color theme="1"/>
      </font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sz val="8"/>
        <color theme="1"/>
      </font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</dxfs>
  <tableStyles count="8" defaultTableStyle="TableStyleMedium2" defaultPivotStyle="PivotStyleLight16">
    <tableStyle name="IOMAR" pivot="0" table="0" count="10" xr9:uid="{ACABD59E-D856-43D0-86BF-40C5D320EA81}">
      <tableStyleElement type="wholeTable" dxfId="130"/>
      <tableStyleElement type="headerRow" dxfId="129"/>
    </tableStyle>
    <tableStyle name="IOMAR 2" pivot="0" table="0" count="10" xr9:uid="{1524FCED-551E-4483-83D5-EB4C324B7EC1}">
      <tableStyleElement type="wholeTable" dxfId="128"/>
      <tableStyleElement type="headerRow" dxfId="127"/>
    </tableStyle>
    <tableStyle name="IOMAR 3" pivot="0" table="0" count="10" xr9:uid="{AC0B20DA-803B-4608-BAC3-6AAE14A6058C}">
      <tableStyleElement type="wholeTable" dxfId="126"/>
      <tableStyleElement type="headerRow" dxfId="125"/>
    </tableStyle>
    <tableStyle name="SlicerStyleLight4 2" pivot="0" table="0" count="10" xr9:uid="{22A71032-55A4-4FEA-85C7-3FCAE97A4849}">
      <tableStyleElement type="wholeTable" dxfId="124"/>
      <tableStyleElement type="headerRow" dxfId="123"/>
    </tableStyle>
    <tableStyle name="SlicerStyleLight4 2 2" pivot="0" table="0" count="10" xr9:uid="{26249B98-1B89-42D5-89AF-2B748086A275}">
      <tableStyleElement type="wholeTable" dxfId="122"/>
      <tableStyleElement type="headerRow" dxfId="121"/>
    </tableStyle>
    <tableStyle name="SlicerStyleLight4 2 2 2" pivot="0" table="0" count="10" xr9:uid="{387567B2-57FC-4683-A594-66D0CE2EA8C9}">
      <tableStyleElement type="wholeTable" dxfId="120"/>
      <tableStyleElement type="headerRow" dxfId="119"/>
    </tableStyle>
    <tableStyle name="SlicerStyleLight4 2 2 2 2" pivot="0" table="0" count="10" xr9:uid="{371FE1AC-7341-48D1-BC2B-7679F828FEB3}">
      <tableStyleElement type="wholeTable" dxfId="118"/>
      <tableStyleElement type="headerRow" dxfId="117"/>
    </tableStyle>
    <tableStyle name="SlicerStyleLight4 2 3" pivot="0" table="0" count="10" xr9:uid="{6F3E7114-7E4E-476C-B918-00255B8B7F9F}">
      <tableStyleElement type="wholeTable" dxfId="116"/>
      <tableStyleElement type="headerRow" dxfId="115"/>
    </tableStyle>
  </tableStyles>
  <colors>
    <mruColors>
      <color rgb="FFFFFF99"/>
      <color rgb="FF0000FF"/>
      <color rgb="FF0070C0"/>
      <color rgb="FFFF9999"/>
      <color rgb="FF0033CC"/>
      <color rgb="FF006666"/>
      <color rgb="FFFFFF66"/>
      <color rgb="FFFF99FF"/>
      <color rgb="FFFFFFCC"/>
      <color rgb="FFFF99CC"/>
    </mruColors>
  </colors>
  <extLst>
    <ext xmlns:x14="http://schemas.microsoft.com/office/spreadsheetml/2009/9/main" uri="{46F421CA-312F-682f-3DD2-61675219B42D}">
      <x14:dxfs count="64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8" tint="-0.2499465926084170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8" tint="0.599963377788628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8" tint="-0.2499465926084170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IOMAR">
          <x14:slicerStyleElements>
            <x14:slicerStyleElement type="unselectedItemWithData" dxfId="63"/>
            <x14:slicerStyleElement type="unselectedItemWithNoData" dxfId="62"/>
            <x14:slicerStyleElement type="selectedItemWithData" dxfId="61"/>
            <x14:slicerStyleElement type="selectedItemWithNoData" dxfId="60"/>
            <x14:slicerStyleElement type="hoveredUnselectedItemWithData" dxfId="59"/>
            <x14:slicerStyleElement type="hoveredSelectedItemWithData" dxfId="58"/>
            <x14:slicerStyleElement type="hoveredUnselectedItemWithNoData" dxfId="57"/>
            <x14:slicerStyleElement type="hoveredSelectedItemWithNoData" dxfId="56"/>
          </x14:slicerStyleElements>
        </x14:slicerStyle>
        <x14:slicerStyle name="IOMAR 2">
          <x14:slicerStyleElements>
            <x14:slicerStyleElement type="unselectedItemWithData" dxfId="55"/>
            <x14:slicerStyleElement type="unselectedItemWithNoData" dxfId="54"/>
            <x14:slicerStyleElement type="selectedItemWithData" dxfId="53"/>
            <x14:slicerStyleElement type="selectedItemWithNoData" dxfId="52"/>
            <x14:slicerStyleElement type="hoveredUnselectedItemWithData" dxfId="51"/>
            <x14:slicerStyleElement type="hoveredSelectedItemWithData" dxfId="50"/>
            <x14:slicerStyleElement type="hoveredUnselectedItemWithNoData" dxfId="49"/>
            <x14:slicerStyleElement type="hoveredSelectedItemWithNoData" dxfId="48"/>
          </x14:slicerStyleElements>
        </x14:slicerStyle>
        <x14:slicerStyle name="IOMAR 3">
          <x14:slicerStyleElements>
            <x14:slicerStyleElement type="unselectedItemWithData" dxfId="47"/>
            <x14:slicerStyleElement type="unselectedItemWithNoData" dxfId="46"/>
            <x14:slicerStyleElement type="selectedItemWithData" dxfId="45"/>
            <x14:slicerStyleElement type="selectedItemWithNoData" dxfId="44"/>
            <x14:slicerStyleElement type="hoveredUnselectedItemWithData" dxfId="43"/>
            <x14:slicerStyleElement type="hoveredSelectedItemWithData" dxfId="42"/>
            <x14:slicerStyleElement type="hoveredUnselectedItemWithNoData" dxfId="41"/>
            <x14:slicerStyleElement type="hoveredSelectedItemWithNoData" dxfId="40"/>
          </x14:slicerStyleElements>
        </x14:slicerStyle>
        <x14:slicerStyle name="SlicerStyleLight4 2">
          <x14:slicerStyleElements>
            <x14:slicerStyleElement type="unselectedItemWithData" dxfId="39"/>
            <x14:slicerStyleElement type="unselectedItemWithNoData" dxfId="38"/>
            <x14:slicerStyleElement type="selectedItemWithData" dxfId="37"/>
            <x14:slicerStyleElement type="selectedItemWithNoData" dxfId="36"/>
            <x14:slicerStyleElement type="hoveredUnselectedItemWithData" dxfId="35"/>
            <x14:slicerStyleElement type="hoveredSelectedItemWithData" dxfId="34"/>
            <x14:slicerStyleElement type="hoveredUnselectedItemWithNoData" dxfId="33"/>
            <x14:slicerStyleElement type="hoveredSelectedItemWithNoData" dxfId="32"/>
          </x14:slicerStyleElements>
        </x14:slicerStyle>
        <x14:slicerStyle name="SlicerStyleLight4 2 2">
          <x14:slicerStyleElements>
            <x14:slicerStyleElement type="unselectedItemWithData" dxfId="31"/>
            <x14:slicerStyleElement type="unselectedItemWithNoData" dxfId="30"/>
            <x14:slicerStyleElement type="selectedItemWithData" dxfId="29"/>
            <x14:slicerStyleElement type="selectedItemWithNoData" dxfId="28"/>
            <x14:slicerStyleElement type="hoveredUnselectedItemWithData" dxfId="27"/>
            <x14:slicerStyleElement type="hoveredSelectedItemWithData" dxfId="26"/>
            <x14:slicerStyleElement type="hoveredUnselectedItemWithNoData" dxfId="25"/>
            <x14:slicerStyleElement type="hoveredSelectedItemWithNoData" dxfId="24"/>
          </x14:slicerStyleElements>
        </x14:slicerStyle>
        <x14:slicerStyle name="SlicerStyleLight4 2 2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StyleLight4 2 2 2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4 2 3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2.xml"/><Relationship Id="rId41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5.xml"/><Relationship Id="rId37" Type="http://schemas.openxmlformats.org/officeDocument/2006/relationships/calcChain" Target="calcChain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7/relationships/slicerCache" Target="slicerCaches/slicerCache1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microsoft.com/office/2007/relationships/slicerCache" Target="slicerCaches/slicerCache3.xml"/><Relationship Id="rId35" Type="http://schemas.openxmlformats.org/officeDocument/2006/relationships/styles" Target="styles.xml"/><Relationship Id="rId43" Type="http://schemas.microsoft.com/office/2017/06/relationships/rdRichValueStructure" Target="richData/rdrichvalue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7/relationships/slicerCache" Target="slicerCaches/slicerCache6.xml"/><Relationship Id="rId3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 baseline="0"/>
              <a:t>Alimentos adastrados</a:t>
            </a:r>
          </a:p>
          <a:p>
            <a:pPr>
              <a:defRPr sz="1200"/>
            </a:pPr>
            <a:r>
              <a:rPr lang="pt-BR" sz="1200" b="1" i="0" u="none" strike="noStrike" kern="1200" baseline="0">
                <a:solidFill>
                  <a:srgbClr val="000000">
                    <a:lumMod val="75000"/>
                    <a:lumOff val="25000"/>
                  </a:srgbClr>
                </a:solidFill>
              </a:rPr>
              <a:t>(Subgrupo)</a:t>
            </a:r>
            <a:endParaRPr lang="pt-BR" sz="1200"/>
          </a:p>
        </c:rich>
      </c:tx>
      <c:layout>
        <c:manualLayout>
          <c:xMode val="edge"/>
          <c:yMode val="edge"/>
          <c:x val="0.27835660656024536"/>
          <c:y val="4.69830127539042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56253119821739173"/>
          <c:y val="0.25282594807613856"/>
          <c:w val="0.31495501024073441"/>
          <c:h val="0.6746190890819153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>
              <a:outerShdw blurRad="254000" sx="102000" sy="102000" algn="ctr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MPR!$Y$5:$Y$15</c:f>
              <c:strCache>
                <c:ptCount val="11"/>
                <c:pt idx="0">
                  <c:v>Forragens Verdes</c:v>
                </c:pt>
                <c:pt idx="1">
                  <c:v>Concentrados Protéicos</c:v>
                </c:pt>
                <c:pt idx="2">
                  <c:v>Concentrados Energéticos</c:v>
                </c:pt>
                <c:pt idx="3">
                  <c:v>Premix Mineral</c:v>
                </c:pt>
                <c:pt idx="4">
                  <c:v>Núcleo</c:v>
                </c:pt>
                <c:pt idx="5">
                  <c:v>Fontes de Minerais</c:v>
                </c:pt>
                <c:pt idx="6">
                  <c:v>Silagens</c:v>
                </c:pt>
                <c:pt idx="7">
                  <c:v>Coprodutos</c:v>
                </c:pt>
                <c:pt idx="8">
                  <c:v>Forragens Secas</c:v>
                </c:pt>
                <c:pt idx="9">
                  <c:v>Fontes de Vitaminas</c:v>
                </c:pt>
                <c:pt idx="10">
                  <c:v>0</c:v>
                </c:pt>
              </c:strCache>
            </c:strRef>
          </c:cat>
          <c:val>
            <c:numRef>
              <c:f>MPR!$Z$5:$Z$15</c:f>
              <c:numCache>
                <c:formatCode>General</c:formatCode>
                <c:ptCount val="11"/>
                <c:pt idx="0">
                  <c:v>83</c:v>
                </c:pt>
                <c:pt idx="1">
                  <c:v>40</c:v>
                </c:pt>
                <c:pt idx="2">
                  <c:v>28</c:v>
                </c:pt>
                <c:pt idx="3">
                  <c:v>27</c:v>
                </c:pt>
                <c:pt idx="4">
                  <c:v>27</c:v>
                </c:pt>
                <c:pt idx="5">
                  <c:v>20</c:v>
                </c:pt>
                <c:pt idx="6">
                  <c:v>16</c:v>
                </c:pt>
                <c:pt idx="7">
                  <c:v>9</c:v>
                </c:pt>
                <c:pt idx="8">
                  <c:v>8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3FB-4380-ACEC-B05DEF66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22"/>
        <c:axId val="516258952"/>
        <c:axId val="516263632"/>
      </c:barChart>
      <c:valAx>
        <c:axId val="516263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6258952"/>
        <c:crosses val="autoZero"/>
        <c:crossBetween val="between"/>
      </c:valAx>
      <c:catAx>
        <c:axId val="516258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62636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75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Alimentos</a:t>
            </a:r>
            <a:r>
              <a:rPr lang="pt-BR" sz="1200" baseline="0"/>
              <a:t>  Cadastrados</a:t>
            </a:r>
          </a:p>
          <a:p>
            <a:pPr>
              <a:defRPr sz="1200"/>
            </a:pPr>
            <a:r>
              <a:rPr lang="pt-BR" sz="1200" baseline="0"/>
              <a:t>(Grupo)</a:t>
            </a:r>
            <a:endParaRPr lang="pt-BR" sz="1200"/>
          </a:p>
        </c:rich>
      </c:tx>
      <c:layout>
        <c:manualLayout>
          <c:xMode val="edge"/>
          <c:yMode val="edge"/>
          <c:x val="0.22593132775577932"/>
          <c:y val="4.76648692670539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546165062700495"/>
          <c:y val="0.35799077764439913"/>
          <c:w val="0.78811665208515602"/>
          <c:h val="0.5862022141809443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9E0-47B5-91FE-373210F88122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9E0-47B5-91FE-373210F88122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9E0-47B5-91FE-373210F88122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9E0-47B5-91FE-373210F88122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9E0-47B5-91FE-373210F88122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9E0-47B5-91FE-373210F88122}"/>
              </c:ext>
            </c:extLst>
          </c:dPt>
          <c:dPt>
            <c:idx val="6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9E0-47B5-91FE-373210F88122}"/>
              </c:ext>
            </c:extLst>
          </c:dPt>
          <c:dPt>
            <c:idx val="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9E0-47B5-91FE-373210F88122}"/>
              </c:ext>
            </c:extLst>
          </c:dPt>
          <c:dPt>
            <c:idx val="8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49E0-47B5-91FE-373210F88122}"/>
              </c:ext>
            </c:extLst>
          </c:dPt>
          <c:dPt>
            <c:idx val="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49E0-47B5-91FE-373210F88122}"/>
              </c:ext>
            </c:extLst>
          </c:dPt>
          <c:dPt>
            <c:idx val="10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49E0-47B5-91FE-373210F8812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MPR!$O$18:$O$19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MPR!$P$18:$P$19</c:f>
              <c:numCache>
                <c:formatCode>General</c:formatCode>
                <c:ptCount val="2"/>
                <c:pt idx="0">
                  <c:v>111</c:v>
                </c:pt>
                <c:pt idx="1">
                  <c:v>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9E0-47B5-91FE-373210F8812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2288553563713142"/>
          <c:y val="0.23381185273438632"/>
          <c:w val="0.7608247302420531"/>
          <c:h val="8.56165755919854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75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5.4724409448818874E-3"/>
          <c:w val="1"/>
          <c:h val="0.7001662292213473"/>
        </c:manualLayout>
      </c:layout>
      <c:barChart>
        <c:barDir val="col"/>
        <c:grouping val="clustered"/>
        <c:varyColors val="0"/>
        <c:ser>
          <c:idx val="1"/>
          <c:order val="1"/>
          <c:spPr>
            <a:solidFill>
              <a:srgbClr val="FF0000">
                <a:alpha val="0"/>
              </a:srgbClr>
            </a:solidFill>
            <a:ln w="38100">
              <a:solidFill>
                <a:schemeClr val="tx1"/>
              </a:solidFill>
            </a:ln>
            <a:effectLst/>
          </c:spPr>
          <c:invertIfNegative val="0"/>
          <c:cat>
            <c:strRef>
              <c:f>Apoio_Gráf!$B$2:$B$47</c:f>
              <c:strCache>
                <c:ptCount val="46"/>
                <c:pt idx="0">
                  <c:v>MN</c:v>
                </c:pt>
                <c:pt idx="1">
                  <c:v>MS</c:v>
                </c:pt>
                <c:pt idx="2">
                  <c:v>FDN</c:v>
                </c:pt>
                <c:pt idx="3">
                  <c:v>FDA</c:v>
                </c:pt>
                <c:pt idx="4">
                  <c:v>CNF</c:v>
                </c:pt>
                <c:pt idx="5">
                  <c:v>NDT</c:v>
                </c:pt>
                <c:pt idx="6">
                  <c:v>ED</c:v>
                </c:pt>
                <c:pt idx="7">
                  <c:v>EM</c:v>
                </c:pt>
                <c:pt idx="8">
                  <c:v>EL</c:v>
                </c:pt>
                <c:pt idx="9">
                  <c:v>EE</c:v>
                </c:pt>
                <c:pt idx="10">
                  <c:v>PB</c:v>
                </c:pt>
                <c:pt idx="11">
                  <c:v>PDR</c:v>
                </c:pt>
                <c:pt idx="12">
                  <c:v>PNDR</c:v>
                </c:pt>
                <c:pt idx="13">
                  <c:v>PM</c:v>
                </c:pt>
                <c:pt idx="14">
                  <c:v>PBNNP</c:v>
                </c:pt>
                <c:pt idx="15">
                  <c:v>Ca</c:v>
                </c:pt>
                <c:pt idx="16">
                  <c:v>P</c:v>
                </c:pt>
                <c:pt idx="17">
                  <c:v>Mg</c:v>
                </c:pt>
                <c:pt idx="18">
                  <c:v>Na</c:v>
                </c:pt>
                <c:pt idx="19">
                  <c:v>K</c:v>
                </c:pt>
                <c:pt idx="20">
                  <c:v>S</c:v>
                </c:pt>
                <c:pt idx="21">
                  <c:v>Cu</c:v>
                </c:pt>
                <c:pt idx="22">
                  <c:v>Zn</c:v>
                </c:pt>
                <c:pt idx="23">
                  <c:v>Fe</c:v>
                </c:pt>
                <c:pt idx="24">
                  <c:v>Mn</c:v>
                </c:pt>
                <c:pt idx="25">
                  <c:v>I</c:v>
                </c:pt>
                <c:pt idx="26">
                  <c:v>Co</c:v>
                </c:pt>
                <c:pt idx="27">
                  <c:v>Se</c:v>
                </c:pt>
                <c:pt idx="28">
                  <c:v>Lis</c:v>
                </c:pt>
                <c:pt idx="29">
                  <c:v>Met</c:v>
                </c:pt>
                <c:pt idx="30">
                  <c:v>Mon</c:v>
                </c:pt>
                <c:pt idx="31">
                  <c:v>Vit A</c:v>
                </c:pt>
                <c:pt idx="32">
                  <c:v>Vit B (UI)</c:v>
                </c:pt>
                <c:pt idx="33">
                  <c:v>Vit D (UI)</c:v>
                </c:pt>
                <c:pt idx="34">
                  <c:v>Vit E (UI)</c:v>
                </c:pt>
                <c:pt idx="35">
                  <c:v>Novo 01</c:v>
                </c:pt>
                <c:pt idx="36">
                  <c:v>Novo 02</c:v>
                </c:pt>
                <c:pt idx="37">
                  <c:v>Novo 03</c:v>
                </c:pt>
                <c:pt idx="38">
                  <c:v>Novo 04</c:v>
                </c:pt>
                <c:pt idx="39">
                  <c:v>Novo 05</c:v>
                </c:pt>
                <c:pt idx="40">
                  <c:v>Novo 06</c:v>
                </c:pt>
                <c:pt idx="41">
                  <c:v>Novo 07</c:v>
                </c:pt>
                <c:pt idx="42">
                  <c:v>Novo 08</c:v>
                </c:pt>
                <c:pt idx="43">
                  <c:v>Novo 09</c:v>
                </c:pt>
                <c:pt idx="44">
                  <c:v>VOL</c:v>
                </c:pt>
                <c:pt idx="45">
                  <c:v>CONC</c:v>
                </c:pt>
              </c:strCache>
            </c:strRef>
          </c:cat>
          <c:val>
            <c:numRef>
              <c:f>Apoio_Gráf!$E$2:$E$47</c:f>
              <c:numCache>
                <c:formatCode>0%</c:formatCode>
                <c:ptCount val="4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6C-42DB-8C09-D0FB16524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467755408"/>
        <c:axId val="467750008"/>
      </c:barChart>
      <c:barChart>
        <c:barDir val="col"/>
        <c:grouping val="clustered"/>
        <c:varyColors val="0"/>
        <c:ser>
          <c:idx val="0"/>
          <c:order val="0"/>
          <c:spPr>
            <a:solidFill>
              <a:srgbClr val="0070C0">
                <a:alpha val="38000"/>
              </a:srgbClr>
            </a:solidFill>
            <a:ln>
              <a:noFill/>
            </a:ln>
            <a:effectLst/>
          </c:spPr>
          <c:invertIfNegative val="0"/>
          <c:cat>
            <c:strRef>
              <c:f>Apoio_Gráf!$B$2:$B$47</c:f>
              <c:strCache>
                <c:ptCount val="46"/>
                <c:pt idx="0">
                  <c:v>MN</c:v>
                </c:pt>
                <c:pt idx="1">
                  <c:v>MS</c:v>
                </c:pt>
                <c:pt idx="2">
                  <c:v>FDN</c:v>
                </c:pt>
                <c:pt idx="3">
                  <c:v>FDA</c:v>
                </c:pt>
                <c:pt idx="4">
                  <c:v>CNF</c:v>
                </c:pt>
                <c:pt idx="5">
                  <c:v>NDT</c:v>
                </c:pt>
                <c:pt idx="6">
                  <c:v>ED</c:v>
                </c:pt>
                <c:pt idx="7">
                  <c:v>EM</c:v>
                </c:pt>
                <c:pt idx="8">
                  <c:v>EL</c:v>
                </c:pt>
                <c:pt idx="9">
                  <c:v>EE</c:v>
                </c:pt>
                <c:pt idx="10">
                  <c:v>PB</c:v>
                </c:pt>
                <c:pt idx="11">
                  <c:v>PDR</c:v>
                </c:pt>
                <c:pt idx="12">
                  <c:v>PNDR</c:v>
                </c:pt>
                <c:pt idx="13">
                  <c:v>PM</c:v>
                </c:pt>
                <c:pt idx="14">
                  <c:v>PBNNP</c:v>
                </c:pt>
                <c:pt idx="15">
                  <c:v>Ca</c:v>
                </c:pt>
                <c:pt idx="16">
                  <c:v>P</c:v>
                </c:pt>
                <c:pt idx="17">
                  <c:v>Mg</c:v>
                </c:pt>
                <c:pt idx="18">
                  <c:v>Na</c:v>
                </c:pt>
                <c:pt idx="19">
                  <c:v>K</c:v>
                </c:pt>
                <c:pt idx="20">
                  <c:v>S</c:v>
                </c:pt>
                <c:pt idx="21">
                  <c:v>Cu</c:v>
                </c:pt>
                <c:pt idx="22">
                  <c:v>Zn</c:v>
                </c:pt>
                <c:pt idx="23">
                  <c:v>Fe</c:v>
                </c:pt>
                <c:pt idx="24">
                  <c:v>Mn</c:v>
                </c:pt>
                <c:pt idx="25">
                  <c:v>I</c:v>
                </c:pt>
                <c:pt idx="26">
                  <c:v>Co</c:v>
                </c:pt>
                <c:pt idx="27">
                  <c:v>Se</c:v>
                </c:pt>
                <c:pt idx="28">
                  <c:v>Lis</c:v>
                </c:pt>
                <c:pt idx="29">
                  <c:v>Met</c:v>
                </c:pt>
                <c:pt idx="30">
                  <c:v>Mon</c:v>
                </c:pt>
                <c:pt idx="31">
                  <c:v>Vit A</c:v>
                </c:pt>
                <c:pt idx="32">
                  <c:v>Vit B (UI)</c:v>
                </c:pt>
                <c:pt idx="33">
                  <c:v>Vit D (UI)</c:v>
                </c:pt>
                <c:pt idx="34">
                  <c:v>Vit E (UI)</c:v>
                </c:pt>
                <c:pt idx="35">
                  <c:v>Novo 01</c:v>
                </c:pt>
                <c:pt idx="36">
                  <c:v>Novo 02</c:v>
                </c:pt>
                <c:pt idx="37">
                  <c:v>Novo 03</c:v>
                </c:pt>
                <c:pt idx="38">
                  <c:v>Novo 04</c:v>
                </c:pt>
                <c:pt idx="39">
                  <c:v>Novo 05</c:v>
                </c:pt>
                <c:pt idx="40">
                  <c:v>Novo 06</c:v>
                </c:pt>
                <c:pt idx="41">
                  <c:v>Novo 07</c:v>
                </c:pt>
                <c:pt idx="42">
                  <c:v>Novo 08</c:v>
                </c:pt>
                <c:pt idx="43">
                  <c:v>Novo 09</c:v>
                </c:pt>
                <c:pt idx="44">
                  <c:v>VOL</c:v>
                </c:pt>
                <c:pt idx="45">
                  <c:v>CONC</c:v>
                </c:pt>
              </c:strCache>
            </c:strRef>
          </c:cat>
          <c:val>
            <c:numRef>
              <c:f>Apoio_Gráf!$D$2:$D$47</c:f>
              <c:numCache>
                <c:formatCode>0%</c:formatCode>
                <c:ptCount val="46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1.0000000000000004</c:v>
                </c:pt>
                <c:pt idx="16">
                  <c:v>1</c:v>
                </c:pt>
                <c:pt idx="17">
                  <c:v>1</c:v>
                </c:pt>
                <c:pt idx="18">
                  <c:v>1.0000000000000002</c:v>
                </c:pt>
                <c:pt idx="19">
                  <c:v>1.0000000000000002</c:v>
                </c:pt>
                <c:pt idx="20">
                  <c:v>1</c:v>
                </c:pt>
                <c:pt idx="21">
                  <c:v>1.0000000000000002</c:v>
                </c:pt>
                <c:pt idx="22">
                  <c:v>0.99999999999999978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1.0000000000000002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6C-42DB-8C09-D0FB16524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583105752"/>
        <c:axId val="485346096"/>
      </c:barChart>
      <c:catAx>
        <c:axId val="4677554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67750008"/>
        <c:crosses val="autoZero"/>
        <c:auto val="1"/>
        <c:lblAlgn val="ctr"/>
        <c:lblOffset val="100"/>
        <c:noMultiLvlLbl val="0"/>
      </c:catAx>
      <c:valAx>
        <c:axId val="467750008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467755408"/>
        <c:crosses val="autoZero"/>
        <c:crossBetween val="between"/>
      </c:valAx>
      <c:valAx>
        <c:axId val="485346096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583105752"/>
        <c:crosses val="max"/>
        <c:crossBetween val="between"/>
      </c:valAx>
      <c:catAx>
        <c:axId val="583105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5346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842972214680072E-2"/>
          <c:y val="5.5555555555555552E-2"/>
          <c:w val="0.21367472169427099"/>
          <c:h val="0.8606342957130358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6A3-43B2-88E4-BF1D793724C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6A3-43B2-88E4-BF1D793724CE}"/>
              </c:ext>
            </c:extLst>
          </c:dPt>
          <c:dLbls>
            <c:delete val="1"/>
          </c:dLbls>
          <c:cat>
            <c:strRef>
              <c:f>'Ficha Mistura'!$K$61:$K$62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'Ficha Mistura'!$L$61:$L$62</c:f>
              <c:numCache>
                <c:formatCode>0.00</c:formatCode>
                <c:ptCount val="2"/>
                <c:pt idx="0">
                  <c:v>0</c:v>
                </c:pt>
                <c:pt idx="1">
                  <c:v>0.99999994080117671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A3-43B2-88E4-BF1D793724C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66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542999366458504"/>
          <c:y val="0.10255905511811024"/>
          <c:w val="0.40703122454520774"/>
          <c:h val="0.761525226013414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60000"/>
        <a:lumOff val="4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138864085288311E-2"/>
          <c:y val="7.2072072072072071E-2"/>
          <c:w val="0.21338239936502781"/>
          <c:h val="0.8391118677732850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51E-4B34-B40D-7F078CAB669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51E-4B34-B40D-7F078CAB669E}"/>
              </c:ext>
            </c:extLst>
          </c:dPt>
          <c:dLbls>
            <c:delete val="1"/>
          </c:dLbls>
          <c:cat>
            <c:strRef>
              <c:f>'Ficha Mistura'!$K$65:$K$66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'Ficha Mistura'!$L$65:$L$66</c:f>
              <c:numCache>
                <c:formatCode>0.00</c:formatCode>
                <c:ptCount val="2"/>
                <c:pt idx="0">
                  <c:v>0</c:v>
                </c:pt>
                <c:pt idx="1">
                  <c:v>0.99216764145481651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1E-4B34-B40D-7F078CAB669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66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809760893290398"/>
          <c:y val="0.11056678725970065"/>
          <c:w val="0.37578194478267529"/>
          <c:h val="0.729993615662906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75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'Ficha Mistura'!$K$60</c:f>
          <c:strCache>
            <c:ptCount val="1"/>
            <c:pt idx="0">
              <c:v>Matéria Natural (Dieta Total)</c:v>
            </c:pt>
          </c:strCache>
        </c:strRef>
      </c:tx>
      <c:layout>
        <c:manualLayout>
          <c:xMode val="edge"/>
          <c:yMode val="edge"/>
          <c:x val="0.3480463177396943"/>
          <c:y val="4.10083316591115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2522211461535221E-2"/>
          <c:y val="0.18408294722837165"/>
          <c:w val="0.51081157101351637"/>
          <c:h val="0.7236493802675351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4ED-40A6-91EF-BD8845B1E5D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4ED-40A6-91EF-BD8845B1E5D7}"/>
              </c:ext>
            </c:extLst>
          </c:dPt>
          <c:dLbls>
            <c:spPr>
              <a:no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'Ficha Mistura'!$K$61:$K$62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'Ficha Mistura'!$L$61:$L$62</c:f>
              <c:numCache>
                <c:formatCode>0.00</c:formatCode>
                <c:ptCount val="2"/>
                <c:pt idx="0">
                  <c:v>0</c:v>
                </c:pt>
                <c:pt idx="1">
                  <c:v>0.99999994080117671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E0-4213-A243-0AE32AD8F2F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659253021179846"/>
          <c:y val="0.41703726221080301"/>
          <c:w val="0.40703124119283091"/>
          <c:h val="0.234928544534218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'Ficha Mistura'!$K$64</c:f>
          <c:strCache>
            <c:ptCount val="1"/>
            <c:pt idx="0">
              <c:v>Matéria Seca (Dieta Total)</c:v>
            </c:pt>
          </c:strCache>
        </c:strRef>
      </c:tx>
      <c:layout>
        <c:manualLayout>
          <c:xMode val="edge"/>
          <c:yMode val="edge"/>
          <c:x val="0.40042780748663093"/>
          <c:y val="5.59946587362736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2247842014400613E-2"/>
          <c:y val="0.20067836702897418"/>
          <c:w val="0.49839976420059789"/>
          <c:h val="0.7010939355428120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C46-4A76-9C9B-4B43D8D597C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C46-4A76-9C9B-4B43D8D597C6}"/>
              </c:ext>
            </c:extLst>
          </c:dPt>
          <c:dLbls>
            <c:spPr>
              <a:no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'Ficha Mistura'!$K$65:$K$66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'Ficha Mistura'!$L$65:$L$66</c:f>
              <c:numCache>
                <c:formatCode>0.00</c:formatCode>
                <c:ptCount val="2"/>
                <c:pt idx="0">
                  <c:v>0</c:v>
                </c:pt>
                <c:pt idx="1">
                  <c:v>0.99216764145481651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46-4A76-9C9B-4B43D8D597C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55886984715145"/>
          <c:y val="0.42292744088454964"/>
          <c:w val="0.41236475361839614"/>
          <c:h val="0.212442225551824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lumMod val="95000"/>
                  <a:lumOff val="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'Ficha Mistura'!$B$44:$B$68</c:f>
              <c:strCache>
                <c:ptCount val="12"/>
                <c:pt idx="0">
                  <c:v>Fosfato Bicálcico</c:v>
                </c:pt>
                <c:pt idx="1">
                  <c:v>Cloreto de Potássio</c:v>
                </c:pt>
                <c:pt idx="2">
                  <c:v>Sal Comum (NaCl)</c:v>
                </c:pt>
                <c:pt idx="3">
                  <c:v>Sulfato Magnésio</c:v>
                </c:pt>
                <c:pt idx="4">
                  <c:v>Óxido de Magnésio</c:v>
                </c:pt>
                <c:pt idx="5">
                  <c:v>Flor de S </c:v>
                </c:pt>
                <c:pt idx="6">
                  <c:v>Sulfato de Zinco</c:v>
                </c:pt>
                <c:pt idx="7">
                  <c:v>Sulfato de Manganês</c:v>
                </c:pt>
                <c:pt idx="8">
                  <c:v>SULFATO COBRE</c:v>
                </c:pt>
                <c:pt idx="9">
                  <c:v>Iodato de Potássio</c:v>
                </c:pt>
                <c:pt idx="10">
                  <c:v>Selenito de Sódio</c:v>
                </c:pt>
                <c:pt idx="11">
                  <c:v>Sulfato Cobalto</c:v>
                </c:pt>
              </c:strCache>
            </c:strRef>
          </c:cat>
          <c:val>
            <c:numRef>
              <c:f>'Ficha Mistura'!$D$44:$D$68</c:f>
              <c:numCache>
                <c:formatCode>#,##0.000</c:formatCode>
                <c:ptCount val="25"/>
                <c:pt idx="0">
                  <c:v>4084.0200668503439</c:v>
                </c:pt>
                <c:pt idx="1">
                  <c:v>2513.3360739953414</c:v>
                </c:pt>
                <c:pt idx="2">
                  <c:v>1080.1474614696185</c:v>
                </c:pt>
                <c:pt idx="3">
                  <c:v>511.32122463305132</c:v>
                </c:pt>
                <c:pt idx="4">
                  <c:v>403.5703020462002</c:v>
                </c:pt>
                <c:pt idx="5">
                  <c:v>333.35953449057143</c:v>
                </c:pt>
                <c:pt idx="6">
                  <c:v>46.175434885744906</c:v>
                </c:pt>
                <c:pt idx="7">
                  <c:v>13.872578018289166</c:v>
                </c:pt>
                <c:pt idx="8">
                  <c:v>13.590193478918671</c:v>
                </c:pt>
                <c:pt idx="9">
                  <c:v>0.30354131534569984</c:v>
                </c:pt>
                <c:pt idx="10">
                  <c:v>0.15789473684210528</c:v>
                </c:pt>
                <c:pt idx="11">
                  <c:v>0.14516129032258066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AB-41AD-A7BA-8A32B72CBAE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6"/>
        <c:axId val="614173472"/>
        <c:axId val="614172032"/>
      </c:barChart>
      <c:catAx>
        <c:axId val="6141734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14172032"/>
        <c:crosses val="autoZero"/>
        <c:auto val="1"/>
        <c:lblAlgn val="ctr"/>
        <c:lblOffset val="100"/>
        <c:noMultiLvlLbl val="0"/>
      </c:catAx>
      <c:valAx>
        <c:axId val="614172032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crossAx val="61417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lumMod val="95000"/>
                  <a:lumOff val="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multiLvlStrRef>
              <c:f>'Ficha Mistura'!$B$94:$B$118</c:f>
            </c:multiLvlStrRef>
          </c:cat>
          <c:val>
            <c:numRef>
              <c:f>'Ficha Mistura'!$D$94:$D$118</c:f>
              <c:numCache>
                <c:formatCode>#,##0.000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8F-4A90-9282-6B168F272F9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6"/>
        <c:axId val="614173472"/>
        <c:axId val="614172032"/>
      </c:barChart>
      <c:catAx>
        <c:axId val="6141734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14172032"/>
        <c:crosses val="autoZero"/>
        <c:auto val="1"/>
        <c:lblAlgn val="ctr"/>
        <c:lblOffset val="100"/>
        <c:noMultiLvlLbl val="0"/>
      </c:catAx>
      <c:valAx>
        <c:axId val="614172032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crossAx val="61417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'Ficha Mistura'!$K$55</c:f>
          <c:strCache>
            <c:ptCount val="1"/>
            <c:pt idx="0">
              <c:v>Custo (R$/kg)</c:v>
            </c:pt>
          </c:strCache>
        </c:strRef>
      </c:tx>
      <c:layout>
        <c:manualLayout>
          <c:xMode val="edge"/>
          <c:yMode val="edge"/>
          <c:x val="0.48188235294117648"/>
          <c:y val="4.39588089626329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0867573371510385E-2"/>
          <c:y val="0.12604377827121602"/>
          <c:w val="0.56567737588951117"/>
          <c:h val="0.7836873484264784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39A-4543-B61F-99FECE5B9115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39A-4543-B61F-99FECE5B9115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9A-4543-B61F-99FECE5B911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9A-4543-B61F-99FECE5B9115}"/>
                </c:ext>
              </c:extLst>
            </c:dLbl>
            <c:spPr>
              <a:no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'Ficha Mistura'!$K$57:$K$58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'Ficha Mistura'!$L$57:$L$58</c:f>
              <c:numCache>
                <c:formatCode>#,##0.00</c:formatCode>
                <c:ptCount val="2"/>
                <c:pt idx="0" formatCode="0.00">
                  <c:v>0</c:v>
                </c:pt>
                <c:pt idx="1">
                  <c:v>1.060780125726541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9A-4543-B61F-99FECE5B911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55886984715145"/>
          <c:y val="0.39885574133726825"/>
          <c:w val="0.41236475361839614"/>
          <c:h val="0.260585624646387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'Ficha Mistura'!$K$50</c:f>
          <c:strCache>
            <c:ptCount val="1"/>
            <c:pt idx="0">
              <c:v>Custo (R$/Dia/Animal)</c:v>
            </c:pt>
          </c:strCache>
        </c:strRef>
      </c:tx>
      <c:layout>
        <c:manualLayout>
          <c:xMode val="edge"/>
          <c:yMode val="edge"/>
          <c:x val="0.38297326203208548"/>
          <c:y val="4.46842769155244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2247842014400613E-2"/>
          <c:y val="0.16215132759213821"/>
          <c:w val="0.53573085182533997"/>
          <c:h val="0.7536072010394425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2D8-4CDA-9FDD-A0D0B23F6DB1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2D8-4CDA-9FDD-A0D0B23F6DB1}"/>
              </c:ext>
            </c:extLst>
          </c:dPt>
          <c:dLbls>
            <c:spPr>
              <a:no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'Ficha Mistura'!$K$52:$K$53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'Ficha Mistura'!$L$52:$L$53</c:f>
              <c:numCache>
                <c:formatCode>0.00</c:formatCode>
                <c:ptCount val="2"/>
                <c:pt idx="0">
                  <c:v>0</c:v>
                </c:pt>
                <c:pt idx="1">
                  <c:v>1.0607800629296058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D8-4CDA-9FDD-A0D0B23F6DB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847639900627388"/>
          <c:y val="0.39885574133726825"/>
          <c:w val="0.41236475361839614"/>
          <c:h val="0.254567699759567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pin" dx="22" fmlaLink="Nutrientes!$A$1" inc="3" max="10" min="1" page="10"/>
</file>

<file path=xl/ctrlProps/ctrlProp2.xml><?xml version="1.0" encoding="utf-8"?>
<formControlPr xmlns="http://schemas.microsoft.com/office/spreadsheetml/2009/9/main" objectType="Drop" dropLines="4" dropStyle="combo" dx="22" fmlaLink="'Calc.Exg'!$A$23" fmlaRange="'Calc.Exg'!$B$3:$B$4" noThreeD="1" sel="1" val="0"/>
</file>

<file path=xl/ctrlProps/ctrlProp3.xml><?xml version="1.0" encoding="utf-8"?>
<formControlPr xmlns="http://schemas.microsoft.com/office/spreadsheetml/2009/9/main" objectType="Drop" dropLines="3" dropStyle="combo" dx="22" fmlaLink="'Calc.Exg'!$A$24" fmlaRange="'Calc.Exg'!$B$6:$B$7" noThreeD="1" sel="1" val="0"/>
</file>

<file path=xl/ctrlProps/ctrlProp4.xml><?xml version="1.0" encoding="utf-8"?>
<formControlPr xmlns="http://schemas.microsoft.com/office/spreadsheetml/2009/9/main" objectType="Drop" dropStyle="combo" dx="22" fmlaLink="'Calc.Exg'!$A$25" fmlaRange="'Calc.Exg'!$B$9:$B$15" noThreeD="1" sel="1" val="0"/>
</file>

<file path=xl/ctrlProps/ctrlProp5.xml><?xml version="1.0" encoding="utf-8"?>
<formControlPr xmlns="http://schemas.microsoft.com/office/spreadsheetml/2009/9/main" objectType="Drop" dropLines="3" dropStyle="combo" dx="22" fmlaLink="'Calc.Exg'!$A$26" fmlaRange="'Calc.Exg'!$B$16:$B$17" noThreeD="1" sel="2" val="0"/>
</file>

<file path=xl/ctrlProps/ctrlProp6.xml><?xml version="1.0" encoding="utf-8"?>
<formControlPr xmlns="http://schemas.microsoft.com/office/spreadsheetml/2009/9/main" objectType="Spin" dx="22" fmlaLink="$C$5" max="600" min="100" page="10" val="251"/>
</file>

<file path=xl/ctrlProps/ctrlProp7.xml><?xml version="1.0" encoding="utf-8"?>
<formControlPr xmlns="http://schemas.microsoft.com/office/spreadsheetml/2009/9/main" objectType="Spin" dx="16" fmlaLink="Base.BC!$F$10" inc="10" max="3000" min="1" page="10" val="501"/>
</file>

<file path=xl/ctrlProps/ctrlProp8.xml><?xml version="1.0" encoding="utf-8"?>
<formControlPr xmlns="http://schemas.microsoft.com/office/spreadsheetml/2009/9/main" objectType="Spin" dx="16" fmlaLink="Base.BC!$D$9" max="30" min="1" page="10" val="20"/>
</file>

<file path=xl/ctrlProps/ctrlProp9.xml><?xml version="1.0" encoding="utf-8"?>
<formControlPr xmlns="http://schemas.microsoft.com/office/spreadsheetml/2009/9/main" objectType="Spin" dx="22" fmlaLink="BC!$F$5" max="295" min="1" page="10" val="185"/>
</file>

<file path=xl/ctrlProps/ctrlProp10.xml><?xml version="1.0" encoding="utf-8"?>
<formControlPr xmlns="http://schemas.microsoft.com/office/spreadsheetml/2009/9/main" objectType="Spin" dx="22" fmlaLink="Base.BC!$AY$190" max="9" min="1" page="10" val="5"/>
</file>

<file path=xl/ctrlProps/ctrlProp11.xml><?xml version="1.0" encoding="utf-8"?>
<formControlPr xmlns="http://schemas.microsoft.com/office/spreadsheetml/2009/9/main" objectType="Spin" dx="22" fmlaLink="Base.BC!$AY$191" max="45" min="25" page="10" val="33"/>
</file>

<file path=xl/ctrlProps/ctrlProp12.xml><?xml version="1.0" encoding="utf-8"?>
<formControlPr xmlns="http://schemas.microsoft.com/office/spreadsheetml/2009/9/main" objectType="Spin" dx="22" fmlaLink="Base.BC!$AY$190" max="9" min="1" page="10" val="5"/>
</file>

<file path=xl/ctrlProps/ctrlProp13.xml><?xml version="1.0" encoding="utf-8"?>
<formControlPr xmlns="http://schemas.microsoft.com/office/spreadsheetml/2009/9/main" objectType="Drop" dropLines="30" dropStyle="combo" dx="22" fmlaLink="Base.BL!$A$2" fmlaRange="Exigencia.Vacas" noThreeD="1" sel="13" val="0"/>
</file>

<file path=xl/ctrlProps/ctrlProp14.xml><?xml version="1.0" encoding="utf-8"?>
<formControlPr xmlns="http://schemas.microsoft.com/office/spreadsheetml/2009/9/main" objectType="Spin" dx="22" fmlaLink="$H$5" max="285" page="10" val="4"/>
</file>

<file path=xl/ctrlProps/ctrlProp15.xml><?xml version="1.0" encoding="utf-8"?>
<formControlPr xmlns="http://schemas.microsoft.com/office/spreadsheetml/2009/9/main" objectType="Spin" dx="22" fmlaLink="Base.BL!$F$16" inc="10" max="2000" page="10" val="0"/>
</file>

<file path=xl/ctrlProps/ctrlProp16.xml><?xml version="1.0" encoding="utf-8"?>
<formControlPr xmlns="http://schemas.microsoft.com/office/spreadsheetml/2009/9/main" objectType="Spin" dx="16" fmlaLink="$F$10" inc="10" max="3000" min="1" page="10" val="501"/>
</file>

<file path=xl/ctrlProps/ctrlProp17.xml><?xml version="1.0" encoding="utf-8"?>
<formControlPr xmlns="http://schemas.microsoft.com/office/spreadsheetml/2009/9/main" objectType="Spin" dx="16" fmlaLink="$D$9" max="30" min="1" page="10" val="20"/>
</file>

<file path=xl/ctrlProps/ctrlProp18.xml><?xml version="1.0" encoding="utf-8"?>
<formControlPr xmlns="http://schemas.microsoft.com/office/spreadsheetml/2009/9/main" objectType="Spin" dx="22" fmlaLink="BC!$F$5" max="295" min="1" page="10" val="185"/>
</file>

<file path=xl/ctrlProps/ctrlProp19.xml><?xml version="1.0" encoding="utf-8"?>
<formControlPr xmlns="http://schemas.microsoft.com/office/spreadsheetml/2009/9/main" objectType="Spin" dx="22" fmlaLink="$AY$190" max="9" min="1" page="10" val="5"/>
</file>

<file path=xl/ctrlProps/ctrlProp20.xml><?xml version="1.0" encoding="utf-8"?>
<formControlPr xmlns="http://schemas.microsoft.com/office/spreadsheetml/2009/9/main" objectType="Spin" dx="22" fmlaLink="$AY$191" max="45" min="25" page="10" val="33"/>
</file>

<file path=xl/ctrlProps/ctrlProp21.xml><?xml version="1.0" encoding="utf-8"?>
<formControlPr xmlns="http://schemas.microsoft.com/office/spreadsheetml/2009/9/main" objectType="Spin" dx="16" fmlaLink="BC!$C$5" max="600" min="100" page="10" val="251"/>
</file>

<file path=xl/ctrlProps/ctrlProp22.xml><?xml version="1.0" encoding="utf-8"?>
<formControlPr xmlns="http://schemas.microsoft.com/office/spreadsheetml/2009/9/main" objectType="Spin" dx="16" fmlaLink="$D$9" max="30" min="1" page="10" val="20"/>
</file>

<file path=xl/ctrlProps/ctrlProp23.xml><?xml version="1.0" encoding="utf-8"?>
<formControlPr xmlns="http://schemas.microsoft.com/office/spreadsheetml/2009/9/main" objectType="Drop" dropLines="30" dropStyle="combo" dx="22" fmlaLink="Base.BL!$A$2" fmlaRange="Exigencia.Vacas" noThreeD="1" sel="13" val="0"/>
</file>

<file path=xl/ctrlProps/ctrlProp24.xml><?xml version="1.0" encoding="utf-8"?>
<formControlPr xmlns="http://schemas.microsoft.com/office/spreadsheetml/2009/9/main" objectType="Radio" checked="Checked" firstButton="1" fmlaLink="$B$20" lockText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Drop" dropLines="50" dropStyle="combo" dx="22" fmlaLink="MPR!$E$60" fmlaRange="Sel.Exigência" noThreeD="1" sel="4" val="0"/>
</file>

<file path=xl/ctrlProps/ctrlProp28.xml><?xml version="1.0" encoding="utf-8"?>
<formControlPr xmlns="http://schemas.microsoft.com/office/spreadsheetml/2009/9/main" objectType="Spin" dx="22" fmlaLink="Nutrientes!$A$1" inc="3" max="10" min="1" page="10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Drop" dropStyle="combo" dx="22" fmlaLink="MPR!$A$114" fmlaRange="MPR!$B$115:$B$118" sel="1" val="0"/>
</file>

<file path=xl/ctrlProps/ctrlProp49.xml><?xml version="1.0" encoding="utf-8"?>
<formControlPr xmlns="http://schemas.microsoft.com/office/spreadsheetml/2009/9/main" objectType="Drop" dropLines="3" dropStyle="combo" dx="22" fmlaLink="MPR!$A$121" fmlaRange="ConsumoPV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openxmlformats.org/officeDocument/2006/relationships/image" Target="../media/image11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12" Type="http://schemas.openxmlformats.org/officeDocument/2006/relationships/image" Target="../media/image10.png"/><Relationship Id="rId2" Type="http://schemas.openxmlformats.org/officeDocument/2006/relationships/chart" Target="../charts/chart2.xml"/><Relationship Id="rId16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svg"/><Relationship Id="rId11" Type="http://schemas.openxmlformats.org/officeDocument/2006/relationships/image" Target="../media/image9.jpeg"/><Relationship Id="rId5" Type="http://schemas.openxmlformats.org/officeDocument/2006/relationships/image" Target="../media/image4.png"/><Relationship Id="rId15" Type="http://schemas.openxmlformats.org/officeDocument/2006/relationships/image" Target="../media/image13.png"/><Relationship Id="rId10" Type="http://schemas.openxmlformats.org/officeDocument/2006/relationships/image" Target="../media/image8.png"/><Relationship Id="rId4" Type="http://schemas.openxmlformats.org/officeDocument/2006/relationships/image" Target="../media/image3.svg"/><Relationship Id="rId9" Type="http://schemas.openxmlformats.org/officeDocument/2006/relationships/image" Target="../media/image7.png"/><Relationship Id="rId14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svg"/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svg"/><Relationship Id="rId2" Type="http://schemas.openxmlformats.org/officeDocument/2006/relationships/image" Target="../media/image16.png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18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chart" Target="../charts/chart4.xml"/><Relationship Id="rId7" Type="http://schemas.openxmlformats.org/officeDocument/2006/relationships/image" Target="../media/image18.png"/><Relationship Id="rId2" Type="http://schemas.openxmlformats.org/officeDocument/2006/relationships/hyperlink" Target="#'Calcular Dieta'!H9"/><Relationship Id="rId1" Type="http://schemas.openxmlformats.org/officeDocument/2006/relationships/chart" Target="../charts/chart3.xml"/><Relationship Id="rId6" Type="http://schemas.openxmlformats.org/officeDocument/2006/relationships/image" Target="../media/image20.svg"/><Relationship Id="rId11" Type="http://schemas.openxmlformats.org/officeDocument/2006/relationships/image" Target="../media/image1.png"/><Relationship Id="rId5" Type="http://schemas.openxmlformats.org/officeDocument/2006/relationships/image" Target="../media/image19.png"/><Relationship Id="rId10" Type="http://schemas.openxmlformats.org/officeDocument/2006/relationships/hyperlink" Target="#'Calcular Dieta'!BL8"/><Relationship Id="rId4" Type="http://schemas.openxmlformats.org/officeDocument/2006/relationships/chart" Target="../charts/chart5.xml"/><Relationship Id="rId9" Type="http://schemas.openxmlformats.org/officeDocument/2006/relationships/image" Target="../media/image2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7" Type="http://schemas.openxmlformats.org/officeDocument/2006/relationships/image" Target="../media/image1.png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3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1.png"/><Relationship Id="rId18" Type="http://schemas.openxmlformats.org/officeDocument/2006/relationships/image" Target="../media/image35.png"/><Relationship Id="rId26" Type="http://schemas.openxmlformats.org/officeDocument/2006/relationships/hyperlink" Target="#'Apoio Mineral'!A27"/><Relationship Id="rId39" Type="http://schemas.openxmlformats.org/officeDocument/2006/relationships/image" Target="../media/image39.png"/><Relationship Id="rId21" Type="http://schemas.openxmlformats.org/officeDocument/2006/relationships/hyperlink" Target="#'Calcular Dieta'!BL8"/><Relationship Id="rId34" Type="http://schemas.openxmlformats.org/officeDocument/2006/relationships/hyperlink" Target="#Configura&#231;&#245;es!C7"/><Relationship Id="rId42" Type="http://schemas.openxmlformats.org/officeDocument/2006/relationships/image" Target="../media/image40.png"/><Relationship Id="rId7" Type="http://schemas.openxmlformats.org/officeDocument/2006/relationships/image" Target="../media/image29.png"/><Relationship Id="rId2" Type="http://schemas.openxmlformats.org/officeDocument/2006/relationships/image" Target="../media/image25.svg"/><Relationship Id="rId16" Type="http://schemas.microsoft.com/office/2007/relationships/hdphoto" Target="../media/hdphoto4.wdp"/><Relationship Id="rId20" Type="http://schemas.openxmlformats.org/officeDocument/2006/relationships/image" Target="../media/image1.png"/><Relationship Id="rId29" Type="http://schemas.openxmlformats.org/officeDocument/2006/relationships/hyperlink" Target="#'Calcular Dieta'!H9"/><Relationship Id="rId41" Type="http://schemas.openxmlformats.org/officeDocument/2006/relationships/hyperlink" Target="#OC!A15"/><Relationship Id="rId1" Type="http://schemas.openxmlformats.org/officeDocument/2006/relationships/image" Target="../media/image24.png"/><Relationship Id="rId6" Type="http://schemas.openxmlformats.org/officeDocument/2006/relationships/image" Target="../media/image28.svg"/><Relationship Id="rId11" Type="http://schemas.openxmlformats.org/officeDocument/2006/relationships/image" Target="../media/image30.png"/><Relationship Id="rId24" Type="http://schemas.openxmlformats.org/officeDocument/2006/relationships/hyperlink" Target="#Alimentos!A1"/><Relationship Id="rId32" Type="http://schemas.openxmlformats.org/officeDocument/2006/relationships/hyperlink" Target="#'Relat&#243;rio Financeiro'!C7"/><Relationship Id="rId37" Type="http://schemas.microsoft.com/office/2007/relationships/hdphoto" Target="../media/hdphoto5.wdp"/><Relationship Id="rId40" Type="http://schemas.microsoft.com/office/2007/relationships/hdphoto" Target="../media/hdphoto6.wdp"/><Relationship Id="rId5" Type="http://schemas.openxmlformats.org/officeDocument/2006/relationships/image" Target="../media/image27.png"/><Relationship Id="rId15" Type="http://schemas.openxmlformats.org/officeDocument/2006/relationships/image" Target="../media/image33.png"/><Relationship Id="rId23" Type="http://schemas.openxmlformats.org/officeDocument/2006/relationships/image" Target="../media/image37.png"/><Relationship Id="rId28" Type="http://schemas.openxmlformats.org/officeDocument/2006/relationships/hyperlink" Target="#'Ficha Mistura'!A1"/><Relationship Id="rId36" Type="http://schemas.openxmlformats.org/officeDocument/2006/relationships/image" Target="../media/image38.png"/><Relationship Id="rId10" Type="http://schemas.openxmlformats.org/officeDocument/2006/relationships/hyperlink" Target="https://wa.me/5599999536677" TargetMode="External"/><Relationship Id="rId19" Type="http://schemas.openxmlformats.org/officeDocument/2006/relationships/image" Target="../media/image36.png"/><Relationship Id="rId31" Type="http://schemas.openxmlformats.org/officeDocument/2006/relationships/hyperlink" Target="#Clientes!A1"/><Relationship Id="rId44" Type="http://schemas.openxmlformats.org/officeDocument/2006/relationships/image" Target="../media/image7.png"/><Relationship Id="rId4" Type="http://schemas.microsoft.com/office/2007/relationships/hdphoto" Target="../media/hdphoto2.wdp"/><Relationship Id="rId9" Type="http://schemas.openxmlformats.org/officeDocument/2006/relationships/image" Target="../media/image13.png"/><Relationship Id="rId14" Type="http://schemas.openxmlformats.org/officeDocument/2006/relationships/image" Target="../media/image32.png"/><Relationship Id="rId22" Type="http://schemas.openxmlformats.org/officeDocument/2006/relationships/hyperlink" Target="#Proteinado!A51"/><Relationship Id="rId27" Type="http://schemas.openxmlformats.org/officeDocument/2006/relationships/hyperlink" Target="#Exig&#234;ncia!A1"/><Relationship Id="rId30" Type="http://schemas.openxmlformats.org/officeDocument/2006/relationships/hyperlink" Target="#Proteinado!A11"/><Relationship Id="rId35" Type="http://schemas.openxmlformats.org/officeDocument/2006/relationships/hyperlink" Target="#BL!A15"/><Relationship Id="rId43" Type="http://schemas.microsoft.com/office/2007/relationships/hdphoto" Target="../media/hdphoto7.wdp"/><Relationship Id="rId8" Type="http://schemas.openxmlformats.org/officeDocument/2006/relationships/image" Target="../media/image12.png"/><Relationship Id="rId3" Type="http://schemas.openxmlformats.org/officeDocument/2006/relationships/image" Target="../media/image26.png"/><Relationship Id="rId12" Type="http://schemas.microsoft.com/office/2007/relationships/hdphoto" Target="../media/hdphoto3.wdp"/><Relationship Id="rId17" Type="http://schemas.openxmlformats.org/officeDocument/2006/relationships/image" Target="../media/image34.png"/><Relationship Id="rId25" Type="http://schemas.openxmlformats.org/officeDocument/2006/relationships/hyperlink" Target="#Atendimento!C7"/><Relationship Id="rId33" Type="http://schemas.openxmlformats.org/officeDocument/2006/relationships/hyperlink" Target="#Batida!C7"/><Relationship Id="rId38" Type="http://schemas.openxmlformats.org/officeDocument/2006/relationships/hyperlink" Target="#BC!A1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20</xdr:col>
      <xdr:colOff>247650</xdr:colOff>
      <xdr:row>2</xdr:row>
      <xdr:rowOff>19050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13963650" cy="428625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PFDR</a:t>
          </a:r>
          <a:r>
            <a:rPr lang="pt-BR" sz="1800" b="1" baseline="0">
              <a:solidFill>
                <a:schemeClr val="bg1"/>
              </a:solidFill>
            </a:rPr>
            <a:t> - PROGRAMA DE FORMULAÇÃO DE DIETAS PARA RUMINANTES 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104775</xdr:colOff>
      <xdr:row>0</xdr:row>
      <xdr:rowOff>66675</xdr:rowOff>
    </xdr:from>
    <xdr:to>
      <xdr:col>0</xdr:col>
      <xdr:colOff>409575</xdr:colOff>
      <xdr:row>1</xdr:row>
      <xdr:rowOff>190501</xdr:rowOff>
    </xdr:to>
    <xdr:pic macro="[0]!Menu_Aparecer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66675"/>
          <a:ext cx="304800" cy="3048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31</xdr:row>
      <xdr:rowOff>152400</xdr:rowOff>
    </xdr:from>
    <xdr:to>
      <xdr:col>18</xdr:col>
      <xdr:colOff>4828</xdr:colOff>
      <xdr:row>34</xdr:row>
      <xdr:rowOff>134155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238125" y="5981700"/>
          <a:ext cx="11949178" cy="52468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 i="1">
              <a:solidFill>
                <a:schemeClr val="bg1"/>
              </a:solidFill>
            </a:rPr>
            <a:t>By</a:t>
          </a:r>
          <a:r>
            <a:rPr lang="pt-BR" sz="1000" b="0" i="1" baseline="0">
              <a:solidFill>
                <a:schemeClr val="bg1"/>
              </a:solidFill>
            </a:rPr>
            <a:t> Iomar Bezerra da Silva</a:t>
          </a:r>
          <a:endParaRPr lang="pt-BR" sz="1000" b="0" i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238125</xdr:colOff>
      <xdr:row>2</xdr:row>
      <xdr:rowOff>57150</xdr:rowOff>
    </xdr:from>
    <xdr:to>
      <xdr:col>18</xdr:col>
      <xdr:colOff>13415</xdr:colOff>
      <xdr:row>4</xdr:row>
      <xdr:rowOff>76199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238125" y="419100"/>
          <a:ext cx="11957765" cy="380999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PFDR</a:t>
          </a:r>
          <a:r>
            <a:rPr lang="pt-BR" sz="1800" b="1" baseline="0">
              <a:solidFill>
                <a:schemeClr val="bg1"/>
              </a:solidFill>
            </a:rPr>
            <a:t> - PROGRAMA DE FORMULAÇÃO DE DIETAS PARA RUMINANTES 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114300</xdr:colOff>
      <xdr:row>14</xdr:row>
      <xdr:rowOff>9525</xdr:rowOff>
    </xdr:from>
    <xdr:to>
      <xdr:col>17</xdr:col>
      <xdr:colOff>485775</xdr:colOff>
      <xdr:row>30</xdr:row>
      <xdr:rowOff>47626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3514725" y="2543175"/>
          <a:ext cx="8467725" cy="3219451"/>
          <a:chOff x="2238375" y="2667000"/>
          <a:chExt cx="8124826" cy="3219451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aphicFramePr>
            <a:graphicFrameLocks/>
          </xdr:cNvGraphicFramePr>
        </xdr:nvGraphicFramePr>
        <xdr:xfrm>
          <a:off x="4975132" y="2676525"/>
          <a:ext cx="2902043" cy="32099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GrpSpPr/>
        </xdr:nvGrpSpPr>
        <xdr:grpSpPr>
          <a:xfrm>
            <a:off x="2238375" y="2667000"/>
            <a:ext cx="2609850" cy="3208460"/>
            <a:chOff x="7259693" y="1762290"/>
            <a:chExt cx="2700000" cy="4392000"/>
          </a:xfrm>
        </xdr:grpSpPr>
        <xdr:graphicFrame macro="">
          <xdr:nvGraphicFramePr>
            <xdr:cNvPr id="15" name="Gráfico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aphicFramePr>
              <a:graphicFrameLocks/>
            </xdr:cNvGraphicFramePr>
          </xdr:nvGraphicFramePr>
          <xdr:xfrm>
            <a:off x="7259693" y="1762290"/>
            <a:ext cx="2700000" cy="4392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MPR!BJ61">
          <xdr:nvSpPr>
            <xdr:cNvPr id="17" name="CaixaDeTexto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 txBox="1"/>
          </xdr:nvSpPr>
          <xdr:spPr>
            <a:xfrm>
              <a:off x="8183291" y="4533050"/>
              <a:ext cx="847725" cy="228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5CD336FD-2B0A-473D-BF6B-0C70BECEB332}" type="TxLink">
                <a:rPr lang="en-US" sz="1800" b="1" i="1" u="none" strike="noStrike">
                  <a:solidFill>
                    <a:srgbClr val="0033CC"/>
                  </a:solidFill>
                  <a:latin typeface="Arial"/>
                  <a:cs typeface="Arial"/>
                </a:rPr>
                <a:pPr algn="ctr"/>
                <a:t> </a:t>
              </a:fld>
              <a:endParaRPr lang="pt-BR" sz="3200" b="1" i="1">
                <a:solidFill>
                  <a:srgbClr val="0033CC"/>
                </a:solidFill>
              </a:endParaRPr>
            </a:p>
          </xdr:txBody>
        </xdr:sp>
      </xdr:grpSp>
      <xdr:grpSp>
        <xdr:nvGrpSpPr>
          <xdr:cNvPr id="37" name="Agrupar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GrpSpPr/>
        </xdr:nvGrpSpPr>
        <xdr:grpSpPr>
          <a:xfrm>
            <a:off x="7934326" y="2686051"/>
            <a:ext cx="2428875" cy="1524000"/>
            <a:chOff x="8077201" y="2686051"/>
            <a:chExt cx="2428875" cy="152400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/>
          </xdr:nvSpPr>
          <xdr:spPr>
            <a:xfrm>
              <a:off x="8134350" y="2686051"/>
              <a:ext cx="2333626" cy="15240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8162926" y="2752725"/>
              <a:ext cx="2276474" cy="3333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200" b="1"/>
                <a:t>Clientes/Fornecedores</a:t>
              </a:r>
            </a:p>
          </xdr:txBody>
        </xdr:sp>
        <xdr:grpSp>
          <xdr:nvGrpSpPr>
            <xdr:cNvPr id="53" name="Agrupar 52">
              <a:extLst>
                <a:ext uri="{FF2B5EF4-FFF2-40B4-BE49-F238E27FC236}">
                  <a16:creationId xmlns:a16="http://schemas.microsoft.com/office/drawing/2014/main" id="{00000000-0008-0000-0100-000035000000}"/>
                </a:ext>
              </a:extLst>
            </xdr:cNvPr>
            <xdr:cNvGrpSpPr/>
          </xdr:nvGrpSpPr>
          <xdr:grpSpPr>
            <a:xfrm>
              <a:off x="8077201" y="2981326"/>
              <a:ext cx="1362074" cy="1076326"/>
              <a:chOff x="8077600" y="3552472"/>
              <a:chExt cx="1371599" cy="1395237"/>
            </a:xfrm>
          </xdr:grpSpPr>
          <xdr:pic>
            <xdr:nvPicPr>
              <xdr:cNvPr id="35" name="Gráfico 34" descr="Usuário">
                <a:extLst>
                  <a:ext uri="{FF2B5EF4-FFF2-40B4-BE49-F238E27FC236}">
                    <a16:creationId xmlns:a16="http://schemas.microsoft.com/office/drawing/2014/main" id="{00000000-0008-0000-0100-00002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8077600" y="3552472"/>
                <a:ext cx="1371599" cy="1266825"/>
              </a:xfrm>
              <a:prstGeom prst="rect">
                <a:avLst/>
              </a:prstGeom>
            </xdr:spPr>
          </xdr:pic>
          <xdr:sp macro="" textlink="">
            <xdr:nvSpPr>
              <xdr:cNvPr id="48" name="CaixaDeTexto 47">
                <a:extLst>
                  <a:ext uri="{FF2B5EF4-FFF2-40B4-BE49-F238E27FC236}">
                    <a16:creationId xmlns:a16="http://schemas.microsoft.com/office/drawing/2014/main" id="{00000000-0008-0000-0100-000030000000}"/>
                  </a:ext>
                </a:extLst>
              </xdr:cNvPr>
              <xdr:cNvSpPr txBox="1"/>
            </xdr:nvSpPr>
            <xdr:spPr>
              <a:xfrm>
                <a:off x="8284004" y="4700059"/>
                <a:ext cx="911471" cy="24765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/>
                  <a:t>Clientes</a:t>
                </a:r>
              </a:p>
            </xdr:txBody>
          </xdr:sp>
          <xdr:sp macro="" textlink="Clientes!BA43">
            <xdr:nvSpPr>
              <xdr:cNvPr id="51" name="CaixaDeTexto 50">
                <a:extLst>
                  <a:ext uri="{FF2B5EF4-FFF2-40B4-BE49-F238E27FC236}">
                    <a16:creationId xmlns:a16="http://schemas.microsoft.com/office/drawing/2014/main" id="{00000000-0008-0000-0100-000033000000}"/>
                  </a:ext>
                </a:extLst>
              </xdr:cNvPr>
              <xdr:cNvSpPr txBox="1"/>
            </xdr:nvSpPr>
            <xdr:spPr>
              <a:xfrm>
                <a:off x="8296675" y="4352572"/>
                <a:ext cx="911471" cy="2476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7B923536-A7CF-4A5F-B2A8-C9419879A14A}" type="TxLink">
                  <a:rPr lang="en-US" sz="1400" b="1" i="0" u="none" strike="noStrike">
                    <a:solidFill>
                      <a:schemeClr val="bg1"/>
                    </a:solidFill>
                    <a:latin typeface="Arial"/>
                    <a:cs typeface="Arial"/>
                  </a:rPr>
                  <a:pPr algn="ctr"/>
                  <a:t> </a:t>
                </a:fld>
                <a:endParaRPr lang="pt-BR" sz="1100" b="1">
                  <a:solidFill>
                    <a:schemeClr val="bg1"/>
                  </a:solidFill>
                </a:endParaRPr>
              </a:p>
            </xdr:txBody>
          </xdr:sp>
        </xdr:grpSp>
        <xdr:grpSp>
          <xdr:nvGrpSpPr>
            <xdr:cNvPr id="54" name="Agrupar 53">
              <a:extLst>
                <a:ext uri="{FF2B5EF4-FFF2-40B4-BE49-F238E27FC236}">
                  <a16:creationId xmlns:a16="http://schemas.microsoft.com/office/drawing/2014/main" id="{00000000-0008-0000-0100-000036000000}"/>
                </a:ext>
              </a:extLst>
            </xdr:cNvPr>
            <xdr:cNvGrpSpPr/>
          </xdr:nvGrpSpPr>
          <xdr:grpSpPr>
            <a:xfrm>
              <a:off x="9144002" y="2981326"/>
              <a:ext cx="1362074" cy="1076326"/>
              <a:chOff x="9230126" y="3552472"/>
              <a:chExt cx="1371599" cy="1395237"/>
            </a:xfrm>
          </xdr:grpSpPr>
          <xdr:pic>
            <xdr:nvPicPr>
              <xdr:cNvPr id="19" name="Gráfico 18" descr="Usuário">
                <a:extLst>
                  <a:ext uri="{FF2B5EF4-FFF2-40B4-BE49-F238E27FC236}">
                    <a16:creationId xmlns:a16="http://schemas.microsoft.com/office/drawing/2014/main" id="{00000000-0008-0000-0100-00001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9230126" y="3552472"/>
                <a:ext cx="1371599" cy="1266825"/>
              </a:xfrm>
              <a:prstGeom prst="rect">
                <a:avLst/>
              </a:prstGeom>
            </xdr:spPr>
          </xdr:pic>
          <xdr:sp macro="" textlink="">
            <xdr:nvSpPr>
              <xdr:cNvPr id="49" name="CaixaDeTexto 48">
                <a:extLst>
                  <a:ext uri="{FF2B5EF4-FFF2-40B4-BE49-F238E27FC236}">
                    <a16:creationId xmlns:a16="http://schemas.microsoft.com/office/drawing/2014/main" id="{00000000-0008-0000-0100-000031000000}"/>
                  </a:ext>
                </a:extLst>
              </xdr:cNvPr>
              <xdr:cNvSpPr txBox="1"/>
            </xdr:nvSpPr>
            <xdr:spPr>
              <a:xfrm>
                <a:off x="9435934" y="4700059"/>
                <a:ext cx="922195" cy="24765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/>
                  <a:t>Fornecedores</a:t>
                </a:r>
              </a:p>
            </xdr:txBody>
          </xdr:sp>
          <xdr:sp macro="" textlink="Clientes!BA42">
            <xdr:nvSpPr>
              <xdr:cNvPr id="52" name="CaixaDeTexto 51">
                <a:extLst>
                  <a:ext uri="{FF2B5EF4-FFF2-40B4-BE49-F238E27FC236}">
                    <a16:creationId xmlns:a16="http://schemas.microsoft.com/office/drawing/2014/main" id="{00000000-0008-0000-0100-000034000000}"/>
                  </a:ext>
                </a:extLst>
              </xdr:cNvPr>
              <xdr:cNvSpPr txBox="1"/>
            </xdr:nvSpPr>
            <xdr:spPr>
              <a:xfrm>
                <a:off x="9449200" y="4352572"/>
                <a:ext cx="911471" cy="2476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01909149-24C3-4106-893F-C9D83245950A}" type="TxLink">
                  <a:rPr lang="en-US" sz="1400" b="1" i="0" u="none" strike="noStrike">
                    <a:solidFill>
                      <a:schemeClr val="bg1"/>
                    </a:solidFill>
                    <a:latin typeface="Arial"/>
                    <a:cs typeface="Arial"/>
                  </a:rPr>
                  <a:pPr algn="ctr"/>
                  <a:t> </a:t>
                </a:fld>
                <a:endParaRPr lang="pt-BR" sz="1100" b="1">
                  <a:solidFill>
                    <a:schemeClr val="bg1"/>
                  </a:solidFill>
                </a:endParaRPr>
              </a:p>
            </xdr:txBody>
          </xdr:sp>
        </xdr:grpSp>
      </xdr:grpSp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GrpSpPr/>
        </xdr:nvGrpSpPr>
        <xdr:grpSpPr>
          <a:xfrm>
            <a:off x="7991475" y="4371975"/>
            <a:ext cx="2333625" cy="1504950"/>
            <a:chOff x="8134350" y="4371975"/>
            <a:chExt cx="2333625" cy="1504950"/>
          </a:xfrm>
        </xdr:grpSpPr>
        <xdr:sp macro="" textlink="">
          <xdr:nvSpPr>
            <xdr:cNvPr id="55" name="Retângulo 54">
              <a:extLst>
                <a:ext uri="{FF2B5EF4-FFF2-40B4-BE49-F238E27FC236}">
                  <a16:creationId xmlns:a16="http://schemas.microsoft.com/office/drawing/2014/main" id="{00000000-0008-0000-0100-000037000000}"/>
                </a:ext>
              </a:extLst>
            </xdr:cNvPr>
            <xdr:cNvSpPr/>
          </xdr:nvSpPr>
          <xdr:spPr>
            <a:xfrm>
              <a:off x="8134350" y="4371975"/>
              <a:ext cx="2333625" cy="150495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6" name="CaixaDeTexto 55">
              <a:extLst>
                <a:ext uri="{FF2B5EF4-FFF2-40B4-BE49-F238E27FC236}">
                  <a16:creationId xmlns:a16="http://schemas.microsoft.com/office/drawing/2014/main" id="{00000000-0008-0000-0100-000038000000}"/>
                </a:ext>
              </a:extLst>
            </xdr:cNvPr>
            <xdr:cNvSpPr txBox="1"/>
          </xdr:nvSpPr>
          <xdr:spPr>
            <a:xfrm>
              <a:off x="8201027" y="4448175"/>
              <a:ext cx="2219323" cy="25046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200" b="1"/>
                <a:t>Formulações</a:t>
              </a:r>
              <a:r>
                <a:rPr lang="pt-BR" sz="1200" b="1" baseline="0"/>
                <a:t> Entregues</a:t>
              </a:r>
              <a:endParaRPr lang="pt-BR" sz="1200" b="1"/>
            </a:p>
          </xdr:txBody>
        </xdr:sp>
        <xdr:sp macro="" textlink="">
          <xdr:nvSpPr>
            <xdr:cNvPr id="20" name="CaixaDeTexto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SpPr txBox="1"/>
          </xdr:nvSpPr>
          <xdr:spPr>
            <a:xfrm>
              <a:off x="9372600" y="5591175"/>
              <a:ext cx="981341" cy="1714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2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Suplemento</a:t>
              </a:r>
            </a:p>
          </xdr:txBody>
        </xdr:sp>
        <xdr:sp macro="" textlink="">
          <xdr:nvSpPr>
            <xdr:cNvPr id="27" name="CaixaDeTexto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 txBox="1"/>
          </xdr:nvSpPr>
          <xdr:spPr>
            <a:xfrm>
              <a:off x="8286750" y="5610225"/>
              <a:ext cx="905141" cy="19104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1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Dieta</a:t>
              </a:r>
              <a:r>
                <a:rPr lang="pt-BR" sz="1100" b="1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 </a:t>
              </a:r>
              <a:r>
                <a:rPr lang="pt-BR" sz="1200" b="1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Total</a:t>
              </a:r>
              <a:endParaRPr lang="pt-BR" sz="1100" b="1">
                <a:solidFill>
                  <a:schemeClr val="tx1">
                    <a:lumMod val="65000"/>
                    <a:lumOff val="35000"/>
                  </a:schemeClr>
                </a:solidFill>
              </a:endParaRPr>
            </a:p>
          </xdr:txBody>
        </xdr:sp>
        <xdr:pic>
          <xdr:nvPicPr>
            <xdr:cNvPr id="34" name="Imagem 33">
              <a:extLst>
                <a:ext uri="{FF2B5EF4-FFF2-40B4-BE49-F238E27FC236}">
                  <a16:creationId xmlns:a16="http://schemas.microsoft.com/office/drawing/2014/main" id="{00000000-0008-0000-0100-000022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7" cstate="email">
              <a:extLst>
                <a:ext uri="{BEBA8EAE-BF5A-486C-A8C5-ECC9F3942E4B}">
                  <a14:imgProps xmlns:a14="http://schemas.microsoft.com/office/drawing/2010/main">
                    <a14:imgLayer r:embed="rId8">
                      <a14:imgEffect>
                        <a14:backgroundRemoval t="10000" b="90000" l="10000" r="9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/>
                </a:ext>
              </a:extLst>
            </a:blip>
            <a:srcRect l="10092" t="7844" r="10092" b="6863"/>
            <a:stretch/>
          </xdr:blipFill>
          <xdr:spPr>
            <a:xfrm>
              <a:off x="9401175" y="4781550"/>
              <a:ext cx="828676" cy="828675"/>
            </a:xfrm>
            <a:prstGeom prst="rect">
              <a:avLst/>
            </a:prstGeom>
          </xdr:spPr>
        </xdr:pic>
        <xdr:pic>
          <xdr:nvPicPr>
            <xdr:cNvPr id="41" name="Imagem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9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rcRect l="1539" t="16614" r="4615" b="16677"/>
            <a:stretch/>
          </xdr:blipFill>
          <xdr:spPr>
            <a:xfrm>
              <a:off x="8134350" y="4695826"/>
              <a:ext cx="1162050" cy="876300"/>
            </a:xfrm>
            <a:prstGeom prst="rect">
              <a:avLst/>
            </a:prstGeom>
          </xdr:spPr>
        </xdr:pic>
        <xdr:sp macro="" textlink="Config2!BM52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>
              <a:off x="9573156" y="5238750"/>
              <a:ext cx="457466" cy="2762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E2771312-5534-44CE-8783-AB4EB7D3433E}" type="TxLink">
                <a:rPr lang="en-US" sz="1800" b="1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 </a:t>
              </a:fld>
              <a:endParaRPr lang="pt-BR" sz="1400" b="1">
                <a:solidFill>
                  <a:sysClr val="windowText" lastClr="000000"/>
                </a:solidFill>
              </a:endParaRPr>
            </a:p>
          </xdr:txBody>
        </xdr:sp>
        <xdr:sp macro="" textlink="Config2!BM51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 txBox="1"/>
          </xdr:nvSpPr>
          <xdr:spPr>
            <a:xfrm>
              <a:off x="8658225" y="5114926"/>
              <a:ext cx="457466" cy="2762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B67D8866-8DE3-419B-9821-450A43AC5DB9}" type="TxLink">
                <a:rPr lang="en-US" sz="1800" b="1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 </a:t>
              </a:fld>
              <a:endParaRPr lang="pt-BR" sz="1400" b="1">
                <a:solidFill>
                  <a:sysClr val="windowText" lastClr="000000"/>
                </a:solidFill>
              </a:endParaRPr>
            </a:p>
          </xdr:txBody>
        </xdr:sp>
      </xdr:grpSp>
    </xdr:grpSp>
    <xdr:clientData/>
  </xdr:twoCellAnchor>
  <xdr:twoCellAnchor>
    <xdr:from>
      <xdr:col>1</xdr:col>
      <xdr:colOff>142875</xdr:colOff>
      <xdr:row>4</xdr:row>
      <xdr:rowOff>171450</xdr:rowOff>
    </xdr:from>
    <xdr:to>
      <xdr:col>17</xdr:col>
      <xdr:colOff>514349</xdr:colOff>
      <xdr:row>13</xdr:row>
      <xdr:rowOff>142875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390525" y="895350"/>
          <a:ext cx="11620499" cy="1600200"/>
          <a:chOff x="2133945" y="3095625"/>
          <a:chExt cx="16665850" cy="2554747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2133945" y="3114635"/>
            <a:ext cx="4429125" cy="2535737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1024375" y="3095625"/>
            <a:ext cx="3533292" cy="2444750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2" name="Imagem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6524625" y="3095625"/>
            <a:ext cx="4505954" cy="2460625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14557374" y="3095625"/>
            <a:ext cx="4242421" cy="2460625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</xdr:grpSp>
    <xdr:clientData/>
  </xdr:twoCellAnchor>
  <xdr:twoCellAnchor>
    <xdr:from>
      <xdr:col>1</xdr:col>
      <xdr:colOff>76200</xdr:colOff>
      <xdr:row>2</xdr:row>
      <xdr:rowOff>104775</xdr:rowOff>
    </xdr:from>
    <xdr:to>
      <xdr:col>1</xdr:col>
      <xdr:colOff>333512</xdr:colOff>
      <xdr:row>4</xdr:row>
      <xdr:rowOff>137</xdr:rowOff>
    </xdr:to>
    <xdr:pic macro="[0]!LigarTelaCheia">
      <xdr:nvPicPr>
        <xdr:cNvPr id="39" name="Imagem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3850" y="466725"/>
          <a:ext cx="257312" cy="257312"/>
        </a:xfrm>
        <a:prstGeom prst="rect">
          <a:avLst/>
        </a:prstGeom>
      </xdr:spPr>
    </xdr:pic>
    <xdr:clientData/>
  </xdr:twoCellAnchor>
  <xdr:twoCellAnchor>
    <xdr:from>
      <xdr:col>1</xdr:col>
      <xdr:colOff>400050</xdr:colOff>
      <xdr:row>2</xdr:row>
      <xdr:rowOff>114300</xdr:rowOff>
    </xdr:from>
    <xdr:to>
      <xdr:col>1</xdr:col>
      <xdr:colOff>651081</xdr:colOff>
      <xdr:row>4</xdr:row>
      <xdr:rowOff>0</xdr:rowOff>
    </xdr:to>
    <xdr:pic macro="[0]!DesligarTelaCheia">
      <xdr:nvPicPr>
        <xdr:cNvPr id="60" name="Imagem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7700" y="476250"/>
          <a:ext cx="251031" cy="247650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0</xdr:row>
      <xdr:rowOff>0</xdr:rowOff>
    </xdr:from>
    <xdr:to>
      <xdr:col>1</xdr:col>
      <xdr:colOff>381000</xdr:colOff>
      <xdr:row>1</xdr:row>
      <xdr:rowOff>123826</xdr:rowOff>
    </xdr:to>
    <xdr:pic macro="[0]!Menu_Aparecer">
      <xdr:nvPicPr>
        <xdr:cNvPr id="59" name="Imagem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0"/>
          <a:ext cx="304800" cy="304801"/>
        </a:xfrm>
        <a:prstGeom prst="rect">
          <a:avLst/>
        </a:prstGeom>
      </xdr:spPr>
    </xdr:pic>
    <xdr:clientData/>
  </xdr:twoCellAnchor>
  <xdr:twoCellAnchor>
    <xdr:from>
      <xdr:col>1</xdr:col>
      <xdr:colOff>228599</xdr:colOff>
      <xdr:row>14</xdr:row>
      <xdr:rowOff>57150</xdr:rowOff>
    </xdr:from>
    <xdr:to>
      <xdr:col>5</xdr:col>
      <xdr:colOff>685799</xdr:colOff>
      <xdr:row>16</xdr:row>
      <xdr:rowOff>19050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476249" y="2590800"/>
          <a:ext cx="2924175" cy="32385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PROGRAMA</a:t>
          </a:r>
          <a:r>
            <a:rPr lang="pt-BR" sz="1100" b="1" baseline="0">
              <a:solidFill>
                <a:sysClr val="windowText" lastClr="000000"/>
              </a:solidFill>
            </a:rPr>
            <a:t> LICENCIADO PARA: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228600</xdr:colOff>
      <xdr:row>16</xdr:row>
      <xdr:rowOff>114300</xdr:rowOff>
    </xdr:from>
    <xdr:to>
      <xdr:col>6</xdr:col>
      <xdr:colOff>0</xdr:colOff>
      <xdr:row>29</xdr:row>
      <xdr:rowOff>95250</xdr:rowOff>
    </xdr:to>
    <xdr:sp macro="" textlink="">
      <xdr:nvSpPr>
        <xdr:cNvPr id="58" name="Retângulo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476250" y="3009900"/>
          <a:ext cx="2924175" cy="268605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</xdr:row>
          <xdr:rowOff>57150</xdr:rowOff>
        </xdr:from>
        <xdr:to>
          <xdr:col>2</xdr:col>
          <xdr:colOff>657225</xdr:colOff>
          <xdr:row>3</xdr:row>
          <xdr:rowOff>95250</xdr:rowOff>
        </xdr:to>
        <xdr:sp macro="" textlink="">
          <xdr:nvSpPr>
            <xdr:cNvPr id="12313" name="Spinner 25" hidden="1">
              <a:extLst>
                <a:ext uri="{63B3BB69-23CF-44E3-9099-C40C66FF867C}">
                  <a14:compatExt spid="_x0000_s12313"/>
                </a:ext>
                <a:ext uri="{FF2B5EF4-FFF2-40B4-BE49-F238E27FC236}">
                  <a16:creationId xmlns:a16="http://schemas.microsoft.com/office/drawing/2014/main" id="{00000000-0008-0000-0300-00001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4</xdr:col>
      <xdr:colOff>1781175</xdr:colOff>
      <xdr:row>13</xdr:row>
      <xdr:rowOff>104775</xdr:rowOff>
    </xdr:from>
    <xdr:to>
      <xdr:col>5</xdr:col>
      <xdr:colOff>304801</xdr:colOff>
      <xdr:row>15</xdr:row>
      <xdr:rowOff>66676</xdr:rowOff>
    </xdr:to>
    <xdr:pic macro="[0]!Chamar_Userform">
      <xdr:nvPicPr>
        <xdr:cNvPr id="2" name="Gráfico 1" descr="Lâmpada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34050" y="2457450"/>
          <a:ext cx="323851" cy="32385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1117600</xdr:colOff>
      <xdr:row>45</xdr:row>
      <xdr:rowOff>241300</xdr:rowOff>
    </xdr:to>
    <xdr:sp macro="" textlink="">
      <xdr:nvSpPr>
        <xdr:cNvPr id="3" name="AutoShape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090525" cy="1452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pt-BR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1117600</xdr:colOff>
      <xdr:row>45</xdr:row>
      <xdr:rowOff>241300</xdr:rowOff>
    </xdr:to>
    <xdr:sp macro="" textlink="">
      <xdr:nvSpPr>
        <xdr:cNvPr id="4" name="AutoShap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090525" cy="1452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pt-BR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38101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0"/>
          <a:ext cx="304800" cy="30480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53026</xdr:colOff>
      <xdr:row>1</xdr:row>
      <xdr:rowOff>111508</xdr:rowOff>
    </xdr:from>
    <xdr:to>
      <xdr:col>1</xdr:col>
      <xdr:colOff>2462851</xdr:colOff>
      <xdr:row>2</xdr:row>
      <xdr:rowOff>287852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/>
      </xdr:nvGrpSpPr>
      <xdr:grpSpPr>
        <a:xfrm>
          <a:off x="1605601" y="883033"/>
          <a:ext cx="2409825" cy="300169"/>
          <a:chOff x="36809517" y="1843548"/>
          <a:chExt cx="1684891" cy="417271"/>
        </a:xfrm>
        <a:solidFill>
          <a:schemeClr val="accent1">
            <a:lumMod val="75000"/>
          </a:schemeClr>
        </a:solidFill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/>
        </xdr:nvSpPr>
        <xdr:spPr>
          <a:xfrm>
            <a:off x="36809517" y="1843548"/>
            <a:ext cx="1684891" cy="417271"/>
          </a:xfrm>
          <a:prstGeom prst="rect">
            <a:avLst/>
          </a:prstGeom>
          <a:grpFill/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1 - Raça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8133" name="Drop Down 5" hidden="1">
                <a:extLst>
                  <a:ext uri="{63B3BB69-23CF-44E3-9099-C40C66FF867C}">
                    <a14:compatExt spid="_x0000_s48133"/>
                  </a:ext>
                  <a:ext uri="{FF2B5EF4-FFF2-40B4-BE49-F238E27FC236}">
                    <a16:creationId xmlns:a16="http://schemas.microsoft.com/office/drawing/2014/main" id="{00000000-0008-0000-0600-000005BC0000}"/>
                  </a:ext>
                </a:extLst>
              </xdr:cNvPr>
              <xdr:cNvSpPr/>
            </xdr:nvSpPr>
            <xdr:spPr bwMode="auto">
              <a:xfrm>
                <a:off x="37620566" y="1894788"/>
                <a:ext cx="855791" cy="3002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 fPrintsWithSheet="0"/>
  </xdr:twoCellAnchor>
  <xdr:twoCellAnchor editAs="oneCell">
    <xdr:from>
      <xdr:col>1</xdr:col>
      <xdr:colOff>47625</xdr:colOff>
      <xdr:row>3</xdr:row>
      <xdr:rowOff>29195</xdr:rowOff>
    </xdr:from>
    <xdr:to>
      <xdr:col>1</xdr:col>
      <xdr:colOff>2456025</xdr:colOff>
      <xdr:row>4</xdr:row>
      <xdr:rowOff>270845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pSpPr/>
      </xdr:nvGrpSpPr>
      <xdr:grpSpPr>
        <a:xfrm>
          <a:off x="1600200" y="1219820"/>
          <a:ext cx="2408400" cy="298800"/>
          <a:chOff x="36819758" y="2191774"/>
          <a:chExt cx="1663462" cy="307259"/>
        </a:xfrm>
        <a:solidFill>
          <a:schemeClr val="accent1">
            <a:lumMod val="75000"/>
          </a:schemeClr>
        </a:solidFill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/>
        </xdr:nvSpPr>
        <xdr:spPr>
          <a:xfrm>
            <a:off x="36819758" y="2191774"/>
            <a:ext cx="1663462" cy="307259"/>
          </a:xfrm>
          <a:prstGeom prst="rect">
            <a:avLst/>
          </a:prstGeom>
          <a:grpFill/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050"/>
              <a:t>2 - Leite / Corte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8134" name="Drop Down 6" hidden="1">
                <a:extLst>
                  <a:ext uri="{63B3BB69-23CF-44E3-9099-C40C66FF867C}">
                    <a14:compatExt spid="_x0000_s48134"/>
                  </a:ext>
                  <a:ext uri="{FF2B5EF4-FFF2-40B4-BE49-F238E27FC236}">
                    <a16:creationId xmlns:a16="http://schemas.microsoft.com/office/drawing/2014/main" id="{00000000-0008-0000-0600-000006BC0000}"/>
                  </a:ext>
                </a:extLst>
              </xdr:cNvPr>
              <xdr:cNvSpPr/>
            </xdr:nvSpPr>
            <xdr:spPr bwMode="auto">
              <a:xfrm>
                <a:off x="37620049" y="2233867"/>
                <a:ext cx="843014" cy="2201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 fPrintsWithSheet="0"/>
  </xdr:twoCellAnchor>
  <xdr:twoCellAnchor editAs="oneCell">
    <xdr:from>
      <xdr:col>1</xdr:col>
      <xdr:colOff>59852</xdr:colOff>
      <xdr:row>5</xdr:row>
      <xdr:rowOff>21713</xdr:rowOff>
    </xdr:from>
    <xdr:to>
      <xdr:col>1</xdr:col>
      <xdr:colOff>2469677</xdr:colOff>
      <xdr:row>6</xdr:row>
      <xdr:rowOff>262051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pSpPr/>
      </xdr:nvGrpSpPr>
      <xdr:grpSpPr>
        <a:xfrm>
          <a:off x="1612427" y="1555238"/>
          <a:ext cx="2409825" cy="297488"/>
          <a:chOff x="36809517" y="1843548"/>
          <a:chExt cx="1692375" cy="307259"/>
        </a:xfrm>
        <a:solidFill>
          <a:schemeClr val="accent1">
            <a:lumMod val="75000"/>
          </a:schemeClr>
        </a:solidFill>
      </xdr:grpSpPr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SpPr/>
        </xdr:nvSpPr>
        <xdr:spPr>
          <a:xfrm>
            <a:off x="36809517" y="1843548"/>
            <a:ext cx="1692375" cy="307259"/>
          </a:xfrm>
          <a:prstGeom prst="rect">
            <a:avLst/>
          </a:prstGeom>
          <a:grpFill/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050"/>
              <a:t>3 - Categoria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8135" name="Drop Down 7" hidden="1">
                <a:extLst>
                  <a:ext uri="{63B3BB69-23CF-44E3-9099-C40C66FF867C}">
                    <a14:compatExt spid="_x0000_s48135"/>
                  </a:ext>
                  <a:ext uri="{FF2B5EF4-FFF2-40B4-BE49-F238E27FC236}">
                    <a16:creationId xmlns:a16="http://schemas.microsoft.com/office/drawing/2014/main" id="{00000000-0008-0000-0600-000007BC0000}"/>
                  </a:ext>
                </a:extLst>
              </xdr:cNvPr>
              <xdr:cNvSpPr/>
            </xdr:nvSpPr>
            <xdr:spPr bwMode="auto">
              <a:xfrm>
                <a:off x="37618914" y="1885753"/>
                <a:ext cx="859592" cy="22309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 fPrintsWithSheet="0"/>
  </xdr:twoCellAnchor>
  <xdr:twoCellAnchor editAs="oneCell">
    <xdr:from>
      <xdr:col>1</xdr:col>
      <xdr:colOff>2524125</xdr:colOff>
      <xdr:row>2</xdr:row>
      <xdr:rowOff>3393</xdr:rowOff>
    </xdr:from>
    <xdr:to>
      <xdr:col>1</xdr:col>
      <xdr:colOff>3704925</xdr:colOff>
      <xdr:row>2</xdr:row>
      <xdr:rowOff>276993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2705100" y="689193"/>
          <a:ext cx="1180800" cy="2736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4 - Sist. produção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3714750</xdr:colOff>
          <xdr:row>2</xdr:row>
          <xdr:rowOff>0</xdr:rowOff>
        </xdr:from>
        <xdr:to>
          <xdr:col>3</xdr:col>
          <xdr:colOff>28575</xdr:colOff>
          <xdr:row>2</xdr:row>
          <xdr:rowOff>276225</xdr:rowOff>
        </xdr:to>
        <xdr:sp macro="" textlink="">
          <xdr:nvSpPr>
            <xdr:cNvPr id="48137" name="Drop Dow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6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1</xdr:col>
      <xdr:colOff>2533650</xdr:colOff>
      <xdr:row>3</xdr:row>
      <xdr:rowOff>47625</xdr:rowOff>
    </xdr:from>
    <xdr:to>
      <xdr:col>1</xdr:col>
      <xdr:colOff>3714450</xdr:colOff>
      <xdr:row>4</xdr:row>
      <xdr:rowOff>278475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2714625" y="1028700"/>
          <a:ext cx="1180800" cy="2880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5 - Peso</a:t>
          </a:r>
          <a:r>
            <a:rPr lang="pt-BR" sz="1100" baseline="0"/>
            <a:t> Vivo (Kg)          &gt;</a:t>
          </a:r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</xdr:row>
          <xdr:rowOff>9525</xdr:rowOff>
        </xdr:from>
        <xdr:to>
          <xdr:col>2</xdr:col>
          <xdr:colOff>895350</xdr:colOff>
          <xdr:row>4</xdr:row>
          <xdr:rowOff>276225</xdr:rowOff>
        </xdr:to>
        <xdr:sp macro="" textlink="">
          <xdr:nvSpPr>
            <xdr:cNvPr id="48138" name="Spinner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6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9525</xdr:colOff>
      <xdr:row>0</xdr:row>
      <xdr:rowOff>628649</xdr:rowOff>
    </xdr:from>
    <xdr:to>
      <xdr:col>7</xdr:col>
      <xdr:colOff>742950</xdr:colOff>
      <xdr:row>1</xdr:row>
      <xdr:rowOff>76199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562100" y="628649"/>
          <a:ext cx="8943975" cy="2190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i="1">
              <a:solidFill>
                <a:schemeClr val="bg1"/>
              </a:solidFill>
            </a:rPr>
            <a:t>CARACTERIZAÇÃO</a:t>
          </a:r>
          <a:r>
            <a:rPr lang="pt-BR" sz="1100" b="0" i="1" baseline="0">
              <a:solidFill>
                <a:schemeClr val="bg1"/>
              </a:solidFill>
            </a:rPr>
            <a:t> DO ANIMAL/LOTE</a:t>
          </a:r>
          <a:endParaRPr lang="pt-BR" sz="1100" b="0" i="1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1</xdr:col>
      <xdr:colOff>457200</xdr:colOff>
      <xdr:row>10</xdr:row>
      <xdr:rowOff>409575</xdr:rowOff>
    </xdr:from>
    <xdr:to>
      <xdr:col>1</xdr:col>
      <xdr:colOff>1951575</xdr:colOff>
      <xdr:row>10</xdr:row>
      <xdr:rowOff>619125</xdr:rowOff>
    </xdr:to>
    <xdr:sp macro="[0]!Ficha_Exigencia_BRC" textlink="">
      <xdr:nvSpPr>
        <xdr:cNvPr id="5" name="Menu_PDF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695325" y="409575"/>
          <a:ext cx="1494375" cy="209550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0"/>
            <a:t>Imprimir</a:t>
          </a:r>
          <a:r>
            <a:rPr lang="pt-BR" sz="1050" b="0" baseline="0"/>
            <a:t> este relatório</a:t>
          </a:r>
          <a:endParaRPr lang="pt-BR" sz="1050" b="0"/>
        </a:p>
      </xdr:txBody>
    </xdr:sp>
    <xdr:clientData/>
  </xdr:twoCellAnchor>
  <xdr:twoCellAnchor editAs="oneCell">
    <xdr:from>
      <xdr:col>3</xdr:col>
      <xdr:colOff>266701</xdr:colOff>
      <xdr:row>2</xdr:row>
      <xdr:rowOff>9525</xdr:rowOff>
    </xdr:from>
    <xdr:to>
      <xdr:col>4</xdr:col>
      <xdr:colOff>771525</xdr:colOff>
      <xdr:row>2</xdr:row>
      <xdr:rowOff>281317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6505576" y="695325"/>
          <a:ext cx="1181099" cy="271792"/>
        </a:xfrm>
        <a:prstGeom prst="rect">
          <a:avLst/>
        </a:prstGeom>
        <a:noFill/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90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7</a:t>
          </a:r>
          <a:r>
            <a:rPr lang="pt-BR" sz="900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- Semana Lactação</a:t>
          </a:r>
          <a:endParaRPr lang="pt-BR" sz="900">
            <a:solidFill>
              <a:srgbClr val="FFFF00"/>
            </a:solidFill>
            <a:effectLst/>
          </a:endParaRPr>
        </a:p>
      </xdr:txBody>
    </xdr:sp>
    <xdr:clientData/>
  </xdr:twoCellAnchor>
  <xdr:twoCellAnchor editAs="oneCell">
    <xdr:from>
      <xdr:col>1</xdr:col>
      <xdr:colOff>2533650</xdr:colOff>
      <xdr:row>5</xdr:row>
      <xdr:rowOff>38100</xdr:rowOff>
    </xdr:from>
    <xdr:to>
      <xdr:col>1</xdr:col>
      <xdr:colOff>3714749</xdr:colOff>
      <xdr:row>6</xdr:row>
      <xdr:rowOff>252742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2714625" y="1362075"/>
          <a:ext cx="1181099" cy="271792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6 - GMD em kg</a:t>
          </a:r>
          <a:endParaRPr lang="pt-BR" sz="100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685800</xdr:colOff>
          <xdr:row>6</xdr:row>
          <xdr:rowOff>9525</xdr:rowOff>
        </xdr:from>
        <xdr:to>
          <xdr:col>2</xdr:col>
          <xdr:colOff>904875</xdr:colOff>
          <xdr:row>6</xdr:row>
          <xdr:rowOff>257175</xdr:rowOff>
        </xdr:to>
        <xdr:sp macro="" textlink="">
          <xdr:nvSpPr>
            <xdr:cNvPr id="48147" name="Spinner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6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3</xdr:col>
      <xdr:colOff>266700</xdr:colOff>
      <xdr:row>4</xdr:row>
      <xdr:rowOff>0</xdr:rowOff>
    </xdr:from>
    <xdr:to>
      <xdr:col>4</xdr:col>
      <xdr:colOff>771524</xdr:colOff>
      <xdr:row>4</xdr:row>
      <xdr:rowOff>271792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5105400" y="1038225"/>
          <a:ext cx="1181099" cy="271792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900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9 - Dias de  Gestação</a:t>
          </a:r>
          <a:endParaRPr lang="pt-BR" sz="900">
            <a:solidFill>
              <a:srgbClr val="FFFF00"/>
            </a:solidFill>
            <a:effectLst/>
          </a:endParaRPr>
        </a:p>
      </xdr:txBody>
    </xdr:sp>
    <xdr:clientData/>
  </xdr:twoCellAnchor>
  <xdr:twoCellAnchor editAs="oneCell">
    <xdr:from>
      <xdr:col>6</xdr:col>
      <xdr:colOff>76200</xdr:colOff>
      <xdr:row>1</xdr:row>
      <xdr:rowOff>114300</xdr:rowOff>
    </xdr:from>
    <xdr:to>
      <xdr:col>6</xdr:col>
      <xdr:colOff>1085849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7400925" y="676275"/>
          <a:ext cx="1009649" cy="3048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10 - PMBnasc kg</a:t>
          </a:r>
          <a:endParaRPr lang="pt-BR" sz="800">
            <a:solidFill>
              <a:srgbClr val="FFFF00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771525</xdr:colOff>
          <xdr:row>2</xdr:row>
          <xdr:rowOff>28575</xdr:rowOff>
        </xdr:from>
        <xdr:to>
          <xdr:col>5</xdr:col>
          <xdr:colOff>990600</xdr:colOff>
          <xdr:row>2</xdr:row>
          <xdr:rowOff>266700</xdr:rowOff>
        </xdr:to>
        <xdr:sp macro="" textlink="">
          <xdr:nvSpPr>
            <xdr:cNvPr id="48148" name="Spinner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6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771525</xdr:colOff>
          <xdr:row>3</xdr:row>
          <xdr:rowOff>47625</xdr:rowOff>
        </xdr:from>
        <xdr:to>
          <xdr:col>5</xdr:col>
          <xdr:colOff>990600</xdr:colOff>
          <xdr:row>4</xdr:row>
          <xdr:rowOff>257175</xdr:rowOff>
        </xdr:to>
        <xdr:sp macro="" textlink="">
          <xdr:nvSpPr>
            <xdr:cNvPr id="48151" name="Spinner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6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6</xdr:col>
      <xdr:colOff>76200</xdr:colOff>
      <xdr:row>3</xdr:row>
      <xdr:rowOff>38100</xdr:rowOff>
    </xdr:from>
    <xdr:to>
      <xdr:col>6</xdr:col>
      <xdr:colOff>1085849</xdr:colOff>
      <xdr:row>5</xdr:row>
      <xdr:rowOff>0</xdr:rowOff>
    </xdr:to>
    <xdr:sp macro="" textlink="">
      <xdr:nvSpPr>
        <xdr:cNvPr id="48128" name="Retângulo 48127">
          <a:extLst>
            <a:ext uri="{FF2B5EF4-FFF2-40B4-BE49-F238E27FC236}">
              <a16:creationId xmlns:a16="http://schemas.microsoft.com/office/drawing/2014/main" id="{00000000-0008-0000-0600-000000BC0000}"/>
            </a:ext>
          </a:extLst>
        </xdr:cNvPr>
        <xdr:cNvSpPr/>
      </xdr:nvSpPr>
      <xdr:spPr>
        <a:xfrm>
          <a:off x="7400925" y="1019175"/>
          <a:ext cx="1009649" cy="3048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11 - Escore (ECC)</a:t>
          </a:r>
          <a:endParaRPr lang="pt-BR" sz="800">
            <a:solidFill>
              <a:srgbClr val="FFFF00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4</xdr:row>
          <xdr:rowOff>9525</xdr:rowOff>
        </xdr:from>
        <xdr:to>
          <xdr:col>7</xdr:col>
          <xdr:colOff>742950</xdr:colOff>
          <xdr:row>4</xdr:row>
          <xdr:rowOff>276225</xdr:rowOff>
        </xdr:to>
        <xdr:sp macro="" textlink="">
          <xdr:nvSpPr>
            <xdr:cNvPr id="48155" name="Spinner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6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3</xdr:col>
      <xdr:colOff>266700</xdr:colOff>
      <xdr:row>6</xdr:row>
      <xdr:rowOff>9525</xdr:rowOff>
    </xdr:from>
    <xdr:to>
      <xdr:col>7</xdr:col>
      <xdr:colOff>752475</xdr:colOff>
      <xdr:row>6</xdr:row>
      <xdr:rowOff>257175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6467475" y="1390650"/>
          <a:ext cx="4048125" cy="247650"/>
        </a:xfrm>
        <a:prstGeom prst="rect">
          <a:avLst/>
        </a:prstGeom>
        <a:solidFill>
          <a:schemeClr val="bg2">
            <a:lumMod val="75000"/>
          </a:schemeClr>
        </a:solidFill>
        <a:ln w="6350"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i="1">
              <a:solidFill>
                <a:sysClr val="windowText" lastClr="000000"/>
              </a:solidFill>
              <a:effectLst/>
            </a:rPr>
            <a:t>Modelos</a:t>
          </a:r>
          <a:r>
            <a:rPr lang="pt-BR" sz="1200" b="1" i="1" baseline="0">
              <a:solidFill>
                <a:sysClr val="windowText" lastClr="000000"/>
              </a:solidFill>
              <a:effectLst/>
            </a:rPr>
            <a:t> </a:t>
          </a:r>
          <a:r>
            <a:rPr lang="pt-BR" sz="1200" b="1" i="1">
              <a:solidFill>
                <a:sysClr val="windowText" lastClr="000000"/>
              </a:solidFill>
              <a:effectLst/>
            </a:rPr>
            <a:t>NRC </a:t>
          </a:r>
          <a:r>
            <a:rPr lang="pt-BR" sz="1200" b="0" i="1">
              <a:solidFill>
                <a:sysClr val="windowText" lastClr="000000"/>
              </a:solidFill>
              <a:effectLst/>
            </a:rPr>
            <a:t>&amp;</a:t>
          </a:r>
          <a:r>
            <a:rPr lang="pt-BR" sz="1200" b="1" i="1">
              <a:solidFill>
                <a:sysClr val="windowText" lastClr="000000"/>
              </a:solidFill>
              <a:effectLst/>
            </a:rPr>
            <a:t> BR CORTE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228600</xdr:rowOff>
    </xdr:from>
    <xdr:to>
      <xdr:col>7</xdr:col>
      <xdr:colOff>742950</xdr:colOff>
      <xdr:row>0</xdr:row>
      <xdr:rowOff>600075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562100" y="228600"/>
          <a:ext cx="8943975" cy="371475"/>
        </a:xfrm>
        <a:prstGeom prst="rect">
          <a:avLst/>
        </a:prstGeom>
        <a:solidFill>
          <a:schemeClr val="tx1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GERADOR</a:t>
          </a:r>
          <a:r>
            <a:rPr lang="pt-BR" sz="1400" b="1" baseline="0">
              <a:solidFill>
                <a:schemeClr val="bg1"/>
              </a:solidFill>
            </a:rPr>
            <a:t> DE EXIGÊNCIA PARA BOVINOS DE CORTE</a:t>
          </a:r>
          <a:endParaRPr lang="pt-BR" sz="1400" b="1">
            <a:solidFill>
              <a:schemeClr val="bg1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504825</xdr:colOff>
          <xdr:row>2</xdr:row>
          <xdr:rowOff>19050</xdr:rowOff>
        </xdr:from>
        <xdr:to>
          <xdr:col>7</xdr:col>
          <xdr:colOff>742950</xdr:colOff>
          <xdr:row>2</xdr:row>
          <xdr:rowOff>285750</xdr:rowOff>
        </xdr:to>
        <xdr:sp macro="" textlink="">
          <xdr:nvSpPr>
            <xdr:cNvPr id="48156" name="Spinner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6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0</xdr:row>
      <xdr:rowOff>1</xdr:rowOff>
    </xdr:from>
    <xdr:to>
      <xdr:col>1</xdr:col>
      <xdr:colOff>295274</xdr:colOff>
      <xdr:row>0</xdr:row>
      <xdr:rowOff>247651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0200" y="1"/>
          <a:ext cx="247649" cy="2476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6</xdr:row>
      <xdr:rowOff>3393</xdr:rowOff>
    </xdr:from>
    <xdr:to>
      <xdr:col>4</xdr:col>
      <xdr:colOff>771225</xdr:colOff>
      <xdr:row>7</xdr:row>
      <xdr:rowOff>10293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6257925" y="1594068"/>
          <a:ext cx="1390350" cy="2736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/>
            <a:t>4 - Teor</a:t>
          </a:r>
          <a:r>
            <a:rPr lang="pt-BR" sz="900" baseline="0"/>
            <a:t> </a:t>
          </a:r>
          <a:r>
            <a:rPr lang="pt-BR" sz="900"/>
            <a:t>Gordura (%)</a:t>
          </a:r>
        </a:p>
      </xdr:txBody>
    </xdr:sp>
    <xdr:clientData fPrintsWithSheet="0"/>
  </xdr:twoCellAnchor>
  <xdr:twoCellAnchor>
    <xdr:from>
      <xdr:col>6</xdr:col>
      <xdr:colOff>38471</xdr:colOff>
      <xdr:row>6</xdr:row>
      <xdr:rowOff>0</xdr:rowOff>
    </xdr:from>
    <xdr:to>
      <xdr:col>6</xdr:col>
      <xdr:colOff>1076025</xdr:colOff>
      <xdr:row>7</xdr:row>
      <xdr:rowOff>21300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715746" y="1590675"/>
          <a:ext cx="1037554" cy="2880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900"/>
            <a:t>7 - GMD (Kg)</a:t>
          </a:r>
        </a:p>
      </xdr:txBody>
    </xdr:sp>
    <xdr:clientData/>
  </xdr:twoCellAnchor>
  <xdr:twoCellAnchor editAs="absolute">
    <xdr:from>
      <xdr:col>1</xdr:col>
      <xdr:colOff>9525</xdr:colOff>
      <xdr:row>0</xdr:row>
      <xdr:rowOff>628649</xdr:rowOff>
    </xdr:from>
    <xdr:to>
      <xdr:col>8</xdr:col>
      <xdr:colOff>19050</xdr:colOff>
      <xdr:row>1</xdr:row>
      <xdr:rowOff>95249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1562100" y="628649"/>
          <a:ext cx="8982075" cy="2381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i="1">
              <a:solidFill>
                <a:schemeClr val="bg1"/>
              </a:solidFill>
            </a:rPr>
            <a:t>CARACTERIZAÇÃO</a:t>
          </a:r>
          <a:r>
            <a:rPr lang="pt-BR" sz="1100" b="0" i="1" baseline="0">
              <a:solidFill>
                <a:schemeClr val="bg1"/>
              </a:solidFill>
            </a:rPr>
            <a:t> DO ANIMAL/LOTE</a:t>
          </a:r>
          <a:endParaRPr lang="pt-BR" sz="1100" b="0" i="1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1</xdr:col>
      <xdr:colOff>457200</xdr:colOff>
      <xdr:row>10</xdr:row>
      <xdr:rowOff>409575</xdr:rowOff>
    </xdr:from>
    <xdr:to>
      <xdr:col>1</xdr:col>
      <xdr:colOff>1951575</xdr:colOff>
      <xdr:row>10</xdr:row>
      <xdr:rowOff>619125</xdr:rowOff>
    </xdr:to>
    <xdr:sp macro="[0]!Ficha_Exigencia_BRC" textlink="">
      <xdr:nvSpPr>
        <xdr:cNvPr id="12" name="Menu_PDF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638175" y="1800225"/>
          <a:ext cx="1494375" cy="0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0"/>
            <a:t>Imprimir</a:t>
          </a:r>
          <a:r>
            <a:rPr lang="pt-BR" sz="1050" b="0" baseline="0"/>
            <a:t> este relatório</a:t>
          </a:r>
          <a:endParaRPr lang="pt-BR" sz="1050" b="0"/>
        </a:p>
      </xdr:txBody>
    </xdr:sp>
    <xdr:clientData/>
  </xdr:twoCellAnchor>
  <xdr:twoCellAnchor editAs="oneCell">
    <xdr:from>
      <xdr:col>1</xdr:col>
      <xdr:colOff>2524126</xdr:colOff>
      <xdr:row>4</xdr:row>
      <xdr:rowOff>0</xdr:rowOff>
    </xdr:from>
    <xdr:to>
      <xdr:col>1</xdr:col>
      <xdr:colOff>3705225</xdr:colOff>
      <xdr:row>4</xdr:row>
      <xdr:rowOff>271792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3800476" y="1038225"/>
          <a:ext cx="1181099" cy="271792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900">
              <a:solidFill>
                <a:schemeClr val="bg1"/>
              </a:solidFill>
              <a:effectLst/>
            </a:rPr>
            <a:t>1 - PV</a:t>
          </a:r>
          <a:r>
            <a:rPr lang="pt-BR" sz="900" baseline="0">
              <a:solidFill>
                <a:schemeClr val="bg1"/>
              </a:solidFill>
              <a:effectLst/>
            </a:rPr>
            <a:t> Adulto (Kg)</a:t>
          </a:r>
          <a:endParaRPr lang="pt-BR" sz="900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</xdr:col>
      <xdr:colOff>2514600</xdr:colOff>
      <xdr:row>5</xdr:row>
      <xdr:rowOff>47625</xdr:rowOff>
    </xdr:from>
    <xdr:to>
      <xdr:col>1</xdr:col>
      <xdr:colOff>3695699</xdr:colOff>
      <xdr:row>6</xdr:row>
      <xdr:rowOff>262267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4067175" y="1581150"/>
          <a:ext cx="1181099" cy="271792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2 - PV Atual (Kg)</a:t>
          </a:r>
          <a:endParaRPr lang="pt-BR" sz="900">
            <a:effectLst/>
          </a:endParaRPr>
        </a:p>
      </xdr:txBody>
    </xdr:sp>
    <xdr:clientData/>
  </xdr:twoCellAnchor>
  <xdr:twoCellAnchor editAs="oneCell">
    <xdr:from>
      <xdr:col>3</xdr:col>
      <xdr:colOff>47625</xdr:colOff>
      <xdr:row>4</xdr:row>
      <xdr:rowOff>0</xdr:rowOff>
    </xdr:from>
    <xdr:to>
      <xdr:col>4</xdr:col>
      <xdr:colOff>771525</xdr:colOff>
      <xdr:row>4</xdr:row>
      <xdr:rowOff>271792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5981700" y="1038225"/>
          <a:ext cx="1400175" cy="271792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9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3 - Produç Leite (Kg/dia)</a:t>
          </a:r>
          <a:endParaRPr lang="pt-BR" sz="900">
            <a:solidFill>
              <a:schemeClr val="bg1"/>
            </a:solidFill>
            <a:effectLst/>
          </a:endParaRPr>
        </a:p>
      </xdr:txBody>
    </xdr:sp>
    <xdr:clientData/>
  </xdr:twoCellAnchor>
  <xdr:twoCellAnchor editAs="oneCell">
    <xdr:from>
      <xdr:col>6</xdr:col>
      <xdr:colOff>38100</xdr:colOff>
      <xdr:row>1</xdr:row>
      <xdr:rowOff>114300</xdr:rowOff>
    </xdr:from>
    <xdr:to>
      <xdr:col>6</xdr:col>
      <xdr:colOff>1085849</xdr:colOff>
      <xdr:row>3</xdr:row>
      <xdr:rowOff>0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8458200" y="676275"/>
          <a:ext cx="1047749" cy="3048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5 - Proteina (%)</a:t>
          </a:r>
          <a:endParaRPr lang="pt-BR" sz="1000">
            <a:solidFill>
              <a:schemeClr val="bg1"/>
            </a:solidFill>
            <a:effectLst/>
          </a:endParaRPr>
        </a:p>
      </xdr:txBody>
    </xdr:sp>
    <xdr:clientData/>
  </xdr:twoCellAnchor>
  <xdr:twoCellAnchor editAs="oneCell">
    <xdr:from>
      <xdr:col>6</xdr:col>
      <xdr:colOff>38100</xdr:colOff>
      <xdr:row>3</xdr:row>
      <xdr:rowOff>38100</xdr:rowOff>
    </xdr:from>
    <xdr:to>
      <xdr:col>6</xdr:col>
      <xdr:colOff>1085849</xdr:colOff>
      <xdr:row>5</xdr:row>
      <xdr:rowOff>0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8458200" y="1019175"/>
          <a:ext cx="1047749" cy="3048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6 - Gestação (dias)</a:t>
          </a:r>
          <a:endParaRPr lang="pt-BR" sz="900">
            <a:solidFill>
              <a:schemeClr val="bg1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4</xdr:row>
          <xdr:rowOff>9525</xdr:rowOff>
        </xdr:from>
        <xdr:to>
          <xdr:col>8</xdr:col>
          <xdr:colOff>0</xdr:colOff>
          <xdr:row>4</xdr:row>
          <xdr:rowOff>276225</xdr:rowOff>
        </xdr:to>
        <xdr:sp macro="" textlink="">
          <xdr:nvSpPr>
            <xdr:cNvPr id="120842" name="Spinner 10" hidden="1">
              <a:extLst>
                <a:ext uri="{63B3BB69-23CF-44E3-9099-C40C66FF867C}">
                  <a14:compatExt spid="_x0000_s120842"/>
                </a:ext>
                <a:ext uri="{FF2B5EF4-FFF2-40B4-BE49-F238E27FC236}">
                  <a16:creationId xmlns:a16="http://schemas.microsoft.com/office/drawing/2014/main" id="{00000000-0008-0000-0700-00000A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19050</xdr:colOff>
      <xdr:row>4</xdr:row>
      <xdr:rowOff>19050</xdr:rowOff>
    </xdr:from>
    <xdr:to>
      <xdr:col>1</xdr:col>
      <xdr:colOff>2486025</xdr:colOff>
      <xdr:row>6</xdr:row>
      <xdr:rowOff>257175</xdr:rowOff>
    </xdr:to>
    <xdr:sp macro="" textlink="Base.BL!B6">
      <xdr:nvSpPr>
        <xdr:cNvPr id="26" name="Retângulo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1571625" y="1266825"/>
          <a:ext cx="2466975" cy="581025"/>
        </a:xfrm>
        <a:prstGeom prst="rect">
          <a:avLst/>
        </a:prstGeom>
        <a:solidFill>
          <a:schemeClr val="accent1">
            <a:lumMod val="75000"/>
          </a:schemeClr>
        </a:solidFill>
        <a:ln w="6350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2B7C389-854A-42D1-A093-2903E11585F0}" type="TxLink">
            <a:rPr lang="en-US" sz="1600" b="0" i="1" u="none" strike="noStrike">
              <a:solidFill>
                <a:schemeClr val="bg1"/>
              </a:solidFill>
              <a:effectLst/>
              <a:latin typeface="Arial"/>
              <a:cs typeface="Arial"/>
            </a:rPr>
            <a:pPr algn="ctr"/>
            <a:t>Lana 2020</a:t>
          </a:fld>
          <a:endParaRPr lang="pt-BR" sz="1600" i="1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</xdr:col>
      <xdr:colOff>0</xdr:colOff>
      <xdr:row>1</xdr:row>
      <xdr:rowOff>104775</xdr:rowOff>
    </xdr:from>
    <xdr:to>
      <xdr:col>6</xdr:col>
      <xdr:colOff>9525</xdr:colOff>
      <xdr:row>3</xdr:row>
      <xdr:rowOff>28575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GrpSpPr/>
      </xdr:nvGrpSpPr>
      <xdr:grpSpPr>
        <a:xfrm>
          <a:off x="1552575" y="876300"/>
          <a:ext cx="7134225" cy="342900"/>
          <a:chOff x="142875" y="838200"/>
          <a:chExt cx="9067800" cy="361950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SpPr/>
        </xdr:nvSpPr>
        <xdr:spPr>
          <a:xfrm>
            <a:off x="142875" y="838200"/>
            <a:ext cx="9067800" cy="361950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600" b="1" baseline="0"/>
              <a:t>Exigência</a:t>
            </a:r>
            <a:endParaRPr lang="pt-BR" sz="1600" b="1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0843" name="Drop Down 11" hidden="1">
                <a:extLst>
                  <a:ext uri="{63B3BB69-23CF-44E3-9099-C40C66FF867C}">
                    <a14:compatExt spid="_x0000_s120843"/>
                  </a:ext>
                  <a:ext uri="{FF2B5EF4-FFF2-40B4-BE49-F238E27FC236}">
                    <a16:creationId xmlns:a16="http://schemas.microsoft.com/office/drawing/2014/main" id="{00000000-0008-0000-0700-00000BD80100}"/>
                  </a:ext>
                </a:extLst>
              </xdr:cNvPr>
              <xdr:cNvSpPr/>
            </xdr:nvSpPr>
            <xdr:spPr bwMode="auto">
              <a:xfrm>
                <a:off x="1434825" y="885825"/>
                <a:ext cx="7699651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4</xdr:row>
          <xdr:rowOff>9525</xdr:rowOff>
        </xdr:from>
        <xdr:to>
          <xdr:col>7</xdr:col>
          <xdr:colOff>752475</xdr:colOff>
          <xdr:row>4</xdr:row>
          <xdr:rowOff>276225</xdr:rowOff>
        </xdr:to>
        <xdr:sp macro="" textlink="">
          <xdr:nvSpPr>
            <xdr:cNvPr id="120845" name="Spinner 13" hidden="1">
              <a:extLst>
                <a:ext uri="{63B3BB69-23CF-44E3-9099-C40C66FF867C}">
                  <a14:compatExt spid="_x0000_s120845"/>
                </a:ext>
                <a:ext uri="{FF2B5EF4-FFF2-40B4-BE49-F238E27FC236}">
                  <a16:creationId xmlns:a16="http://schemas.microsoft.com/office/drawing/2014/main" id="{00000000-0008-0000-0700-00000D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6</xdr:row>
          <xdr:rowOff>9525</xdr:rowOff>
        </xdr:from>
        <xdr:to>
          <xdr:col>7</xdr:col>
          <xdr:colOff>752475</xdr:colOff>
          <xdr:row>7</xdr:row>
          <xdr:rowOff>9525</xdr:rowOff>
        </xdr:to>
        <xdr:sp macro="" textlink="">
          <xdr:nvSpPr>
            <xdr:cNvPr id="120846" name="Spinner 14" hidden="1">
              <a:extLst>
                <a:ext uri="{63B3BB69-23CF-44E3-9099-C40C66FF867C}">
                  <a14:compatExt spid="_x0000_s120846"/>
                </a:ext>
                <a:ext uri="{FF2B5EF4-FFF2-40B4-BE49-F238E27FC236}">
                  <a16:creationId xmlns:a16="http://schemas.microsoft.com/office/drawing/2014/main" id="{00000000-0008-0000-0700-00000E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38100</xdr:colOff>
      <xdr:row>0</xdr:row>
      <xdr:rowOff>590550</xdr:rowOff>
    </xdr:from>
    <xdr:to>
      <xdr:col>0</xdr:col>
      <xdr:colOff>1524000</xdr:colOff>
      <xdr:row>13</xdr:row>
      <xdr:rowOff>209550</xdr:rowOff>
    </xdr:to>
    <xdr:grpSp>
      <xdr:nvGrpSpPr>
        <xdr:cNvPr id="120853" name="Agrupar 120852">
          <a:extLst>
            <a:ext uri="{FF2B5EF4-FFF2-40B4-BE49-F238E27FC236}">
              <a16:creationId xmlns:a16="http://schemas.microsoft.com/office/drawing/2014/main" id="{00000000-0008-0000-0700-000015D80100}"/>
            </a:ext>
          </a:extLst>
        </xdr:cNvPr>
        <xdr:cNvGrpSpPr/>
      </xdr:nvGrpSpPr>
      <xdr:grpSpPr>
        <a:xfrm>
          <a:off x="38100" y="590550"/>
          <a:ext cx="1485900" cy="2038350"/>
          <a:chOff x="10401300" y="9525"/>
          <a:chExt cx="1866901" cy="2324100"/>
        </a:xfrm>
      </xdr:grpSpPr>
      <xdr:sp macro="" textlink="Base.BL!B57">
        <xdr:nvSpPr>
          <xdr:cNvPr id="30" name="Retângulo 29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SpPr/>
        </xdr:nvSpPr>
        <xdr:spPr>
          <a:xfrm>
            <a:off x="10401301" y="304800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3D02B10-15BA-49DA-B34A-D930211D325B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0 - 0    PV Adulto (Kg)</a:t>
            </a:fld>
            <a:endParaRPr lang="pt-BR" sz="500" i="1">
              <a:solidFill>
                <a:sysClr val="windowText" lastClr="000000"/>
              </a:solidFill>
              <a:effectLst/>
            </a:endParaRPr>
          </a:p>
        </xdr:txBody>
      </xdr:sp>
      <xdr:sp macro="" textlink="Base.BL!B58">
        <xdr:nvSpPr>
          <xdr:cNvPr id="31" name="Retângulo 30"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SpPr/>
        </xdr:nvSpPr>
        <xdr:spPr>
          <a:xfrm>
            <a:off x="10401301" y="600075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B92BBAA-F92F-478A-B48B-CED7F5086232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300 - 700    PV Atual (kg)</a:t>
            </a:fld>
            <a:endParaRPr lang="pt-BR" sz="200" i="1">
              <a:solidFill>
                <a:sysClr val="windowText" lastClr="000000"/>
              </a:solidFill>
              <a:effectLst/>
            </a:endParaRPr>
          </a:p>
        </xdr:txBody>
      </xdr:sp>
      <xdr:sp macro="" textlink="Base.BL!B59">
        <xdr:nvSpPr>
          <xdr:cNvPr id="120832" name="Retângulo 120831">
            <a:extLst>
              <a:ext uri="{FF2B5EF4-FFF2-40B4-BE49-F238E27FC236}">
                <a16:creationId xmlns:a16="http://schemas.microsoft.com/office/drawing/2014/main" id="{00000000-0008-0000-0700-000000D80100}"/>
              </a:ext>
            </a:extLst>
          </xdr:cNvPr>
          <xdr:cNvSpPr/>
        </xdr:nvSpPr>
        <xdr:spPr>
          <a:xfrm>
            <a:off x="10401301" y="895350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9CEE3DD-A29D-4747-AE9E-A9E3946CB9BA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0 - 60    Prod Leite (kg/dia)</a:t>
            </a:fld>
            <a:endParaRPr lang="pt-BR" sz="200" i="1">
              <a:solidFill>
                <a:sysClr val="windowText" lastClr="000000"/>
              </a:solidFill>
              <a:effectLst/>
            </a:endParaRPr>
          </a:p>
        </xdr:txBody>
      </xdr:sp>
      <xdr:sp macro="" textlink="Base.BL!B60">
        <xdr:nvSpPr>
          <xdr:cNvPr id="120848" name="Retângulo 120847">
            <a:extLst>
              <a:ext uri="{FF2B5EF4-FFF2-40B4-BE49-F238E27FC236}">
                <a16:creationId xmlns:a16="http://schemas.microsoft.com/office/drawing/2014/main" id="{00000000-0008-0000-0700-000010D80100}"/>
              </a:ext>
            </a:extLst>
          </xdr:cNvPr>
          <xdr:cNvSpPr/>
        </xdr:nvSpPr>
        <xdr:spPr>
          <a:xfrm>
            <a:off x="10401301" y="1190625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F2AC6C8-4E8A-4030-9064-5F115B0925EC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0 - 0    Gordura (%)</a:t>
            </a:fld>
            <a:endParaRPr lang="pt-BR" sz="200" i="1">
              <a:solidFill>
                <a:sysClr val="windowText" lastClr="000000"/>
              </a:solidFill>
              <a:effectLst/>
            </a:endParaRPr>
          </a:p>
        </xdr:txBody>
      </xdr:sp>
      <xdr:sp macro="" textlink="Base.BL!B62">
        <xdr:nvSpPr>
          <xdr:cNvPr id="120849" name="Retângulo 120848">
            <a:extLst>
              <a:ext uri="{FF2B5EF4-FFF2-40B4-BE49-F238E27FC236}">
                <a16:creationId xmlns:a16="http://schemas.microsoft.com/office/drawing/2014/main" id="{00000000-0008-0000-0700-000011D80100}"/>
              </a:ext>
            </a:extLst>
          </xdr:cNvPr>
          <xdr:cNvSpPr/>
        </xdr:nvSpPr>
        <xdr:spPr>
          <a:xfrm>
            <a:off x="10401301" y="1781175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F807CCE-B08E-4936-87FA-0ABB787C2A60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0 - 0    Dias de gestação</a:t>
            </a:fld>
            <a:endParaRPr lang="pt-BR" sz="200" i="1">
              <a:solidFill>
                <a:sysClr val="windowText" lastClr="000000"/>
              </a:solidFill>
              <a:effectLst/>
            </a:endParaRPr>
          </a:p>
        </xdr:txBody>
      </xdr:sp>
      <xdr:sp macro="" textlink="Base.BL!B61">
        <xdr:nvSpPr>
          <xdr:cNvPr id="120850" name="Retângulo 120849">
            <a:extLst>
              <a:ext uri="{FF2B5EF4-FFF2-40B4-BE49-F238E27FC236}">
                <a16:creationId xmlns:a16="http://schemas.microsoft.com/office/drawing/2014/main" id="{00000000-0008-0000-0700-000012D80100}"/>
              </a:ext>
            </a:extLst>
          </xdr:cNvPr>
          <xdr:cNvSpPr/>
        </xdr:nvSpPr>
        <xdr:spPr>
          <a:xfrm>
            <a:off x="10401301" y="1485900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9D12685-E758-4A77-974F-00CDE945769E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0 - 0    Proteína (%)</a:t>
            </a:fld>
            <a:endParaRPr lang="pt-BR" sz="200" i="1">
              <a:solidFill>
                <a:sysClr val="windowText" lastClr="000000"/>
              </a:solidFill>
              <a:effectLst/>
            </a:endParaRPr>
          </a:p>
        </xdr:txBody>
      </xdr:sp>
      <xdr:sp macro="" textlink="Base.BL!B63">
        <xdr:nvSpPr>
          <xdr:cNvPr id="120851" name="Retângulo 120850">
            <a:extLst>
              <a:ext uri="{FF2B5EF4-FFF2-40B4-BE49-F238E27FC236}">
                <a16:creationId xmlns:a16="http://schemas.microsoft.com/office/drawing/2014/main" id="{00000000-0008-0000-0700-000013D80100}"/>
              </a:ext>
            </a:extLst>
          </xdr:cNvPr>
          <xdr:cNvSpPr/>
        </xdr:nvSpPr>
        <xdr:spPr>
          <a:xfrm>
            <a:off x="10401301" y="2076450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EDA8EEF-520C-467D-A6FE-548FD841A414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0 - 0    GMD (KG)</a:t>
            </a:fld>
            <a:endParaRPr lang="pt-BR" sz="200" i="1">
              <a:solidFill>
                <a:sysClr val="windowText" lastClr="000000"/>
              </a:solidFill>
              <a:effectLst/>
            </a:endParaRPr>
          </a:p>
        </xdr:txBody>
      </xdr:sp>
      <xdr:sp macro="" textlink="">
        <xdr:nvSpPr>
          <xdr:cNvPr id="120852" name="Retângulo 120851">
            <a:extLst>
              <a:ext uri="{FF2B5EF4-FFF2-40B4-BE49-F238E27FC236}">
                <a16:creationId xmlns:a16="http://schemas.microsoft.com/office/drawing/2014/main" id="{00000000-0008-0000-0700-000014D80100}"/>
              </a:ext>
            </a:extLst>
          </xdr:cNvPr>
          <xdr:cNvSpPr/>
        </xdr:nvSpPr>
        <xdr:spPr>
          <a:xfrm>
            <a:off x="10401300" y="9525"/>
            <a:ext cx="1866900" cy="257175"/>
          </a:xfrm>
          <a:prstGeom prst="rect">
            <a:avLst/>
          </a:prstGeom>
          <a:solidFill>
            <a:srgbClr val="FFC000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ysClr val="windowText" lastClr="000000"/>
                </a:solidFill>
                <a:effectLst/>
              </a:rPr>
              <a:t> INTERVALO</a:t>
            </a:r>
          </a:p>
        </xdr:txBody>
      </xdr:sp>
    </xdr:grpSp>
    <xdr:clientData/>
  </xdr:twoCellAnchor>
  <xdr:twoCellAnchor editAs="oneCell">
    <xdr:from>
      <xdr:col>1</xdr:col>
      <xdr:colOff>19050</xdr:colOff>
      <xdr:row>0</xdr:row>
      <xdr:rowOff>257175</xdr:rowOff>
    </xdr:from>
    <xdr:to>
      <xdr:col>8</xdr:col>
      <xdr:colOff>19049</xdr:colOff>
      <xdr:row>0</xdr:row>
      <xdr:rowOff>590550</xdr:rowOff>
    </xdr:to>
    <xdr:sp macro="" textlink="">
      <xdr:nvSpPr>
        <xdr:cNvPr id="120866" name="Retângulo 120865">
          <a:extLst>
            <a:ext uri="{FF2B5EF4-FFF2-40B4-BE49-F238E27FC236}">
              <a16:creationId xmlns:a16="http://schemas.microsoft.com/office/drawing/2014/main" id="{00000000-0008-0000-0700-000022D80100}"/>
            </a:ext>
          </a:extLst>
        </xdr:cNvPr>
        <xdr:cNvSpPr/>
      </xdr:nvSpPr>
      <xdr:spPr>
        <a:xfrm>
          <a:off x="1571625" y="257175"/>
          <a:ext cx="8972549" cy="333375"/>
        </a:xfrm>
        <a:prstGeom prst="rect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GERADOR</a:t>
          </a:r>
          <a:r>
            <a:rPr lang="pt-BR" sz="1400" b="1" baseline="0">
              <a:solidFill>
                <a:schemeClr val="bg1"/>
              </a:solidFill>
            </a:rPr>
            <a:t> DE EXIGÊNCIA PARA BOVINOS DE LEITE</a:t>
          </a:r>
          <a:endParaRPr lang="pt-BR" sz="1400" b="1">
            <a:solidFill>
              <a:schemeClr val="bg1"/>
            </a:solidFill>
          </a:endParaRPr>
        </a:p>
      </xdr:txBody>
    </xdr:sp>
    <xdr:clientData fPrintsWithSheet="0"/>
  </xdr:twoCellAnchor>
  <xdr:twoCellAnchor editAs="oneCell">
    <xdr:from>
      <xdr:col>1</xdr:col>
      <xdr:colOff>19050</xdr:colOff>
      <xdr:row>0</xdr:row>
      <xdr:rowOff>0</xdr:rowOff>
    </xdr:from>
    <xdr:to>
      <xdr:col>1</xdr:col>
      <xdr:colOff>323850</xdr:colOff>
      <xdr:row>0</xdr:row>
      <xdr:rowOff>257175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5" y="0"/>
          <a:ext cx="304800" cy="2571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3</xdr:row>
      <xdr:rowOff>0</xdr:rowOff>
    </xdr:from>
    <xdr:to>
      <xdr:col>1</xdr:col>
      <xdr:colOff>1142999</xdr:colOff>
      <xdr:row>11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8" name="Referência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ferênc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1150" y="885825"/>
              <a:ext cx="1257300" cy="1009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1171575</xdr:colOff>
      <xdr:row>3</xdr:row>
      <xdr:rowOff>0</xdr:rowOff>
    </xdr:from>
    <xdr:to>
      <xdr:col>1</xdr:col>
      <xdr:colOff>2994660</xdr:colOff>
      <xdr:row>11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9" name="Categoria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89885" y="885825"/>
              <a:ext cx="1657350" cy="1009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3046095</xdr:colOff>
      <xdr:row>3</xdr:row>
      <xdr:rowOff>0</xdr:rowOff>
    </xdr:from>
    <xdr:to>
      <xdr:col>3</xdr:col>
      <xdr:colOff>7619</xdr:colOff>
      <xdr:row>11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0" name="Fase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s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98670" y="885825"/>
              <a:ext cx="1609724" cy="1009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49529</xdr:colOff>
      <xdr:row>3</xdr:row>
      <xdr:rowOff>0</xdr:rowOff>
    </xdr:from>
    <xdr:to>
      <xdr:col>5</xdr:col>
      <xdr:colOff>59054</xdr:colOff>
      <xdr:row>11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1" name="PV(kg)">
              <a:extLst>
                <a:ext uri="{FF2B5EF4-FFF2-40B4-BE49-F238E27FC236}">
                  <a16:creationId xmlns:a16="http://schemas.microsoft.com/office/drawing/2014/main" id="{00000000-0008-0000-0800-00001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V(kg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50304" y="885825"/>
              <a:ext cx="1485900" cy="1009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428625</xdr:colOff>
      <xdr:row>2</xdr:row>
      <xdr:rowOff>57149</xdr:rowOff>
    </xdr:from>
    <xdr:to>
      <xdr:col>7</xdr:col>
      <xdr:colOff>742950</xdr:colOff>
      <xdr:row>11</xdr:row>
      <xdr:rowOff>28573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8544" name="Feto/Filho">
              <a:extLst>
                <a:ext uri="{FF2B5EF4-FFF2-40B4-BE49-F238E27FC236}">
                  <a16:creationId xmlns:a16="http://schemas.microsoft.com/office/drawing/2014/main" id="{00000000-0008-0000-0800-000000A801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to/Filh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05900" y="885824"/>
              <a:ext cx="1400175" cy="10096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110489</xdr:colOff>
      <xdr:row>3</xdr:row>
      <xdr:rowOff>0</xdr:rowOff>
    </xdr:from>
    <xdr:to>
      <xdr:col>6</xdr:col>
      <xdr:colOff>386714</xdr:colOff>
      <xdr:row>11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8556" name="GMD(g)">
              <a:extLst>
                <a:ext uri="{FF2B5EF4-FFF2-40B4-BE49-F238E27FC236}">
                  <a16:creationId xmlns:a16="http://schemas.microsoft.com/office/drawing/2014/main" id="{00000000-0008-0000-0800-00000CA801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MD(g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87639" y="885825"/>
              <a:ext cx="1276350" cy="1009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>
    <xdr:from>
      <xdr:col>1</xdr:col>
      <xdr:colOff>47626</xdr:colOff>
      <xdr:row>11</xdr:row>
      <xdr:rowOff>66676</xdr:rowOff>
    </xdr:from>
    <xdr:to>
      <xdr:col>1</xdr:col>
      <xdr:colOff>1247776</xdr:colOff>
      <xdr:row>11</xdr:row>
      <xdr:rowOff>295275</xdr:rowOff>
    </xdr:to>
    <xdr:sp macro="[0]!LimparFitroDinamico" textlink="">
      <xdr:nvSpPr>
        <xdr:cNvPr id="108557" name="Retângulo 108556">
          <a:extLst>
            <a:ext uri="{FF2B5EF4-FFF2-40B4-BE49-F238E27FC236}">
              <a16:creationId xmlns:a16="http://schemas.microsoft.com/office/drawing/2014/main" id="{00000000-0008-0000-0800-00000DA80100}"/>
            </a:ext>
          </a:extLst>
        </xdr:cNvPr>
        <xdr:cNvSpPr/>
      </xdr:nvSpPr>
      <xdr:spPr>
        <a:xfrm>
          <a:off x="1600201" y="1933576"/>
          <a:ext cx="1200150" cy="228599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Limpar</a:t>
          </a:r>
          <a:r>
            <a:rPr lang="pt-BR" sz="1100" b="1" baseline="0">
              <a:solidFill>
                <a:sysClr val="windowText" lastClr="000000"/>
              </a:solidFill>
            </a:rPr>
            <a:t> Filtros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9525</xdr:colOff>
      <xdr:row>0</xdr:row>
      <xdr:rowOff>228600</xdr:rowOff>
    </xdr:from>
    <xdr:to>
      <xdr:col>7</xdr:col>
      <xdr:colOff>742950</xdr:colOff>
      <xdr:row>0</xdr:row>
      <xdr:rowOff>561975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562100" y="228600"/>
          <a:ext cx="8943975" cy="333375"/>
        </a:xfrm>
        <a:prstGeom prst="rect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GERADOR</a:t>
          </a:r>
          <a:r>
            <a:rPr lang="pt-BR" sz="1400" b="1" baseline="0">
              <a:solidFill>
                <a:schemeClr val="bg1"/>
              </a:solidFill>
            </a:rPr>
            <a:t> DE EXIGÊNCIA PARA OVINOS E CAPRINOS</a:t>
          </a:r>
          <a:endParaRPr lang="pt-BR" sz="14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1</xdr:col>
      <xdr:colOff>0</xdr:colOff>
      <xdr:row>0</xdr:row>
      <xdr:rowOff>600074</xdr:rowOff>
    </xdr:from>
    <xdr:to>
      <xdr:col>7</xdr:col>
      <xdr:colOff>752476</xdr:colOff>
      <xdr:row>2</xdr:row>
      <xdr:rowOff>28574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552575" y="600074"/>
          <a:ext cx="8963026" cy="2571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i="1">
              <a:solidFill>
                <a:schemeClr val="bg1"/>
              </a:solidFill>
            </a:rPr>
            <a:t>CARACTERIZAÇÃO</a:t>
          </a:r>
          <a:r>
            <a:rPr lang="pt-BR" sz="1100" b="0" i="1" baseline="0">
              <a:solidFill>
                <a:schemeClr val="bg1"/>
              </a:solidFill>
            </a:rPr>
            <a:t> DO ANIMAL/LOTE</a:t>
          </a:r>
          <a:endParaRPr lang="pt-BR" sz="1100" b="0" i="1">
            <a:solidFill>
              <a:schemeClr val="bg1"/>
            </a:solidFill>
          </a:endParaRPr>
        </a:p>
      </xdr:txBody>
    </xdr:sp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0</xdr:row>
      <xdr:rowOff>276225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2575" y="0"/>
          <a:ext cx="304800" cy="2762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8</xdr:row>
          <xdr:rowOff>371475</xdr:rowOff>
        </xdr:from>
        <xdr:to>
          <xdr:col>6</xdr:col>
          <xdr:colOff>9525</xdr:colOff>
          <xdr:row>10</xdr:row>
          <xdr:rowOff>19050</xdr:rowOff>
        </xdr:to>
        <xdr:sp macro="" textlink="">
          <xdr:nvSpPr>
            <xdr:cNvPr id="62465" name="Spinner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9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7</xdr:row>
          <xdr:rowOff>990600</xdr:rowOff>
        </xdr:from>
        <xdr:to>
          <xdr:col>6</xdr:col>
          <xdr:colOff>19050</xdr:colOff>
          <xdr:row>8</xdr:row>
          <xdr:rowOff>352425</xdr:rowOff>
        </xdr:to>
        <xdr:sp macro="" textlink="">
          <xdr:nvSpPr>
            <xdr:cNvPr id="62466" name="Spinner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09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1000125</xdr:colOff>
          <xdr:row>6</xdr:row>
          <xdr:rowOff>19050</xdr:rowOff>
        </xdr:from>
        <xdr:to>
          <xdr:col>31</xdr:col>
          <xdr:colOff>1238250</xdr:colOff>
          <xdr:row>6</xdr:row>
          <xdr:rowOff>409575</xdr:rowOff>
        </xdr:to>
        <xdr:sp macro="" textlink="">
          <xdr:nvSpPr>
            <xdr:cNvPr id="62467" name="Spinner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09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990600</xdr:colOff>
          <xdr:row>9</xdr:row>
          <xdr:rowOff>47625</xdr:rowOff>
        </xdr:from>
        <xdr:to>
          <xdr:col>31</xdr:col>
          <xdr:colOff>1209675</xdr:colOff>
          <xdr:row>10</xdr:row>
          <xdr:rowOff>161925</xdr:rowOff>
        </xdr:to>
        <xdr:sp macro="" textlink="">
          <xdr:nvSpPr>
            <xdr:cNvPr id="62468" name="Spinner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09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1009650</xdr:colOff>
          <xdr:row>7</xdr:row>
          <xdr:rowOff>57150</xdr:rowOff>
        </xdr:from>
        <xdr:to>
          <xdr:col>31</xdr:col>
          <xdr:colOff>1200150</xdr:colOff>
          <xdr:row>7</xdr:row>
          <xdr:rowOff>647700</xdr:rowOff>
        </xdr:to>
        <xdr:sp macro="" textlink="">
          <xdr:nvSpPr>
            <xdr:cNvPr id="62469" name="Spinner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09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6</xdr:col>
          <xdr:colOff>19050</xdr:colOff>
          <xdr:row>7</xdr:row>
          <xdr:rowOff>9525</xdr:rowOff>
        </xdr:to>
        <xdr:sp macro="" textlink="">
          <xdr:nvSpPr>
            <xdr:cNvPr id="62470" name="Spinner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09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962025</xdr:colOff>
          <xdr:row>8</xdr:row>
          <xdr:rowOff>28575</xdr:rowOff>
        </xdr:from>
        <xdr:to>
          <xdr:col>31</xdr:col>
          <xdr:colOff>1200150</xdr:colOff>
          <xdr:row>8</xdr:row>
          <xdr:rowOff>381000</xdr:rowOff>
        </xdr:to>
        <xdr:sp macro="" textlink="">
          <xdr:nvSpPr>
            <xdr:cNvPr id="62471" name="Spinner 7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09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38100</xdr:rowOff>
    </xdr:from>
    <xdr:to>
      <xdr:col>5</xdr:col>
      <xdr:colOff>1828800</xdr:colOff>
      <xdr:row>0</xdr:row>
      <xdr:rowOff>381000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161925" y="38100"/>
          <a:ext cx="5572125" cy="342900"/>
          <a:chOff x="142875" y="838200"/>
          <a:chExt cx="9067800" cy="3619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/>
        </xdr:nvSpPr>
        <xdr:spPr>
          <a:xfrm>
            <a:off x="142875" y="838200"/>
            <a:ext cx="9067800" cy="361950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600" b="1" baseline="0"/>
              <a:t>Exigência</a:t>
            </a:r>
            <a:endParaRPr lang="pt-BR" sz="1600" b="1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4209" name="Drop Down 1" hidden="1">
                <a:extLst>
                  <a:ext uri="{63B3BB69-23CF-44E3-9099-C40C66FF867C}">
                    <a14:compatExt spid="_x0000_s94209"/>
                  </a:ext>
                  <a:ext uri="{FF2B5EF4-FFF2-40B4-BE49-F238E27FC236}">
                    <a16:creationId xmlns:a16="http://schemas.microsoft.com/office/drawing/2014/main" id="{00000000-0008-0000-0B00-000001700100}"/>
                  </a:ext>
                </a:extLst>
              </xdr:cNvPr>
              <xdr:cNvSpPr/>
            </xdr:nvSpPr>
            <xdr:spPr bwMode="auto">
              <a:xfrm>
                <a:off x="2181226" y="885825"/>
                <a:ext cx="6953249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0</xdr:rowOff>
    </xdr:from>
    <xdr:to>
      <xdr:col>1</xdr:col>
      <xdr:colOff>247650</xdr:colOff>
      <xdr:row>1</xdr:row>
      <xdr:rowOff>1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0"/>
          <a:ext cx="304800" cy="30480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1</xdr:row>
      <xdr:rowOff>38100</xdr:rowOff>
    </xdr:from>
    <xdr:to>
      <xdr:col>6</xdr:col>
      <xdr:colOff>142875</xdr:colOff>
      <xdr:row>2</xdr:row>
      <xdr:rowOff>171450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28625" y="371475"/>
          <a:ext cx="6924675" cy="4191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CADASTRO</a:t>
          </a:r>
          <a:r>
            <a:rPr lang="pt-BR" sz="1600" b="1" baseline="0"/>
            <a:t> DE EXIGÊNCIA NUTRICIONAL</a:t>
          </a:r>
          <a:endParaRPr lang="pt-BR" sz="1600" b="1"/>
        </a:p>
      </xdr:txBody>
    </xdr:sp>
    <xdr:clientData/>
  </xdr:twoCellAnchor>
  <xdr:twoCellAnchor editAs="oneCell">
    <xdr:from>
      <xdr:col>1</xdr:col>
      <xdr:colOff>19050</xdr:colOff>
      <xdr:row>0</xdr:row>
      <xdr:rowOff>0</xdr:rowOff>
    </xdr:from>
    <xdr:to>
      <xdr:col>1</xdr:col>
      <xdr:colOff>333375</xdr:colOff>
      <xdr:row>0</xdr:row>
      <xdr:rowOff>332816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0"/>
          <a:ext cx="314325" cy="33281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0</xdr:row>
      <xdr:rowOff>0</xdr:rowOff>
    </xdr:from>
    <xdr:to>
      <xdr:col>2</xdr:col>
      <xdr:colOff>28575</xdr:colOff>
      <xdr:row>1</xdr:row>
      <xdr:rowOff>113741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0"/>
          <a:ext cx="314325" cy="33281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19050</xdr:colOff>
      <xdr:row>1</xdr:row>
      <xdr:rowOff>180416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0"/>
          <a:ext cx="314325" cy="33281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19</xdr:row>
          <xdr:rowOff>200025</xdr:rowOff>
        </xdr:from>
        <xdr:to>
          <xdr:col>2</xdr:col>
          <xdr:colOff>676275</xdr:colOff>
          <xdr:row>26</xdr:row>
          <xdr:rowOff>57150</xdr:rowOff>
        </xdr:to>
        <xdr:sp macro="" textlink="">
          <xdr:nvSpPr>
            <xdr:cNvPr id="17411" name="Option 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20</xdr:row>
          <xdr:rowOff>161925</xdr:rowOff>
        </xdr:from>
        <xdr:to>
          <xdr:col>2</xdr:col>
          <xdr:colOff>685800</xdr:colOff>
          <xdr:row>26</xdr:row>
          <xdr:rowOff>57150</xdr:rowOff>
        </xdr:to>
        <xdr:sp macro="" textlink="">
          <xdr:nvSpPr>
            <xdr:cNvPr id="17412" name="Option 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21</xdr:row>
          <xdr:rowOff>171450</xdr:rowOff>
        </xdr:from>
        <xdr:to>
          <xdr:col>2</xdr:col>
          <xdr:colOff>685800</xdr:colOff>
          <xdr:row>26</xdr:row>
          <xdr:rowOff>57150</xdr:rowOff>
        </xdr:to>
        <xdr:sp macro="" textlink="">
          <xdr:nvSpPr>
            <xdr:cNvPr id="17413" name="Option 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133350</xdr:colOff>
      <xdr:row>0</xdr:row>
      <xdr:rowOff>352425</xdr:rowOff>
    </xdr:from>
    <xdr:to>
      <xdr:col>8</xdr:col>
      <xdr:colOff>19050</xdr:colOff>
      <xdr:row>0</xdr:row>
      <xdr:rowOff>685800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33350" y="352425"/>
          <a:ext cx="11134725" cy="333375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Suplemento Mineral (Módulo de apoio para a formulação)</a:t>
          </a:r>
        </a:p>
      </xdr:txBody>
    </xdr:sp>
    <xdr:clientData fPrintsWithSheet="0"/>
  </xdr:twoCellAnchor>
  <xdr:twoCellAnchor editAs="oneCell">
    <xdr:from>
      <xdr:col>0</xdr:col>
      <xdr:colOff>238125</xdr:colOff>
      <xdr:row>0</xdr:row>
      <xdr:rowOff>0</xdr:rowOff>
    </xdr:from>
    <xdr:to>
      <xdr:col>0</xdr:col>
      <xdr:colOff>542925</xdr:colOff>
      <xdr:row>0</xdr:row>
      <xdr:rowOff>304801</xdr:rowOff>
    </xdr:to>
    <xdr:pic macro="[0]!Menu_Aparecer">
      <xdr:nvPicPr>
        <xdr:cNvPr id="5" name="Imagem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0"/>
          <a:ext cx="304800" cy="304801"/>
        </a:xfrm>
        <a:prstGeom prst="rect">
          <a:avLst/>
        </a:prstGeom>
      </xdr:spPr>
    </xdr:pic>
    <xdr:clientData/>
  </xdr:twoCellAnchor>
  <xdr:twoCellAnchor>
    <xdr:from>
      <xdr:col>6</xdr:col>
      <xdr:colOff>952500</xdr:colOff>
      <xdr:row>0</xdr:row>
      <xdr:rowOff>371476</xdr:rowOff>
    </xdr:from>
    <xdr:to>
      <xdr:col>8</xdr:col>
      <xdr:colOff>0</xdr:colOff>
      <xdr:row>0</xdr:row>
      <xdr:rowOff>666750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pSpPr/>
      </xdr:nvGrpSpPr>
      <xdr:grpSpPr>
        <a:xfrm>
          <a:off x="9705975" y="371476"/>
          <a:ext cx="1543050" cy="295274"/>
          <a:chOff x="4752975" y="5553075"/>
          <a:chExt cx="1181100" cy="266700"/>
        </a:xfrm>
      </xdr:grpSpPr>
      <xdr:sp macro="[0]!EnviarMineral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/>
        </xdr:nvSpPr>
        <xdr:spPr>
          <a:xfrm>
            <a:off x="4752975" y="5553075"/>
            <a:ext cx="1181100" cy="266700"/>
          </a:xfrm>
          <a:prstGeom prst="rect">
            <a:avLst/>
          </a:prstGeom>
          <a:solidFill>
            <a:srgbClr val="FFC00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050" b="1">
                <a:solidFill>
                  <a:sysClr val="windowText" lastClr="000000"/>
                </a:solidFill>
              </a:rPr>
              <a:t>Enviar</a:t>
            </a:r>
            <a:r>
              <a:rPr lang="pt-BR" sz="1050" b="1" baseline="0">
                <a:solidFill>
                  <a:sysClr val="windowText" lastClr="000000"/>
                </a:solidFill>
              </a:rPr>
              <a:t> Molde</a:t>
            </a:r>
            <a:endParaRPr lang="pt-BR" sz="1050" b="1">
              <a:solidFill>
                <a:sysClr val="windowText" lastClr="000000"/>
              </a:solidFill>
            </a:endParaRPr>
          </a:p>
        </xdr:txBody>
      </xdr:sp>
      <xdr:pic macro="[0]!Mineral">
        <xdr:nvPicPr>
          <xdr:cNvPr id="15" name="Gráfico 14" descr="Compartilhar"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5610226" y="5572125"/>
            <a:ext cx="228599" cy="2286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152400</xdr:colOff>
      <xdr:row>0</xdr:row>
      <xdr:rowOff>371475</xdr:rowOff>
    </xdr:from>
    <xdr:to>
      <xdr:col>1</xdr:col>
      <xdr:colOff>333375</xdr:colOff>
      <xdr:row>0</xdr:row>
      <xdr:rowOff>666749</xdr:rowOff>
    </xdr:to>
    <xdr:sp macro="[0]!OcultarLinhas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152400" y="371475"/>
          <a:ext cx="1543050" cy="295274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00" b="1">
              <a:solidFill>
                <a:sysClr val="windowText" lastClr="000000"/>
              </a:solidFill>
            </a:rPr>
            <a:t>Estimativas</a:t>
          </a:r>
          <a:r>
            <a:rPr lang="pt-BR" sz="1000" b="1" baseline="0">
              <a:solidFill>
                <a:sysClr val="windowText" lastClr="000000"/>
              </a:solidFill>
            </a:rPr>
            <a:t> CMS (Extra)!</a:t>
          </a:r>
          <a:endParaRPr lang="pt-BR" sz="1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380999</xdr:rowOff>
    </xdr:from>
    <xdr:to>
      <xdr:col>6</xdr:col>
      <xdr:colOff>1009649</xdr:colOff>
      <xdr:row>10</xdr:row>
      <xdr:rowOff>9524</xdr:rowOff>
    </xdr:to>
    <xdr:sp macro="" textlink="$E$66">
      <xdr:nvSpPr>
        <xdr:cNvPr id="6" name="Retângul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6600825" y="923924"/>
          <a:ext cx="1009649" cy="31432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C583E6C5-8041-4AD6-BFFA-37A5DCE10B5A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R$ 1,94</a:t>
          </a:fld>
          <a:endParaRPr lang="pt-BR" sz="20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0</xdr:colOff>
      <xdr:row>8</xdr:row>
      <xdr:rowOff>9525</xdr:rowOff>
    </xdr:from>
    <xdr:to>
      <xdr:col>6</xdr:col>
      <xdr:colOff>1009649</xdr:colOff>
      <xdr:row>8</xdr:row>
      <xdr:rowOff>390525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SpPr/>
      </xdr:nvSpPr>
      <xdr:spPr>
        <a:xfrm>
          <a:off x="6600825" y="552450"/>
          <a:ext cx="1009649" cy="3810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Custo</a:t>
          </a:r>
          <a:r>
            <a:rPr lang="en-US" sz="900" b="0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do KG  Suplemento</a:t>
          </a:r>
          <a:endParaRPr lang="en-US" sz="9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110218</xdr:colOff>
      <xdr:row>8</xdr:row>
      <xdr:rowOff>29583</xdr:rowOff>
    </xdr:from>
    <xdr:to>
      <xdr:col>1</xdr:col>
      <xdr:colOff>519793</xdr:colOff>
      <xdr:row>8</xdr:row>
      <xdr:rowOff>381447</xdr:rowOff>
    </xdr:to>
    <xdr:pic macro="[0]!UserFormProt">
      <xdr:nvPicPr>
        <xdr:cNvPr id="29" name="Imagem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897" y="383369"/>
          <a:ext cx="409575" cy="351864"/>
        </a:xfrm>
        <a:prstGeom prst="rect">
          <a:avLst/>
        </a:prstGeom>
      </xdr:spPr>
    </xdr:pic>
    <xdr:clientData/>
  </xdr:twoCellAnchor>
  <xdr:twoCellAnchor>
    <xdr:from>
      <xdr:col>1</xdr:col>
      <xdr:colOff>19051</xdr:colOff>
      <xdr:row>8</xdr:row>
      <xdr:rowOff>428625</xdr:rowOff>
    </xdr:from>
    <xdr:to>
      <xdr:col>1</xdr:col>
      <xdr:colOff>771525</xdr:colOff>
      <xdr:row>9</xdr:row>
      <xdr:rowOff>234554</xdr:rowOff>
    </xdr:to>
    <xdr:sp macro="[0]!FormularProteinadoCompleto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SpPr/>
      </xdr:nvSpPr>
      <xdr:spPr>
        <a:xfrm>
          <a:off x="161926" y="971550"/>
          <a:ext cx="752474" cy="253604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ysClr val="windowText" lastClr="000000"/>
              </a:solidFill>
            </a:rPr>
            <a:t>Formular</a:t>
          </a:r>
        </a:p>
      </xdr:txBody>
    </xdr:sp>
    <xdr:clientData/>
  </xdr:twoCellAnchor>
  <xdr:twoCellAnchor editAs="absolute">
    <xdr:from>
      <xdr:col>1</xdr:col>
      <xdr:colOff>590550</xdr:colOff>
      <xdr:row>6</xdr:row>
      <xdr:rowOff>200025</xdr:rowOff>
    </xdr:from>
    <xdr:to>
      <xdr:col>1</xdr:col>
      <xdr:colOff>2085975</xdr:colOff>
      <xdr:row>11</xdr:row>
      <xdr:rowOff>104775</xdr:rowOff>
    </xdr:to>
    <xdr:grpSp>
      <xdr:nvGrpSpPr>
        <xdr:cNvPr id="9" name="Menu_PDF" hidden="1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pSpPr/>
      </xdr:nvGrpSpPr>
      <xdr:grpSpPr>
        <a:xfrm>
          <a:off x="733425" y="200025"/>
          <a:ext cx="1495425" cy="1419225"/>
          <a:chOff x="4276725" y="923925"/>
          <a:chExt cx="1495425" cy="1419225"/>
        </a:xfrm>
      </xdr:grpSpPr>
      <xdr:sp macro="" textlink="">
        <xdr:nvSpPr>
          <xdr:cNvPr id="21" name="Retângulo 20" hidden="1">
            <a:extLst>
              <a:ext uri="{FF2B5EF4-FFF2-40B4-BE49-F238E27FC236}">
                <a16:creationId xmlns:a16="http://schemas.microsoft.com/office/drawing/2014/main" id="{00000000-0008-0000-1100-000015000000}"/>
              </a:ext>
            </a:extLst>
          </xdr:cNvPr>
          <xdr:cNvSpPr/>
        </xdr:nvSpPr>
        <xdr:spPr>
          <a:xfrm>
            <a:off x="4276725" y="923925"/>
            <a:ext cx="1495425" cy="1419225"/>
          </a:xfrm>
          <a:prstGeom prst="rect">
            <a:avLst/>
          </a:prstGeom>
          <a:solidFill>
            <a:schemeClr val="bg2">
              <a:lumMod val="9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Relatório_Completo" textlink="">
        <xdr:nvSpPr>
          <xdr:cNvPr id="22" name="Retângulo 21" hidden="1">
            <a:extLst>
              <a:ext uri="{FF2B5EF4-FFF2-40B4-BE49-F238E27FC236}">
                <a16:creationId xmlns:a16="http://schemas.microsoft.com/office/drawing/2014/main" id="{00000000-0008-0000-1100-000016000000}"/>
              </a:ext>
            </a:extLst>
          </xdr:cNvPr>
          <xdr:cNvSpPr/>
        </xdr:nvSpPr>
        <xdr:spPr>
          <a:xfrm>
            <a:off x="4333875" y="98107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Completo</a:t>
            </a:r>
          </a:p>
        </xdr:txBody>
      </xdr:sp>
      <xdr:sp macro="[0]!Relatorio_Atendimento" textlink="">
        <xdr:nvSpPr>
          <xdr:cNvPr id="23" name="Retângulo 22" hidden="1">
            <a:extLst>
              <a:ext uri="{FF2B5EF4-FFF2-40B4-BE49-F238E27FC236}">
                <a16:creationId xmlns:a16="http://schemas.microsoft.com/office/drawing/2014/main" id="{00000000-0008-0000-1100-000017000000}"/>
              </a:ext>
            </a:extLst>
          </xdr:cNvPr>
          <xdr:cNvSpPr/>
        </xdr:nvSpPr>
        <xdr:spPr>
          <a:xfrm>
            <a:off x="4333875" y="125920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Relat. Atendimento</a:t>
            </a:r>
          </a:p>
        </xdr:txBody>
      </xdr:sp>
      <xdr:sp macro="[0]!Relatorio_Financeiro" textlink="">
        <xdr:nvSpPr>
          <xdr:cNvPr id="24" name="Retângulo 23" hidden="1">
            <a:extLst>
              <a:ext uri="{FF2B5EF4-FFF2-40B4-BE49-F238E27FC236}">
                <a16:creationId xmlns:a16="http://schemas.microsoft.com/office/drawing/2014/main" id="{00000000-0008-0000-1100-000018000000}"/>
              </a:ext>
            </a:extLst>
          </xdr:cNvPr>
          <xdr:cNvSpPr/>
        </xdr:nvSpPr>
        <xdr:spPr>
          <a:xfrm>
            <a:off x="4333875" y="209359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Financeiro</a:t>
            </a:r>
          </a:p>
        </xdr:txBody>
      </xdr:sp>
      <xdr:sp macro="[0]!Ficha_Mistura" textlink="">
        <xdr:nvSpPr>
          <xdr:cNvPr id="25" name="Retângulo 24" hidden="1">
            <a:extLst>
              <a:ext uri="{FF2B5EF4-FFF2-40B4-BE49-F238E27FC236}">
                <a16:creationId xmlns:a16="http://schemas.microsoft.com/office/drawing/2014/main" id="{00000000-0008-0000-1100-000019000000}"/>
              </a:ext>
            </a:extLst>
          </xdr:cNvPr>
          <xdr:cNvSpPr/>
        </xdr:nvSpPr>
        <xdr:spPr>
          <a:xfrm>
            <a:off x="4333875" y="153733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Ficha</a:t>
            </a:r>
            <a:r>
              <a:rPr lang="pt-BR" sz="1100" b="0" baseline="0"/>
              <a:t> de Mistura</a:t>
            </a:r>
            <a:endParaRPr lang="pt-BR" sz="1100" b="0"/>
          </a:p>
        </xdr:txBody>
      </xdr:sp>
      <xdr:sp macro="[0]!Ficha_Batida" textlink="">
        <xdr:nvSpPr>
          <xdr:cNvPr id="26" name="Retângulo 25" hidden="1">
            <a:extLst>
              <a:ext uri="{FF2B5EF4-FFF2-40B4-BE49-F238E27FC236}">
                <a16:creationId xmlns:a16="http://schemas.microsoft.com/office/drawing/2014/main" id="{00000000-0008-0000-1100-00001A000000}"/>
              </a:ext>
            </a:extLst>
          </xdr:cNvPr>
          <xdr:cNvSpPr/>
        </xdr:nvSpPr>
        <xdr:spPr>
          <a:xfrm>
            <a:off x="4333875" y="181546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Ficha</a:t>
            </a:r>
            <a:r>
              <a:rPr lang="pt-BR" sz="1100" b="0" baseline="0"/>
              <a:t> de Batida</a:t>
            </a:r>
            <a:endParaRPr lang="pt-BR" sz="1100" b="0"/>
          </a:p>
        </xdr:txBody>
      </xdr:sp>
    </xdr:grpSp>
    <xdr:clientData fPrintsWithSheet="0"/>
  </xdr:twoCellAnchor>
  <xdr:twoCellAnchor editAs="oneCell">
    <xdr:from>
      <xdr:col>1</xdr:col>
      <xdr:colOff>180976</xdr:colOff>
      <xdr:row>0</xdr:row>
      <xdr:rowOff>0</xdr:rowOff>
    </xdr:from>
    <xdr:to>
      <xdr:col>1</xdr:col>
      <xdr:colOff>485776</xdr:colOff>
      <xdr:row>7</xdr:row>
      <xdr:rowOff>28576</xdr:rowOff>
    </xdr:to>
    <xdr:pic macro="[0]!Menu_Aparecer">
      <xdr:nvPicPr>
        <xdr:cNvPr id="8" name="Imagem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1" y="0"/>
          <a:ext cx="304800" cy="304801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5</xdr:row>
      <xdr:rowOff>199886</xdr:rowOff>
    </xdr:from>
    <xdr:to>
      <xdr:col>6</xdr:col>
      <xdr:colOff>514350</xdr:colOff>
      <xdr:row>6</xdr:row>
      <xdr:rowOff>142174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GrpSpPr/>
      </xdr:nvGrpSpPr>
      <xdr:grpSpPr>
        <a:xfrm>
          <a:off x="161925" y="885686"/>
          <a:ext cx="5962650" cy="351863"/>
          <a:chOff x="256036" y="323849"/>
          <a:chExt cx="4955935" cy="333375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00000000-0008-0000-1200-00000F000000}"/>
              </a:ext>
            </a:extLst>
          </xdr:cNvPr>
          <xdr:cNvSpPr/>
        </xdr:nvSpPr>
        <xdr:spPr>
          <a:xfrm>
            <a:off x="256036" y="323849"/>
            <a:ext cx="4955935" cy="333375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000" b="1">
                <a:solidFill>
                  <a:schemeClr val="bg1"/>
                </a:solidFill>
              </a:rPr>
              <a:t>Exigência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767" name="Drop Down 23" hidden="1">
                <a:extLst>
                  <a:ext uri="{63B3BB69-23CF-44E3-9099-C40C66FF867C}">
                    <a14:compatExt spid="_x0000_s31767"/>
                  </a:ext>
                  <a:ext uri="{FF2B5EF4-FFF2-40B4-BE49-F238E27FC236}">
                    <a16:creationId xmlns:a16="http://schemas.microsoft.com/office/drawing/2014/main" id="{00000000-0008-0000-1200-0000177C0000}"/>
                  </a:ext>
                </a:extLst>
              </xdr:cNvPr>
              <xdr:cNvSpPr/>
            </xdr:nvSpPr>
            <xdr:spPr bwMode="auto">
              <a:xfrm>
                <a:off x="831510" y="379227"/>
                <a:ext cx="4296304" cy="2286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228600</xdr:colOff>
      <xdr:row>2</xdr:row>
      <xdr:rowOff>47625</xdr:rowOff>
    </xdr:from>
    <xdr:to>
      <xdr:col>53</xdr:col>
      <xdr:colOff>895350</xdr:colOff>
      <xdr:row>5</xdr:row>
      <xdr:rowOff>133349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55</xdr:col>
      <xdr:colOff>28575</xdr:colOff>
      <xdr:row>2</xdr:row>
      <xdr:rowOff>95251</xdr:rowOff>
    </xdr:from>
    <xdr:to>
      <xdr:col>63</xdr:col>
      <xdr:colOff>895349</xdr:colOff>
      <xdr:row>6</xdr:row>
      <xdr:rowOff>171450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49796700" y="304801"/>
          <a:ext cx="6476999" cy="962024"/>
          <a:chOff x="49796700" y="141705"/>
          <a:chExt cx="6496049" cy="1423315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1200-000003000000}"/>
              </a:ext>
            </a:extLst>
          </xdr:cNvPr>
          <xdr:cNvSpPr/>
        </xdr:nvSpPr>
        <xdr:spPr>
          <a:xfrm>
            <a:off x="49806224" y="141705"/>
            <a:ext cx="6486525" cy="378181"/>
          </a:xfrm>
          <a:prstGeom prst="rect">
            <a:avLst/>
          </a:prstGeom>
          <a:solidFill>
            <a:schemeClr val="tx2">
              <a:lumMod val="85000"/>
              <a:lumOff val="1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RELATÓRIO</a:t>
            </a:r>
            <a:r>
              <a:rPr lang="pt-BR" sz="1100" b="1" baseline="0">
                <a:solidFill>
                  <a:schemeClr val="bg1"/>
                </a:solidFill>
              </a:rPr>
              <a:t> - QUANTIDADES / PORCENTAGEM E CUSTO</a:t>
            </a:r>
            <a:endParaRPr lang="pt-BR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SpPr/>
        </xdr:nvSpPr>
        <xdr:spPr>
          <a:xfrm>
            <a:off x="49796700" y="1297267"/>
            <a:ext cx="2781300" cy="267753"/>
          </a:xfrm>
          <a:prstGeom prst="rect">
            <a:avLst/>
          </a:prstGeom>
          <a:solidFill>
            <a:schemeClr val="tx2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chemeClr val="bg1"/>
                </a:solidFill>
              </a:rPr>
              <a:t>MATÉRIA</a:t>
            </a:r>
            <a:r>
              <a:rPr lang="pt-BR" sz="1200" b="1" baseline="0">
                <a:solidFill>
                  <a:schemeClr val="bg1"/>
                </a:solidFill>
              </a:rPr>
              <a:t> NATURAL</a:t>
            </a:r>
            <a:endParaRPr lang="pt-BR" sz="1200" b="1">
              <a:solidFill>
                <a:schemeClr val="bg1"/>
              </a:solidFill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52606575" y="1297267"/>
            <a:ext cx="2771775" cy="267753"/>
          </a:xfrm>
          <a:prstGeom prst="rect">
            <a:avLst/>
          </a:prstGeom>
          <a:solidFill>
            <a:schemeClr val="tx2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chemeClr val="bg1"/>
                </a:solidFill>
              </a:rPr>
              <a:t>MATÉRIA</a:t>
            </a:r>
            <a:r>
              <a:rPr lang="pt-BR" sz="1200" b="1" baseline="0">
                <a:solidFill>
                  <a:schemeClr val="bg1"/>
                </a:solidFill>
              </a:rPr>
              <a:t> SECA</a:t>
            </a:r>
            <a:endParaRPr lang="pt-BR" sz="1200" b="1">
              <a:solidFill>
                <a:schemeClr val="bg1"/>
              </a:solidFill>
            </a:endParaRPr>
          </a:p>
        </xdr:txBody>
      </xdr:sp>
      <xdr:grpSp>
        <xdr:nvGrpSpPr>
          <xdr:cNvPr id="10" name="Agrupar 9">
            <a:hlinkClick xmlns:r="http://schemas.openxmlformats.org/officeDocument/2006/relationships" r:id="rId2" tooltip="Voltar"/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GrpSpPr/>
        </xdr:nvGrpSpPr>
        <xdr:grpSpPr>
          <a:xfrm>
            <a:off x="55502175" y="1152524"/>
            <a:ext cx="685800" cy="409575"/>
            <a:chOff x="1480207" y="2563344"/>
            <a:chExt cx="802992" cy="630331"/>
          </a:xfrm>
          <a:solidFill>
            <a:schemeClr val="tx1">
              <a:lumMod val="65000"/>
              <a:lumOff val="35000"/>
            </a:schemeClr>
          </a:solidFill>
        </xdr:grpSpPr>
        <xdr:sp macro="" textlink="">
          <xdr:nvSpPr>
            <xdr:cNvPr id="5" name="Elipse 4">
              <a:extLst>
                <a:ext uri="{FF2B5EF4-FFF2-40B4-BE49-F238E27FC236}">
                  <a16:creationId xmlns:a16="http://schemas.microsoft.com/office/drawing/2014/main" id="{00000000-0008-0000-1200-000005000000}"/>
                </a:ext>
              </a:extLst>
            </xdr:cNvPr>
            <xdr:cNvSpPr/>
          </xdr:nvSpPr>
          <xdr:spPr>
            <a:xfrm>
              <a:off x="1568823" y="2563344"/>
              <a:ext cx="658346" cy="630331"/>
            </a:xfrm>
            <a:prstGeom prst="ellipse">
              <a:avLst/>
            </a:prstGeom>
            <a:grpFill/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Retângulo 8">
              <a:extLst>
                <a:ext uri="{FF2B5EF4-FFF2-40B4-BE49-F238E27FC236}">
                  <a16:creationId xmlns:a16="http://schemas.microsoft.com/office/drawing/2014/main" id="{00000000-0008-0000-1200-000009000000}"/>
                </a:ext>
              </a:extLst>
            </xdr:cNvPr>
            <xdr:cNvSpPr/>
          </xdr:nvSpPr>
          <xdr:spPr>
            <a:xfrm>
              <a:off x="1480207" y="2689412"/>
              <a:ext cx="802992" cy="36419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200" b="1">
                  <a:solidFill>
                    <a:schemeClr val="bg1"/>
                  </a:solidFill>
                </a:rPr>
                <a:t>Voltar</a:t>
              </a:r>
            </a:p>
          </xdr:txBody>
        </xdr:sp>
      </xdr:grpSp>
      <xdr:graphicFrame macro="">
        <xdr:nvGraphicFramePr>
          <xdr:cNvPr id="13" name="Gráfico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GraphicFramePr>
            <a:graphicFrameLocks/>
          </xdr:cNvGraphicFramePr>
        </xdr:nvGraphicFramePr>
        <xdr:xfrm>
          <a:off x="49806225" y="542129"/>
          <a:ext cx="2762250" cy="71299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GraphicFramePr>
            <a:graphicFrameLocks/>
          </xdr:cNvGraphicFramePr>
        </xdr:nvGraphicFramePr>
        <xdr:xfrm>
          <a:off x="52616100" y="536286"/>
          <a:ext cx="2771775" cy="73279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$BF$34">
        <xdr:nvSpPr>
          <xdr:cNvPr id="8" name="Retângulo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SpPr/>
        </xdr:nvSpPr>
        <xdr:spPr>
          <a:xfrm>
            <a:off x="49920525" y="745565"/>
            <a:ext cx="581025" cy="2476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DB57E336-E6AB-4A56-9498-42CD52F401FF}" type="TxLink">
              <a:rPr lang="en-US" sz="9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1,06</a:t>
            </a:fld>
            <a:endParaRPr lang="pt-BR" sz="900"/>
          </a:p>
        </xdr:txBody>
      </xdr:sp>
      <xdr:sp macro="" textlink="$BJ$34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SpPr/>
        </xdr:nvSpPr>
        <xdr:spPr>
          <a:xfrm>
            <a:off x="52749450" y="703288"/>
            <a:ext cx="552450" cy="2476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7C98555D-2980-469B-8C61-7BC15F730595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1,07</a:t>
            </a:fld>
            <a:endParaRPr lang="pt-BR" sz="1000"/>
          </a:p>
        </xdr:txBody>
      </xdr:sp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GrpSpPr/>
        </xdr:nvGrpSpPr>
        <xdr:grpSpPr>
          <a:xfrm>
            <a:off x="53806725" y="655663"/>
            <a:ext cx="581025" cy="437760"/>
            <a:chOff x="54102000" y="2751163"/>
            <a:chExt cx="581025" cy="437760"/>
          </a:xfrm>
        </xdr:grpSpPr>
        <xdr:sp macro="" textlink="$BI$40">
          <xdr:nvSpPr>
            <xdr:cNvPr id="22" name="Retângulo 21">
              <a:extLst>
                <a:ext uri="{FF2B5EF4-FFF2-40B4-BE49-F238E27FC236}">
                  <a16:creationId xmlns:a16="http://schemas.microsoft.com/office/drawing/2014/main" id="{00000000-0008-0000-1200-000016000000}"/>
                </a:ext>
              </a:extLst>
            </xdr:cNvPr>
            <xdr:cNvSpPr/>
          </xdr:nvSpPr>
          <xdr:spPr>
            <a:xfrm>
              <a:off x="54102000" y="2751163"/>
              <a:ext cx="552450" cy="1905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fld id="{0943E583-6611-4BDC-AFBF-95F601505BE8}" type="TxLink">
                <a:rPr lang="en-US" sz="100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r"/>
                <a:t>0%</a:t>
              </a:fld>
              <a:endParaRPr lang="pt-BR" sz="800"/>
            </a:p>
          </xdr:txBody>
        </xdr:sp>
        <xdr:sp macro="" textlink="$BI$41">
          <xdr:nvSpPr>
            <xdr:cNvPr id="28" name="Retângulo 27">
              <a:extLst>
                <a:ext uri="{FF2B5EF4-FFF2-40B4-BE49-F238E27FC236}">
                  <a16:creationId xmlns:a16="http://schemas.microsoft.com/office/drawing/2014/main" id="{00000000-0008-0000-1200-00001C000000}"/>
                </a:ext>
              </a:extLst>
            </xdr:cNvPr>
            <xdr:cNvSpPr/>
          </xdr:nvSpPr>
          <xdr:spPr>
            <a:xfrm>
              <a:off x="54130575" y="2998422"/>
              <a:ext cx="552450" cy="19050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fld id="{E1A31B73-2924-46C7-892F-09B747384FD9}" type="TxLink">
                <a:rPr lang="en-US" sz="100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r"/>
                <a:t>100%</a:t>
              </a:fld>
              <a:endParaRPr lang="pt-BR" sz="800"/>
            </a:p>
          </xdr:txBody>
        </xdr:sp>
      </xdr:grpSp>
      <xdr:grpSp>
        <xdr:nvGrpSpPr>
          <xdr:cNvPr id="31745" name="Agrupar 31744">
            <a:extLst>
              <a:ext uri="{FF2B5EF4-FFF2-40B4-BE49-F238E27FC236}">
                <a16:creationId xmlns:a16="http://schemas.microsoft.com/office/drawing/2014/main" id="{00000000-0008-0000-1200-0000017C0000}"/>
              </a:ext>
            </a:extLst>
          </xdr:cNvPr>
          <xdr:cNvGrpSpPr/>
        </xdr:nvGrpSpPr>
        <xdr:grpSpPr>
          <a:xfrm>
            <a:off x="51006375" y="646138"/>
            <a:ext cx="581025" cy="465944"/>
            <a:chOff x="54121050" y="2751163"/>
            <a:chExt cx="581025" cy="465944"/>
          </a:xfrm>
        </xdr:grpSpPr>
        <xdr:sp macro="" textlink="$BH$40">
          <xdr:nvSpPr>
            <xdr:cNvPr id="31746" name="Retângulo 31745">
              <a:extLst>
                <a:ext uri="{FF2B5EF4-FFF2-40B4-BE49-F238E27FC236}">
                  <a16:creationId xmlns:a16="http://schemas.microsoft.com/office/drawing/2014/main" id="{00000000-0008-0000-1200-0000027C0000}"/>
                </a:ext>
              </a:extLst>
            </xdr:cNvPr>
            <xdr:cNvSpPr/>
          </xdr:nvSpPr>
          <xdr:spPr>
            <a:xfrm>
              <a:off x="54121050" y="2751163"/>
              <a:ext cx="552450" cy="19050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fld id="{2CB9FF7B-280B-424E-8990-5CF510139E82}" type="TxLink">
                <a:rPr lang="en-US" sz="105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r"/>
                <a:t>0%</a:t>
              </a:fld>
              <a:endParaRPr lang="pt-BR" sz="900"/>
            </a:p>
          </xdr:txBody>
        </xdr:sp>
        <xdr:sp macro="" textlink="$BH$41">
          <xdr:nvSpPr>
            <xdr:cNvPr id="31747" name="Retângulo 31746">
              <a:extLst>
                <a:ext uri="{FF2B5EF4-FFF2-40B4-BE49-F238E27FC236}">
                  <a16:creationId xmlns:a16="http://schemas.microsoft.com/office/drawing/2014/main" id="{00000000-0008-0000-1200-0000037C0000}"/>
                </a:ext>
              </a:extLst>
            </xdr:cNvPr>
            <xdr:cNvSpPr/>
          </xdr:nvSpPr>
          <xdr:spPr>
            <a:xfrm>
              <a:off x="54149625" y="3026606"/>
              <a:ext cx="552450" cy="19050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fld id="{C8605611-463E-433B-BDEC-132C928CA322}" type="TxLink">
                <a:rPr lang="en-US" sz="100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r"/>
                <a:t>100%</a:t>
              </a:fld>
              <a:endParaRPr lang="pt-BR" sz="800"/>
            </a:p>
          </xdr:txBody>
        </xdr:sp>
      </xdr:grpSp>
      <xdr:pic>
        <xdr:nvPicPr>
          <xdr:cNvPr id="31749" name="Gráfico 31748" descr="Sementes">
            <a:extLst>
              <a:ext uri="{FF2B5EF4-FFF2-40B4-BE49-F238E27FC236}">
                <a16:creationId xmlns:a16="http://schemas.microsoft.com/office/drawing/2014/main" id="{00000000-0008-0000-1200-0000057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5483125" y="479321"/>
            <a:ext cx="733425" cy="725784"/>
          </a:xfrm>
          <a:prstGeom prst="rect">
            <a:avLst/>
          </a:prstGeom>
        </xdr:spPr>
      </xdr:pic>
      <xdr:sp macro="" textlink="">
        <xdr:nvSpPr>
          <xdr:cNvPr id="31748" name="CaixaDeTexto 31747">
            <a:extLst>
              <a:ext uri="{FF2B5EF4-FFF2-40B4-BE49-F238E27FC236}">
                <a16:creationId xmlns:a16="http://schemas.microsoft.com/office/drawing/2014/main" id="{00000000-0008-0000-1200-0000047C0000}"/>
              </a:ext>
            </a:extLst>
          </xdr:cNvPr>
          <xdr:cNvSpPr txBox="1"/>
        </xdr:nvSpPr>
        <xdr:spPr>
          <a:xfrm>
            <a:off x="50015775" y="874348"/>
            <a:ext cx="495300" cy="2476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700" b="1"/>
              <a:t>R$</a:t>
            </a:r>
            <a:r>
              <a:rPr lang="pt-BR" sz="700" b="1" baseline="0"/>
              <a:t>/KG </a:t>
            </a:r>
            <a:endParaRPr lang="pt-BR" sz="700" b="1"/>
          </a:p>
        </xdr:txBody>
      </xdr:sp>
      <xdr:sp macro="" textlink="">
        <xdr:nvSpPr>
          <xdr:cNvPr id="31751" name="CaixaDeTexto 31750">
            <a:extLst>
              <a:ext uri="{FF2B5EF4-FFF2-40B4-BE49-F238E27FC236}">
                <a16:creationId xmlns:a16="http://schemas.microsoft.com/office/drawing/2014/main" id="{00000000-0008-0000-1200-0000077C0000}"/>
              </a:ext>
            </a:extLst>
          </xdr:cNvPr>
          <xdr:cNvSpPr txBox="1"/>
        </xdr:nvSpPr>
        <xdr:spPr>
          <a:xfrm>
            <a:off x="52816125" y="832071"/>
            <a:ext cx="495300" cy="2476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700" b="1"/>
              <a:t>R$</a:t>
            </a:r>
            <a:r>
              <a:rPr lang="pt-BR" sz="700" b="1" baseline="0"/>
              <a:t>/KG </a:t>
            </a:r>
            <a:endParaRPr lang="pt-BR" sz="700" b="1"/>
          </a:p>
        </xdr:txBody>
      </xdr:sp>
      <xdr:sp macro="" textlink="">
        <xdr:nvSpPr>
          <xdr:cNvPr id="31752" name="Círculo: Vazio 31751">
            <a:extLst>
              <a:ext uri="{FF2B5EF4-FFF2-40B4-BE49-F238E27FC236}">
                <a16:creationId xmlns:a16="http://schemas.microsoft.com/office/drawing/2014/main" id="{00000000-0008-0000-1200-0000087C0000}"/>
              </a:ext>
            </a:extLst>
          </xdr:cNvPr>
          <xdr:cNvSpPr/>
        </xdr:nvSpPr>
        <xdr:spPr>
          <a:xfrm>
            <a:off x="50568225" y="555845"/>
            <a:ext cx="457200" cy="670961"/>
          </a:xfrm>
          <a:prstGeom prst="donut">
            <a:avLst>
              <a:gd name="adj" fmla="val 16839"/>
            </a:avLst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31754" name="Círculo: Vazio 31753">
            <a:extLst>
              <a:ext uri="{FF2B5EF4-FFF2-40B4-BE49-F238E27FC236}">
                <a16:creationId xmlns:a16="http://schemas.microsoft.com/office/drawing/2014/main" id="{00000000-0008-0000-1200-00000A7C0000}"/>
              </a:ext>
            </a:extLst>
          </xdr:cNvPr>
          <xdr:cNvSpPr/>
        </xdr:nvSpPr>
        <xdr:spPr>
          <a:xfrm>
            <a:off x="53359050" y="592654"/>
            <a:ext cx="409575" cy="620060"/>
          </a:xfrm>
          <a:prstGeom prst="donut">
            <a:avLst>
              <a:gd name="adj" fmla="val 16839"/>
            </a:avLst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31756" name="CaixaDeTexto 31755">
            <a:extLst>
              <a:ext uri="{FF2B5EF4-FFF2-40B4-BE49-F238E27FC236}">
                <a16:creationId xmlns:a16="http://schemas.microsoft.com/office/drawing/2014/main" id="{00000000-0008-0000-1200-00000C7C0000}"/>
              </a:ext>
            </a:extLst>
          </xdr:cNvPr>
          <xdr:cNvSpPr txBox="1"/>
        </xdr:nvSpPr>
        <xdr:spPr>
          <a:xfrm>
            <a:off x="50549175" y="926149"/>
            <a:ext cx="495300" cy="142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700" b="1"/>
              <a:t>R$/dia</a:t>
            </a:r>
          </a:p>
        </xdr:txBody>
      </xdr:sp>
      <xdr:sp macro="" textlink="$BG$34">
        <xdr:nvSpPr>
          <xdr:cNvPr id="31757" name="Retângulo 31756">
            <a:extLst>
              <a:ext uri="{FF2B5EF4-FFF2-40B4-BE49-F238E27FC236}">
                <a16:creationId xmlns:a16="http://schemas.microsoft.com/office/drawing/2014/main" id="{00000000-0008-0000-1200-00000D7C0000}"/>
              </a:ext>
            </a:extLst>
          </xdr:cNvPr>
          <xdr:cNvSpPr/>
        </xdr:nvSpPr>
        <xdr:spPr>
          <a:xfrm>
            <a:off x="50520600" y="712422"/>
            <a:ext cx="552450" cy="2476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1807080A-44AE-4839-B567-066478CB3F99}" type="TxLink">
              <a:rPr lang="en-US" sz="9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1,06</a:t>
            </a:fld>
            <a:endParaRPr lang="pt-BR" sz="600"/>
          </a:p>
        </xdr:txBody>
      </xdr:sp>
    </xdr:grpSp>
    <xdr:clientData/>
  </xdr:twoCellAnchor>
  <xdr:twoCellAnchor>
    <xdr:from>
      <xdr:col>60</xdr:col>
      <xdr:colOff>76200</xdr:colOff>
      <xdr:row>2</xdr:row>
      <xdr:rowOff>180975</xdr:rowOff>
    </xdr:from>
    <xdr:to>
      <xdr:col>60</xdr:col>
      <xdr:colOff>628650</xdr:colOff>
      <xdr:row>3</xdr:row>
      <xdr:rowOff>142875</xdr:rowOff>
    </xdr:to>
    <xdr:sp macro="" textlink="MPR!P5">
      <xdr:nvSpPr>
        <xdr:cNvPr id="31758" name="Retângulo 31757">
          <a:extLst>
            <a:ext uri="{FF2B5EF4-FFF2-40B4-BE49-F238E27FC236}">
              <a16:creationId xmlns:a16="http://schemas.microsoft.com/office/drawing/2014/main" id="{00000000-0008-0000-1200-00000E7C0000}"/>
            </a:ext>
          </a:extLst>
        </xdr:cNvPr>
        <xdr:cNvSpPr/>
      </xdr:nvSpPr>
      <xdr:spPr>
        <a:xfrm>
          <a:off x="53359050" y="552450"/>
          <a:ext cx="552450" cy="247650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24B1FFBA-38B6-49E6-8CEB-1A0544A2C90B}" type="TxLink">
            <a:rPr lang="en-US" sz="10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</a:t>
          </a:fld>
          <a:endParaRPr lang="pt-BR" sz="400" b="1"/>
        </a:p>
      </xdr:txBody>
    </xdr:sp>
    <xdr:clientData/>
  </xdr:twoCellAnchor>
  <xdr:twoCellAnchor>
    <xdr:from>
      <xdr:col>1</xdr:col>
      <xdr:colOff>19049</xdr:colOff>
      <xdr:row>4</xdr:row>
      <xdr:rowOff>69528</xdr:rowOff>
    </xdr:from>
    <xdr:to>
      <xdr:col>6</xdr:col>
      <xdr:colOff>514349</xdr:colOff>
      <xdr:row>5</xdr:row>
      <xdr:rowOff>181117</xdr:rowOff>
    </xdr:to>
    <xdr:grpSp>
      <xdr:nvGrpSpPr>
        <xdr:cNvPr id="31768" name="Agrupar 31767">
          <a:extLst>
            <a:ext uri="{FF2B5EF4-FFF2-40B4-BE49-F238E27FC236}">
              <a16:creationId xmlns:a16="http://schemas.microsoft.com/office/drawing/2014/main" id="{00000000-0008-0000-1200-0000187C0000}"/>
            </a:ext>
          </a:extLst>
        </xdr:cNvPr>
        <xdr:cNvGrpSpPr/>
      </xdr:nvGrpSpPr>
      <xdr:grpSpPr>
        <a:xfrm>
          <a:off x="152399" y="574353"/>
          <a:ext cx="5972175" cy="292564"/>
          <a:chOff x="95250" y="117153"/>
          <a:chExt cx="5657851" cy="292564"/>
        </a:xfrm>
      </xdr:grpSpPr>
      <xdr:grpSp>
        <xdr:nvGrpSpPr>
          <xdr:cNvPr id="2" name="Agrupar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GrpSpPr/>
        </xdr:nvGrpSpPr>
        <xdr:grpSpPr>
          <a:xfrm>
            <a:off x="4781551" y="117153"/>
            <a:ext cx="971550" cy="292564"/>
            <a:chOff x="4362451" y="403311"/>
            <a:chExt cx="971550" cy="340550"/>
          </a:xfrm>
        </xdr:grpSpPr>
        <xdr:sp macro="" textlink="">
          <xdr:nvSpPr>
            <xdr:cNvPr id="31769" name="Retângulo: Cantos Arredondados 31768">
              <a:extLst>
                <a:ext uri="{FF2B5EF4-FFF2-40B4-BE49-F238E27FC236}">
                  <a16:creationId xmlns:a16="http://schemas.microsoft.com/office/drawing/2014/main" id="{00000000-0008-0000-1200-0000197C0000}"/>
                </a:ext>
              </a:extLst>
            </xdr:cNvPr>
            <xdr:cNvSpPr/>
          </xdr:nvSpPr>
          <xdr:spPr>
            <a:xfrm>
              <a:off x="4371975" y="428625"/>
              <a:ext cx="962026" cy="295275"/>
            </a:xfrm>
            <a:prstGeom prst="roundRect">
              <a:avLst/>
            </a:prstGeom>
            <a:gradFill flip="none" rotWithShape="1">
              <a:gsLst>
                <a:gs pos="0">
                  <a:srgbClr val="FFC000">
                    <a:tint val="66000"/>
                    <a:satMod val="160000"/>
                  </a:srgbClr>
                </a:gs>
                <a:gs pos="50000">
                  <a:srgbClr val="FFC000">
                    <a:tint val="44500"/>
                    <a:satMod val="160000"/>
                  </a:srgbClr>
                </a:gs>
                <a:gs pos="100000">
                  <a:srgbClr val="FFC000">
                    <a:tint val="23500"/>
                    <a:satMod val="160000"/>
                  </a:srgbClr>
                </a:gs>
              </a:gsLst>
              <a:lin ang="16200000" scaled="1"/>
              <a:tileRect/>
            </a:gra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Chamar_Userform_Dieta">
          <xdr:nvPicPr>
            <xdr:cNvPr id="25" name="Imagem 24">
              <a:extLst>
                <a:ext uri="{FF2B5EF4-FFF2-40B4-BE49-F238E27FC236}">
                  <a16:creationId xmlns:a16="http://schemas.microsoft.com/office/drawing/2014/main" id="{00000000-0008-0000-1200-00001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095876" y="457199"/>
              <a:ext cx="228600" cy="228600"/>
            </a:xfrm>
            <a:prstGeom prst="rect">
              <a:avLst/>
            </a:prstGeom>
          </xdr:spPr>
        </xdr:pic>
        <xdr:pic macro="[0]!Considerar_Padrão_Animal">
          <xdr:nvPicPr>
            <xdr:cNvPr id="30" name="Imagem 29">
              <a:extLst>
                <a:ext uri="{FF2B5EF4-FFF2-40B4-BE49-F238E27FC236}">
                  <a16:creationId xmlns:a16="http://schemas.microsoft.com/office/drawing/2014/main" id="{00000000-0008-0000-1200-00001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676775" y="429997"/>
              <a:ext cx="342900" cy="304992"/>
            </a:xfrm>
            <a:prstGeom prst="rect">
              <a:avLst/>
            </a:prstGeom>
          </xdr:spPr>
        </xdr:pic>
        <xdr:pic macro="[0]!Considerar_Padrão_Mineral">
          <xdr:nvPicPr>
            <xdr:cNvPr id="31753" name="Imagem 31752">
              <a:extLst>
                <a:ext uri="{FF2B5EF4-FFF2-40B4-BE49-F238E27FC236}">
                  <a16:creationId xmlns:a16="http://schemas.microsoft.com/office/drawing/2014/main" id="{00000000-0008-0000-1200-0000097C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362451" y="403311"/>
              <a:ext cx="276224" cy="340550"/>
            </a:xfrm>
            <a:prstGeom prst="rect">
              <a:avLst/>
            </a:prstGeom>
          </xdr:spPr>
        </xdr:pic>
      </xdr:grpSp>
      <xdr:sp macro="[0]!Linear_Com_Mensagem" textlink="">
        <xdr:nvSpPr>
          <xdr:cNvPr id="31762" name="Retângulo: Cantos Arredondados 31761">
            <a:extLst>
              <a:ext uri="{FF2B5EF4-FFF2-40B4-BE49-F238E27FC236}">
                <a16:creationId xmlns:a16="http://schemas.microsoft.com/office/drawing/2014/main" id="{00000000-0008-0000-1200-0000127C0000}"/>
              </a:ext>
            </a:extLst>
          </xdr:cNvPr>
          <xdr:cNvSpPr/>
        </xdr:nvSpPr>
        <xdr:spPr>
          <a:xfrm>
            <a:off x="1015300" y="131682"/>
            <a:ext cx="793787" cy="253604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0">
                <a:solidFill>
                  <a:sysClr val="windowText" lastClr="000000"/>
                </a:solidFill>
              </a:rPr>
              <a:t>Formular (L)</a:t>
            </a:r>
          </a:p>
        </xdr:txBody>
      </xdr:sp>
      <xdr:sp macro="[0]!LimparAjusteNutriente" textlink="">
        <xdr:nvSpPr>
          <xdr:cNvPr id="31763" name="Retângulo: Cantos Arredondados 31762">
            <a:extLst>
              <a:ext uri="{FF2B5EF4-FFF2-40B4-BE49-F238E27FC236}">
                <a16:creationId xmlns:a16="http://schemas.microsoft.com/office/drawing/2014/main" id="{00000000-0008-0000-1200-0000137C0000}"/>
              </a:ext>
            </a:extLst>
          </xdr:cNvPr>
          <xdr:cNvSpPr/>
        </xdr:nvSpPr>
        <xdr:spPr>
          <a:xfrm>
            <a:off x="2765075" y="128346"/>
            <a:ext cx="947900" cy="253604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1"/>
              <a:t>Limpar Ajustes</a:t>
            </a:r>
          </a:p>
        </xdr:txBody>
      </xdr:sp>
      <xdr:sp macro="[0]!NaoLinear_Com_Mensagem" textlink="">
        <xdr:nvSpPr>
          <xdr:cNvPr id="31764" name="Retângulo: Cantos Arredondados 31763">
            <a:extLst>
              <a:ext uri="{FF2B5EF4-FFF2-40B4-BE49-F238E27FC236}">
                <a16:creationId xmlns:a16="http://schemas.microsoft.com/office/drawing/2014/main" id="{00000000-0008-0000-1200-0000147C0000}"/>
              </a:ext>
            </a:extLst>
          </xdr:cNvPr>
          <xdr:cNvSpPr/>
        </xdr:nvSpPr>
        <xdr:spPr>
          <a:xfrm>
            <a:off x="95250" y="133350"/>
            <a:ext cx="876300" cy="253604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0">
                <a:solidFill>
                  <a:sysClr val="windowText" lastClr="000000"/>
                </a:solidFill>
              </a:rPr>
              <a:t>Formular</a:t>
            </a:r>
            <a:r>
              <a:rPr lang="pt-BR" sz="900" b="0" baseline="0">
                <a:solidFill>
                  <a:sysClr val="windowText" lastClr="000000"/>
                </a:solidFill>
              </a:rPr>
              <a:t> (NL)</a:t>
            </a:r>
            <a:endParaRPr lang="pt-BR" sz="900" b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65" name="Retângulo: Cantos Arredondados 31764">
            <a:hlinkClick xmlns:r="http://schemas.openxmlformats.org/officeDocument/2006/relationships" r:id="rId10" tooltip="Ir para Resumo da Dieta"/>
            <a:extLst>
              <a:ext uri="{FF2B5EF4-FFF2-40B4-BE49-F238E27FC236}">
                <a16:creationId xmlns:a16="http://schemas.microsoft.com/office/drawing/2014/main" id="{00000000-0008-0000-1200-0000157C0000}"/>
              </a:ext>
            </a:extLst>
          </xdr:cNvPr>
          <xdr:cNvSpPr/>
        </xdr:nvSpPr>
        <xdr:spPr>
          <a:xfrm>
            <a:off x="1852837" y="130014"/>
            <a:ext cx="868488" cy="253604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0"/>
              <a:t>Resumo</a:t>
            </a:r>
            <a:r>
              <a:rPr lang="pt-BR" sz="900" b="0" baseline="0"/>
              <a:t> Dieta</a:t>
            </a:r>
            <a:endParaRPr lang="pt-BR" sz="900" b="0"/>
          </a:p>
        </xdr:txBody>
      </xdr:sp>
      <xdr:sp macro="[0]!Limpar_Ingrediente" textlink="">
        <xdr:nvSpPr>
          <xdr:cNvPr id="31766" name="Retângulo: Cantos Arredondados 31765">
            <a:extLst>
              <a:ext uri="{FF2B5EF4-FFF2-40B4-BE49-F238E27FC236}">
                <a16:creationId xmlns:a16="http://schemas.microsoft.com/office/drawing/2014/main" id="{00000000-0008-0000-1200-0000167C0000}"/>
              </a:ext>
            </a:extLst>
          </xdr:cNvPr>
          <xdr:cNvSpPr/>
        </xdr:nvSpPr>
        <xdr:spPr>
          <a:xfrm>
            <a:off x="3756725" y="135395"/>
            <a:ext cx="1000125" cy="253604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1"/>
              <a:t>Limpar Alimento</a:t>
            </a:r>
          </a:p>
        </xdr:txBody>
      </xdr:sp>
    </xdr:grpSp>
    <xdr:clientData/>
  </xdr:twoCellAnchor>
  <xdr:twoCellAnchor>
    <xdr:from>
      <xdr:col>1</xdr:col>
      <xdr:colOff>28575</xdr:colOff>
      <xdr:row>3</xdr:row>
      <xdr:rowOff>19050</xdr:rowOff>
    </xdr:from>
    <xdr:to>
      <xdr:col>6</xdr:col>
      <xdr:colOff>504825</xdr:colOff>
      <xdr:row>4</xdr:row>
      <xdr:rowOff>47624</xdr:rowOff>
    </xdr:to>
    <xdr:sp macro="" textlink="$C$3">
      <xdr:nvSpPr>
        <xdr:cNvPr id="31770" name="Retângulo 31769">
          <a:extLst>
            <a:ext uri="{FF2B5EF4-FFF2-40B4-BE49-F238E27FC236}">
              <a16:creationId xmlns:a16="http://schemas.microsoft.com/office/drawing/2014/main" id="{00000000-0008-0000-1200-00001A7C0000}"/>
            </a:ext>
          </a:extLst>
        </xdr:cNvPr>
        <xdr:cNvSpPr/>
      </xdr:nvSpPr>
      <xdr:spPr>
        <a:xfrm>
          <a:off x="161925" y="676275"/>
          <a:ext cx="5743575" cy="219074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2AA3418-2FA5-4378-8F60-B8F3F78C82E6}" type="TxLink">
            <a:rPr lang="en-US" sz="900" b="1" i="1" u="none" strike="noStrike">
              <a:solidFill>
                <a:schemeClr val="bg1"/>
              </a:solidFill>
              <a:latin typeface="Arial"/>
              <a:cs typeface="Arial"/>
            </a:rPr>
            <a:pPr algn="ctr"/>
            <a:t>(MÓDULO MINERAL)</a:t>
          </a:fld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38100</xdr:colOff>
      <xdr:row>0</xdr:row>
      <xdr:rowOff>9525</xdr:rowOff>
    </xdr:from>
    <xdr:to>
      <xdr:col>1</xdr:col>
      <xdr:colOff>342900</xdr:colOff>
      <xdr:row>3</xdr:row>
      <xdr:rowOff>1</xdr:rowOff>
    </xdr:to>
    <xdr:pic macro="[0]!Menu_Aparecer">
      <xdr:nvPicPr>
        <xdr:cNvPr id="31771" name="Imagem 31770">
          <a:extLst>
            <a:ext uri="{FF2B5EF4-FFF2-40B4-BE49-F238E27FC236}">
              <a16:creationId xmlns:a16="http://schemas.microsoft.com/office/drawing/2014/main" id="{00000000-0008-0000-1200-00001B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9525"/>
          <a:ext cx="304800" cy="304801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5</xdr:row>
          <xdr:rowOff>9525</xdr:rowOff>
        </xdr:from>
        <xdr:to>
          <xdr:col>13</xdr:col>
          <xdr:colOff>276225</xdr:colOff>
          <xdr:row>5</xdr:row>
          <xdr:rowOff>266700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19049</xdr:colOff>
      <xdr:row>1</xdr:row>
      <xdr:rowOff>9525</xdr:rowOff>
    </xdr:from>
    <xdr:to>
      <xdr:col>9</xdr:col>
      <xdr:colOff>1009650</xdr:colOff>
      <xdr:row>1</xdr:row>
      <xdr:rowOff>495300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180974" y="123825"/>
          <a:ext cx="9258301" cy="485775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>
              <a:solidFill>
                <a:schemeClr val="bg1"/>
              </a:solidFill>
            </a:rPr>
            <a:t>RELATÓRIO DE ATENDIMENTO NUTRICIONAL</a:t>
          </a:r>
        </a:p>
      </xdr:txBody>
    </xdr:sp>
    <xdr:clientData/>
  </xdr:twoCellAnchor>
  <xdr:twoCellAnchor editAs="absolute">
    <xdr:from>
      <xdr:col>1</xdr:col>
      <xdr:colOff>590550</xdr:colOff>
      <xdr:row>0</xdr:row>
      <xdr:rowOff>257176</xdr:rowOff>
    </xdr:from>
    <xdr:to>
      <xdr:col>1</xdr:col>
      <xdr:colOff>2085975</xdr:colOff>
      <xdr:row>3</xdr:row>
      <xdr:rowOff>104776</xdr:rowOff>
    </xdr:to>
    <xdr:grpSp>
      <xdr:nvGrpSpPr>
        <xdr:cNvPr id="23" name="Menu_PDF" hidden="1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GrpSpPr/>
      </xdr:nvGrpSpPr>
      <xdr:grpSpPr>
        <a:xfrm>
          <a:off x="752475" y="257176"/>
          <a:ext cx="1495425" cy="590550"/>
          <a:chOff x="4276725" y="923926"/>
          <a:chExt cx="1495425" cy="590550"/>
        </a:xfrm>
      </xdr:grpSpPr>
      <xdr:sp macro="" textlink="">
        <xdr:nvSpPr>
          <xdr:cNvPr id="24" name="Retângulo 23" hidden="1">
            <a:extLst>
              <a:ext uri="{FF2B5EF4-FFF2-40B4-BE49-F238E27FC236}">
                <a16:creationId xmlns:a16="http://schemas.microsoft.com/office/drawing/2014/main" id="{00000000-0008-0000-1300-000018000000}"/>
              </a:ext>
            </a:extLst>
          </xdr:cNvPr>
          <xdr:cNvSpPr/>
        </xdr:nvSpPr>
        <xdr:spPr>
          <a:xfrm>
            <a:off x="4276725" y="923926"/>
            <a:ext cx="1495425" cy="590550"/>
          </a:xfrm>
          <a:prstGeom prst="rect">
            <a:avLst/>
          </a:prstGeom>
          <a:solidFill>
            <a:schemeClr val="bg2">
              <a:lumMod val="9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Relatório_Completo" textlink="">
        <xdr:nvSpPr>
          <xdr:cNvPr id="25" name="Retângulo 24" hidden="1">
            <a:extLst>
              <a:ext uri="{FF2B5EF4-FFF2-40B4-BE49-F238E27FC236}">
                <a16:creationId xmlns:a16="http://schemas.microsoft.com/office/drawing/2014/main" id="{00000000-0008-0000-1300-000019000000}"/>
              </a:ext>
            </a:extLst>
          </xdr:cNvPr>
          <xdr:cNvSpPr/>
        </xdr:nvSpPr>
        <xdr:spPr>
          <a:xfrm>
            <a:off x="4333875" y="98107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Completo</a:t>
            </a:r>
          </a:p>
        </xdr:txBody>
      </xdr:sp>
      <xdr:sp macro="[0]!Relatorio_Atendimento" textlink="">
        <xdr:nvSpPr>
          <xdr:cNvPr id="26" name="Retângulo 25" hidden="1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SpPr/>
        </xdr:nvSpPr>
        <xdr:spPr>
          <a:xfrm>
            <a:off x="4333875" y="125158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Relat. Atendimento</a:t>
            </a:r>
          </a:p>
        </xdr:txBody>
      </xdr:sp>
    </xdr:grpSp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1</xdr:col>
      <xdr:colOff>314325</xdr:colOff>
      <xdr:row>0</xdr:row>
      <xdr:rowOff>332816</xdr:rowOff>
    </xdr:to>
    <xdr:pic macro="[0]!Menu_Aparecer">
      <xdr:nvPicPr>
        <xdr:cNvPr id="5" name="Imagem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0"/>
          <a:ext cx="314325" cy="332816"/>
        </a:xfrm>
        <a:prstGeom prst="rect">
          <a:avLst/>
        </a:prstGeom>
      </xdr:spPr>
    </xdr:pic>
    <xdr:clientData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442</xdr:colOff>
      <xdr:row>0</xdr:row>
      <xdr:rowOff>314325</xdr:rowOff>
    </xdr:from>
    <xdr:to>
      <xdr:col>13</xdr:col>
      <xdr:colOff>28575</xdr:colOff>
      <xdr:row>0</xdr:row>
      <xdr:rowOff>581025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1400-00002D000000}"/>
            </a:ext>
          </a:extLst>
        </xdr:cNvPr>
        <xdr:cNvSpPr/>
      </xdr:nvSpPr>
      <xdr:spPr>
        <a:xfrm>
          <a:off x="152842" y="314325"/>
          <a:ext cx="12439208" cy="266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FICHA DE MISTURA</a:t>
          </a:r>
        </a:p>
      </xdr:txBody>
    </xdr:sp>
    <xdr:clientData/>
  </xdr:twoCellAnchor>
  <xdr:twoCellAnchor>
    <xdr:from>
      <xdr:col>5</xdr:col>
      <xdr:colOff>960400</xdr:colOff>
      <xdr:row>75</xdr:row>
      <xdr:rowOff>19493</xdr:rowOff>
    </xdr:from>
    <xdr:to>
      <xdr:col>9</xdr:col>
      <xdr:colOff>1023900</xdr:colOff>
      <xdr:row>85</xdr:row>
      <xdr:rowOff>158382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49175</xdr:colOff>
      <xdr:row>75</xdr:row>
      <xdr:rowOff>9393</xdr:rowOff>
    </xdr:from>
    <xdr:to>
      <xdr:col>13</xdr:col>
      <xdr:colOff>26950</xdr:colOff>
      <xdr:row>85</xdr:row>
      <xdr:rowOff>163143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10</xdr:col>
      <xdr:colOff>19050</xdr:colOff>
      <xdr:row>41</xdr:row>
      <xdr:rowOff>171451</xdr:rowOff>
    </xdr:from>
    <xdr:to>
      <xdr:col>12</xdr:col>
      <xdr:colOff>800101</xdr:colOff>
      <xdr:row>67</xdr:row>
      <xdr:rowOff>57151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38100</xdr:colOff>
      <xdr:row>41</xdr:row>
      <xdr:rowOff>0</xdr:rowOff>
    </xdr:from>
    <xdr:to>
      <xdr:col>12</xdr:col>
      <xdr:colOff>790574</xdr:colOff>
      <xdr:row>42</xdr:row>
      <xdr:rowOff>66675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SpPr/>
      </xdr:nvSpPr>
      <xdr:spPr>
        <a:xfrm>
          <a:off x="9610725" y="8572500"/>
          <a:ext cx="2933699" cy="304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Visual</a:t>
          </a:r>
          <a:r>
            <a:rPr lang="pt-BR" sz="1100" b="1" baseline="0">
              <a:solidFill>
                <a:sysClr val="windowText" lastClr="000000"/>
              </a:solidFill>
            </a:rPr>
            <a:t> das proporção (Materia Natural)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57150</xdr:colOff>
      <xdr:row>67</xdr:row>
      <xdr:rowOff>190500</xdr:rowOff>
    </xdr:from>
    <xdr:to>
      <xdr:col>12</xdr:col>
      <xdr:colOff>809624</xdr:colOff>
      <xdr:row>69</xdr:row>
      <xdr:rowOff>0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SpPr/>
      </xdr:nvSpPr>
      <xdr:spPr>
        <a:xfrm>
          <a:off x="9629775" y="14001750"/>
          <a:ext cx="2933699" cy="2286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90</xdr:row>
      <xdr:rowOff>180975</xdr:rowOff>
    </xdr:from>
    <xdr:to>
      <xdr:col>13</xdr:col>
      <xdr:colOff>9524</xdr:colOff>
      <xdr:row>92</xdr:row>
      <xdr:rowOff>85725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SpPr/>
      </xdr:nvSpPr>
      <xdr:spPr>
        <a:xfrm>
          <a:off x="9639300" y="18859500"/>
          <a:ext cx="2933699" cy="304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Visual</a:t>
          </a:r>
          <a:r>
            <a:rPr lang="pt-BR" sz="1100" b="1" baseline="0">
              <a:solidFill>
                <a:sysClr val="windowText" lastClr="000000"/>
              </a:solidFill>
            </a:rPr>
            <a:t> das proporção (Materia Natural)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76200</xdr:colOff>
      <xdr:row>117</xdr:row>
      <xdr:rowOff>200025</xdr:rowOff>
    </xdr:from>
    <xdr:to>
      <xdr:col>13</xdr:col>
      <xdr:colOff>19049</xdr:colOff>
      <xdr:row>119</xdr:row>
      <xdr:rowOff>9525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SpPr/>
      </xdr:nvSpPr>
      <xdr:spPr>
        <a:xfrm>
          <a:off x="9648825" y="24279225"/>
          <a:ext cx="2933699" cy="2286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66675</xdr:colOff>
      <xdr:row>92</xdr:row>
      <xdr:rowOff>1329</xdr:rowOff>
    </xdr:from>
    <xdr:to>
      <xdr:col>13</xdr:col>
      <xdr:colOff>28575</xdr:colOff>
      <xdr:row>117</xdr:row>
      <xdr:rowOff>86168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87275</xdr:colOff>
      <xdr:row>75</xdr:row>
      <xdr:rowOff>9393</xdr:rowOff>
    </xdr:from>
    <xdr:to>
      <xdr:col>2</xdr:col>
      <xdr:colOff>455575</xdr:colOff>
      <xdr:row>85</xdr:row>
      <xdr:rowOff>163143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GrpSpPr/>
      </xdr:nvGrpSpPr>
      <xdr:grpSpPr>
        <a:xfrm>
          <a:off x="239675" y="15868518"/>
          <a:ext cx="2968625" cy="2115900"/>
          <a:chOff x="242333" y="15526283"/>
          <a:chExt cx="3059666" cy="2103052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00000000-0008-0000-1400-00000E000000}"/>
              </a:ext>
            </a:extLst>
          </xdr:cNvPr>
          <xdr:cNvGraphicFramePr>
            <a:graphicFrameLocks/>
          </xdr:cNvGraphicFramePr>
        </xdr:nvGraphicFramePr>
        <xdr:xfrm>
          <a:off x="242333" y="15526283"/>
          <a:ext cx="3059666" cy="21030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00000000-0008-0000-1400-000016000000}"/>
              </a:ext>
            </a:extLst>
          </xdr:cNvPr>
          <xdr:cNvGrpSpPr/>
        </xdr:nvGrpSpPr>
        <xdr:grpSpPr>
          <a:xfrm>
            <a:off x="2099710" y="16130921"/>
            <a:ext cx="619123" cy="224612"/>
            <a:chOff x="4800601" y="17783176"/>
            <a:chExt cx="619123" cy="219074"/>
          </a:xfrm>
        </xdr:grpSpPr>
        <xdr:sp macro="" textlink="$K$56">
          <xdr:nvSpPr>
            <xdr:cNvPr id="15" name="CaixaDeTexto 14">
              <a:extLst>
                <a:ext uri="{FF2B5EF4-FFF2-40B4-BE49-F238E27FC236}">
                  <a16:creationId xmlns:a16="http://schemas.microsoft.com/office/drawing/2014/main" id="{00000000-0008-0000-1400-00000F000000}"/>
                </a:ext>
              </a:extLst>
            </xdr:cNvPr>
            <xdr:cNvSpPr txBox="1"/>
          </xdr:nvSpPr>
          <xdr:spPr>
            <a:xfrm>
              <a:off x="4819649" y="17783176"/>
              <a:ext cx="600075" cy="21907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C1E7A79E-6C55-47E7-8F23-7808A7B7724B}" type="TxLink">
                <a:rPr lang="en-US" sz="1200" b="0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cs typeface="Arial"/>
                </a:rPr>
                <a:pPr algn="ctr"/>
                <a:t>Dieta</a:t>
              </a:fld>
              <a:endParaRPr lang="pt-BR" sz="1200" b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</a:endParaRPr>
            </a:p>
          </xdr:txBody>
        </xdr:sp>
        <xdr:sp macro="" textlink="">
          <xdr:nvSpPr>
            <xdr:cNvPr id="16" name="CaixaDeTexto 15">
              <a:extLst>
                <a:ext uri="{FF2B5EF4-FFF2-40B4-BE49-F238E27FC236}">
                  <a16:creationId xmlns:a16="http://schemas.microsoft.com/office/drawing/2014/main" id="{00000000-0008-0000-1400-000010000000}"/>
                </a:ext>
              </a:extLst>
            </xdr:cNvPr>
            <xdr:cNvSpPr txBox="1"/>
          </xdr:nvSpPr>
          <xdr:spPr>
            <a:xfrm>
              <a:off x="4800601" y="17849850"/>
              <a:ext cx="95250" cy="104775"/>
            </a:xfrm>
            <a:prstGeom prst="rect">
              <a:avLst/>
            </a:prstGeom>
            <a:solidFill>
              <a:srgbClr val="FFFF99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endParaRPr lang="en-US" sz="12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cs typeface="Arial"/>
              </a:endParaRPr>
            </a:p>
          </xdr:txBody>
        </xdr:sp>
      </xdr:grpSp>
      <xdr:grpSp>
        <xdr:nvGrpSpPr>
          <xdr:cNvPr id="41" name="Agrupar 40">
            <a:extLst>
              <a:ext uri="{FF2B5EF4-FFF2-40B4-BE49-F238E27FC236}">
                <a16:creationId xmlns:a16="http://schemas.microsoft.com/office/drawing/2014/main" id="{00000000-0008-0000-1400-000029000000}"/>
              </a:ext>
            </a:extLst>
          </xdr:cNvPr>
          <xdr:cNvGrpSpPr/>
        </xdr:nvGrpSpPr>
        <xdr:grpSpPr>
          <a:xfrm>
            <a:off x="674061" y="16246772"/>
            <a:ext cx="933450" cy="722792"/>
            <a:chOff x="638175" y="16297276"/>
            <a:chExt cx="933450" cy="723900"/>
          </a:xfrm>
        </xdr:grpSpPr>
        <xdr:sp macro="" textlink="">
          <xdr:nvSpPr>
            <xdr:cNvPr id="39" name="Elipse 38">
              <a:extLst>
                <a:ext uri="{FF2B5EF4-FFF2-40B4-BE49-F238E27FC236}">
                  <a16:creationId xmlns:a16="http://schemas.microsoft.com/office/drawing/2014/main" id="{00000000-0008-0000-1400-000027000000}"/>
                </a:ext>
              </a:extLst>
            </xdr:cNvPr>
            <xdr:cNvSpPr/>
          </xdr:nvSpPr>
          <xdr:spPr>
            <a:xfrm>
              <a:off x="771525" y="16297276"/>
              <a:ext cx="704851" cy="723900"/>
            </a:xfrm>
            <a:prstGeom prst="ellipse">
              <a:avLst/>
            </a:prstGeom>
            <a:solidFill>
              <a:srgbClr val="FFFF99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en-US" sz="1100" b="1"/>
            </a:p>
          </xdr:txBody>
        </xdr:sp>
        <xdr:sp macro="" textlink="$L$56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00000000-0008-0000-1400-000028000000}"/>
                </a:ext>
              </a:extLst>
            </xdr:cNvPr>
            <xdr:cNvSpPr txBox="1"/>
          </xdr:nvSpPr>
          <xdr:spPr>
            <a:xfrm>
              <a:off x="638175" y="16554450"/>
              <a:ext cx="933450" cy="2476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63A08486-9D55-4EF2-9EAE-FE7E6A2EDA64}" type="TxLink">
                <a:rPr lang="en-US" sz="1600" b="1" i="1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1,06</a:t>
              </a:fld>
              <a:endParaRPr lang="pt-BR" sz="1600" b="1" i="1"/>
            </a:p>
          </xdr:txBody>
        </xdr:sp>
      </xdr:grpSp>
    </xdr:grpSp>
    <xdr:clientData/>
  </xdr:twoCellAnchor>
  <xdr:twoCellAnchor>
    <xdr:from>
      <xdr:col>2</xdr:col>
      <xdr:colOff>614325</xdr:colOff>
      <xdr:row>75</xdr:row>
      <xdr:rowOff>9393</xdr:rowOff>
    </xdr:from>
    <xdr:to>
      <xdr:col>5</xdr:col>
      <xdr:colOff>801650</xdr:colOff>
      <xdr:row>85</xdr:row>
      <xdr:rowOff>163143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GrpSpPr/>
      </xdr:nvGrpSpPr>
      <xdr:grpSpPr>
        <a:xfrm>
          <a:off x="3367050" y="15868518"/>
          <a:ext cx="2968625" cy="2115900"/>
          <a:chOff x="3460749" y="15526283"/>
          <a:chExt cx="3044825" cy="2103052"/>
        </a:xfrm>
      </xdr:grpSpPr>
      <xdr:graphicFrame macro="">
        <xdr:nvGraphicFramePr>
          <xdr:cNvPr id="17" name="Gráfico 16">
            <a:extLst>
              <a:ext uri="{FF2B5EF4-FFF2-40B4-BE49-F238E27FC236}">
                <a16:creationId xmlns:a16="http://schemas.microsoft.com/office/drawing/2014/main" id="{00000000-0008-0000-1400-000011000000}"/>
              </a:ext>
            </a:extLst>
          </xdr:cNvPr>
          <xdr:cNvGraphicFramePr>
            <a:graphicFrameLocks/>
          </xdr:cNvGraphicFramePr>
        </xdr:nvGraphicFramePr>
        <xdr:xfrm>
          <a:off x="3460749" y="15526283"/>
          <a:ext cx="3044825" cy="21030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23" name="Agrupar 22">
            <a:extLst>
              <a:ext uri="{FF2B5EF4-FFF2-40B4-BE49-F238E27FC236}">
                <a16:creationId xmlns:a16="http://schemas.microsoft.com/office/drawing/2014/main" id="{00000000-0008-0000-1400-000017000000}"/>
              </a:ext>
            </a:extLst>
          </xdr:cNvPr>
          <xdr:cNvGrpSpPr/>
        </xdr:nvGrpSpPr>
        <xdr:grpSpPr>
          <a:xfrm>
            <a:off x="5326026" y="16121395"/>
            <a:ext cx="646147" cy="224612"/>
            <a:chOff x="4800601" y="17783176"/>
            <a:chExt cx="619123" cy="219074"/>
          </a:xfrm>
        </xdr:grpSpPr>
        <xdr:sp macro="" textlink="$K$56">
          <xdr:nvSpPr>
            <xdr:cNvPr id="25" name="CaixaDeTexto 24">
              <a:extLst>
                <a:ext uri="{FF2B5EF4-FFF2-40B4-BE49-F238E27FC236}">
                  <a16:creationId xmlns:a16="http://schemas.microsoft.com/office/drawing/2014/main" id="{00000000-0008-0000-1400-000019000000}"/>
                </a:ext>
              </a:extLst>
            </xdr:cNvPr>
            <xdr:cNvSpPr txBox="1"/>
          </xdr:nvSpPr>
          <xdr:spPr>
            <a:xfrm>
              <a:off x="4819649" y="17783176"/>
              <a:ext cx="600075" cy="21907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C1E7A79E-6C55-47E7-8F23-7808A7B7724B}" type="TxLink">
                <a:rPr lang="en-US" sz="1200" b="0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cs typeface="Arial"/>
                </a:rPr>
                <a:pPr algn="ctr"/>
                <a:t>Dieta</a:t>
              </a:fld>
              <a:endParaRPr lang="pt-BR" sz="1200" b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</a:endParaRPr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00000000-0008-0000-1400-000020000000}"/>
                </a:ext>
              </a:extLst>
            </xdr:cNvPr>
            <xdr:cNvSpPr txBox="1"/>
          </xdr:nvSpPr>
          <xdr:spPr>
            <a:xfrm>
              <a:off x="4800601" y="17849850"/>
              <a:ext cx="95250" cy="104775"/>
            </a:xfrm>
            <a:prstGeom prst="rect">
              <a:avLst/>
            </a:prstGeom>
            <a:solidFill>
              <a:srgbClr val="FFFF99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endParaRPr lang="en-US" sz="12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cs typeface="Arial"/>
              </a:endParaRPr>
            </a:p>
          </xdr:txBody>
        </xdr:sp>
      </xdr:grpSp>
      <xdr:grpSp>
        <xdr:nvGrpSpPr>
          <xdr:cNvPr id="42" name="Agrupar 41">
            <a:extLst>
              <a:ext uri="{FF2B5EF4-FFF2-40B4-BE49-F238E27FC236}">
                <a16:creationId xmlns:a16="http://schemas.microsoft.com/office/drawing/2014/main" id="{00000000-0008-0000-1400-00002A000000}"/>
              </a:ext>
            </a:extLst>
          </xdr:cNvPr>
          <xdr:cNvGrpSpPr/>
        </xdr:nvGrpSpPr>
        <xdr:grpSpPr>
          <a:xfrm>
            <a:off x="3937147" y="16294396"/>
            <a:ext cx="958703" cy="722792"/>
            <a:chOff x="676275" y="16297276"/>
            <a:chExt cx="933450" cy="723900"/>
          </a:xfrm>
        </xdr:grpSpPr>
        <xdr:sp macro="" textlink="">
          <xdr:nvSpPr>
            <xdr:cNvPr id="43" name="Elipse 42">
              <a:extLst>
                <a:ext uri="{FF2B5EF4-FFF2-40B4-BE49-F238E27FC236}">
                  <a16:creationId xmlns:a16="http://schemas.microsoft.com/office/drawing/2014/main" id="{00000000-0008-0000-1400-00002B000000}"/>
                </a:ext>
              </a:extLst>
            </xdr:cNvPr>
            <xdr:cNvSpPr/>
          </xdr:nvSpPr>
          <xdr:spPr>
            <a:xfrm>
              <a:off x="771525" y="16297276"/>
              <a:ext cx="704851" cy="723900"/>
            </a:xfrm>
            <a:prstGeom prst="ellipse">
              <a:avLst/>
            </a:prstGeom>
            <a:solidFill>
              <a:srgbClr val="FFFF99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en-US" sz="1100" b="1"/>
            </a:p>
          </xdr:txBody>
        </xdr:sp>
        <xdr:sp macro="" textlink="$F$36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00000000-0008-0000-1400-00002C000000}"/>
                </a:ext>
              </a:extLst>
            </xdr:cNvPr>
            <xdr:cNvSpPr txBox="1"/>
          </xdr:nvSpPr>
          <xdr:spPr>
            <a:xfrm>
              <a:off x="676275" y="16554450"/>
              <a:ext cx="933450" cy="2476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0DC78727-BFC6-4415-AF44-1D462CC9317F}" type="TxLink">
                <a:rPr lang="en-US" sz="1400" b="1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1,06</a:t>
              </a:fld>
              <a:endParaRPr lang="pt-BR" sz="1800" b="1" i="1"/>
            </a:p>
          </xdr:txBody>
        </xdr:sp>
      </xdr:grpSp>
    </xdr:grpSp>
    <xdr:clientData/>
  </xdr:twoCellAnchor>
  <xdr:twoCellAnchor editAs="oneCell">
    <xdr:from>
      <xdr:col>1</xdr:col>
      <xdr:colOff>47625</xdr:colOff>
      <xdr:row>0</xdr:row>
      <xdr:rowOff>0</xdr:rowOff>
    </xdr:from>
    <xdr:to>
      <xdr:col>1</xdr:col>
      <xdr:colOff>361950</xdr:colOff>
      <xdr:row>0</xdr:row>
      <xdr:rowOff>332816</xdr:rowOff>
    </xdr:to>
    <xdr:pic macro="[0]!Menu_Aparecer">
      <xdr:nvPicPr>
        <xdr:cNvPr id="24" name="Imagem 23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0"/>
          <a:ext cx="314325" cy="332816"/>
        </a:xfrm>
        <a:prstGeom prst="rect">
          <a:avLst/>
        </a:prstGeom>
      </xdr:spPr>
    </xdr:pic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1095374</xdr:colOff>
      <xdr:row>0</xdr:row>
      <xdr:rowOff>314325</xdr:rowOff>
    </xdr:from>
    <xdr:to>
      <xdr:col>10</xdr:col>
      <xdr:colOff>19049</xdr:colOff>
      <xdr:row>0</xdr:row>
      <xdr:rowOff>590550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095374" y="314325"/>
          <a:ext cx="8448675" cy="2762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FICHA DE BATIDA</a:t>
          </a:r>
        </a:p>
      </xdr:txBody>
    </xdr:sp>
    <xdr:clientData/>
  </xdr:twoCellAnchor>
  <xdr:twoCellAnchor editAs="oneCell">
    <xdr:from>
      <xdr:col>1</xdr:col>
      <xdr:colOff>28575</xdr:colOff>
      <xdr:row>0</xdr:row>
      <xdr:rowOff>0</xdr:rowOff>
    </xdr:from>
    <xdr:to>
      <xdr:col>1</xdr:col>
      <xdr:colOff>342900</xdr:colOff>
      <xdr:row>0</xdr:row>
      <xdr:rowOff>332816</xdr:rowOff>
    </xdr:to>
    <xdr:pic macro="[0]!Menu_Aparecer">
      <xdr:nvPicPr>
        <xdr:cNvPr id="14" name="Imagem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0"/>
          <a:ext cx="314325" cy="332816"/>
        </a:xfrm>
        <a:prstGeom prst="rect">
          <a:avLst/>
        </a:prstGeom>
      </xdr:spPr>
    </xdr:pic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1197089</xdr:colOff>
      <xdr:row>5</xdr:row>
      <xdr:rowOff>66278</xdr:rowOff>
    </xdr:from>
    <xdr:to>
      <xdr:col>7</xdr:col>
      <xdr:colOff>1489869</xdr:colOff>
      <xdr:row>6</xdr:row>
      <xdr:rowOff>282858</xdr:rowOff>
    </xdr:to>
    <xdr:pic macro="[0]!Limpar_Finaceiro">
      <xdr:nvPicPr>
        <xdr:cNvPr id="5" name="Imagem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514" y="1161653"/>
          <a:ext cx="292780" cy="292780"/>
        </a:xfrm>
        <a:prstGeom prst="rect">
          <a:avLst/>
        </a:prstGeom>
      </xdr:spPr>
    </xdr:pic>
    <xdr:clientData fPrintsWithSheet="0"/>
  </xdr:twoCellAnchor>
  <xdr:twoCellAnchor editAs="absolute">
    <xdr:from>
      <xdr:col>8</xdr:col>
      <xdr:colOff>323850</xdr:colOff>
      <xdr:row>1</xdr:row>
      <xdr:rowOff>219075</xdr:rowOff>
    </xdr:from>
    <xdr:to>
      <xdr:col>8</xdr:col>
      <xdr:colOff>1819275</xdr:colOff>
      <xdr:row>8</xdr:row>
      <xdr:rowOff>19050</xdr:rowOff>
    </xdr:to>
    <xdr:grpSp>
      <xdr:nvGrpSpPr>
        <xdr:cNvPr id="4" name="Menu_PDF" hidden="1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pSpPr/>
      </xdr:nvGrpSpPr>
      <xdr:grpSpPr>
        <a:xfrm>
          <a:off x="8296275" y="219075"/>
          <a:ext cx="1495425" cy="1343025"/>
          <a:chOff x="4276725" y="923925"/>
          <a:chExt cx="1495425" cy="1419225"/>
        </a:xfrm>
      </xdr:grpSpPr>
      <xdr:sp macro="" textlink="">
        <xdr:nvSpPr>
          <xdr:cNvPr id="6" name="Retângulo 5" hidden="1">
            <a:extLst>
              <a:ext uri="{FF2B5EF4-FFF2-40B4-BE49-F238E27FC236}">
                <a16:creationId xmlns:a16="http://schemas.microsoft.com/office/drawing/2014/main" id="{00000000-0008-0000-1700-000006000000}"/>
              </a:ext>
            </a:extLst>
          </xdr:cNvPr>
          <xdr:cNvSpPr/>
        </xdr:nvSpPr>
        <xdr:spPr>
          <a:xfrm>
            <a:off x="4276725" y="923925"/>
            <a:ext cx="1495425" cy="1419225"/>
          </a:xfrm>
          <a:prstGeom prst="rect">
            <a:avLst/>
          </a:prstGeom>
          <a:solidFill>
            <a:schemeClr val="bg2">
              <a:lumMod val="9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Relatório_Completo" textlink="">
        <xdr:nvSpPr>
          <xdr:cNvPr id="7" name="Retângulo 6" hidden="1">
            <a:extLst>
              <a:ext uri="{FF2B5EF4-FFF2-40B4-BE49-F238E27FC236}">
                <a16:creationId xmlns:a16="http://schemas.microsoft.com/office/drawing/2014/main" id="{00000000-0008-0000-1700-000007000000}"/>
              </a:ext>
            </a:extLst>
          </xdr:cNvPr>
          <xdr:cNvSpPr/>
        </xdr:nvSpPr>
        <xdr:spPr>
          <a:xfrm>
            <a:off x="4333875" y="98107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Completo</a:t>
            </a:r>
          </a:p>
        </xdr:txBody>
      </xdr:sp>
      <xdr:sp macro="[0]!Relatorio_Atendimento" textlink="">
        <xdr:nvSpPr>
          <xdr:cNvPr id="8" name="Retângulo 7" hidden="1">
            <a:extLst>
              <a:ext uri="{FF2B5EF4-FFF2-40B4-BE49-F238E27FC236}">
                <a16:creationId xmlns:a16="http://schemas.microsoft.com/office/drawing/2014/main" id="{00000000-0008-0000-1700-000008000000}"/>
              </a:ext>
            </a:extLst>
          </xdr:cNvPr>
          <xdr:cNvSpPr/>
        </xdr:nvSpPr>
        <xdr:spPr>
          <a:xfrm>
            <a:off x="4333875" y="125920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Relat. Atendimento</a:t>
            </a:r>
          </a:p>
        </xdr:txBody>
      </xdr:sp>
      <xdr:sp macro="[0]!Relatorio_Financeiro" textlink="">
        <xdr:nvSpPr>
          <xdr:cNvPr id="16" name="Retângulo 15" hidden="1">
            <a:extLst>
              <a:ext uri="{FF2B5EF4-FFF2-40B4-BE49-F238E27FC236}">
                <a16:creationId xmlns:a16="http://schemas.microsoft.com/office/drawing/2014/main" id="{00000000-0008-0000-1700-000010000000}"/>
              </a:ext>
            </a:extLst>
          </xdr:cNvPr>
          <xdr:cNvSpPr/>
        </xdr:nvSpPr>
        <xdr:spPr>
          <a:xfrm>
            <a:off x="4333875" y="209359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Financeiro</a:t>
            </a:r>
          </a:p>
        </xdr:txBody>
      </xdr:sp>
      <xdr:sp macro="[0]!Ficha_Mistura" textlink="">
        <xdr:nvSpPr>
          <xdr:cNvPr id="17" name="Retângulo 16" hidden="1">
            <a:extLst>
              <a:ext uri="{FF2B5EF4-FFF2-40B4-BE49-F238E27FC236}">
                <a16:creationId xmlns:a16="http://schemas.microsoft.com/office/drawing/2014/main" id="{00000000-0008-0000-1700-000011000000}"/>
              </a:ext>
            </a:extLst>
          </xdr:cNvPr>
          <xdr:cNvSpPr/>
        </xdr:nvSpPr>
        <xdr:spPr>
          <a:xfrm>
            <a:off x="4333875" y="153733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Ficha</a:t>
            </a:r>
            <a:r>
              <a:rPr lang="pt-BR" sz="1100" b="0" baseline="0"/>
              <a:t> de Mistura</a:t>
            </a:r>
            <a:endParaRPr lang="pt-BR" sz="1100" b="0"/>
          </a:p>
        </xdr:txBody>
      </xdr:sp>
      <xdr:sp macro="[0]!Ficha_Batida" textlink="">
        <xdr:nvSpPr>
          <xdr:cNvPr id="18" name="Retângulo 17" hidden="1">
            <a:extLst>
              <a:ext uri="{FF2B5EF4-FFF2-40B4-BE49-F238E27FC236}">
                <a16:creationId xmlns:a16="http://schemas.microsoft.com/office/drawing/2014/main" id="{00000000-0008-0000-1700-000012000000}"/>
              </a:ext>
            </a:extLst>
          </xdr:cNvPr>
          <xdr:cNvSpPr/>
        </xdr:nvSpPr>
        <xdr:spPr>
          <a:xfrm>
            <a:off x="4333875" y="181546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Ficha</a:t>
            </a:r>
            <a:r>
              <a:rPr lang="pt-BR" sz="1100" b="0" baseline="0"/>
              <a:t> de Batida</a:t>
            </a:r>
            <a:endParaRPr lang="pt-BR" sz="1100" b="0"/>
          </a:p>
        </xdr:txBody>
      </xdr:sp>
    </xdr:grpSp>
    <xdr:clientData fPrintsWithSheet="0"/>
  </xdr:twoCellAnchor>
  <xdr:twoCellAnchor editAs="oneCell">
    <xdr:from>
      <xdr:col>1</xdr:col>
      <xdr:colOff>38101</xdr:colOff>
      <xdr:row>0</xdr:row>
      <xdr:rowOff>0</xdr:rowOff>
    </xdr:from>
    <xdr:to>
      <xdr:col>1</xdr:col>
      <xdr:colOff>352426</xdr:colOff>
      <xdr:row>1</xdr:row>
      <xdr:rowOff>332816</xdr:rowOff>
    </xdr:to>
    <xdr:pic macro="[0]!Menu_Aparecer">
      <xdr:nvPicPr>
        <xdr:cNvPr id="19" name="Imagem 18"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776" y="0"/>
          <a:ext cx="314325" cy="332816"/>
        </a:xfrm>
        <a:prstGeom prst="rect">
          <a:avLst/>
        </a:prstGeom>
      </xdr:spPr>
    </xdr:pic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180975</xdr:colOff>
      <xdr:row>1</xdr:row>
      <xdr:rowOff>161924</xdr:rowOff>
    </xdr:from>
    <xdr:to>
      <xdr:col>10</xdr:col>
      <xdr:colOff>238126</xdr:colOff>
      <xdr:row>3</xdr:row>
      <xdr:rowOff>114299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180975" y="342899"/>
          <a:ext cx="11258551" cy="3143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	CONFIGURAÇÕES</a:t>
          </a:r>
        </a:p>
      </xdr:txBody>
    </xdr:sp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104775</xdr:colOff>
      <xdr:row>1</xdr:row>
      <xdr:rowOff>151841</xdr:rowOff>
    </xdr:to>
    <xdr:pic macro="[0]!Menu_Aparecer">
      <xdr:nvPicPr>
        <xdr:cNvPr id="7" name="Imagem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0"/>
          <a:ext cx="314325" cy="33281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0</xdr:row>
      <xdr:rowOff>9525</xdr:rowOff>
    </xdr:from>
    <xdr:to>
      <xdr:col>0</xdr:col>
      <xdr:colOff>638175</xdr:colOff>
      <xdr:row>1</xdr:row>
      <xdr:rowOff>161366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9525"/>
          <a:ext cx="314325" cy="33281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19838</xdr:rowOff>
        </xdr:from>
        <xdr:to>
          <xdr:col>12</xdr:col>
          <xdr:colOff>457200</xdr:colOff>
          <xdr:row>1</xdr:row>
          <xdr:rowOff>219863</xdr:rowOff>
        </xdr:to>
        <xdr:grpSp>
          <xdr:nvGrpSpPr>
            <xdr:cNvPr id="2" name="Agrupar 1">
              <a:extLst>
                <a:ext uri="{FF2B5EF4-FFF2-40B4-BE49-F238E27FC236}">
                  <a16:creationId xmlns:a16="http://schemas.microsoft.com/office/drawing/2014/main" id="{00000000-0008-0000-1A00-000002000000}"/>
                </a:ext>
              </a:extLst>
            </xdr:cNvPr>
            <xdr:cNvGrpSpPr/>
          </xdr:nvGrpSpPr>
          <xdr:grpSpPr>
            <a:xfrm>
              <a:off x="9820275" y="553238"/>
              <a:ext cx="1847850" cy="200025"/>
              <a:chOff x="2895600" y="1462088"/>
              <a:chExt cx="1847850" cy="200025"/>
            </a:xfrm>
          </xdr:grpSpPr>
          <xdr:sp macro="" textlink="">
            <xdr:nvSpPr>
              <xdr:cNvPr id="47105" name="Button 1" hidden="1">
                <a:extLst>
                  <a:ext uri="{63B3BB69-23CF-44E3-9099-C40C66FF867C}">
                    <a14:compatExt spid="_x0000_s47105"/>
                  </a:ext>
                  <a:ext uri="{FF2B5EF4-FFF2-40B4-BE49-F238E27FC236}">
                    <a16:creationId xmlns:a16="http://schemas.microsoft.com/office/drawing/2014/main" id="{00000000-0008-0000-1A00-000001B80000}"/>
                  </a:ext>
                </a:extLst>
              </xdr:cNvPr>
              <xdr:cNvSpPr/>
            </xdr:nvSpPr>
            <xdr:spPr bwMode="auto">
              <a:xfrm>
                <a:off x="2895600" y="1462088"/>
                <a:ext cx="666750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Navegar</a:t>
                </a:r>
              </a:p>
            </xdr:txBody>
          </xdr:sp>
          <xdr:sp macro="" textlink="">
            <xdr:nvSpPr>
              <xdr:cNvPr id="47107" name="Button 3" hidden="1">
                <a:extLst>
                  <a:ext uri="{63B3BB69-23CF-44E3-9099-C40C66FF867C}">
                    <a14:compatExt spid="_x0000_s47107"/>
                  </a:ext>
                  <a:ext uri="{FF2B5EF4-FFF2-40B4-BE49-F238E27FC236}">
                    <a16:creationId xmlns:a16="http://schemas.microsoft.com/office/drawing/2014/main" id="{00000000-0008-0000-1A00-000003B80000}"/>
                  </a:ext>
                </a:extLst>
              </xdr:cNvPr>
              <xdr:cNvSpPr/>
            </xdr:nvSpPr>
            <xdr:spPr bwMode="auto">
              <a:xfrm>
                <a:off x="360997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</a:t>
                </a:r>
              </a:p>
            </xdr:txBody>
          </xdr:sp>
          <xdr:sp macro="" textlink="">
            <xdr:nvSpPr>
              <xdr:cNvPr id="47108" name="Button 4" hidden="1">
                <a:extLst>
                  <a:ext uri="{63B3BB69-23CF-44E3-9099-C40C66FF867C}">
                    <a14:compatExt spid="_x0000_s47108"/>
                  </a:ext>
                  <a:ext uri="{FF2B5EF4-FFF2-40B4-BE49-F238E27FC236}">
                    <a16:creationId xmlns:a16="http://schemas.microsoft.com/office/drawing/2014/main" id="{00000000-0008-0000-1A00-000004B80000}"/>
                  </a:ext>
                </a:extLst>
              </xdr:cNvPr>
              <xdr:cNvSpPr/>
            </xdr:nvSpPr>
            <xdr:spPr bwMode="auto">
              <a:xfrm>
                <a:off x="420052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Fechar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9</xdr:col>
          <xdr:colOff>1847850</xdr:colOff>
          <xdr:row>1</xdr:row>
          <xdr:rowOff>200025</xdr:rowOff>
        </xdr:to>
        <xdr:grpSp>
          <xdr:nvGrpSpPr>
            <xdr:cNvPr id="9" name="Agrupar 8">
              <a:extLst>
                <a:ext uri="{FF2B5EF4-FFF2-40B4-BE49-F238E27FC236}">
                  <a16:creationId xmlns:a16="http://schemas.microsoft.com/office/drawing/2014/main" id="{00000000-0008-0000-1A00-000009000000}"/>
                </a:ext>
              </a:extLst>
            </xdr:cNvPr>
            <xdr:cNvGrpSpPr/>
          </xdr:nvGrpSpPr>
          <xdr:grpSpPr>
            <a:xfrm>
              <a:off x="7143750" y="533400"/>
              <a:ext cx="1847850" cy="200025"/>
              <a:chOff x="2895600" y="1462088"/>
              <a:chExt cx="1847850" cy="200025"/>
            </a:xfrm>
          </xdr:grpSpPr>
          <xdr:sp macro="" textlink="">
            <xdr:nvSpPr>
              <xdr:cNvPr id="47109" name="Button 5" hidden="1">
                <a:extLst>
                  <a:ext uri="{63B3BB69-23CF-44E3-9099-C40C66FF867C}">
                    <a14:compatExt spid="_x0000_s47109"/>
                  </a:ext>
                  <a:ext uri="{FF2B5EF4-FFF2-40B4-BE49-F238E27FC236}">
                    <a16:creationId xmlns:a16="http://schemas.microsoft.com/office/drawing/2014/main" id="{00000000-0008-0000-1A00-000005B80000}"/>
                  </a:ext>
                </a:extLst>
              </xdr:cNvPr>
              <xdr:cNvSpPr/>
            </xdr:nvSpPr>
            <xdr:spPr bwMode="auto">
              <a:xfrm>
                <a:off x="2895600" y="1462088"/>
                <a:ext cx="666750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Navegar</a:t>
                </a:r>
              </a:p>
            </xdr:txBody>
          </xdr:sp>
          <xdr:sp macro="" textlink="">
            <xdr:nvSpPr>
              <xdr:cNvPr id="47110" name="Button 6" hidden="1">
                <a:extLst>
                  <a:ext uri="{63B3BB69-23CF-44E3-9099-C40C66FF867C}">
                    <a14:compatExt spid="_x0000_s47110"/>
                  </a:ext>
                  <a:ext uri="{FF2B5EF4-FFF2-40B4-BE49-F238E27FC236}">
                    <a16:creationId xmlns:a16="http://schemas.microsoft.com/office/drawing/2014/main" id="{00000000-0008-0000-1A00-000006B80000}"/>
                  </a:ext>
                </a:extLst>
              </xdr:cNvPr>
              <xdr:cNvSpPr/>
            </xdr:nvSpPr>
            <xdr:spPr bwMode="auto">
              <a:xfrm>
                <a:off x="360997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</a:t>
                </a:r>
              </a:p>
            </xdr:txBody>
          </xdr:sp>
          <xdr:sp macro="" textlink="">
            <xdr:nvSpPr>
              <xdr:cNvPr id="47111" name="Button 7" hidden="1">
                <a:extLst>
                  <a:ext uri="{63B3BB69-23CF-44E3-9099-C40C66FF867C}">
                    <a14:compatExt spid="_x0000_s47111"/>
                  </a:ext>
                  <a:ext uri="{FF2B5EF4-FFF2-40B4-BE49-F238E27FC236}">
                    <a16:creationId xmlns:a16="http://schemas.microsoft.com/office/drawing/2014/main" id="{00000000-0008-0000-1A00-000007B80000}"/>
                  </a:ext>
                </a:extLst>
              </xdr:cNvPr>
              <xdr:cNvSpPr/>
            </xdr:nvSpPr>
            <xdr:spPr bwMode="auto">
              <a:xfrm>
                <a:off x="420052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Fechar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457200</xdr:colOff>
          <xdr:row>1</xdr:row>
          <xdr:rowOff>200025</xdr:rowOff>
        </xdr:to>
        <xdr:grpSp>
          <xdr:nvGrpSpPr>
            <xdr:cNvPr id="10" name="Agrupar 9">
              <a:extLst>
                <a:ext uri="{FF2B5EF4-FFF2-40B4-BE49-F238E27FC236}">
                  <a16:creationId xmlns:a16="http://schemas.microsoft.com/office/drawing/2014/main" id="{00000000-0008-0000-1A00-00000A000000}"/>
                </a:ext>
              </a:extLst>
            </xdr:cNvPr>
            <xdr:cNvGrpSpPr/>
          </xdr:nvGrpSpPr>
          <xdr:grpSpPr>
            <a:xfrm>
              <a:off x="12439650" y="533400"/>
              <a:ext cx="1847850" cy="200025"/>
              <a:chOff x="2895600" y="1462088"/>
              <a:chExt cx="1847850" cy="200025"/>
            </a:xfrm>
          </xdr:grpSpPr>
          <xdr:sp macro="" textlink="">
            <xdr:nvSpPr>
              <xdr:cNvPr id="47112" name="Button 8" hidden="1">
                <a:extLst>
                  <a:ext uri="{63B3BB69-23CF-44E3-9099-C40C66FF867C}">
                    <a14:compatExt spid="_x0000_s47112"/>
                  </a:ext>
                  <a:ext uri="{FF2B5EF4-FFF2-40B4-BE49-F238E27FC236}">
                    <a16:creationId xmlns:a16="http://schemas.microsoft.com/office/drawing/2014/main" id="{00000000-0008-0000-1A00-000008B80000}"/>
                  </a:ext>
                </a:extLst>
              </xdr:cNvPr>
              <xdr:cNvSpPr/>
            </xdr:nvSpPr>
            <xdr:spPr bwMode="auto">
              <a:xfrm>
                <a:off x="2895600" y="1462088"/>
                <a:ext cx="666750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Navegar</a:t>
                </a:r>
              </a:p>
            </xdr:txBody>
          </xdr:sp>
          <xdr:sp macro="" textlink="">
            <xdr:nvSpPr>
              <xdr:cNvPr id="47113" name="Button 9" hidden="1">
                <a:extLst>
                  <a:ext uri="{63B3BB69-23CF-44E3-9099-C40C66FF867C}">
                    <a14:compatExt spid="_x0000_s47113"/>
                  </a:ext>
                  <a:ext uri="{FF2B5EF4-FFF2-40B4-BE49-F238E27FC236}">
                    <a16:creationId xmlns:a16="http://schemas.microsoft.com/office/drawing/2014/main" id="{00000000-0008-0000-1A00-000009B80000}"/>
                  </a:ext>
                </a:extLst>
              </xdr:cNvPr>
              <xdr:cNvSpPr/>
            </xdr:nvSpPr>
            <xdr:spPr bwMode="auto">
              <a:xfrm>
                <a:off x="360997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</a:t>
                </a:r>
              </a:p>
            </xdr:txBody>
          </xdr:sp>
          <xdr:sp macro="" textlink="">
            <xdr:nvSpPr>
              <xdr:cNvPr id="47114" name="Button 10" hidden="1">
                <a:extLst>
                  <a:ext uri="{63B3BB69-23CF-44E3-9099-C40C66FF867C}">
                    <a14:compatExt spid="_x0000_s47114"/>
                  </a:ext>
                  <a:ext uri="{FF2B5EF4-FFF2-40B4-BE49-F238E27FC236}">
                    <a16:creationId xmlns:a16="http://schemas.microsoft.com/office/drawing/2014/main" id="{00000000-0008-0000-1A00-00000AB80000}"/>
                  </a:ext>
                </a:extLst>
              </xdr:cNvPr>
              <xdr:cNvSpPr/>
            </xdr:nvSpPr>
            <xdr:spPr bwMode="auto">
              <a:xfrm>
                <a:off x="420052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Fechar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24</xdr:col>
          <xdr:colOff>1847850</xdr:colOff>
          <xdr:row>1</xdr:row>
          <xdr:rowOff>200025</xdr:rowOff>
        </xdr:to>
        <xdr:grpSp>
          <xdr:nvGrpSpPr>
            <xdr:cNvPr id="11" name="Agrupar 10">
              <a:extLst>
                <a:ext uri="{FF2B5EF4-FFF2-40B4-BE49-F238E27FC236}">
                  <a16:creationId xmlns:a16="http://schemas.microsoft.com/office/drawing/2014/main" id="{00000000-0008-0000-1A00-00000B000000}"/>
                </a:ext>
              </a:extLst>
            </xdr:cNvPr>
            <xdr:cNvGrpSpPr/>
          </xdr:nvGrpSpPr>
          <xdr:grpSpPr>
            <a:xfrm>
              <a:off x="20545425" y="533400"/>
              <a:ext cx="1847850" cy="200025"/>
              <a:chOff x="2895600" y="1462088"/>
              <a:chExt cx="1847850" cy="200025"/>
            </a:xfrm>
          </xdr:grpSpPr>
          <xdr:sp macro="" textlink="">
            <xdr:nvSpPr>
              <xdr:cNvPr id="47115" name="Button 11" hidden="1">
                <a:extLst>
                  <a:ext uri="{63B3BB69-23CF-44E3-9099-C40C66FF867C}">
                    <a14:compatExt spid="_x0000_s47115"/>
                  </a:ext>
                  <a:ext uri="{FF2B5EF4-FFF2-40B4-BE49-F238E27FC236}">
                    <a16:creationId xmlns:a16="http://schemas.microsoft.com/office/drawing/2014/main" id="{00000000-0008-0000-1A00-00000BB80000}"/>
                  </a:ext>
                </a:extLst>
              </xdr:cNvPr>
              <xdr:cNvSpPr/>
            </xdr:nvSpPr>
            <xdr:spPr bwMode="auto">
              <a:xfrm>
                <a:off x="2895600" y="1462088"/>
                <a:ext cx="666750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Navegar</a:t>
                </a:r>
              </a:p>
            </xdr:txBody>
          </xdr:sp>
          <xdr:sp macro="" textlink="">
            <xdr:nvSpPr>
              <xdr:cNvPr id="47116" name="Button 12" hidden="1">
                <a:extLst>
                  <a:ext uri="{63B3BB69-23CF-44E3-9099-C40C66FF867C}">
                    <a14:compatExt spid="_x0000_s47116"/>
                  </a:ext>
                  <a:ext uri="{FF2B5EF4-FFF2-40B4-BE49-F238E27FC236}">
                    <a16:creationId xmlns:a16="http://schemas.microsoft.com/office/drawing/2014/main" id="{00000000-0008-0000-1A00-00000CB80000}"/>
                  </a:ext>
                </a:extLst>
              </xdr:cNvPr>
              <xdr:cNvSpPr/>
            </xdr:nvSpPr>
            <xdr:spPr bwMode="auto">
              <a:xfrm>
                <a:off x="360997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</a:t>
                </a:r>
              </a:p>
            </xdr:txBody>
          </xdr:sp>
          <xdr:sp macro="" textlink="">
            <xdr:nvSpPr>
              <xdr:cNvPr id="47117" name="Button 13" hidden="1">
                <a:extLst>
                  <a:ext uri="{63B3BB69-23CF-44E3-9099-C40C66FF867C}">
                    <a14:compatExt spid="_x0000_s47117"/>
                  </a:ext>
                  <a:ext uri="{FF2B5EF4-FFF2-40B4-BE49-F238E27FC236}">
                    <a16:creationId xmlns:a16="http://schemas.microsoft.com/office/drawing/2014/main" id="{00000000-0008-0000-1A00-00000DB80000}"/>
                  </a:ext>
                </a:extLst>
              </xdr:cNvPr>
              <xdr:cNvSpPr/>
            </xdr:nvSpPr>
            <xdr:spPr bwMode="auto">
              <a:xfrm>
                <a:off x="420052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Fechar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114300</xdr:colOff>
          <xdr:row>1</xdr:row>
          <xdr:rowOff>19050</xdr:rowOff>
        </xdr:from>
        <xdr:to>
          <xdr:col>29</xdr:col>
          <xdr:colOff>371475</xdr:colOff>
          <xdr:row>1</xdr:row>
          <xdr:rowOff>219075</xdr:rowOff>
        </xdr:to>
        <xdr:grpSp>
          <xdr:nvGrpSpPr>
            <xdr:cNvPr id="12" name="Agrupar 11">
              <a:extLst>
                <a:ext uri="{FF2B5EF4-FFF2-40B4-BE49-F238E27FC236}">
                  <a16:creationId xmlns:a16="http://schemas.microsoft.com/office/drawing/2014/main" id="{00000000-0008-0000-1A00-00000C000000}"/>
                </a:ext>
              </a:extLst>
            </xdr:cNvPr>
            <xdr:cNvGrpSpPr/>
          </xdr:nvGrpSpPr>
          <xdr:grpSpPr>
            <a:xfrm>
              <a:off x="23012402" y="552450"/>
              <a:ext cx="1562099" cy="200025"/>
              <a:chOff x="2895609" y="1462088"/>
              <a:chExt cx="1847843" cy="200025"/>
            </a:xfrm>
          </xdr:grpSpPr>
          <xdr:sp macro="" textlink="">
            <xdr:nvSpPr>
              <xdr:cNvPr id="47118" name="Button 14" hidden="1">
                <a:extLst>
                  <a:ext uri="{63B3BB69-23CF-44E3-9099-C40C66FF867C}">
                    <a14:compatExt spid="_x0000_s47118"/>
                  </a:ext>
                  <a:ext uri="{FF2B5EF4-FFF2-40B4-BE49-F238E27FC236}">
                    <a16:creationId xmlns:a16="http://schemas.microsoft.com/office/drawing/2014/main" id="{00000000-0008-0000-1A00-00000EB80000}"/>
                  </a:ext>
                </a:extLst>
              </xdr:cNvPr>
              <xdr:cNvSpPr/>
            </xdr:nvSpPr>
            <xdr:spPr bwMode="auto">
              <a:xfrm>
                <a:off x="2895609" y="1462088"/>
                <a:ext cx="666751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Navegar</a:t>
                </a:r>
              </a:p>
            </xdr:txBody>
          </xdr:sp>
          <xdr:sp macro="" textlink="">
            <xdr:nvSpPr>
              <xdr:cNvPr id="47119" name="Button 15" hidden="1">
                <a:extLst>
                  <a:ext uri="{63B3BB69-23CF-44E3-9099-C40C66FF867C}">
                    <a14:compatExt spid="_x0000_s47119"/>
                  </a:ext>
                  <a:ext uri="{FF2B5EF4-FFF2-40B4-BE49-F238E27FC236}">
                    <a16:creationId xmlns:a16="http://schemas.microsoft.com/office/drawing/2014/main" id="{00000000-0008-0000-1A00-00000FB80000}"/>
                  </a:ext>
                </a:extLst>
              </xdr:cNvPr>
              <xdr:cNvSpPr/>
            </xdr:nvSpPr>
            <xdr:spPr bwMode="auto">
              <a:xfrm>
                <a:off x="3609975" y="1462088"/>
                <a:ext cx="542924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</a:t>
                </a:r>
              </a:p>
            </xdr:txBody>
          </xdr:sp>
          <xdr:sp macro="" textlink="">
            <xdr:nvSpPr>
              <xdr:cNvPr id="47120" name="Button 16" hidden="1">
                <a:extLst>
                  <a:ext uri="{63B3BB69-23CF-44E3-9099-C40C66FF867C}">
                    <a14:compatExt spid="_x0000_s47120"/>
                  </a:ext>
                  <a:ext uri="{FF2B5EF4-FFF2-40B4-BE49-F238E27FC236}">
                    <a16:creationId xmlns:a16="http://schemas.microsoft.com/office/drawing/2014/main" id="{00000000-0008-0000-1A00-000010B80000}"/>
                  </a:ext>
                </a:extLst>
              </xdr:cNvPr>
              <xdr:cNvSpPr/>
            </xdr:nvSpPr>
            <xdr:spPr bwMode="auto">
              <a:xfrm>
                <a:off x="4200528" y="1462088"/>
                <a:ext cx="542924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Fechar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1647826</xdr:colOff>
          <xdr:row>110</xdr:row>
          <xdr:rowOff>104775</xdr:rowOff>
        </xdr:from>
        <xdr:to>
          <xdr:col>13</xdr:col>
          <xdr:colOff>28576</xdr:colOff>
          <xdr:row>111</xdr:row>
          <xdr:rowOff>134925</xdr:rowOff>
        </xdr:to>
        <xdr:grpSp>
          <xdr:nvGrpSpPr>
            <xdr:cNvPr id="4" name="Agrupar 3">
              <a:extLst>
                <a:ext uri="{FF2B5EF4-FFF2-40B4-BE49-F238E27FC236}">
                  <a16:creationId xmlns:a16="http://schemas.microsoft.com/office/drawing/2014/main" id="{00000000-0008-0000-1A00-000004000000}"/>
                </a:ext>
              </a:extLst>
            </xdr:cNvPr>
            <xdr:cNvGrpSpPr/>
          </xdr:nvGrpSpPr>
          <xdr:grpSpPr>
            <a:xfrm>
              <a:off x="8791576" y="21669327"/>
              <a:ext cx="3286125" cy="211125"/>
              <a:chOff x="2895600" y="1460554"/>
              <a:chExt cx="3286125" cy="201600"/>
            </a:xfrm>
          </xdr:grpSpPr>
          <xdr:sp macro="" textlink="">
            <xdr:nvSpPr>
              <xdr:cNvPr id="47121" name="Button 17" hidden="1">
                <a:extLst>
                  <a:ext uri="{63B3BB69-23CF-44E3-9099-C40C66FF867C}">
                    <a14:compatExt spid="_x0000_s47121"/>
                  </a:ext>
                  <a:ext uri="{FF2B5EF4-FFF2-40B4-BE49-F238E27FC236}">
                    <a16:creationId xmlns:a16="http://schemas.microsoft.com/office/drawing/2014/main" id="{00000000-0008-0000-1A00-000011B80000}"/>
                  </a:ext>
                </a:extLst>
              </xdr:cNvPr>
              <xdr:cNvSpPr/>
            </xdr:nvSpPr>
            <xdr:spPr bwMode="auto">
              <a:xfrm>
                <a:off x="2895600" y="1462088"/>
                <a:ext cx="666750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Navegar</a:t>
                </a:r>
              </a:p>
            </xdr:txBody>
          </xdr:sp>
          <xdr:sp macro="" textlink="">
            <xdr:nvSpPr>
              <xdr:cNvPr id="47122" name="Button 18" hidden="1">
                <a:extLst>
                  <a:ext uri="{63B3BB69-23CF-44E3-9099-C40C66FF867C}">
                    <a14:compatExt spid="_x0000_s47122"/>
                  </a:ext>
                  <a:ext uri="{FF2B5EF4-FFF2-40B4-BE49-F238E27FC236}">
                    <a16:creationId xmlns:a16="http://schemas.microsoft.com/office/drawing/2014/main" id="{00000000-0008-0000-1A00-000012B80000}"/>
                  </a:ext>
                </a:extLst>
              </xdr:cNvPr>
              <xdr:cNvSpPr/>
            </xdr:nvSpPr>
            <xdr:spPr bwMode="auto">
              <a:xfrm>
                <a:off x="4791075" y="1460554"/>
                <a:ext cx="1390650" cy="201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 Relatórios em PDF</a:t>
                </a:r>
              </a:p>
            </xdr:txBody>
          </xdr:sp>
          <xdr:sp macro="" textlink="">
            <xdr:nvSpPr>
              <xdr:cNvPr id="47123" name="Button 19" hidden="1">
                <a:extLst>
                  <a:ext uri="{63B3BB69-23CF-44E3-9099-C40C66FF867C}">
                    <a14:compatExt spid="_x0000_s47123"/>
                  </a:ext>
                  <a:ext uri="{FF2B5EF4-FFF2-40B4-BE49-F238E27FC236}">
                    <a16:creationId xmlns:a16="http://schemas.microsoft.com/office/drawing/2014/main" id="{00000000-0008-0000-1A00-000013B80000}"/>
                  </a:ext>
                </a:extLst>
              </xdr:cNvPr>
              <xdr:cNvSpPr/>
            </xdr:nvSpPr>
            <xdr:spPr bwMode="auto">
              <a:xfrm>
                <a:off x="360997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</a:t>
                </a:r>
              </a:p>
            </xdr:txBody>
          </xdr:sp>
          <xdr:sp macro="" textlink="">
            <xdr:nvSpPr>
              <xdr:cNvPr id="47124" name="Button 20" hidden="1">
                <a:extLst>
                  <a:ext uri="{63B3BB69-23CF-44E3-9099-C40C66FF867C}">
                    <a14:compatExt spid="_x0000_s47124"/>
                  </a:ext>
                  <a:ext uri="{FF2B5EF4-FFF2-40B4-BE49-F238E27FC236}">
                    <a16:creationId xmlns:a16="http://schemas.microsoft.com/office/drawing/2014/main" id="{00000000-0008-0000-1A00-000014B80000}"/>
                  </a:ext>
                </a:extLst>
              </xdr:cNvPr>
              <xdr:cNvSpPr/>
            </xdr:nvSpPr>
            <xdr:spPr bwMode="auto">
              <a:xfrm>
                <a:off x="420052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Fechar</a:t>
                </a:r>
              </a:p>
            </xdr:txBody>
          </xdr:sp>
        </xdr:grpSp>
        <xdr:clientData fPrintsWithSheet="0"/>
      </xdr:twoCellAnchor>
    </mc:Choice>
    <mc:Fallback/>
  </mc:AlternateContent>
  <xdr:twoCellAnchor>
    <xdr:from>
      <xdr:col>11</xdr:col>
      <xdr:colOff>76200</xdr:colOff>
      <xdr:row>134</xdr:row>
      <xdr:rowOff>161925</xdr:rowOff>
    </xdr:from>
    <xdr:to>
      <xdr:col>14</xdr:col>
      <xdr:colOff>571500</xdr:colOff>
      <xdr:row>136</xdr:row>
      <xdr:rowOff>114980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1A00-000015000000}"/>
            </a:ext>
          </a:extLst>
        </xdr:cNvPr>
        <xdr:cNvGrpSpPr/>
      </xdr:nvGrpSpPr>
      <xdr:grpSpPr>
        <a:xfrm>
          <a:off x="10601325" y="26069925"/>
          <a:ext cx="2409825" cy="315005"/>
          <a:chOff x="6858000" y="3619500"/>
          <a:chExt cx="2409825" cy="315005"/>
        </a:xfrm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1A00-000016000000}"/>
              </a:ext>
            </a:extLst>
          </xdr:cNvPr>
          <xdr:cNvSpPr/>
        </xdr:nvSpPr>
        <xdr:spPr>
          <a:xfrm>
            <a:off x="6858000" y="3638550"/>
            <a:ext cx="2409825" cy="295275"/>
          </a:xfrm>
          <a:prstGeom prst="roundRect">
            <a:avLst/>
          </a:prstGeom>
          <a:gradFill flip="none" rotWithShape="1">
            <a:gsLst>
              <a:gs pos="0">
                <a:srgbClr val="FFC000">
                  <a:tint val="66000"/>
                  <a:satMod val="160000"/>
                </a:srgbClr>
              </a:gs>
              <a:gs pos="50000">
                <a:srgbClr val="FFC000">
                  <a:tint val="44500"/>
                  <a:satMod val="160000"/>
                </a:srgbClr>
              </a:gs>
              <a:gs pos="100000">
                <a:srgbClr val="FFC000">
                  <a:tint val="23500"/>
                  <a:satMod val="160000"/>
                </a:srgbClr>
              </a:gs>
            </a:gsLst>
            <a:lin ang="162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Salvar">
        <xdr:nvPicPr>
          <xdr:cNvPr id="23" name="Gráfico 22" descr="Disco">
            <a:extLst>
              <a:ext uri="{FF2B5EF4-FFF2-40B4-BE49-F238E27FC236}">
                <a16:creationId xmlns:a16="http://schemas.microsoft.com/office/drawing/2014/main" id="{00000000-0008-0000-1A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382128" y="3657600"/>
            <a:ext cx="276905" cy="276905"/>
          </a:xfrm>
          <a:prstGeom prst="rect">
            <a:avLst/>
          </a:prstGeom>
        </xdr:spPr>
      </xdr:pic>
      <xdr:pic macro="[0]!Fechar">
        <xdr:nvPicPr>
          <xdr:cNvPr id="24" name="Imagem 23">
            <a:extLst>
              <a:ext uri="{FF2B5EF4-FFF2-40B4-BE49-F238E27FC236}">
                <a16:creationId xmlns:a16="http://schemas.microsoft.com/office/drawing/2014/main" id="{00000000-0008-0000-1A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7778346" y="3626196"/>
            <a:ext cx="295275" cy="295275"/>
          </a:xfrm>
          <a:prstGeom prst="rect">
            <a:avLst/>
          </a:prstGeom>
        </xdr:spPr>
      </xdr:pic>
      <xdr:pic macro="[0]!Menu_Aparecer">
        <xdr:nvPicPr>
          <xdr:cNvPr id="25" name="Gráfico 24" descr="Início">
            <a:extLst>
              <a:ext uri="{FF2B5EF4-FFF2-40B4-BE49-F238E27FC236}">
                <a16:creationId xmlns:a16="http://schemas.microsoft.com/office/drawing/2014/main" id="{00000000-0008-0000-1A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962776" y="3619500"/>
            <a:ext cx="300039" cy="300039"/>
          </a:xfrm>
          <a:prstGeom prst="rect">
            <a:avLst/>
          </a:prstGeom>
        </xdr:spPr>
      </xdr:pic>
      <xdr:pic macro="[0]!MenuSalvarPDF">
        <xdr:nvPicPr>
          <xdr:cNvPr id="26" name="Imagem 25">
            <a:extLst>
              <a:ext uri="{FF2B5EF4-FFF2-40B4-BE49-F238E27FC236}">
                <a16:creationId xmlns:a16="http://schemas.microsoft.com/office/drawing/2014/main" id="{00000000-0008-0000-1A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92934" y="3655669"/>
            <a:ext cx="245576" cy="257175"/>
          </a:xfrm>
          <a:prstGeom prst="rect">
            <a:avLst/>
          </a:prstGeom>
        </xdr:spPr>
      </xdr:pic>
      <xdr:pic macro="[0]!LigarTelaCheia">
        <xdr:nvPicPr>
          <xdr:cNvPr id="27" name="Imagem 26">
            <a:extLst>
              <a:ext uri="{FF2B5EF4-FFF2-40B4-BE49-F238E27FC236}">
                <a16:creationId xmlns:a16="http://schemas.microsoft.com/office/drawing/2014/main" id="{00000000-0008-0000-1A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8557823" y="3648974"/>
            <a:ext cx="257312" cy="257312"/>
          </a:xfrm>
          <a:prstGeom prst="rect">
            <a:avLst/>
          </a:prstGeom>
        </xdr:spPr>
      </xdr:pic>
      <xdr:pic macro="[0]!DesligarTelaCheia">
        <xdr:nvPicPr>
          <xdr:cNvPr id="28" name="Imagem 27">
            <a:extLst>
              <a:ext uri="{FF2B5EF4-FFF2-40B4-BE49-F238E27FC236}">
                <a16:creationId xmlns:a16="http://schemas.microsoft.com/office/drawing/2014/main" id="{00000000-0008-0000-1A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8934450" y="3661466"/>
            <a:ext cx="251031" cy="2476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9526</xdr:colOff>
      <xdr:row>110</xdr:row>
      <xdr:rowOff>28575</xdr:rowOff>
    </xdr:from>
    <xdr:to>
      <xdr:col>12</xdr:col>
      <xdr:colOff>819151</xdr:colOff>
      <xdr:row>118</xdr:row>
      <xdr:rowOff>0</xdr:rowOff>
    </xdr:to>
    <xdr:grpSp>
      <xdr:nvGrpSpPr>
        <xdr:cNvPr id="47148" name="Menu_PDF">
          <a:extLst>
            <a:ext uri="{FF2B5EF4-FFF2-40B4-BE49-F238E27FC236}">
              <a16:creationId xmlns:a16="http://schemas.microsoft.com/office/drawing/2014/main" id="{00000000-0008-0000-1A00-00002CB80000}"/>
            </a:ext>
          </a:extLst>
        </xdr:cNvPr>
        <xdr:cNvGrpSpPr/>
      </xdr:nvGrpSpPr>
      <xdr:grpSpPr>
        <a:xfrm>
          <a:off x="10534651" y="21593175"/>
          <a:ext cx="1495425" cy="1419225"/>
          <a:chOff x="4276725" y="923925"/>
          <a:chExt cx="1495425" cy="1419225"/>
        </a:xfrm>
      </xdr:grpSpPr>
      <xdr:sp macro="" textlink="">
        <xdr:nvSpPr>
          <xdr:cNvPr id="47149" name="Retângulo 47148">
            <a:extLst>
              <a:ext uri="{FF2B5EF4-FFF2-40B4-BE49-F238E27FC236}">
                <a16:creationId xmlns:a16="http://schemas.microsoft.com/office/drawing/2014/main" id="{00000000-0008-0000-1A00-00002DB80000}"/>
              </a:ext>
            </a:extLst>
          </xdr:cNvPr>
          <xdr:cNvSpPr/>
        </xdr:nvSpPr>
        <xdr:spPr>
          <a:xfrm>
            <a:off x="4276725" y="923925"/>
            <a:ext cx="1495425" cy="1419225"/>
          </a:xfrm>
          <a:prstGeom prst="rect">
            <a:avLst/>
          </a:prstGeom>
          <a:solidFill>
            <a:schemeClr val="bg2">
              <a:lumMod val="9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Relatório_Completo" textlink="">
        <xdr:nvSpPr>
          <xdr:cNvPr id="47150" name="Retângulo 47149">
            <a:extLst>
              <a:ext uri="{FF2B5EF4-FFF2-40B4-BE49-F238E27FC236}">
                <a16:creationId xmlns:a16="http://schemas.microsoft.com/office/drawing/2014/main" id="{00000000-0008-0000-1A00-00002EB80000}"/>
              </a:ext>
            </a:extLst>
          </xdr:cNvPr>
          <xdr:cNvSpPr/>
        </xdr:nvSpPr>
        <xdr:spPr>
          <a:xfrm>
            <a:off x="4333875" y="98107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Completo</a:t>
            </a:r>
          </a:p>
        </xdr:txBody>
      </xdr:sp>
      <xdr:sp macro="[0]!Relatorio_Atendimento" textlink="">
        <xdr:nvSpPr>
          <xdr:cNvPr id="47151" name="Retângulo 47150">
            <a:extLst>
              <a:ext uri="{FF2B5EF4-FFF2-40B4-BE49-F238E27FC236}">
                <a16:creationId xmlns:a16="http://schemas.microsoft.com/office/drawing/2014/main" id="{00000000-0008-0000-1A00-00002FB80000}"/>
              </a:ext>
            </a:extLst>
          </xdr:cNvPr>
          <xdr:cNvSpPr/>
        </xdr:nvSpPr>
        <xdr:spPr>
          <a:xfrm>
            <a:off x="4333875" y="125920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Relat. Atendimento</a:t>
            </a:r>
          </a:p>
        </xdr:txBody>
      </xdr:sp>
      <xdr:sp macro="[0]!Relatorio_Financeiro" textlink="">
        <xdr:nvSpPr>
          <xdr:cNvPr id="47152" name="Retângulo 47151">
            <a:extLst>
              <a:ext uri="{FF2B5EF4-FFF2-40B4-BE49-F238E27FC236}">
                <a16:creationId xmlns:a16="http://schemas.microsoft.com/office/drawing/2014/main" id="{00000000-0008-0000-1A00-000030B80000}"/>
              </a:ext>
            </a:extLst>
          </xdr:cNvPr>
          <xdr:cNvSpPr/>
        </xdr:nvSpPr>
        <xdr:spPr>
          <a:xfrm>
            <a:off x="4333875" y="209359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Financeiro</a:t>
            </a:r>
          </a:p>
        </xdr:txBody>
      </xdr:sp>
      <xdr:sp macro="[0]!Ficha_Mistura" textlink="">
        <xdr:nvSpPr>
          <xdr:cNvPr id="47153" name="Retângulo 47152">
            <a:extLst>
              <a:ext uri="{FF2B5EF4-FFF2-40B4-BE49-F238E27FC236}">
                <a16:creationId xmlns:a16="http://schemas.microsoft.com/office/drawing/2014/main" id="{00000000-0008-0000-1A00-000031B80000}"/>
              </a:ext>
            </a:extLst>
          </xdr:cNvPr>
          <xdr:cNvSpPr/>
        </xdr:nvSpPr>
        <xdr:spPr>
          <a:xfrm>
            <a:off x="4333875" y="153733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Ficha</a:t>
            </a:r>
            <a:r>
              <a:rPr lang="pt-BR" sz="1100" b="0" baseline="0"/>
              <a:t> de Mistura</a:t>
            </a:r>
            <a:endParaRPr lang="pt-BR" sz="1100" b="0"/>
          </a:p>
        </xdr:txBody>
      </xdr:sp>
      <xdr:sp macro="[0]!Ficha_Batida" textlink="">
        <xdr:nvSpPr>
          <xdr:cNvPr id="47154" name="Retângulo 47153">
            <a:extLst>
              <a:ext uri="{FF2B5EF4-FFF2-40B4-BE49-F238E27FC236}">
                <a16:creationId xmlns:a16="http://schemas.microsoft.com/office/drawing/2014/main" id="{00000000-0008-0000-1A00-000032B80000}"/>
              </a:ext>
            </a:extLst>
          </xdr:cNvPr>
          <xdr:cNvSpPr/>
        </xdr:nvSpPr>
        <xdr:spPr>
          <a:xfrm>
            <a:off x="4333875" y="181546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Ficha</a:t>
            </a:r>
            <a:r>
              <a:rPr lang="pt-BR" sz="1100" b="0" baseline="0"/>
              <a:t> de Batida</a:t>
            </a:r>
            <a:endParaRPr lang="pt-BR" sz="1100" b="0"/>
          </a:p>
        </xdr:txBody>
      </xdr:sp>
    </xdr:grpSp>
    <xdr:clientData fPrintsWithSheet="0"/>
  </xdr:twoCellAnchor>
  <xdr:twoCellAnchor editAs="absolute">
    <xdr:from>
      <xdr:col>12</xdr:col>
      <xdr:colOff>76200</xdr:colOff>
      <xdr:row>118</xdr:row>
      <xdr:rowOff>171450</xdr:rowOff>
    </xdr:from>
    <xdr:to>
      <xdr:col>12</xdr:col>
      <xdr:colOff>414825</xdr:colOff>
      <xdr:row>120</xdr:row>
      <xdr:rowOff>152400</xdr:rowOff>
    </xdr:to>
    <xdr:pic>
      <xdr:nvPicPr>
        <xdr:cNvPr id="5" name="Imagem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287125" y="23183850"/>
          <a:ext cx="338625" cy="3429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76200</xdr:colOff>
      <xdr:row>137</xdr:row>
      <xdr:rowOff>95250</xdr:rowOff>
    </xdr:from>
    <xdr:to>
      <xdr:col>14</xdr:col>
      <xdr:colOff>571500</xdr:colOff>
      <xdr:row>139</xdr:row>
      <xdr:rowOff>57150</xdr:rowOff>
    </xdr:to>
    <xdr:grpSp>
      <xdr:nvGrpSpPr>
        <xdr:cNvPr id="47160" name="Agrupar 47159">
          <a:extLst>
            <a:ext uri="{FF2B5EF4-FFF2-40B4-BE49-F238E27FC236}">
              <a16:creationId xmlns:a16="http://schemas.microsoft.com/office/drawing/2014/main" id="{00000000-0008-0000-1A00-000038B80000}"/>
            </a:ext>
          </a:extLst>
        </xdr:cNvPr>
        <xdr:cNvGrpSpPr/>
      </xdr:nvGrpSpPr>
      <xdr:grpSpPr>
        <a:xfrm>
          <a:off x="10601325" y="26546175"/>
          <a:ext cx="2409825" cy="323850"/>
          <a:chOff x="8924925" y="2714625"/>
          <a:chExt cx="2409825" cy="323850"/>
        </a:xfrm>
      </xdr:grpSpPr>
      <xdr:sp macro="" textlink="">
        <xdr:nvSpPr>
          <xdr:cNvPr id="47161" name="Retângulo: Cantos Arredondados 47160">
            <a:extLst>
              <a:ext uri="{FF2B5EF4-FFF2-40B4-BE49-F238E27FC236}">
                <a16:creationId xmlns:a16="http://schemas.microsoft.com/office/drawing/2014/main" id="{00000000-0008-0000-1A00-000039B80000}"/>
              </a:ext>
            </a:extLst>
          </xdr:cNvPr>
          <xdr:cNvSpPr/>
        </xdr:nvSpPr>
        <xdr:spPr>
          <a:xfrm>
            <a:off x="8924925" y="2743200"/>
            <a:ext cx="2409825" cy="295275"/>
          </a:xfrm>
          <a:prstGeom prst="roundRect">
            <a:avLst/>
          </a:prstGeom>
          <a:gradFill flip="none" rotWithShape="1">
            <a:gsLst>
              <a:gs pos="0">
                <a:srgbClr val="FFC000">
                  <a:tint val="66000"/>
                  <a:satMod val="160000"/>
                </a:srgbClr>
              </a:gs>
              <a:gs pos="50000">
                <a:srgbClr val="FFC000">
                  <a:tint val="44500"/>
                  <a:satMod val="160000"/>
                </a:srgbClr>
              </a:gs>
              <a:gs pos="100000">
                <a:srgbClr val="FFC000">
                  <a:tint val="23500"/>
                  <a:satMod val="160000"/>
                </a:srgbClr>
              </a:gs>
            </a:gsLst>
            <a:lin ang="162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Salvar">
        <xdr:nvPicPr>
          <xdr:cNvPr id="47162" name="Gráfico 47161" descr="Disco">
            <a:extLst>
              <a:ext uri="{FF2B5EF4-FFF2-40B4-BE49-F238E27FC236}">
                <a16:creationId xmlns:a16="http://schemas.microsoft.com/office/drawing/2014/main" id="{00000000-0008-0000-1A00-00003A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9370976" y="2743200"/>
            <a:ext cx="276905" cy="276905"/>
          </a:xfrm>
          <a:prstGeom prst="rect">
            <a:avLst/>
          </a:prstGeom>
        </xdr:spPr>
      </xdr:pic>
      <xdr:pic macro="[0]!Fechar">
        <xdr:nvPicPr>
          <xdr:cNvPr id="47163" name="Imagem 47162">
            <a:extLst>
              <a:ext uri="{FF2B5EF4-FFF2-40B4-BE49-F238E27FC236}">
                <a16:creationId xmlns:a16="http://schemas.microsoft.com/office/drawing/2014/main" id="{00000000-0008-0000-1A00-00003B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9765317" y="2730846"/>
            <a:ext cx="295275" cy="295275"/>
          </a:xfrm>
          <a:prstGeom prst="rect">
            <a:avLst/>
          </a:prstGeom>
        </xdr:spPr>
      </xdr:pic>
      <xdr:pic macro="[0]!Menu_Aparecer">
        <xdr:nvPicPr>
          <xdr:cNvPr id="47164" name="Gráfico 47163" descr="Início">
            <a:extLst>
              <a:ext uri="{FF2B5EF4-FFF2-40B4-BE49-F238E27FC236}">
                <a16:creationId xmlns:a16="http://schemas.microsoft.com/office/drawing/2014/main" id="{00000000-0008-0000-1A00-00003C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953501" y="2714625"/>
            <a:ext cx="300039" cy="300039"/>
          </a:xfrm>
          <a:prstGeom prst="rect">
            <a:avLst/>
          </a:prstGeom>
        </xdr:spPr>
      </xdr:pic>
      <xdr:pic macro="[0]!MenuSalvarPDF">
        <xdr:nvPicPr>
          <xdr:cNvPr id="47165" name="Imagem 47164">
            <a:extLst>
              <a:ext uri="{FF2B5EF4-FFF2-40B4-BE49-F238E27FC236}">
                <a16:creationId xmlns:a16="http://schemas.microsoft.com/office/drawing/2014/main" id="{00000000-0008-0000-1A00-00003D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8028" y="2750794"/>
            <a:ext cx="245576" cy="257175"/>
          </a:xfrm>
          <a:prstGeom prst="rect">
            <a:avLst/>
          </a:prstGeom>
        </xdr:spPr>
      </xdr:pic>
      <xdr:pic macro="[0]!ZoomGuia">
        <xdr:nvPicPr>
          <xdr:cNvPr id="47166" name="Imagem 47165">
            <a:extLst>
              <a:ext uri="{FF2B5EF4-FFF2-40B4-BE49-F238E27FC236}">
                <a16:creationId xmlns:a16="http://schemas.microsoft.com/office/drawing/2014/main" id="{00000000-0008-0000-1A00-00003E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0934700" y="2752725"/>
            <a:ext cx="276225" cy="279036"/>
          </a:xfrm>
          <a:prstGeom prst="rect">
            <a:avLst/>
          </a:prstGeom>
        </xdr:spPr>
      </xdr:pic>
      <xdr:pic macro="[0]!ZoomGeral">
        <xdr:nvPicPr>
          <xdr:cNvPr id="47167" name="Imagem 47166">
            <a:extLst>
              <a:ext uri="{FF2B5EF4-FFF2-40B4-BE49-F238E27FC236}">
                <a16:creationId xmlns:a16="http://schemas.microsoft.com/office/drawing/2014/main" id="{00000000-0008-0000-1A00-00003F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0553700" y="2762250"/>
            <a:ext cx="257176" cy="257176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38100</xdr:colOff>
      <xdr:row>137</xdr:row>
      <xdr:rowOff>133350</xdr:rowOff>
    </xdr:from>
    <xdr:to>
      <xdr:col>1</xdr:col>
      <xdr:colOff>114300</xdr:colOff>
      <xdr:row>139</xdr:row>
      <xdr:rowOff>133350</xdr:rowOff>
    </xdr:to>
    <xdr:pic>
      <xdr:nvPicPr>
        <xdr:cNvPr id="47138" name="Imagem 47137" descr="Pasta Vector ícone PNG , Clipart De Pasta, ícones De Pastas, ícone De Pasta  Imagem PNG e Vetor Para Download Gratuito | Icone pasta, Post para  instagram, Glifo">
          <a:extLst>
            <a:ext uri="{FF2B5EF4-FFF2-40B4-BE49-F238E27FC236}">
              <a16:creationId xmlns:a16="http://schemas.microsoft.com/office/drawing/2014/main" id="{00000000-0008-0000-1A00-000022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6241375"/>
          <a:ext cx="3619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47625</xdr:colOff>
      <xdr:row>130</xdr:row>
      <xdr:rowOff>171450</xdr:rowOff>
    </xdr:from>
    <xdr:to>
      <xdr:col>12</xdr:col>
      <xdr:colOff>809625</xdr:colOff>
      <xdr:row>134</xdr:row>
      <xdr:rowOff>11185</xdr:rowOff>
    </xdr:to>
    <xdr:grpSp>
      <xdr:nvGrpSpPr>
        <xdr:cNvPr id="47183" name="Agrupar 47182">
          <a:extLst>
            <a:ext uri="{FF2B5EF4-FFF2-40B4-BE49-F238E27FC236}">
              <a16:creationId xmlns:a16="http://schemas.microsoft.com/office/drawing/2014/main" id="{00000000-0008-0000-1A00-00004FB80000}"/>
            </a:ext>
          </a:extLst>
        </xdr:cNvPr>
        <xdr:cNvGrpSpPr/>
      </xdr:nvGrpSpPr>
      <xdr:grpSpPr>
        <a:xfrm>
          <a:off x="10572750" y="25355550"/>
          <a:ext cx="1447800" cy="563635"/>
          <a:chOff x="7029450" y="25565100"/>
          <a:chExt cx="1447800" cy="563635"/>
        </a:xfrm>
      </xdr:grpSpPr>
      <xdr:pic>
        <xdr:nvPicPr>
          <xdr:cNvPr id="47178" name="Imagem 47177">
            <a:extLst>
              <a:ext uri="{FF2B5EF4-FFF2-40B4-BE49-F238E27FC236}">
                <a16:creationId xmlns:a16="http://schemas.microsoft.com/office/drawing/2014/main" id="{00000000-0008-0000-1A00-00004A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7029450" y="25565100"/>
            <a:ext cx="1440000" cy="563635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sp macro="" textlink="">
        <xdr:nvSpPr>
          <xdr:cNvPr id="47179" name="CaixaDeTexto 47178">
            <a:extLst>
              <a:ext uri="{FF2B5EF4-FFF2-40B4-BE49-F238E27FC236}">
                <a16:creationId xmlns:a16="http://schemas.microsoft.com/office/drawing/2014/main" id="{00000000-0008-0000-1A00-00004BB80000}"/>
              </a:ext>
            </a:extLst>
          </xdr:cNvPr>
          <xdr:cNvSpPr txBox="1"/>
        </xdr:nvSpPr>
        <xdr:spPr>
          <a:xfrm>
            <a:off x="7553326" y="25574625"/>
            <a:ext cx="923924" cy="5429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/>
              <a:t>Predição</a:t>
            </a:r>
            <a:r>
              <a:rPr lang="pt-BR" sz="1050" baseline="0"/>
              <a:t> GMD</a:t>
            </a:r>
            <a:endParaRPr lang="pt-BR" sz="1050"/>
          </a:p>
        </xdr:txBody>
      </xdr:sp>
      <xdr:pic>
        <xdr:nvPicPr>
          <xdr:cNvPr id="47182" name="Imagem 47181">
            <a:extLst>
              <a:ext uri="{FF2B5EF4-FFF2-40B4-BE49-F238E27FC236}">
                <a16:creationId xmlns:a16="http://schemas.microsoft.com/office/drawing/2014/main" id="{00000000-0008-0000-1A00-00004E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7058026" y="25584151"/>
            <a:ext cx="495302" cy="495302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127</xdr:row>
      <xdr:rowOff>9525</xdr:rowOff>
    </xdr:from>
    <xdr:to>
      <xdr:col>2</xdr:col>
      <xdr:colOff>333975</xdr:colOff>
      <xdr:row>136</xdr:row>
      <xdr:rowOff>168935</xdr:rowOff>
    </xdr:to>
    <xdr:pic>
      <xdr:nvPicPr>
        <xdr:cNvPr id="3" name="DiscasProteinado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364950"/>
          <a:ext cx="2667600" cy="178818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314325</xdr:colOff>
      <xdr:row>0</xdr:row>
      <xdr:rowOff>332816</xdr:rowOff>
    </xdr:to>
    <xdr:pic macro="[0]!Menu_Aparecer">
      <xdr:nvPicPr>
        <xdr:cNvPr id="6" name="Imagem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0"/>
          <a:ext cx="314325" cy="332816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127</xdr:row>
      <xdr:rowOff>0</xdr:rowOff>
    </xdr:from>
    <xdr:to>
      <xdr:col>14</xdr:col>
      <xdr:colOff>462261</xdr:colOff>
      <xdr:row>128</xdr:row>
      <xdr:rowOff>80812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pSpPr/>
      </xdr:nvGrpSpPr>
      <xdr:grpSpPr>
        <a:xfrm>
          <a:off x="7143750" y="24641175"/>
          <a:ext cx="5758161" cy="261787"/>
          <a:chOff x="122439" y="781049"/>
          <a:chExt cx="5758161" cy="304725"/>
        </a:xfrm>
      </xdr:grpSpPr>
      <xdr:sp macro="[0]!Linear_Com_Mensagem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00000000-0008-0000-1A00-000008000000}"/>
              </a:ext>
            </a:extLst>
          </xdr:cNvPr>
          <xdr:cNvSpPr/>
        </xdr:nvSpPr>
        <xdr:spPr>
          <a:xfrm>
            <a:off x="1281277" y="785811"/>
            <a:ext cx="1122811" cy="295200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>
                <a:solidFill>
                  <a:sysClr val="windowText" lastClr="000000"/>
                </a:solidFill>
              </a:rPr>
              <a:t>Formular (L)</a:t>
            </a:r>
          </a:p>
        </xdr:txBody>
      </xdr:sp>
      <xdr:sp macro="[0]!LimparAjusteNutriente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00000000-0008-0000-1A00-00000D000000}"/>
              </a:ext>
            </a:extLst>
          </xdr:cNvPr>
          <xdr:cNvSpPr/>
        </xdr:nvSpPr>
        <xdr:spPr>
          <a:xfrm>
            <a:off x="3641764" y="790574"/>
            <a:ext cx="1080000" cy="295200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 b="1"/>
              <a:t>Limpar Ajustes</a:t>
            </a:r>
          </a:p>
        </xdr:txBody>
      </xdr:sp>
      <xdr:sp macro="[0]!NaoLinear_Com_Mensagem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00000000-0008-0000-1A00-00000E000000}"/>
              </a:ext>
            </a:extLst>
          </xdr:cNvPr>
          <xdr:cNvSpPr/>
        </xdr:nvSpPr>
        <xdr:spPr>
          <a:xfrm>
            <a:off x="122439" y="781049"/>
            <a:ext cx="1080000" cy="295200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>
                <a:solidFill>
                  <a:sysClr val="windowText" lastClr="000000"/>
                </a:solidFill>
              </a:rPr>
              <a:t>Formular</a:t>
            </a:r>
            <a:r>
              <a:rPr lang="pt-BR" sz="1050" b="1" baseline="0">
                <a:solidFill>
                  <a:sysClr val="windowText" lastClr="000000"/>
                </a:solidFill>
              </a:rPr>
              <a:t> (NL)</a:t>
            </a:r>
            <a:endParaRPr lang="pt-BR" sz="105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21" tooltip="Ir para Resumo da Dieta"/>
            <a:extLst>
              <a:ext uri="{FF2B5EF4-FFF2-40B4-BE49-F238E27FC236}">
                <a16:creationId xmlns:a16="http://schemas.microsoft.com/office/drawing/2014/main" id="{00000000-0008-0000-1A00-00000F000000}"/>
              </a:ext>
            </a:extLst>
          </xdr:cNvPr>
          <xdr:cNvSpPr/>
        </xdr:nvSpPr>
        <xdr:spPr>
          <a:xfrm>
            <a:off x="2482926" y="788192"/>
            <a:ext cx="1080000" cy="29520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1"/>
              <a:t>Resumo</a:t>
            </a:r>
            <a:r>
              <a:rPr lang="pt-BR" sz="900" b="1" baseline="0"/>
              <a:t> Dieta</a:t>
            </a:r>
            <a:endParaRPr lang="pt-BR" sz="900" b="1"/>
          </a:p>
        </xdr:txBody>
      </xdr:sp>
      <xdr:sp macro="[0]!Limpar_Ingrediente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1A00-000010000000}"/>
              </a:ext>
            </a:extLst>
          </xdr:cNvPr>
          <xdr:cNvSpPr/>
        </xdr:nvSpPr>
        <xdr:spPr>
          <a:xfrm>
            <a:off x="4800600" y="783430"/>
            <a:ext cx="1080000" cy="295200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1"/>
              <a:t>Limpar Alimento</a:t>
            </a:r>
          </a:p>
        </xdr:txBody>
      </xdr:sp>
    </xdr:grpSp>
    <xdr:clientData/>
  </xdr:twoCellAnchor>
  <xdr:twoCellAnchor>
    <xdr:from>
      <xdr:col>8</xdr:col>
      <xdr:colOff>304800</xdr:colOff>
      <xdr:row>133</xdr:row>
      <xdr:rowOff>28575</xdr:rowOff>
    </xdr:from>
    <xdr:to>
      <xdr:col>10</xdr:col>
      <xdr:colOff>247650</xdr:colOff>
      <xdr:row>138</xdr:row>
      <xdr:rowOff>8080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1A00-000011000000}"/>
            </a:ext>
          </a:extLst>
        </xdr:cNvPr>
        <xdr:cNvGrpSpPr/>
      </xdr:nvGrpSpPr>
      <xdr:grpSpPr>
        <a:xfrm>
          <a:off x="6953250" y="25755600"/>
          <a:ext cx="2800350" cy="884380"/>
          <a:chOff x="8045569" y="62902"/>
          <a:chExt cx="4811384" cy="1270059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00000000-0008-0000-1A00-000012000000}"/>
              </a:ext>
            </a:extLst>
          </xdr:cNvPr>
          <xdr:cNvGrpSpPr/>
        </xdr:nvGrpSpPr>
        <xdr:grpSpPr>
          <a:xfrm>
            <a:off x="8045569" y="62902"/>
            <a:ext cx="4811384" cy="386210"/>
            <a:chOff x="152759" y="269576"/>
            <a:chExt cx="4169433" cy="332476"/>
          </a:xfrm>
          <a:solidFill>
            <a:schemeClr val="tx1"/>
          </a:solidFill>
        </xdr:grpSpPr>
        <xdr:sp macro="" textlink="">
          <xdr:nvSpPr>
            <xdr:cNvPr id="47130" name="Retângulo 47129">
              <a:extLst>
                <a:ext uri="{FF2B5EF4-FFF2-40B4-BE49-F238E27FC236}">
                  <a16:creationId xmlns:a16="http://schemas.microsoft.com/office/drawing/2014/main" id="{00000000-0008-0000-1A00-00001AB80000}"/>
                </a:ext>
              </a:extLst>
            </xdr:cNvPr>
            <xdr:cNvSpPr/>
          </xdr:nvSpPr>
          <xdr:spPr>
            <a:xfrm>
              <a:off x="152759" y="269576"/>
              <a:ext cx="4169433" cy="332476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/>
                <a:t>Suplemento &amp; </a:t>
              </a:r>
              <a:r>
                <a:rPr lang="pt-BR" sz="1100" baseline="0"/>
                <a:t>Consumo </a:t>
              </a:r>
              <a:r>
                <a:rPr lang="pt-BR" sz="1100"/>
                <a:t>&gt;</a:t>
              </a: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7132" name="Drop Down 28" hidden="1">
                  <a:extLst>
                    <a:ext uri="{63B3BB69-23CF-44E3-9099-C40C66FF867C}">
                      <a14:compatExt spid="_x0000_s47132"/>
                    </a:ext>
                    <a:ext uri="{FF2B5EF4-FFF2-40B4-BE49-F238E27FC236}">
                      <a16:creationId xmlns:a16="http://schemas.microsoft.com/office/drawing/2014/main" id="{00000000-0008-0000-1A00-00001CB80000}"/>
                    </a:ext>
                  </a:extLst>
                </xdr:cNvPr>
                <xdr:cNvSpPr/>
              </xdr:nvSpPr>
              <xdr:spPr bwMode="auto">
                <a:xfrm>
                  <a:off x="1919589" y="306060"/>
                  <a:ext cx="1657792" cy="24764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7133" name="Drop Down 29" hidden="1">
                  <a:extLst>
                    <a:ext uri="{63B3BB69-23CF-44E3-9099-C40C66FF867C}">
                      <a14:compatExt spid="_x0000_s47133"/>
                    </a:ext>
                    <a:ext uri="{FF2B5EF4-FFF2-40B4-BE49-F238E27FC236}">
                      <a16:creationId xmlns:a16="http://schemas.microsoft.com/office/drawing/2014/main" id="{00000000-0008-0000-1A00-00001DB80000}"/>
                    </a:ext>
                  </a:extLst>
                </xdr:cNvPr>
                <xdr:cNvSpPr/>
              </xdr:nvSpPr>
              <xdr:spPr bwMode="auto">
                <a:xfrm>
                  <a:off x="3710255" y="312527"/>
                  <a:ext cx="553168" cy="24839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xdr:sp macro="[0]!Chamar_Dicas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1A00-000013000000}"/>
              </a:ext>
            </a:extLst>
          </xdr:cNvPr>
          <xdr:cNvSpPr/>
        </xdr:nvSpPr>
        <xdr:spPr>
          <a:xfrm>
            <a:off x="8072527" y="559279"/>
            <a:ext cx="1816041" cy="325827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Dicas</a:t>
            </a:r>
            <a:r>
              <a:rPr lang="pt-BR" sz="1200" baseline="0"/>
              <a:t> e Lembretes</a:t>
            </a:r>
            <a:endParaRPr lang="pt-BR" sz="1200"/>
          </a:p>
        </xdr:txBody>
      </xdr:sp>
      <xdr:sp macro="[0]!MenuSalvarPDF" textlink="">
        <xdr:nvSpPr>
          <xdr:cNvPr id="20" name="Retângulo: Cantos Arredondados 19">
            <a:extLst>
              <a:ext uri="{FF2B5EF4-FFF2-40B4-BE49-F238E27FC236}">
                <a16:creationId xmlns:a16="http://schemas.microsoft.com/office/drawing/2014/main" id="{00000000-0008-0000-1A00-000014000000}"/>
              </a:ext>
            </a:extLst>
          </xdr:cNvPr>
          <xdr:cNvSpPr/>
        </xdr:nvSpPr>
        <xdr:spPr>
          <a:xfrm>
            <a:off x="8081512" y="1004258"/>
            <a:ext cx="1788006" cy="328703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Passo</a:t>
            </a:r>
            <a:r>
              <a:rPr lang="pt-BR" sz="1200" baseline="0"/>
              <a:t> a Passo...</a:t>
            </a:r>
            <a:endParaRPr lang="pt-BR" sz="1200"/>
          </a:p>
        </xdr:txBody>
      </xdr:sp>
      <xdr:sp macro="" textlink="">
        <xdr:nvSpPr>
          <xdr:cNvPr id="29" name="Retângulo: Cantos Arredondados 28">
            <a:hlinkClick xmlns:r="http://schemas.openxmlformats.org/officeDocument/2006/relationships" r:id="rId22" tooltip="Ver Relatório"/>
            <a:extLst>
              <a:ext uri="{FF2B5EF4-FFF2-40B4-BE49-F238E27FC236}">
                <a16:creationId xmlns:a16="http://schemas.microsoft.com/office/drawing/2014/main" id="{00000000-0008-0000-1A00-00001D000000}"/>
              </a:ext>
            </a:extLst>
          </xdr:cNvPr>
          <xdr:cNvSpPr/>
        </xdr:nvSpPr>
        <xdr:spPr>
          <a:xfrm>
            <a:off x="9991545" y="552450"/>
            <a:ext cx="728572" cy="328703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Mistura</a:t>
            </a:r>
          </a:p>
        </xdr:txBody>
      </xdr:sp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id="{00000000-0008-0000-1A00-00001E000000}"/>
              </a:ext>
            </a:extLst>
          </xdr:cNvPr>
          <xdr:cNvGrpSpPr/>
        </xdr:nvGrpSpPr>
        <xdr:grpSpPr>
          <a:xfrm>
            <a:off x="10862992" y="981075"/>
            <a:ext cx="1947234" cy="323850"/>
            <a:chOff x="1085849" y="3105150"/>
            <a:chExt cx="1952625" cy="323850"/>
          </a:xfrm>
        </xdr:grpSpPr>
        <xdr:sp macro="" textlink="">
          <xdr:nvSpPr>
            <xdr:cNvPr id="47106" name="Retângulo: Cantos Arredondados 47105">
              <a:extLst>
                <a:ext uri="{FF2B5EF4-FFF2-40B4-BE49-F238E27FC236}">
                  <a16:creationId xmlns:a16="http://schemas.microsoft.com/office/drawing/2014/main" id="{00000000-0008-0000-1A00-000002B80000}"/>
                </a:ext>
              </a:extLst>
            </xdr:cNvPr>
            <xdr:cNvSpPr/>
          </xdr:nvSpPr>
          <xdr:spPr>
            <a:xfrm>
              <a:off x="1085849" y="3133725"/>
              <a:ext cx="1952625" cy="295275"/>
            </a:xfrm>
            <a:prstGeom prst="roundRect">
              <a:avLst/>
            </a:prstGeom>
            <a:gradFill flip="none" rotWithShape="1">
              <a:gsLst>
                <a:gs pos="0">
                  <a:srgbClr val="FFC000">
                    <a:tint val="66000"/>
                    <a:satMod val="160000"/>
                  </a:srgbClr>
                </a:gs>
                <a:gs pos="50000">
                  <a:srgbClr val="FFC000">
                    <a:tint val="44500"/>
                    <a:satMod val="160000"/>
                  </a:srgbClr>
                </a:gs>
                <a:gs pos="100000">
                  <a:srgbClr val="FFC000">
                    <a:tint val="23500"/>
                    <a:satMod val="160000"/>
                  </a:srgbClr>
                </a:gs>
              </a:gsLst>
              <a:lin ang="16200000" scaled="1"/>
              <a:tileRect/>
            </a:gra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Salvar">
          <xdr:nvPicPr>
            <xdr:cNvPr id="47125" name="Gráfico 47124" descr="Disco">
              <a:extLst>
                <a:ext uri="{FF2B5EF4-FFF2-40B4-BE49-F238E27FC236}">
                  <a16:creationId xmlns:a16="http://schemas.microsoft.com/office/drawing/2014/main" id="{00000000-0008-0000-1A00-000015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531901" y="3133725"/>
              <a:ext cx="276905" cy="276905"/>
            </a:xfrm>
            <a:prstGeom prst="rect">
              <a:avLst/>
            </a:prstGeom>
          </xdr:spPr>
        </xdr:pic>
        <xdr:pic macro="[0]!Fechar">
          <xdr:nvPicPr>
            <xdr:cNvPr id="47126" name="Imagem 47125">
              <a:extLst>
                <a:ext uri="{FF2B5EF4-FFF2-40B4-BE49-F238E27FC236}">
                  <a16:creationId xmlns:a16="http://schemas.microsoft.com/office/drawing/2014/main" id="{00000000-0008-0000-1A00-000016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10000" b="90000" l="10000" r="9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1926242" y="3121371"/>
              <a:ext cx="295275" cy="295275"/>
            </a:xfrm>
            <a:prstGeom prst="rect">
              <a:avLst/>
            </a:prstGeom>
          </xdr:spPr>
        </xdr:pic>
        <xdr:pic macro="[0]!Menu_Aparecer">
          <xdr:nvPicPr>
            <xdr:cNvPr id="47127" name="Gráfico 47126" descr="Início">
              <a:extLst>
                <a:ext uri="{FF2B5EF4-FFF2-40B4-BE49-F238E27FC236}">
                  <a16:creationId xmlns:a16="http://schemas.microsoft.com/office/drawing/2014/main" id="{00000000-0008-0000-1A00-000017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114426" y="3105150"/>
              <a:ext cx="300039" cy="300039"/>
            </a:xfrm>
            <a:prstGeom prst="rect">
              <a:avLst/>
            </a:prstGeom>
          </xdr:spPr>
        </xdr:pic>
        <xdr:pic macro="[0]!ZoomGuia">
          <xdr:nvPicPr>
            <xdr:cNvPr id="47128" name="Imagem 47127">
              <a:extLst>
                <a:ext uri="{FF2B5EF4-FFF2-40B4-BE49-F238E27FC236}">
                  <a16:creationId xmlns:a16="http://schemas.microsoft.com/office/drawing/2014/main" id="{00000000-0008-0000-1A00-000018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screen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2324100" y="3143250"/>
              <a:ext cx="276225" cy="279036"/>
            </a:xfrm>
            <a:prstGeom prst="rect">
              <a:avLst/>
            </a:prstGeom>
          </xdr:spPr>
        </xdr:pic>
        <xdr:pic macro="[0]!Ficha_Proteinado">
          <xdr:nvPicPr>
            <xdr:cNvPr id="47129" name="Imagem 47128">
              <a:extLst>
                <a:ext uri="{FF2B5EF4-FFF2-40B4-BE49-F238E27FC236}">
                  <a16:creationId xmlns:a16="http://schemas.microsoft.com/office/drawing/2014/main" id="{00000000-0008-0000-1A00-000019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695575" y="3143250"/>
              <a:ext cx="245576" cy="257175"/>
            </a:xfrm>
            <a:prstGeom prst="rect">
              <a:avLst/>
            </a:prstGeom>
          </xdr:spPr>
        </xdr:pic>
      </xdr:grpSp>
      <xdr:sp macro="[0]!FormularProteinadoCompleto" textlink="">
        <xdr:nvSpPr>
          <xdr:cNvPr id="31" name="Retângulo: Cantos Arredondados 30">
            <a:extLst>
              <a:ext uri="{FF2B5EF4-FFF2-40B4-BE49-F238E27FC236}">
                <a16:creationId xmlns:a16="http://schemas.microsoft.com/office/drawing/2014/main" id="{00000000-0008-0000-1A00-00001F000000}"/>
              </a:ext>
            </a:extLst>
          </xdr:cNvPr>
          <xdr:cNvSpPr/>
        </xdr:nvSpPr>
        <xdr:spPr>
          <a:xfrm>
            <a:off x="10001069" y="1000125"/>
            <a:ext cx="729547" cy="328703"/>
          </a:xfrm>
          <a:prstGeom prst="roundRect">
            <a:avLst/>
          </a:prstGeom>
          <a:solidFill>
            <a:srgbClr val="FFFF00"/>
          </a:solidFill>
          <a:ln>
            <a:solidFill>
              <a:srgbClr val="0000FF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>
                <a:solidFill>
                  <a:sysClr val="windowText" lastClr="000000"/>
                </a:solidFill>
              </a:rPr>
              <a:t>Formular</a:t>
            </a:r>
          </a:p>
        </xdr:txBody>
      </xdr:sp>
      <xdr:sp macro="[0]!EnviarProteinado" textlink="">
        <xdr:nvSpPr>
          <xdr:cNvPr id="47104" name="Retângulo: Cantos Arredondados 47103">
            <a:extLst>
              <a:ext uri="{FF2B5EF4-FFF2-40B4-BE49-F238E27FC236}">
                <a16:creationId xmlns:a16="http://schemas.microsoft.com/office/drawing/2014/main" id="{00000000-0008-0000-1A00-000000B80000}"/>
              </a:ext>
            </a:extLst>
          </xdr:cNvPr>
          <xdr:cNvSpPr/>
        </xdr:nvSpPr>
        <xdr:spPr>
          <a:xfrm>
            <a:off x="10815367" y="561975"/>
            <a:ext cx="2013909" cy="328703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Enviar para Cálculo de Dieta</a:t>
            </a:r>
          </a:p>
        </xdr:txBody>
      </xdr:sp>
    </xdr:grpSp>
    <xdr:clientData/>
  </xdr:twoCellAnchor>
  <xdr:twoCellAnchor>
    <xdr:from>
      <xdr:col>4</xdr:col>
      <xdr:colOff>0</xdr:colOff>
      <xdr:row>146</xdr:row>
      <xdr:rowOff>0</xdr:rowOff>
    </xdr:from>
    <xdr:to>
      <xdr:col>6</xdr:col>
      <xdr:colOff>266700</xdr:colOff>
      <xdr:row>176</xdr:row>
      <xdr:rowOff>19050</xdr:rowOff>
    </xdr:to>
    <xdr:grpSp>
      <xdr:nvGrpSpPr>
        <xdr:cNvPr id="47131" name="Agrupar 47130">
          <a:extLst>
            <a:ext uri="{FF2B5EF4-FFF2-40B4-BE49-F238E27FC236}">
              <a16:creationId xmlns:a16="http://schemas.microsoft.com/office/drawing/2014/main" id="{00000000-0008-0000-1A00-00001BB80000}"/>
            </a:ext>
          </a:extLst>
        </xdr:cNvPr>
        <xdr:cNvGrpSpPr/>
      </xdr:nvGrpSpPr>
      <xdr:grpSpPr>
        <a:xfrm>
          <a:off x="4048125" y="28079700"/>
          <a:ext cx="1838325" cy="5448300"/>
          <a:chOff x="10735417" y="476250"/>
          <a:chExt cx="1838325" cy="5448300"/>
        </a:xfrm>
      </xdr:grpSpPr>
      <xdr:sp macro="" textlink="">
        <xdr:nvSpPr>
          <xdr:cNvPr id="47134" name="Retângulo 47133">
            <a:extLst>
              <a:ext uri="{FF2B5EF4-FFF2-40B4-BE49-F238E27FC236}">
                <a16:creationId xmlns:a16="http://schemas.microsoft.com/office/drawing/2014/main" id="{00000000-0008-0000-1A00-00001EB80000}"/>
              </a:ext>
            </a:extLst>
          </xdr:cNvPr>
          <xdr:cNvSpPr/>
        </xdr:nvSpPr>
        <xdr:spPr>
          <a:xfrm>
            <a:off x="10735417" y="476250"/>
            <a:ext cx="1838325" cy="5448300"/>
          </a:xfrm>
          <a:prstGeom prst="rect">
            <a:avLst/>
          </a:prstGeom>
          <a:solidFill>
            <a:schemeClr val="accent6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400" b="1"/>
          </a:p>
          <a:p>
            <a:pPr algn="ctr"/>
            <a:r>
              <a:rPr lang="pt-BR" sz="1400" b="1"/>
              <a:t>NAVEGAÇÃO</a:t>
            </a:r>
          </a:p>
        </xdr:txBody>
      </xdr:sp>
      <xdr:sp macro="" textlink="">
        <xdr:nvSpPr>
          <xdr:cNvPr id="47135" name="Retângulo: Cantos Arredondados 47134">
            <a:hlinkClick xmlns:r="http://schemas.openxmlformats.org/officeDocument/2006/relationships" r:id="rId24" tooltip="Ir para Cadastro de Alimento"/>
            <a:extLst>
              <a:ext uri="{FF2B5EF4-FFF2-40B4-BE49-F238E27FC236}">
                <a16:creationId xmlns:a16="http://schemas.microsoft.com/office/drawing/2014/main" id="{00000000-0008-0000-1A00-00001FB80000}"/>
              </a:ext>
            </a:extLst>
          </xdr:cNvPr>
          <xdr:cNvSpPr/>
        </xdr:nvSpPr>
        <xdr:spPr>
          <a:xfrm>
            <a:off x="10826120" y="1477757"/>
            <a:ext cx="1620000" cy="325081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Cadastro Alimento</a:t>
            </a:r>
          </a:p>
        </xdr:txBody>
      </xdr:sp>
      <xdr:sp macro="" textlink="">
        <xdr:nvSpPr>
          <xdr:cNvPr id="47136" name="Retângulo: Cantos Arredondados 47135">
            <a:hlinkClick xmlns:r="http://schemas.openxmlformats.org/officeDocument/2006/relationships" r:id="rId25" tooltip="Ir para Atendimento Mineral"/>
            <a:extLst>
              <a:ext uri="{FF2B5EF4-FFF2-40B4-BE49-F238E27FC236}">
                <a16:creationId xmlns:a16="http://schemas.microsoft.com/office/drawing/2014/main" id="{00000000-0008-0000-1A00-000020B80000}"/>
              </a:ext>
            </a:extLst>
          </xdr:cNvPr>
          <xdr:cNvSpPr/>
        </xdr:nvSpPr>
        <xdr:spPr>
          <a:xfrm>
            <a:off x="10844306" y="4276881"/>
            <a:ext cx="1620000" cy="325081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/>
              <a:t>Atendimento Nutricional</a:t>
            </a:r>
          </a:p>
        </xdr:txBody>
      </xdr:sp>
      <xdr:sp macro="" textlink="">
        <xdr:nvSpPr>
          <xdr:cNvPr id="47137" name="Retângulo: Cantos Arredondados 47136">
            <a:hlinkClick xmlns:r="http://schemas.openxmlformats.org/officeDocument/2006/relationships" r:id="rId26" tooltip="Ir para Formulação de Mineral"/>
            <a:extLst>
              <a:ext uri="{FF2B5EF4-FFF2-40B4-BE49-F238E27FC236}">
                <a16:creationId xmlns:a16="http://schemas.microsoft.com/office/drawing/2014/main" id="{00000000-0008-0000-1A00-000021B80000}"/>
              </a:ext>
            </a:extLst>
          </xdr:cNvPr>
          <xdr:cNvSpPr/>
        </xdr:nvSpPr>
        <xdr:spPr>
          <a:xfrm>
            <a:off x="10839110" y="3877006"/>
            <a:ext cx="1620000" cy="325081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solidFill>
                  <a:sysClr val="windowText" lastClr="000000"/>
                </a:solidFill>
              </a:rPr>
              <a:t>Suplemento</a:t>
            </a:r>
            <a:r>
              <a:rPr lang="pt-BR" sz="1050">
                <a:solidFill>
                  <a:sysClr val="windowText" lastClr="000000"/>
                </a:solidFill>
              </a:rPr>
              <a:t> Mineral</a:t>
            </a:r>
          </a:p>
        </xdr:txBody>
      </xdr:sp>
      <xdr:sp macro="" textlink="">
        <xdr:nvSpPr>
          <xdr:cNvPr id="47139" name="Retângulo: Cantos Arredondados 47138">
            <a:hlinkClick xmlns:r="http://schemas.openxmlformats.org/officeDocument/2006/relationships" r:id="rId27" tooltip="Ir para Cadastro de Exigência"/>
            <a:extLst>
              <a:ext uri="{FF2B5EF4-FFF2-40B4-BE49-F238E27FC236}">
                <a16:creationId xmlns:a16="http://schemas.microsoft.com/office/drawing/2014/main" id="{00000000-0008-0000-1A00-000023B80000}"/>
              </a:ext>
            </a:extLst>
          </xdr:cNvPr>
          <xdr:cNvSpPr/>
        </xdr:nvSpPr>
        <xdr:spPr>
          <a:xfrm>
            <a:off x="10828718" y="1877632"/>
            <a:ext cx="1620000" cy="325081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Cadastro Exigência</a:t>
            </a:r>
          </a:p>
        </xdr:txBody>
      </xdr:sp>
      <xdr:sp macro="[0]!Abrir_Manual" textlink="">
        <xdr:nvSpPr>
          <xdr:cNvPr id="47140" name="Retângulo: Cantos Arredondados 47139">
            <a:extLst>
              <a:ext uri="{FF2B5EF4-FFF2-40B4-BE49-F238E27FC236}">
                <a16:creationId xmlns:a16="http://schemas.microsoft.com/office/drawing/2014/main" id="{00000000-0008-0000-1A00-000024B80000}"/>
              </a:ext>
            </a:extLst>
          </xdr:cNvPr>
          <xdr:cNvSpPr/>
        </xdr:nvSpPr>
        <xdr:spPr>
          <a:xfrm>
            <a:off x="10823522" y="1077882"/>
            <a:ext cx="1606603" cy="325081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Ajuda</a:t>
            </a:r>
          </a:p>
        </xdr:txBody>
      </xdr:sp>
      <xdr:sp macro="" textlink="">
        <xdr:nvSpPr>
          <xdr:cNvPr id="47141" name="Retângulo: Cantos Arredondados 47140">
            <a:hlinkClick xmlns:r="http://schemas.openxmlformats.org/officeDocument/2006/relationships" r:id="rId28" tooltip="Ir para Ficha de Mistura"/>
            <a:extLst>
              <a:ext uri="{FF2B5EF4-FFF2-40B4-BE49-F238E27FC236}">
                <a16:creationId xmlns:a16="http://schemas.microsoft.com/office/drawing/2014/main" id="{00000000-0008-0000-1A00-000025B80000}"/>
              </a:ext>
            </a:extLst>
          </xdr:cNvPr>
          <xdr:cNvSpPr/>
        </xdr:nvSpPr>
        <xdr:spPr>
          <a:xfrm>
            <a:off x="10846904" y="4676756"/>
            <a:ext cx="1620000" cy="325081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Ficha de Mistura</a:t>
            </a:r>
          </a:p>
        </xdr:txBody>
      </xdr:sp>
      <xdr:sp macro="" textlink="">
        <xdr:nvSpPr>
          <xdr:cNvPr id="47142" name="Retângulo: Cantos Arredondados 47141">
            <a:hlinkClick xmlns:r="http://schemas.openxmlformats.org/officeDocument/2006/relationships" r:id="rId29" tooltip="Ir para Formulação de Dietas"/>
            <a:extLst>
              <a:ext uri="{FF2B5EF4-FFF2-40B4-BE49-F238E27FC236}">
                <a16:creationId xmlns:a16="http://schemas.microsoft.com/office/drawing/2014/main" id="{00000000-0008-0000-1A00-000026B80000}"/>
              </a:ext>
            </a:extLst>
          </xdr:cNvPr>
          <xdr:cNvSpPr/>
        </xdr:nvSpPr>
        <xdr:spPr>
          <a:xfrm>
            <a:off x="10833914" y="3077257"/>
            <a:ext cx="1620000" cy="325081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>
                <a:solidFill>
                  <a:sysClr val="windowText" lastClr="000000"/>
                </a:solidFill>
              </a:rPr>
              <a:t>Formulação Dieta</a:t>
            </a:r>
          </a:p>
        </xdr:txBody>
      </xdr:sp>
      <xdr:sp macro="" textlink="">
        <xdr:nvSpPr>
          <xdr:cNvPr id="47143" name="Retângulo: Cantos Arredondados 47142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00000000-0008-0000-1A00-000027B80000}"/>
              </a:ext>
            </a:extLst>
          </xdr:cNvPr>
          <xdr:cNvSpPr/>
        </xdr:nvSpPr>
        <xdr:spPr>
          <a:xfrm>
            <a:off x="10836512" y="3477132"/>
            <a:ext cx="1620000" cy="325081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solidFill>
                  <a:sysClr val="windowText" lastClr="000000"/>
                </a:solidFill>
              </a:rPr>
              <a:t>Suplemento</a:t>
            </a:r>
            <a:r>
              <a:rPr lang="pt-BR" sz="1100" baseline="0">
                <a:solidFill>
                  <a:sysClr val="windowText" lastClr="000000"/>
                </a:solidFill>
              </a:rPr>
              <a:t> Proteico</a:t>
            </a:r>
            <a:endParaRPr lang="pt-BR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7144" name="Retângulo: Cantos Arredondados 47143">
            <a:hlinkClick xmlns:r="http://schemas.openxmlformats.org/officeDocument/2006/relationships" r:id="rId31" tooltip="Ir para Cadastro de Clientes"/>
            <a:extLst>
              <a:ext uri="{FF2B5EF4-FFF2-40B4-BE49-F238E27FC236}">
                <a16:creationId xmlns:a16="http://schemas.microsoft.com/office/drawing/2014/main" id="{00000000-0008-0000-1A00-000028B80000}"/>
              </a:ext>
            </a:extLst>
          </xdr:cNvPr>
          <xdr:cNvSpPr/>
        </xdr:nvSpPr>
        <xdr:spPr>
          <a:xfrm>
            <a:off x="10831316" y="2277507"/>
            <a:ext cx="1620000" cy="325081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Cadastro Clientes</a:t>
            </a:r>
          </a:p>
        </xdr:txBody>
      </xdr:sp>
      <xdr:sp macro="" textlink="">
        <xdr:nvSpPr>
          <xdr:cNvPr id="47145" name="Retângulo: Cantos Arredondados 47144">
            <a:hlinkClick xmlns:r="http://schemas.openxmlformats.org/officeDocument/2006/relationships" r:id="rId32" tooltip="Ir para Relatório Financeiro"/>
            <a:extLst>
              <a:ext uri="{FF2B5EF4-FFF2-40B4-BE49-F238E27FC236}">
                <a16:creationId xmlns:a16="http://schemas.microsoft.com/office/drawing/2014/main" id="{00000000-0008-0000-1A00-000029B80000}"/>
              </a:ext>
            </a:extLst>
          </xdr:cNvPr>
          <xdr:cNvSpPr/>
        </xdr:nvSpPr>
        <xdr:spPr>
          <a:xfrm>
            <a:off x="10852097" y="5476510"/>
            <a:ext cx="1620000" cy="325081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Relatório</a:t>
            </a:r>
            <a:r>
              <a:rPr lang="pt-BR" sz="1200" baseline="0"/>
              <a:t> Financeiro</a:t>
            </a:r>
            <a:endParaRPr lang="pt-BR" sz="1200"/>
          </a:p>
        </xdr:txBody>
      </xdr:sp>
      <xdr:sp macro="" textlink="">
        <xdr:nvSpPr>
          <xdr:cNvPr id="47146" name="Retângulo: Cantos Arredondados 47145">
            <a:hlinkClick xmlns:r="http://schemas.openxmlformats.org/officeDocument/2006/relationships" r:id="rId33" tooltip="Ir para Ficha de Batida"/>
            <a:extLst>
              <a:ext uri="{FF2B5EF4-FFF2-40B4-BE49-F238E27FC236}">
                <a16:creationId xmlns:a16="http://schemas.microsoft.com/office/drawing/2014/main" id="{00000000-0008-0000-1A00-00002AB80000}"/>
              </a:ext>
            </a:extLst>
          </xdr:cNvPr>
          <xdr:cNvSpPr/>
        </xdr:nvSpPr>
        <xdr:spPr>
          <a:xfrm>
            <a:off x="10849502" y="5076631"/>
            <a:ext cx="1620000" cy="325081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Ficha de Batida</a:t>
            </a:r>
          </a:p>
        </xdr:txBody>
      </xdr:sp>
      <xdr:sp macro="" textlink="">
        <xdr:nvSpPr>
          <xdr:cNvPr id="47147" name="Retângulo: Cantos Arredondados 47146">
            <a:hlinkClick xmlns:r="http://schemas.openxmlformats.org/officeDocument/2006/relationships" r:id="rId34" tooltip="Ir para Controle de Serviço"/>
            <a:extLst>
              <a:ext uri="{FF2B5EF4-FFF2-40B4-BE49-F238E27FC236}">
                <a16:creationId xmlns:a16="http://schemas.microsoft.com/office/drawing/2014/main" id="{00000000-0008-0000-1A00-00002BB80000}"/>
              </a:ext>
            </a:extLst>
          </xdr:cNvPr>
          <xdr:cNvSpPr/>
        </xdr:nvSpPr>
        <xdr:spPr>
          <a:xfrm>
            <a:off x="10841708" y="2677382"/>
            <a:ext cx="1620000" cy="325081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Controle Serviço</a:t>
            </a:r>
          </a:p>
        </xdr:txBody>
      </xdr:sp>
    </xdr:grpSp>
    <xdr:clientData/>
  </xdr:twoCellAnchor>
  <xdr:twoCellAnchor>
    <xdr:from>
      <xdr:col>1</xdr:col>
      <xdr:colOff>0</xdr:colOff>
      <xdr:row>147</xdr:row>
      <xdr:rowOff>0</xdr:rowOff>
    </xdr:from>
    <xdr:to>
      <xdr:col>1</xdr:col>
      <xdr:colOff>1611085</xdr:colOff>
      <xdr:row>176</xdr:row>
      <xdr:rowOff>104775</xdr:rowOff>
    </xdr:to>
    <xdr:grpSp>
      <xdr:nvGrpSpPr>
        <xdr:cNvPr id="47155" name="Agrupar 47154">
          <a:extLst>
            <a:ext uri="{FF2B5EF4-FFF2-40B4-BE49-F238E27FC236}">
              <a16:creationId xmlns:a16="http://schemas.microsoft.com/office/drawing/2014/main" id="{00000000-0008-0000-1A00-000033B80000}"/>
            </a:ext>
          </a:extLst>
        </xdr:cNvPr>
        <xdr:cNvGrpSpPr/>
      </xdr:nvGrpSpPr>
      <xdr:grpSpPr>
        <a:xfrm>
          <a:off x="285750" y="28260675"/>
          <a:ext cx="1611085" cy="5353050"/>
          <a:chOff x="143617" y="571500"/>
          <a:chExt cx="1611085" cy="5353050"/>
        </a:xfrm>
      </xdr:grpSpPr>
      <xdr:sp macro="" textlink="">
        <xdr:nvSpPr>
          <xdr:cNvPr id="47156" name="Retângulo 47155">
            <a:extLst>
              <a:ext uri="{FF2B5EF4-FFF2-40B4-BE49-F238E27FC236}">
                <a16:creationId xmlns:a16="http://schemas.microsoft.com/office/drawing/2014/main" id="{00000000-0008-0000-1A00-000034B80000}"/>
              </a:ext>
            </a:extLst>
          </xdr:cNvPr>
          <xdr:cNvSpPr/>
        </xdr:nvSpPr>
        <xdr:spPr>
          <a:xfrm>
            <a:off x="143617" y="571500"/>
            <a:ext cx="1611085" cy="5353050"/>
          </a:xfrm>
          <a:prstGeom prst="rect">
            <a:avLst/>
          </a:prstGeom>
          <a:solidFill>
            <a:schemeClr val="accent6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/>
          </a:p>
          <a:p>
            <a:pPr algn="ctr"/>
            <a:r>
              <a:rPr lang="pt-BR" sz="1600" b="1"/>
              <a:t>Gerar Exigências</a:t>
            </a:r>
          </a:p>
        </xdr:txBody>
      </xdr:sp>
      <xdr:pic>
        <xdr:nvPicPr>
          <xdr:cNvPr id="47157" name="Imagem 47156">
            <a:extLst>
              <a:ext uri="{FF2B5EF4-FFF2-40B4-BE49-F238E27FC236}">
                <a16:creationId xmlns:a16="http://schemas.microsoft.com/office/drawing/2014/main" id="{00000000-0008-0000-1A00-000035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20324" y="4573496"/>
            <a:ext cx="1440000" cy="563635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47158" name="Imagem 47157">
            <a:extLst>
              <a:ext uri="{FF2B5EF4-FFF2-40B4-BE49-F238E27FC236}">
                <a16:creationId xmlns:a16="http://schemas.microsoft.com/office/drawing/2014/main" id="{00000000-0008-0000-1A00-000036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6648" y="5216590"/>
            <a:ext cx="1440000" cy="563635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47159" name="Agrupar 47158">
            <a:hlinkClick xmlns:r="http://schemas.openxmlformats.org/officeDocument/2006/relationships" r:id="rId35" tooltip="Exigências Bovinos de Leite"/>
            <a:extLst>
              <a:ext uri="{FF2B5EF4-FFF2-40B4-BE49-F238E27FC236}">
                <a16:creationId xmlns:a16="http://schemas.microsoft.com/office/drawing/2014/main" id="{00000000-0008-0000-1A00-000037B80000}"/>
              </a:ext>
            </a:extLst>
          </xdr:cNvPr>
          <xdr:cNvGrpSpPr/>
        </xdr:nvGrpSpPr>
        <xdr:grpSpPr>
          <a:xfrm>
            <a:off x="226173" y="1978090"/>
            <a:ext cx="1440000" cy="593660"/>
            <a:chOff x="5341098" y="22980715"/>
            <a:chExt cx="1440000" cy="593660"/>
          </a:xfrm>
        </xdr:grpSpPr>
        <xdr:pic>
          <xdr:nvPicPr>
            <xdr:cNvPr id="47188" name="Imagem 47187">
              <a:extLst>
                <a:ext uri="{FF2B5EF4-FFF2-40B4-BE49-F238E27FC236}">
                  <a16:creationId xmlns:a16="http://schemas.microsoft.com/office/drawing/2014/main" id="{00000000-0008-0000-1A00-000054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5341098" y="22980715"/>
              <a:ext cx="1440000" cy="563635"/>
            </a:xfrm>
            <a:prstGeom prst="rect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</xdr:pic>
        <xdr:pic>
          <xdr:nvPicPr>
            <xdr:cNvPr id="47189" name="Imagem 47188" descr="Vetor cabeça de animal mamífero vaca">
              <a:extLst>
                <a:ext uri="{FF2B5EF4-FFF2-40B4-BE49-F238E27FC236}">
                  <a16:creationId xmlns:a16="http://schemas.microsoft.com/office/drawing/2014/main" id="{00000000-0008-0000-1A00-000055B8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6" cstate="print">
              <a:extLst>
                <a:ext uri="{BEBA8EAE-BF5A-486C-A8C5-ECC9F3942E4B}">
                  <a14:imgProps xmlns:a14="http://schemas.microsoft.com/office/drawing/2010/main">
                    <a14:imgLayer r:embed="rId37">
                      <a14:imgEffect>
                        <a14:backgroundRemoval t="10000" b="90000" l="10000" r="9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5362575" y="23012400"/>
              <a:ext cx="561975" cy="56197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47190" name="CaixaDeTexto 47189">
              <a:extLst>
                <a:ext uri="{FF2B5EF4-FFF2-40B4-BE49-F238E27FC236}">
                  <a16:creationId xmlns:a16="http://schemas.microsoft.com/office/drawing/2014/main" id="{00000000-0008-0000-1A00-000056B80000}"/>
                </a:ext>
              </a:extLst>
            </xdr:cNvPr>
            <xdr:cNvSpPr txBox="1"/>
          </xdr:nvSpPr>
          <xdr:spPr>
            <a:xfrm>
              <a:off x="5876924" y="22993351"/>
              <a:ext cx="885825" cy="5429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50"/>
                <a:t>Exigências</a:t>
              </a:r>
              <a:br>
                <a:rPr lang="pt-BR" sz="1050"/>
              </a:br>
              <a:r>
                <a:rPr lang="pt-BR" sz="1050"/>
                <a:t>Bovino</a:t>
              </a:r>
              <a:r>
                <a:rPr lang="pt-BR" sz="1050" baseline="0"/>
                <a:t> Leite</a:t>
              </a:r>
              <a:endParaRPr lang="pt-BR" sz="1050"/>
            </a:p>
          </xdr:txBody>
        </xdr:sp>
      </xdr:grpSp>
      <xdr:grpSp>
        <xdr:nvGrpSpPr>
          <xdr:cNvPr id="47168" name="Agrupar 47167">
            <a:hlinkClick xmlns:r="http://schemas.openxmlformats.org/officeDocument/2006/relationships" r:id="rId38" tooltip="Exigências Bovinos de Corte"/>
            <a:extLst>
              <a:ext uri="{FF2B5EF4-FFF2-40B4-BE49-F238E27FC236}">
                <a16:creationId xmlns:a16="http://schemas.microsoft.com/office/drawing/2014/main" id="{00000000-0008-0000-1A00-000040B80000}"/>
              </a:ext>
            </a:extLst>
          </xdr:cNvPr>
          <xdr:cNvGrpSpPr/>
        </xdr:nvGrpSpPr>
        <xdr:grpSpPr>
          <a:xfrm>
            <a:off x="219075" y="2619375"/>
            <a:ext cx="1447800" cy="563635"/>
            <a:chOff x="5334000" y="23641050"/>
            <a:chExt cx="1447800" cy="563635"/>
          </a:xfrm>
        </xdr:grpSpPr>
        <xdr:pic>
          <xdr:nvPicPr>
            <xdr:cNvPr id="47185" name="Imagem 47184">
              <a:extLst>
                <a:ext uri="{FF2B5EF4-FFF2-40B4-BE49-F238E27FC236}">
                  <a16:creationId xmlns:a16="http://schemas.microsoft.com/office/drawing/2014/main" id="{00000000-0008-0000-1A00-000051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5334000" y="23641050"/>
              <a:ext cx="1440000" cy="563635"/>
            </a:xfrm>
            <a:prstGeom prst="rect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</xdr:pic>
        <xdr:sp macro="" textlink="">
          <xdr:nvSpPr>
            <xdr:cNvPr id="47186" name="CaixaDeTexto 47185">
              <a:extLst>
                <a:ext uri="{FF2B5EF4-FFF2-40B4-BE49-F238E27FC236}">
                  <a16:creationId xmlns:a16="http://schemas.microsoft.com/office/drawing/2014/main" id="{00000000-0008-0000-1A00-000052B80000}"/>
                </a:ext>
              </a:extLst>
            </xdr:cNvPr>
            <xdr:cNvSpPr txBox="1"/>
          </xdr:nvSpPr>
          <xdr:spPr>
            <a:xfrm>
              <a:off x="5857876" y="23650575"/>
              <a:ext cx="923924" cy="5429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50"/>
                <a:t>Exigências</a:t>
              </a:r>
              <a:br>
                <a:rPr lang="pt-BR" sz="1050"/>
              </a:br>
              <a:r>
                <a:rPr lang="pt-BR" sz="1050"/>
                <a:t>Bovino</a:t>
              </a:r>
              <a:r>
                <a:rPr lang="pt-BR" sz="1050" baseline="0"/>
                <a:t> Corte</a:t>
              </a:r>
              <a:endParaRPr lang="pt-BR" sz="1050"/>
            </a:p>
          </xdr:txBody>
        </xdr:sp>
        <xdr:pic>
          <xdr:nvPicPr>
            <xdr:cNvPr id="47187" name="Imagem 47186">
              <a:extLst>
                <a:ext uri="{FF2B5EF4-FFF2-40B4-BE49-F238E27FC236}">
                  <a16:creationId xmlns:a16="http://schemas.microsoft.com/office/drawing/2014/main" id="{00000000-0008-0000-1A00-000053B8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9">
              <a:extLst>
                <a:ext uri="{BEBA8EAE-BF5A-486C-A8C5-ECC9F3942E4B}">
                  <a14:imgProps xmlns:a14="http://schemas.microsoft.com/office/drawing/2010/main">
                    <a14:imgLayer r:embed="rId40">
                      <a14:imgEffect>
                        <a14:backgroundRemoval t="10000" b="90000" l="10000" r="90000"/>
                      </a14:imgEffect>
                    </a14:imgLayer>
                  </a14:imgProps>
                </a:ext>
              </a:extLst>
            </a:blip>
            <a:srcRect l="11384" t="9017" r="12141" b="20252"/>
            <a:stretch/>
          </xdr:blipFill>
          <xdr:spPr>
            <a:xfrm>
              <a:off x="5448300" y="23676317"/>
              <a:ext cx="428626" cy="498132"/>
            </a:xfrm>
            <a:prstGeom prst="rect">
              <a:avLst/>
            </a:prstGeom>
          </xdr:spPr>
        </xdr:pic>
      </xdr:grpSp>
      <xdr:grpSp>
        <xdr:nvGrpSpPr>
          <xdr:cNvPr id="47169" name="Agrupar 47168">
            <a:hlinkClick xmlns:r="http://schemas.openxmlformats.org/officeDocument/2006/relationships" r:id="rId41" tooltip="Exigências Caprinos e Ovinos"/>
            <a:extLst>
              <a:ext uri="{FF2B5EF4-FFF2-40B4-BE49-F238E27FC236}">
                <a16:creationId xmlns:a16="http://schemas.microsoft.com/office/drawing/2014/main" id="{00000000-0008-0000-1A00-000041B80000}"/>
              </a:ext>
            </a:extLst>
          </xdr:cNvPr>
          <xdr:cNvGrpSpPr/>
        </xdr:nvGrpSpPr>
        <xdr:grpSpPr>
          <a:xfrm>
            <a:off x="219075" y="1323975"/>
            <a:ext cx="1447800" cy="571499"/>
            <a:chOff x="5334000" y="22326600"/>
            <a:chExt cx="1447800" cy="571499"/>
          </a:xfrm>
        </xdr:grpSpPr>
        <xdr:pic>
          <xdr:nvPicPr>
            <xdr:cNvPr id="47180" name="Imagem 47179">
              <a:extLst>
                <a:ext uri="{FF2B5EF4-FFF2-40B4-BE49-F238E27FC236}">
                  <a16:creationId xmlns:a16="http://schemas.microsoft.com/office/drawing/2014/main" id="{00000000-0008-0000-1A00-00004C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5334000" y="22326600"/>
              <a:ext cx="1440000" cy="563635"/>
            </a:xfrm>
            <a:prstGeom prst="rect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</xdr:pic>
        <xdr:sp macro="" textlink="">
          <xdr:nvSpPr>
            <xdr:cNvPr id="47181" name="CaixaDeTexto 47180">
              <a:extLst>
                <a:ext uri="{FF2B5EF4-FFF2-40B4-BE49-F238E27FC236}">
                  <a16:creationId xmlns:a16="http://schemas.microsoft.com/office/drawing/2014/main" id="{00000000-0008-0000-1A00-00004DB80000}"/>
                </a:ext>
              </a:extLst>
            </xdr:cNvPr>
            <xdr:cNvSpPr txBox="1"/>
          </xdr:nvSpPr>
          <xdr:spPr>
            <a:xfrm>
              <a:off x="5857875" y="22355175"/>
              <a:ext cx="923925" cy="5429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50"/>
                <a:t>Exigências</a:t>
              </a:r>
              <a:br>
                <a:rPr lang="pt-BR" sz="1050"/>
              </a:br>
              <a:r>
                <a:rPr lang="pt-BR" sz="1050"/>
                <a:t>Caprinovinos</a:t>
              </a:r>
            </a:p>
          </xdr:txBody>
        </xdr:sp>
        <xdr:pic>
          <xdr:nvPicPr>
            <xdr:cNvPr id="47184" name="Imagem 47183" descr="GOAT AND SHEEP CROSS - YouTube">
              <a:extLst>
                <a:ext uri="{FF2B5EF4-FFF2-40B4-BE49-F238E27FC236}">
                  <a16:creationId xmlns:a16="http://schemas.microsoft.com/office/drawing/2014/main" id="{00000000-0008-0000-1A00-000050B8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42" cstate="print">
              <a:extLst>
                <a:ext uri="{BEBA8EAE-BF5A-486C-A8C5-ECC9F3942E4B}">
                  <a14:imgProps xmlns:a14="http://schemas.microsoft.com/office/drawing/2010/main">
                    <a14:imgLayer r:embed="rId43">
                      <a14:imgEffect>
                        <a14:backgroundRemoval t="10000" b="91111" l="3281" r="90000">
                          <a14:foregroundMark x1="51484" y1="35972" x2="53750" y2="24583"/>
                          <a14:foregroundMark x1="53750" y1="24583" x2="49844" y2="10000"/>
                          <a14:foregroundMark x1="49844" y1="10000" x2="40000" y2="11667"/>
                          <a14:foregroundMark x1="40000" y1="11667" x2="29453" y2="36111"/>
                          <a14:foregroundMark x1="29453" y1="36111" x2="19688" y2="42500"/>
                          <a14:foregroundMark x1="19688" y1="42500" x2="11563" y2="41667"/>
                          <a14:foregroundMark x1="11563" y1="41667" x2="4531" y2="34861"/>
                          <a14:foregroundMark x1="4531" y1="34861" x2="2578" y2="87222"/>
                          <a14:foregroundMark x1="2578" y1="87222" x2="7266" y2="93750"/>
                          <a14:foregroundMark x1="7266" y1="93750" x2="14531" y2="85833"/>
                          <a14:foregroundMark x1="14531" y1="85833" x2="22891" y2="86528"/>
                          <a14:foregroundMark x1="22891" y1="86528" x2="37969" y2="95278"/>
                          <a14:foregroundMark x1="37969" y1="95278" x2="44531" y2="90417"/>
                          <a14:foregroundMark x1="44531" y1="90417" x2="46094" y2="77917"/>
                          <a14:foregroundMark x1="46094" y1="77917" x2="46094" y2="76389"/>
                          <a14:foregroundMark x1="5313" y1="93889" x2="3359" y2="77639"/>
                          <a14:foregroundMark x1="3359" y1="77639" x2="6172" y2="38333"/>
                          <a14:foregroundMark x1="53672" y1="24028" x2="62578" y2="33472"/>
                          <a14:foregroundMark x1="62578" y1="33472" x2="75000" y2="17639"/>
                          <a14:foregroundMark x1="75000" y1="17639" x2="82734" y2="18333"/>
                          <a14:foregroundMark x1="82734" y1="18333" x2="89766" y2="25833"/>
                          <a14:foregroundMark x1="89766" y1="25833" x2="83984" y2="87500"/>
                          <a14:foregroundMark x1="83984" y1="87500" x2="76328" y2="95000"/>
                          <a14:foregroundMark x1="76328" y1="95000" x2="69297" y2="91944"/>
                          <a14:foregroundMark x1="69297" y1="91944" x2="61797" y2="94583"/>
                          <a14:foregroundMark x1="61797" y1="94583" x2="47891" y2="91111"/>
                          <a14:foregroundMark x1="47891" y1="91111" x2="43672" y2="81528"/>
                          <a14:foregroundMark x1="43672" y1="81528" x2="43750" y2="81111"/>
                          <a14:foregroundMark x1="84688" y1="20833" x2="70156" y2="43333"/>
                          <a14:foregroundMark x1="70156" y1="43333" x2="53281" y2="53472"/>
                          <a14:foregroundMark x1="53281" y1="53472" x2="48281" y2="67361"/>
                          <a14:foregroundMark x1="48281" y1="67361" x2="66172" y2="65000"/>
                          <a14:foregroundMark x1="66172" y1="65000" x2="68672" y2="57778"/>
                        </a14:backgroundRemoval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3440" t="7399" r="10319" b="8736"/>
            <a:stretch/>
          </xdr:blipFill>
          <xdr:spPr bwMode="auto">
            <a:xfrm>
              <a:off x="5353050" y="22431375"/>
              <a:ext cx="574625" cy="31432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grpSp>
        <xdr:nvGrpSpPr>
          <xdr:cNvPr id="47170" name="Agrupar 47169">
            <a:hlinkClick xmlns:r="http://schemas.openxmlformats.org/officeDocument/2006/relationships" r:id="rId30" tooltip="Ir para módulo Proteinado"/>
            <a:extLst>
              <a:ext uri="{FF2B5EF4-FFF2-40B4-BE49-F238E27FC236}">
                <a16:creationId xmlns:a16="http://schemas.microsoft.com/office/drawing/2014/main" id="{00000000-0008-0000-1A00-000042B80000}"/>
              </a:ext>
            </a:extLst>
          </xdr:cNvPr>
          <xdr:cNvGrpSpPr/>
        </xdr:nvGrpSpPr>
        <xdr:grpSpPr>
          <a:xfrm>
            <a:off x="228600" y="3257550"/>
            <a:ext cx="1447800" cy="563635"/>
            <a:chOff x="7029450" y="25565100"/>
            <a:chExt cx="1447800" cy="563635"/>
          </a:xfrm>
        </xdr:grpSpPr>
        <xdr:pic>
          <xdr:nvPicPr>
            <xdr:cNvPr id="47175" name="Imagem 47174">
              <a:extLst>
                <a:ext uri="{FF2B5EF4-FFF2-40B4-BE49-F238E27FC236}">
                  <a16:creationId xmlns:a16="http://schemas.microsoft.com/office/drawing/2014/main" id="{00000000-0008-0000-1A00-000047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7029450" y="25565100"/>
              <a:ext cx="1440000" cy="563635"/>
            </a:xfrm>
            <a:prstGeom prst="rect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</xdr:pic>
        <xdr:pic>
          <xdr:nvPicPr>
            <xdr:cNvPr id="47176" name="Imagem 47175">
              <a:extLst>
                <a:ext uri="{FF2B5EF4-FFF2-40B4-BE49-F238E27FC236}">
                  <a16:creationId xmlns:a16="http://schemas.microsoft.com/office/drawing/2014/main" id="{00000000-0008-0000-1A00-000048B8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44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rcRect l="1539" t="16614" r="4615" b="16677"/>
            <a:stretch/>
          </xdr:blipFill>
          <xdr:spPr>
            <a:xfrm>
              <a:off x="7042910" y="25603200"/>
              <a:ext cx="568394" cy="428625"/>
            </a:xfrm>
            <a:prstGeom prst="rect">
              <a:avLst/>
            </a:prstGeom>
          </xdr:spPr>
        </xdr:pic>
        <xdr:sp macro="" textlink="">
          <xdr:nvSpPr>
            <xdr:cNvPr id="47177" name="CaixaDeTexto 47176">
              <a:extLst>
                <a:ext uri="{FF2B5EF4-FFF2-40B4-BE49-F238E27FC236}">
                  <a16:creationId xmlns:a16="http://schemas.microsoft.com/office/drawing/2014/main" id="{00000000-0008-0000-1A00-000049B80000}"/>
                </a:ext>
              </a:extLst>
            </xdr:cNvPr>
            <xdr:cNvSpPr txBox="1"/>
          </xdr:nvSpPr>
          <xdr:spPr>
            <a:xfrm>
              <a:off x="7553326" y="25574625"/>
              <a:ext cx="923924" cy="5429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50"/>
                <a:t>Suplemento</a:t>
              </a:r>
              <a:r>
                <a:rPr lang="pt-BR" sz="1050" baseline="0"/>
                <a:t> </a:t>
              </a:r>
            </a:p>
            <a:p>
              <a:pPr algn="ctr"/>
              <a:r>
                <a:rPr lang="pt-BR" sz="1050" baseline="0"/>
                <a:t>Proteico</a:t>
              </a:r>
              <a:endParaRPr lang="pt-BR" sz="1050"/>
            </a:p>
          </xdr:txBody>
        </xdr:sp>
      </xdr:grpSp>
      <xdr:grpSp>
        <xdr:nvGrpSpPr>
          <xdr:cNvPr id="47171" name="Agrupar 47170">
            <a:extLst>
              <a:ext uri="{FF2B5EF4-FFF2-40B4-BE49-F238E27FC236}">
                <a16:creationId xmlns:a16="http://schemas.microsoft.com/office/drawing/2014/main" id="{00000000-0008-0000-1A00-000043B80000}"/>
              </a:ext>
            </a:extLst>
          </xdr:cNvPr>
          <xdr:cNvGrpSpPr/>
        </xdr:nvGrpSpPr>
        <xdr:grpSpPr>
          <a:xfrm>
            <a:off x="219075" y="3914775"/>
            <a:ext cx="1447800" cy="563635"/>
            <a:chOff x="7029450" y="25565100"/>
            <a:chExt cx="1447800" cy="563635"/>
          </a:xfrm>
        </xdr:grpSpPr>
        <xdr:pic macro="[0]!Abrir_Predição">
          <xdr:nvPicPr>
            <xdr:cNvPr id="47172" name="Imagem 47171">
              <a:extLst>
                <a:ext uri="{FF2B5EF4-FFF2-40B4-BE49-F238E27FC236}">
                  <a16:creationId xmlns:a16="http://schemas.microsoft.com/office/drawing/2014/main" id="{00000000-0008-0000-1A00-000044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7029450" y="25565100"/>
              <a:ext cx="1440000" cy="563635"/>
            </a:xfrm>
            <a:prstGeom prst="rect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</xdr:pic>
        <xdr:sp macro="[0]!Abrir_Predição" textlink="">
          <xdr:nvSpPr>
            <xdr:cNvPr id="47173" name="CaixaDeTexto 47172">
              <a:extLst>
                <a:ext uri="{FF2B5EF4-FFF2-40B4-BE49-F238E27FC236}">
                  <a16:creationId xmlns:a16="http://schemas.microsoft.com/office/drawing/2014/main" id="{00000000-0008-0000-1A00-000045B80000}"/>
                </a:ext>
              </a:extLst>
            </xdr:cNvPr>
            <xdr:cNvSpPr txBox="1"/>
          </xdr:nvSpPr>
          <xdr:spPr>
            <a:xfrm>
              <a:off x="7553326" y="25574625"/>
              <a:ext cx="923924" cy="5429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50"/>
                <a:t>Predição</a:t>
              </a:r>
              <a:r>
                <a:rPr lang="pt-BR" sz="1050" baseline="0"/>
                <a:t> GMD</a:t>
              </a:r>
              <a:endParaRPr lang="pt-BR" sz="1050"/>
            </a:p>
          </xdr:txBody>
        </xdr:sp>
        <xdr:pic macro="[0]!Abrir_Predição">
          <xdr:nvPicPr>
            <xdr:cNvPr id="47174" name="Imagem 47173">
              <a:extLst>
                <a:ext uri="{FF2B5EF4-FFF2-40B4-BE49-F238E27FC236}">
                  <a16:creationId xmlns:a16="http://schemas.microsoft.com/office/drawing/2014/main" id="{00000000-0008-0000-1A00-000046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115174" y="25584151"/>
              <a:ext cx="438153" cy="495302"/>
            </a:xfrm>
            <a:prstGeom prst="rect">
              <a:avLst/>
            </a:prstGeom>
          </xdr:spPr>
        </xdr:pic>
      </xdr:grpSp>
    </xdr:grp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0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eferência" xr10:uid="{CB9EB672-2A99-49D3-B5D9-4158F5D093F7}" sourceName="Referência">
  <extLst>
    <x:ext xmlns:x15="http://schemas.microsoft.com/office/spreadsheetml/2010/11/main" uri="{2F2917AC-EB37-4324-AD4E-5DD8C200BD13}">
      <x15:tableSlicerCache tableId="1" column="28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" xr10:uid="{4069589B-1CD0-4377-8656-B6E44DE45F5A}" sourceName="Categoria">
  <extLst>
    <x:ext xmlns:x15="http://schemas.microsoft.com/office/spreadsheetml/2010/11/main" uri="{2F2917AC-EB37-4324-AD4E-5DD8C200BD13}">
      <x15:tableSlicerCache tableId="1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se" xr10:uid="{84B70172-1B9D-4BE2-BA57-43A525E17FF0}" sourceName="Fase">
  <extLst>
    <x:ext xmlns:x15="http://schemas.microsoft.com/office/spreadsheetml/2010/11/main" uri="{2F2917AC-EB37-4324-AD4E-5DD8C200BD13}">
      <x15:tableSlicerCache tableId="1" column="3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V_kg" xr10:uid="{4E49B1B8-0950-491C-B87C-22B4A752EF9D}" sourceName="PV(kg)">
  <extLst>
    <x:ext xmlns:x15="http://schemas.microsoft.com/office/spreadsheetml/2010/11/main" uri="{2F2917AC-EB37-4324-AD4E-5DD8C200BD13}">
      <x15:tableSlicerCache tableId="1" column="4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eto_Filho" xr10:uid="{EF2FC812-1A96-4C41-918D-0671D9F65DB7}" sourceName="Feto/Filho">
  <extLst>
    <x:ext xmlns:x15="http://schemas.microsoft.com/office/spreadsheetml/2010/11/main" uri="{2F2917AC-EB37-4324-AD4E-5DD8C200BD13}">
      <x15:tableSlicerCache tableId="1" column="6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MD_g" xr10:uid="{27481C8B-D51B-4853-A608-172834534B01}" sourceName="GMD(g)">
  <extLst>
    <x:ext xmlns:x15="http://schemas.microsoft.com/office/spreadsheetml/2010/11/main" uri="{2F2917AC-EB37-4324-AD4E-5DD8C200BD13}">
      <x15:tableSlicerCache tableId="1" column="9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ferência" xr10:uid="{0F89698A-D3D3-41AA-A2BB-9CCA272A087B}" cache="SegmentaçãodeDados_Referência" caption="REF" style="IOMAR 3" rowHeight="241300"/>
  <slicer name="Categoria" xr10:uid="{D9B250AE-FCE5-4B8E-A2E9-A8BAC37E5E9D}" cache="SegmentaçãodeDados_Categoria" caption="CATEGORIA" style="IOMAR 3" rowHeight="241300"/>
  <slicer name="Fase" xr10:uid="{235BC263-6CE5-4D92-B8D2-B0ADAC561F2C}" cache="SegmentaçãodeDados_Fase" caption="FASE" style="IOMAR 3" rowHeight="241300"/>
  <slicer name="PV(kg)" xr10:uid="{B0E26CDA-BD5C-4823-BA71-8487CE6AC8A6}" cache="SegmentaçãodeDados_PV_kg" caption="PV (kg)" columnCount="3" style="IOMAR 3" rowHeight="241300"/>
  <slicer name="Feto/Filho" xr10:uid="{DB85D38D-6F82-407E-9974-82E260ADE908}" cache="SegmentaçãodeDados_Feto_Filho" caption="FETO/FILHO" style="IOMAR 3" rowHeight="241300"/>
  <slicer name="GMD(g)" xr10:uid="{AAC9A6C8-F3E9-415C-BA8E-EA0AF8A541F2}" cache="SegmentaçãodeDados_GMD_g" caption="GMD (g)" columnCount="2" style="IOMAR 3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3E6CC0-2449-405B-AB69-AD47327AAA5A}" name="Tabela1" displayName="Tabela1" ref="B4:AI818" totalsRowShown="0" headerRowDxfId="96" dataDxfId="95" dataCellStyle="Vírgula">
  <autoFilter ref="B4:AI818" xr:uid="{FD3E6CC0-2449-405B-AB69-AD47327AAA5A}">
    <filterColumn colId="3">
      <filters>
        <filter val="Caprino"/>
      </filters>
    </filterColumn>
    <filterColumn colId="5">
      <filters>
        <filter val="40"/>
      </filters>
    </filterColumn>
    <filterColumn colId="7">
      <filters>
        <filter val="-"/>
      </filters>
    </filterColumn>
    <filterColumn colId="10">
      <filters>
        <filter val="0 g"/>
      </filters>
    </filterColumn>
  </autoFilter>
  <tableColumns count="34">
    <tableColumn id="1" xr3:uid="{FA4C3510-0D82-4AD4-844C-3A80E157F428}" name="Chave" dataDxfId="94">
      <calculatedColumnFormula>ROW()^2+(Tabela1[[#This Row],[ID2]])+ROW()</calculatedColumnFormula>
    </tableColumn>
    <tableColumn id="34" xr3:uid="{F22D02D9-0DC8-4209-B7F2-0051ADE0E57B}" name="ID2" dataDxfId="93"/>
    <tableColumn id="28" xr3:uid="{4ED635F8-E4B3-4808-9208-163A4E817421}" name="Referência" dataDxfId="92"/>
    <tableColumn id="2" xr3:uid="{4C780A5B-8BD7-4A08-B95C-7C517FD4C32A}" name="Categoria" dataDxfId="91"/>
    <tableColumn id="3" xr3:uid="{B2911598-8F8C-4D9E-9096-EFB841B57A49}" name="Fase" dataDxfId="90"/>
    <tableColumn id="4" xr3:uid="{6680C6BA-1D35-4D8E-9FC2-C306EE65E73E}" name="PV(kg)" dataDxfId="89"/>
    <tableColumn id="5" xr3:uid="{F831007D-2675-4156-8A93-DFA2D83B3E2B}" name="Amplitude " dataDxfId="88"/>
    <tableColumn id="6" xr3:uid="{4E43CF65-EB3D-4C98-903F-642683A5122A}" name="Feto/Filho" dataDxfId="87" dataCellStyle="Vírgula"/>
    <tableColumn id="7" xr3:uid="{8A303974-97E9-408A-92FE-E507D8258B20}" name="PV Nascer(kg)" dataDxfId="86"/>
    <tableColumn id="8" xr3:uid="{941BE89B-A682-4E53-8DC7-D39F2499FCC2}" name="Prod. Leite (kg/dia)" dataDxfId="85"/>
    <tableColumn id="9" xr3:uid="{0ECE1B45-853E-4CEB-AF85-E43EEB1EED04}" name="GMD(g)" dataDxfId="84" dataCellStyle="Vírgula"/>
    <tableColumn id="10" xr3:uid="{34AB86F3-C9F5-4FA4-AAE1-1DF28722A54A}" name="CMS(kg)" dataDxfId="83" dataCellStyle="Vírgula"/>
    <tableColumn id="11" xr3:uid="{58C8D1B0-53E0-49CA-9336-D322599CB1D9}" name="PB(g)" dataDxfId="82" dataCellStyle="Vírgula"/>
    <tableColumn id="33" xr3:uid="{1B34E056-8C4D-4A6B-A463-61DBEF86D7F1}" name="PDR(g)" dataDxfId="81" dataCellStyle="Vírgula"/>
    <tableColumn id="12" xr3:uid="{AE714CE0-E1DB-43E8-AC07-A019E9694802}" name="NDT(kg)" dataDxfId="80" dataCellStyle="Vírgula"/>
    <tableColumn id="13" xr3:uid="{6EB093C7-E2EB-49B3-A581-1350929A9404}" name="FDN(kg)" dataDxfId="79" dataCellStyle="Vírgula"/>
    <tableColumn id="14" xr3:uid="{76E30DD9-CD98-47B5-9BED-7D51F1583F0D}" name="EE(g)" dataDxfId="78" dataCellStyle="Vírgula"/>
    <tableColumn id="15" xr3:uid="{1E0EA1B2-7857-4AA6-A7D1-C2F7CA03F262}" name="Ca(g)" dataDxfId="77" dataCellStyle="Vírgula"/>
    <tableColumn id="16" xr3:uid="{478DCF2E-7A81-4249-8FCD-0EEF2E9244D6}" name="P(g)" dataDxfId="76" dataCellStyle="Vírgula"/>
    <tableColumn id="17" xr3:uid="{BD7E62E3-A354-4C6F-BE3D-63A710589939}" name="Mg (g)" dataDxfId="75" dataCellStyle="Vírgula"/>
    <tableColumn id="18" xr3:uid="{D7533B27-BAC3-4C71-B403-2B4C8AA3E340}" name="Na (g)" dataDxfId="74" dataCellStyle="Vírgula"/>
    <tableColumn id="19" xr3:uid="{435E11A3-2218-4D45-9513-49EBFA3BFA48}" name="K (g)" dataDxfId="73" dataCellStyle="Vírgula"/>
    <tableColumn id="20" xr3:uid="{826533E5-AE90-4D87-AC91-F190A5A62AE1}" name="S (g)" dataDxfId="72" dataCellStyle="Vírgula"/>
    <tableColumn id="21" xr3:uid="{3354FC24-1564-4368-BB0D-0B706BBB8F98}" name="Cu (mg)" dataDxfId="71" dataCellStyle="Vírgula"/>
    <tableColumn id="22" xr3:uid="{A47F507C-1774-434B-BFDE-A0DDBB85EF6A}" name="Zn (mg)" dataDxfId="70" dataCellStyle="Vírgula"/>
    <tableColumn id="23" xr3:uid="{77347BA3-8851-4BE4-A496-94052F98AF60}" name="Fe (mg)" dataDxfId="69" dataCellStyle="Vírgula"/>
    <tableColumn id="24" xr3:uid="{DEDFE2EF-5ACB-4790-B687-6BAE3A895111}" name="Mn (mg)" dataDxfId="68" dataCellStyle="Vírgula"/>
    <tableColumn id="25" xr3:uid="{E4C695AB-2214-4AFB-ACF5-E0C73D9BD803}" name="I (mg)" dataDxfId="67" dataCellStyle="Vírgula"/>
    <tableColumn id="26" xr3:uid="{7EE899AF-48AE-48C4-9037-3C47D11DB115}" name="Co (mg)" dataDxfId="66" dataCellStyle="Vírgula"/>
    <tableColumn id="29" xr3:uid="{AF3B486F-DEE8-42BC-9344-07B62B816DA3}" name="Se (mg)" dataDxfId="65" dataCellStyle="Vírgula"/>
    <tableColumn id="30" xr3:uid="{95742A84-EE37-41E2-98BD-50EB44A5F6A9}" name="A (UI/kg)" dataDxfId="64" dataCellStyle="Vírgula"/>
    <tableColumn id="32" xr3:uid="{B8EEC7EF-17CA-44C4-87C3-B19B0A35C62E}" name="D  (UI/kg)" dataDxfId="63" dataCellStyle="Vírgula"/>
    <tableColumn id="31" xr3:uid="{D66FA9AE-E9E1-4224-B335-01308009BA23}" name="E  (UI/kg)" dataDxfId="62" dataCellStyle="Vírgula"/>
    <tableColumn id="27" xr3:uid="{EA7324BC-95A5-47BD-BF9C-9927E5144E56}" name="Novo" dataDxfId="61" dataCellStyle="Vírgul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ctrlProp" Target="../ctrlProps/ctrlProp21.xml"/><Relationship Id="rId3" Type="http://schemas.openxmlformats.org/officeDocument/2006/relationships/hyperlink" Target="https://brcorte.com.br/livrobr" TargetMode="External"/><Relationship Id="rId7" Type="http://schemas.openxmlformats.org/officeDocument/2006/relationships/vmlDrawing" Target="../drawings/vmlDrawing4.vml"/><Relationship Id="rId12" Type="http://schemas.openxmlformats.org/officeDocument/2006/relationships/ctrlProp" Target="../ctrlProps/ctrlProp20.xml"/><Relationship Id="rId2" Type="http://schemas.openxmlformats.org/officeDocument/2006/relationships/hyperlink" Target="https://brcorte.com.br/livro2016br" TargetMode="External"/><Relationship Id="rId1" Type="http://schemas.openxmlformats.org/officeDocument/2006/relationships/hyperlink" Target="https://www.alice.cnptia.embrapa.br/alice/bitstream/doc/43408/1/digitalizar0042.pdf" TargetMode="External"/><Relationship Id="rId6" Type="http://schemas.openxmlformats.org/officeDocument/2006/relationships/drawing" Target="../drawings/drawing9.xml"/><Relationship Id="rId11" Type="http://schemas.openxmlformats.org/officeDocument/2006/relationships/ctrlProp" Target="../ctrlProps/ctrlProp19.xml"/><Relationship Id="rId5" Type="http://schemas.openxmlformats.org/officeDocument/2006/relationships/hyperlink" Target="https://brcorte.com.br/livrobr" TargetMode="External"/><Relationship Id="rId10" Type="http://schemas.openxmlformats.org/officeDocument/2006/relationships/ctrlProp" Target="../ctrlProps/ctrlProp18.xml"/><Relationship Id="rId4" Type="http://schemas.openxmlformats.org/officeDocument/2006/relationships/hyperlink" Target="https://brcorte.com.br/livro2016br" TargetMode="External"/><Relationship Id="rId9" Type="http://schemas.openxmlformats.org/officeDocument/2006/relationships/ctrlProp" Target="../ctrlProps/ctrlProp17.xml"/><Relationship Id="rId1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13" Type="http://schemas.openxmlformats.org/officeDocument/2006/relationships/ctrlProp" Target="../ctrlProps/ctrlProp38.xml"/><Relationship Id="rId18" Type="http://schemas.openxmlformats.org/officeDocument/2006/relationships/ctrlProp" Target="../ctrlProps/ctrlProp43.xml"/><Relationship Id="rId3" Type="http://schemas.openxmlformats.org/officeDocument/2006/relationships/vmlDrawing" Target="../drawings/vmlDrawing10.vml"/><Relationship Id="rId21" Type="http://schemas.openxmlformats.org/officeDocument/2006/relationships/ctrlProp" Target="../ctrlProps/ctrlProp46.x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17" Type="http://schemas.openxmlformats.org/officeDocument/2006/relationships/ctrlProp" Target="../ctrlProps/ctrlProp42.xml"/><Relationship Id="rId25" Type="http://schemas.openxmlformats.org/officeDocument/2006/relationships/comments" Target="../comments2.xml"/><Relationship Id="rId2" Type="http://schemas.openxmlformats.org/officeDocument/2006/relationships/drawing" Target="../drawings/drawing24.xml"/><Relationship Id="rId16" Type="http://schemas.openxmlformats.org/officeDocument/2006/relationships/ctrlProp" Target="../ctrlProps/ctrlProp41.xml"/><Relationship Id="rId20" Type="http://schemas.openxmlformats.org/officeDocument/2006/relationships/ctrlProp" Target="../ctrlProps/ctrlProp45.xml"/><Relationship Id="rId1" Type="http://schemas.openxmlformats.org/officeDocument/2006/relationships/hyperlink" Target="https://api.whatsapp.com/send?phone=5599999536677&amp;text=%20Ol&#225;,%20estou%20usando%20o%20PFDR.%20Gostaria%20de%20tirar%20d&#250;vidas!" TargetMode="External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24" Type="http://schemas.openxmlformats.org/officeDocument/2006/relationships/ctrlProp" Target="../ctrlProps/ctrlProp49.xml"/><Relationship Id="rId5" Type="http://schemas.openxmlformats.org/officeDocument/2006/relationships/ctrlProp" Target="../ctrlProps/ctrlProp30.xml"/><Relationship Id="rId15" Type="http://schemas.openxmlformats.org/officeDocument/2006/relationships/ctrlProp" Target="../ctrlProps/ctrlProp40.xml"/><Relationship Id="rId23" Type="http://schemas.openxmlformats.org/officeDocument/2006/relationships/ctrlProp" Target="../ctrlProps/ctrlProp48.xml"/><Relationship Id="rId10" Type="http://schemas.openxmlformats.org/officeDocument/2006/relationships/ctrlProp" Target="../ctrlProps/ctrlProp35.xml"/><Relationship Id="rId19" Type="http://schemas.openxmlformats.org/officeDocument/2006/relationships/ctrlProp" Target="../ctrlProps/ctrlProp44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Relationship Id="rId14" Type="http://schemas.openxmlformats.org/officeDocument/2006/relationships/ctrlProp" Target="../ctrlProps/ctrlProp39.xml"/><Relationship Id="rId22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73C09-5CED-46D7-BAD7-359E1694C2B4}">
  <sheetPr codeName="shtCapa"/>
  <dimension ref="A2"/>
  <sheetViews>
    <sheetView showGridLines="0" showRowColHeaders="0" zoomScaleNormal="100" workbookViewId="0">
      <pane ySplit="2" topLeftCell="A3" activePane="bottomLeft" state="frozen"/>
      <selection activeCell="G2" sqref="G2"/>
      <selection pane="bottomLeft" activeCell="D9" sqref="D9"/>
    </sheetView>
  </sheetViews>
  <sheetFormatPr defaultRowHeight="14.25"/>
  <sheetData>
    <row r="2" ht="18" customHeight="1"/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5BC29-FD13-4824-90AC-E34C94A09618}">
  <sheetPr codeName="Planilha02">
    <tabColor rgb="FFC00000"/>
    <pageSetUpPr fitToPage="1"/>
  </sheetPr>
  <dimension ref="A1:T52"/>
  <sheetViews>
    <sheetView showGridLines="0" showRowColHeaders="0" tabSelected="1" zoomScaleNormal="100" workbookViewId="0">
      <pane xSplit="19" ySplit="35" topLeftCell="T36" activePane="bottomRight" state="frozen"/>
      <selection activeCell="G2" sqref="G2"/>
      <selection pane="topRight" activeCell="G2" sqref="G2"/>
      <selection pane="bottomLeft" activeCell="G2" sqref="G2"/>
      <selection pane="bottomRight" activeCell="G29" sqref="G29"/>
    </sheetView>
  </sheetViews>
  <sheetFormatPr defaultColWidth="0" defaultRowHeight="14.25" zeroHeight="1"/>
  <cols>
    <col min="1" max="1" width="3.25" customWidth="1"/>
    <col min="2" max="2" width="9" customWidth="1"/>
    <col min="3" max="3" width="5.375" customWidth="1"/>
    <col min="4" max="14" width="9" customWidth="1"/>
    <col min="15" max="15" width="16.25" customWidth="1"/>
    <col min="16" max="18" width="9" customWidth="1"/>
    <col min="19" max="19" width="5.375" customWidth="1"/>
    <col min="20" max="20" width="1.375" customWidth="1"/>
    <col min="21" max="16384" width="9" hidden="1"/>
  </cols>
  <sheetData>
    <row r="1" spans="1:20">
      <c r="A1" s="1035"/>
      <c r="B1" s="1995"/>
      <c r="C1" s="1995"/>
      <c r="D1" s="1995"/>
      <c r="E1" s="1995"/>
      <c r="F1" s="1995"/>
      <c r="G1" s="1995"/>
      <c r="H1" s="1995"/>
      <c r="I1" s="1995"/>
      <c r="J1" s="1995"/>
      <c r="K1" s="1995"/>
      <c r="L1" s="1995"/>
      <c r="M1" s="1995"/>
      <c r="N1" s="1995"/>
      <c r="O1" s="1995"/>
      <c r="P1" s="1995"/>
      <c r="Q1" s="1995"/>
      <c r="R1" s="1995"/>
      <c r="S1" s="1035"/>
      <c r="T1" s="1035"/>
    </row>
    <row r="2" spans="1:20">
      <c r="A2" s="1035"/>
      <c r="B2" s="1995"/>
      <c r="C2" s="1995"/>
      <c r="D2" s="1995"/>
      <c r="E2" s="1995"/>
      <c r="F2" s="1995"/>
      <c r="G2" s="1995"/>
      <c r="H2" s="1995"/>
      <c r="I2" s="1995"/>
      <c r="J2" s="1995"/>
      <c r="K2" s="1995"/>
      <c r="L2" s="1995"/>
      <c r="M2" s="1995"/>
      <c r="N2" s="1995"/>
      <c r="O2" s="1995"/>
      <c r="P2" s="1995"/>
      <c r="Q2" s="1995"/>
      <c r="R2" s="1995"/>
      <c r="S2" s="1035"/>
      <c r="T2" s="1035"/>
    </row>
    <row r="3" spans="1:20">
      <c r="A3" s="1035"/>
      <c r="B3" s="1995"/>
      <c r="C3" s="1995"/>
      <c r="D3" s="1995"/>
      <c r="E3" s="1995"/>
      <c r="F3" s="1995"/>
      <c r="G3" s="1995"/>
      <c r="H3" s="1995"/>
      <c r="I3" s="1995"/>
      <c r="J3" s="1995"/>
      <c r="K3" s="1995"/>
      <c r="L3" s="1995"/>
      <c r="M3" s="1995"/>
      <c r="N3" s="1995"/>
      <c r="O3" s="1995"/>
      <c r="P3" s="1995"/>
      <c r="Q3" s="1995"/>
      <c r="R3" s="1995"/>
      <c r="S3" s="1035"/>
      <c r="T3" s="1035"/>
    </row>
    <row r="4" spans="1:20">
      <c r="A4" s="1035"/>
      <c r="B4" s="261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61"/>
      <c r="Q4" s="261"/>
      <c r="R4" s="261"/>
      <c r="S4" s="1035"/>
      <c r="T4" s="1035"/>
    </row>
    <row r="5" spans="1:20">
      <c r="A5" s="1035"/>
      <c r="B5" s="261"/>
      <c r="C5" s="261"/>
      <c r="D5" s="261"/>
      <c r="E5" s="261"/>
      <c r="F5" s="261"/>
      <c r="G5" s="261"/>
      <c r="H5" s="261"/>
      <c r="I5" s="261"/>
      <c r="J5" s="261"/>
      <c r="K5" s="261"/>
      <c r="L5" s="261"/>
      <c r="M5" s="261"/>
      <c r="N5" s="261"/>
      <c r="O5" s="261"/>
      <c r="P5" s="261"/>
      <c r="Q5" s="261"/>
      <c r="R5" s="261"/>
      <c r="S5" s="1035"/>
      <c r="T5" s="1035"/>
    </row>
    <row r="6" spans="1:20">
      <c r="A6" s="1035"/>
      <c r="B6" s="261"/>
      <c r="C6" s="261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1"/>
      <c r="Q6" s="261"/>
      <c r="R6" s="261"/>
      <c r="S6" s="1035"/>
      <c r="T6" s="1035"/>
    </row>
    <row r="7" spans="1:20">
      <c r="A7" s="1035"/>
      <c r="B7" s="261"/>
      <c r="C7" s="261"/>
      <c r="D7" s="261"/>
      <c r="E7" s="261"/>
      <c r="F7" s="261"/>
      <c r="G7" s="261"/>
      <c r="H7" s="261"/>
      <c r="I7" s="261"/>
      <c r="J7" s="261"/>
      <c r="K7" s="261"/>
      <c r="L7" s="261"/>
      <c r="M7" s="261"/>
      <c r="N7" s="261"/>
      <c r="O7" s="261"/>
      <c r="P7" s="261"/>
      <c r="Q7" s="261"/>
      <c r="R7" s="261"/>
      <c r="S7" s="1035"/>
      <c r="T7" s="1035"/>
    </row>
    <row r="8" spans="1:20">
      <c r="A8" s="1035"/>
      <c r="B8" s="261"/>
      <c r="C8" s="261"/>
      <c r="D8" s="261"/>
      <c r="E8" s="261"/>
      <c r="F8" s="261"/>
      <c r="G8" s="261"/>
      <c r="H8" s="261"/>
      <c r="I8" s="261"/>
      <c r="J8" s="261"/>
      <c r="K8" s="261"/>
      <c r="L8" s="261"/>
      <c r="M8" s="261"/>
      <c r="N8" s="261"/>
      <c r="O8" s="261"/>
      <c r="P8" s="261"/>
      <c r="Q8" s="261"/>
      <c r="R8" s="261"/>
      <c r="S8" s="1035"/>
      <c r="T8" s="1035"/>
    </row>
    <row r="9" spans="1:20">
      <c r="A9" s="1035"/>
      <c r="B9" s="261"/>
      <c r="C9" s="261"/>
      <c r="D9" s="261"/>
      <c r="E9" s="261"/>
      <c r="F9" s="261"/>
      <c r="G9" s="261"/>
      <c r="H9" s="261"/>
      <c r="I9" s="261"/>
      <c r="J9" s="261"/>
      <c r="K9" s="261"/>
      <c r="L9" s="261"/>
      <c r="M9" s="261"/>
      <c r="N9" s="261"/>
      <c r="O9" s="261"/>
      <c r="P9" s="261"/>
      <c r="Q9" s="261"/>
      <c r="R9" s="261"/>
      <c r="S9" s="1035"/>
      <c r="T9" s="1035"/>
    </row>
    <row r="10" spans="1:20">
      <c r="A10" s="1035"/>
      <c r="B10" s="261"/>
      <c r="C10" s="261"/>
      <c r="D10" s="261"/>
      <c r="E10" s="261"/>
      <c r="F10" s="261"/>
      <c r="G10" s="261"/>
      <c r="H10" s="261"/>
      <c r="I10" s="261"/>
      <c r="J10" s="261"/>
      <c r="K10" s="261"/>
      <c r="L10" s="261"/>
      <c r="M10" s="261"/>
      <c r="N10" s="261"/>
      <c r="O10" s="261"/>
      <c r="P10" s="261"/>
      <c r="Q10" s="261"/>
      <c r="R10" s="261"/>
      <c r="S10" s="1035"/>
      <c r="T10" s="1035"/>
    </row>
    <row r="11" spans="1:20">
      <c r="A11" s="1035"/>
      <c r="B11" s="261"/>
      <c r="C11" s="261"/>
      <c r="D11" s="261"/>
      <c r="E11" s="261"/>
      <c r="F11" s="261"/>
      <c r="G11" s="261"/>
      <c r="H11" s="261"/>
      <c r="I11" s="261"/>
      <c r="J11" s="261"/>
      <c r="K11" s="261"/>
      <c r="L11" s="261"/>
      <c r="M11" s="261"/>
      <c r="N11" s="261"/>
      <c r="O11" s="261"/>
      <c r="P11" s="261"/>
      <c r="Q11" s="261"/>
      <c r="R11" s="261"/>
      <c r="S11" s="1035"/>
      <c r="T11" s="1035"/>
    </row>
    <row r="12" spans="1:20">
      <c r="A12" s="1035"/>
      <c r="B12" s="261"/>
      <c r="C12" s="261"/>
      <c r="D12" s="261"/>
      <c r="E12" s="261"/>
      <c r="F12" s="261"/>
      <c r="G12" s="261"/>
      <c r="H12" s="261"/>
      <c r="I12" s="261"/>
      <c r="J12" s="261"/>
      <c r="K12" s="261"/>
      <c r="L12" s="261"/>
      <c r="M12" s="261"/>
      <c r="N12" s="261"/>
      <c r="O12" s="261"/>
      <c r="P12" s="261"/>
      <c r="Q12" s="261"/>
      <c r="R12" s="261"/>
      <c r="S12" s="1035"/>
      <c r="T12" s="1035"/>
    </row>
    <row r="13" spans="1:20">
      <c r="A13" s="1035"/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1"/>
      <c r="P13" s="261"/>
      <c r="Q13" s="261"/>
      <c r="R13" s="261"/>
      <c r="S13" s="1035"/>
      <c r="T13" s="1035"/>
    </row>
    <row r="14" spans="1:20">
      <c r="A14" s="1035"/>
      <c r="B14" s="261"/>
      <c r="C14" s="261"/>
      <c r="D14" s="261"/>
      <c r="E14" s="261"/>
      <c r="F14" s="261"/>
      <c r="G14" s="261"/>
      <c r="H14" s="261"/>
      <c r="I14" s="261"/>
      <c r="J14" s="261"/>
      <c r="K14" s="261"/>
      <c r="L14" s="261"/>
      <c r="M14" s="261"/>
      <c r="N14" s="261"/>
      <c r="O14" s="261"/>
      <c r="P14" s="261"/>
      <c r="Q14" s="261"/>
      <c r="R14" s="261"/>
      <c r="S14" s="1035"/>
      <c r="T14" s="1035"/>
    </row>
    <row r="15" spans="1:20">
      <c r="A15" s="1035"/>
      <c r="B15" s="261"/>
      <c r="C15" s="261"/>
      <c r="D15" s="261"/>
      <c r="E15" s="261"/>
      <c r="F15" s="261"/>
      <c r="G15" s="261"/>
      <c r="H15" s="261"/>
      <c r="I15" s="261"/>
      <c r="J15" s="261"/>
      <c r="K15" s="261"/>
      <c r="L15" s="261"/>
      <c r="M15" s="261"/>
      <c r="N15" s="261"/>
      <c r="O15" s="261"/>
      <c r="P15" s="261"/>
      <c r="Q15" s="261"/>
      <c r="R15" s="261"/>
      <c r="S15" s="1035"/>
      <c r="T15" s="1035"/>
    </row>
    <row r="16" spans="1:20">
      <c r="A16" s="1035"/>
      <c r="B16" s="261"/>
      <c r="C16" s="261"/>
      <c r="D16" s="261"/>
      <c r="E16" s="261"/>
      <c r="F16" s="261"/>
      <c r="G16" s="261"/>
      <c r="H16" s="261"/>
      <c r="I16" s="261"/>
      <c r="J16" s="261"/>
      <c r="K16" s="261"/>
      <c r="L16" s="261"/>
      <c r="M16" s="261"/>
      <c r="N16" s="261"/>
      <c r="O16" s="261"/>
      <c r="P16" s="261"/>
      <c r="Q16" s="261"/>
      <c r="R16" s="261"/>
      <c r="S16" s="1035"/>
      <c r="T16" s="1035"/>
    </row>
    <row r="17" spans="1:20">
      <c r="A17" s="1035"/>
      <c r="B17" s="261"/>
      <c r="C17" s="261"/>
      <c r="D17" s="261"/>
      <c r="E17" s="261"/>
      <c r="F17" s="261"/>
      <c r="G17" s="261"/>
      <c r="H17" s="261"/>
      <c r="I17" s="261"/>
      <c r="J17" s="261"/>
      <c r="K17" s="261"/>
      <c r="L17" s="261"/>
      <c r="M17" s="261"/>
      <c r="N17" s="261"/>
      <c r="O17" s="261"/>
      <c r="P17" s="261"/>
      <c r="Q17" s="261"/>
      <c r="R17" s="261"/>
      <c r="S17" s="1035"/>
      <c r="T17" s="1035"/>
    </row>
    <row r="18" spans="1:20">
      <c r="A18" s="1035"/>
      <c r="B18" s="261"/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261"/>
      <c r="N18" s="261"/>
      <c r="O18" s="261"/>
      <c r="P18" s="261"/>
      <c r="Q18" s="261"/>
      <c r="R18" s="261"/>
      <c r="S18" s="1035"/>
      <c r="T18" s="1035"/>
    </row>
    <row r="19" spans="1:20">
      <c r="A19" s="1035"/>
      <c r="B19" s="261"/>
      <c r="C19" s="261"/>
      <c r="D19" s="261"/>
      <c r="E19" s="261"/>
      <c r="F19" s="261"/>
      <c r="G19" s="261"/>
      <c r="H19" s="261"/>
      <c r="I19" s="261"/>
      <c r="J19" s="261"/>
      <c r="K19" s="261"/>
      <c r="L19" s="261"/>
      <c r="M19" s="261"/>
      <c r="N19" s="261"/>
      <c r="O19" s="261"/>
      <c r="P19" s="261"/>
      <c r="Q19" s="261"/>
      <c r="R19" s="261"/>
      <c r="S19" s="1035"/>
      <c r="T19" s="1035"/>
    </row>
    <row r="20" spans="1:20">
      <c r="A20" s="1035"/>
      <c r="B20" s="261"/>
      <c r="C20" s="261"/>
      <c r="D20" s="261"/>
      <c r="E20" s="261"/>
      <c r="F20" s="261"/>
      <c r="G20" s="261"/>
      <c r="H20" s="261"/>
      <c r="I20" s="261"/>
      <c r="J20" s="261"/>
      <c r="K20" s="261"/>
      <c r="L20" s="261"/>
      <c r="M20" s="261"/>
      <c r="N20" s="261"/>
      <c r="O20" s="261"/>
      <c r="P20" s="261"/>
      <c r="Q20" s="261"/>
      <c r="R20" s="261"/>
      <c r="S20" s="1035"/>
      <c r="T20" s="1035"/>
    </row>
    <row r="21" spans="1:20">
      <c r="A21" s="1035"/>
      <c r="B21" s="261"/>
      <c r="C21" s="261"/>
      <c r="D21" s="261"/>
      <c r="E21" s="261"/>
      <c r="F21" s="261"/>
      <c r="G21" s="261"/>
      <c r="H21" s="261"/>
      <c r="I21" s="261"/>
      <c r="J21" s="261"/>
      <c r="K21" s="261"/>
      <c r="L21" s="261"/>
      <c r="M21" s="261"/>
      <c r="N21" s="261"/>
      <c r="O21" s="261"/>
      <c r="P21" s="261"/>
      <c r="Q21" s="261"/>
      <c r="R21" s="261"/>
      <c r="S21" s="1035"/>
      <c r="T21" s="1035"/>
    </row>
    <row r="22" spans="1:20">
      <c r="A22" s="1035"/>
      <c r="B22" s="261"/>
      <c r="C22" s="261"/>
      <c r="D22" s="261"/>
      <c r="E22" s="261"/>
      <c r="F22" s="261"/>
      <c r="G22" s="261"/>
      <c r="H22" s="261"/>
      <c r="I22" s="261"/>
      <c r="J22" s="261"/>
      <c r="K22" s="261"/>
      <c r="L22" s="261"/>
      <c r="M22" s="261"/>
      <c r="N22" s="261"/>
      <c r="O22" s="261"/>
      <c r="P22" s="261"/>
      <c r="Q22" s="261"/>
      <c r="R22" s="261"/>
      <c r="S22" s="1035"/>
      <c r="T22" s="1035"/>
    </row>
    <row r="23" spans="1:20">
      <c r="A23" s="1035"/>
      <c r="B23" s="261"/>
      <c r="C23" s="261"/>
      <c r="D23" s="261"/>
      <c r="E23" s="261"/>
      <c r="F23" s="261"/>
      <c r="G23" s="261"/>
      <c r="H23" s="261"/>
      <c r="I23" s="261"/>
      <c r="J23" s="261"/>
      <c r="K23" s="261"/>
      <c r="L23" s="261"/>
      <c r="M23" s="261"/>
      <c r="N23" s="261"/>
      <c r="O23" s="261"/>
      <c r="P23" s="261"/>
      <c r="Q23" s="261"/>
      <c r="R23" s="261"/>
      <c r="S23" s="1035"/>
      <c r="T23" s="1035"/>
    </row>
    <row r="24" spans="1:20">
      <c r="A24" s="1035"/>
      <c r="B24" s="261"/>
      <c r="C24" s="261"/>
      <c r="D24" s="261"/>
      <c r="E24" s="261"/>
      <c r="F24" s="261"/>
      <c r="G24" s="261"/>
      <c r="H24" s="261"/>
      <c r="I24" s="261"/>
      <c r="J24" s="261"/>
      <c r="K24" s="261"/>
      <c r="L24" s="261"/>
      <c r="M24" s="261"/>
      <c r="N24" s="261"/>
      <c r="O24" s="261"/>
      <c r="P24" s="261"/>
      <c r="Q24" s="261"/>
      <c r="R24" s="261"/>
      <c r="S24" s="1035"/>
      <c r="T24" s="1035"/>
    </row>
    <row r="25" spans="1:20">
      <c r="A25" s="1035"/>
      <c r="B25" s="261"/>
      <c r="C25" s="261"/>
      <c r="D25" s="261"/>
      <c r="E25" s="261"/>
      <c r="F25" s="261"/>
      <c r="G25" s="261"/>
      <c r="H25" s="261"/>
      <c r="I25" s="261"/>
      <c r="J25" s="261"/>
      <c r="K25" s="261"/>
      <c r="L25" s="261"/>
      <c r="M25" s="261"/>
      <c r="N25" s="261"/>
      <c r="O25" s="261"/>
      <c r="P25" s="261"/>
      <c r="Q25" s="261"/>
      <c r="R25" s="261"/>
      <c r="S25" s="1035"/>
      <c r="T25" s="1035"/>
    </row>
    <row r="26" spans="1:20">
      <c r="A26" s="1035"/>
      <c r="B26" s="261"/>
      <c r="C26" s="261"/>
      <c r="D26" s="261"/>
      <c r="E26" s="261"/>
      <c r="F26" s="261"/>
      <c r="G26" s="261"/>
      <c r="H26" s="261"/>
      <c r="I26" s="261"/>
      <c r="J26" s="261"/>
      <c r="K26" s="261"/>
      <c r="L26" s="261"/>
      <c r="M26" s="261"/>
      <c r="N26" s="261"/>
      <c r="O26" s="261"/>
      <c r="P26" s="261"/>
      <c r="Q26" s="261"/>
      <c r="R26" s="261"/>
      <c r="S26" s="1035"/>
      <c r="T26" s="1035"/>
    </row>
    <row r="27" spans="1:20">
      <c r="A27" s="1035"/>
      <c r="B27" s="261"/>
      <c r="C27" s="261"/>
      <c r="D27" s="261"/>
      <c r="E27" s="261"/>
      <c r="F27" s="261"/>
      <c r="G27" s="261"/>
      <c r="H27" s="261"/>
      <c r="I27" s="261"/>
      <c r="J27" s="261"/>
      <c r="K27" s="261"/>
      <c r="L27" s="261"/>
      <c r="M27" s="261"/>
      <c r="N27" s="261"/>
      <c r="O27" s="261"/>
      <c r="P27" s="261"/>
      <c r="Q27" s="261"/>
      <c r="R27" s="261"/>
      <c r="S27" s="1035"/>
      <c r="T27" s="1035"/>
    </row>
    <row r="28" spans="1:20">
      <c r="A28" s="1035"/>
      <c r="B28" s="261"/>
      <c r="C28" s="261"/>
      <c r="D28" s="261"/>
      <c r="E28" s="261"/>
      <c r="F28" s="261"/>
      <c r="G28" s="261"/>
      <c r="H28" s="261"/>
      <c r="I28" s="261"/>
      <c r="J28" s="261"/>
      <c r="K28" s="261"/>
      <c r="L28" s="261"/>
      <c r="M28" s="261"/>
      <c r="N28" s="261"/>
      <c r="O28" s="261"/>
      <c r="P28" s="261"/>
      <c r="Q28" s="261"/>
      <c r="R28" s="261"/>
      <c r="S28" s="1035"/>
      <c r="T28" s="1035"/>
    </row>
    <row r="29" spans="1:20" ht="42" customHeight="1">
      <c r="A29" s="1035"/>
      <c r="B29" s="261"/>
      <c r="C29" s="261"/>
      <c r="D29" s="261"/>
      <c r="E29" s="261"/>
      <c r="F29" s="261"/>
      <c r="G29" s="261"/>
      <c r="H29" s="261"/>
      <c r="I29" s="261"/>
      <c r="J29" s="261"/>
      <c r="K29" s="261"/>
      <c r="L29" s="261"/>
      <c r="M29" s="261"/>
      <c r="N29" s="261"/>
      <c r="O29" s="261"/>
      <c r="P29" s="261"/>
      <c r="Q29" s="261"/>
      <c r="R29" s="261"/>
      <c r="S29" s="1035"/>
      <c r="T29" s="1035"/>
    </row>
    <row r="30" spans="1:20" ht="9" customHeight="1">
      <c r="A30" s="1035"/>
      <c r="B30" s="261"/>
      <c r="C30" s="261"/>
      <c r="D30" s="261"/>
      <c r="E30" s="261"/>
      <c r="F30" s="261"/>
      <c r="G30" s="261"/>
      <c r="H30" s="261"/>
      <c r="I30" s="261"/>
      <c r="J30" s="261"/>
      <c r="K30" s="261"/>
      <c r="L30" s="261"/>
      <c r="M30" s="261"/>
      <c r="N30" s="261"/>
      <c r="O30" s="261"/>
      <c r="P30" s="261"/>
      <c r="Q30" s="261"/>
      <c r="R30" s="261"/>
      <c r="S30" s="1035"/>
      <c r="T30" s="1035"/>
    </row>
    <row r="31" spans="1:20" ht="9" customHeight="1">
      <c r="A31" s="1035"/>
      <c r="B31" s="261"/>
      <c r="C31" s="261"/>
      <c r="D31" s="261"/>
      <c r="E31" s="261"/>
      <c r="F31" s="261"/>
      <c r="G31" s="261"/>
      <c r="H31" s="261"/>
      <c r="I31" s="261"/>
      <c r="J31" s="261"/>
      <c r="K31" s="261"/>
      <c r="L31" s="261"/>
      <c r="M31" s="261"/>
      <c r="N31" s="261"/>
      <c r="O31" s="261"/>
      <c r="P31" s="261"/>
      <c r="Q31" s="261"/>
      <c r="R31" s="261"/>
      <c r="S31" s="1035"/>
      <c r="T31" s="1035"/>
    </row>
    <row r="32" spans="1:20">
      <c r="A32" s="1035"/>
      <c r="B32" s="261"/>
      <c r="C32" s="261"/>
      <c r="D32" s="261"/>
      <c r="E32" s="261"/>
      <c r="F32" s="261"/>
      <c r="G32" s="261"/>
      <c r="H32" s="261"/>
      <c r="I32" s="261"/>
      <c r="J32" s="261"/>
      <c r="K32" s="261"/>
      <c r="L32" s="261"/>
      <c r="M32" s="261"/>
      <c r="N32" s="261"/>
      <c r="O32" s="261"/>
      <c r="P32" s="261"/>
      <c r="Q32" s="261"/>
      <c r="R32" s="261"/>
      <c r="S32" s="1035"/>
      <c r="T32" s="1035"/>
    </row>
    <row r="33" spans="1:20">
      <c r="A33" s="1035"/>
      <c r="B33" s="1037"/>
      <c r="C33" s="1035"/>
      <c r="D33" s="1035"/>
      <c r="E33" s="1035"/>
      <c r="F33" s="1035"/>
      <c r="G33" s="1035"/>
      <c r="H33" s="1035"/>
      <c r="I33" s="1035"/>
      <c r="J33" s="1035"/>
      <c r="K33" s="1035"/>
      <c r="L33" s="1035"/>
      <c r="M33" s="1035"/>
      <c r="N33" s="1035"/>
      <c r="O33" s="1035"/>
      <c r="P33" s="1035"/>
      <c r="Q33" s="1035"/>
      <c r="R33" s="1035"/>
      <c r="S33" s="1035"/>
      <c r="T33" s="1035"/>
    </row>
    <row r="34" spans="1:20">
      <c r="A34" s="1035"/>
      <c r="B34" s="1035"/>
      <c r="C34" s="1035"/>
      <c r="D34" s="1035"/>
      <c r="E34" s="1035"/>
      <c r="F34" s="1035"/>
      <c r="G34" s="1035"/>
      <c r="H34" s="1035"/>
      <c r="I34" s="1035"/>
      <c r="J34" s="1035"/>
      <c r="K34" s="1035"/>
      <c r="L34" s="1035"/>
      <c r="M34" s="1035"/>
      <c r="N34" s="1035"/>
      <c r="O34" s="1035"/>
      <c r="P34" s="1035"/>
      <c r="Q34" s="1035"/>
      <c r="R34" s="1035"/>
      <c r="S34" s="1035"/>
      <c r="T34" s="1036"/>
    </row>
    <row r="35" spans="1:20">
      <c r="A35" s="1035"/>
      <c r="B35" s="1035"/>
      <c r="C35" s="1035"/>
      <c r="D35" s="1035"/>
      <c r="E35" s="1035"/>
      <c r="F35" s="1035"/>
      <c r="G35" s="1035"/>
      <c r="H35" s="1035"/>
      <c r="I35" s="1035"/>
      <c r="J35" s="1035"/>
      <c r="K35" s="1035"/>
      <c r="L35" s="1035"/>
      <c r="M35" s="1035"/>
      <c r="N35" s="1035"/>
      <c r="O35" s="1035"/>
      <c r="P35" s="1035"/>
      <c r="Q35" s="1035"/>
      <c r="R35" s="1035"/>
      <c r="S35" s="1035"/>
      <c r="T35" s="1036"/>
    </row>
    <row r="36" spans="1:20">
      <c r="A36" s="1035"/>
      <c r="B36" s="1035"/>
      <c r="C36" s="1035"/>
      <c r="D36" s="1035"/>
      <c r="E36" s="1035"/>
      <c r="F36" s="1035"/>
      <c r="G36" s="1035"/>
      <c r="H36" s="1035"/>
      <c r="I36" s="1035"/>
      <c r="J36" s="1035"/>
      <c r="K36" s="1035"/>
      <c r="L36" s="1035"/>
      <c r="M36" s="1035"/>
      <c r="N36" s="1035"/>
      <c r="O36" s="1035"/>
      <c r="P36" s="1035"/>
      <c r="Q36" s="1035"/>
      <c r="R36" s="1035"/>
      <c r="S36" s="1035"/>
      <c r="T36" s="1036"/>
    </row>
    <row r="37" spans="1:20">
      <c r="A37" s="1035"/>
      <c r="B37" s="1035"/>
      <c r="C37" s="1035"/>
      <c r="D37" s="1035"/>
      <c r="E37" s="1035"/>
      <c r="F37" s="1035"/>
      <c r="G37" s="1035"/>
      <c r="H37" s="1035"/>
      <c r="I37" s="1035"/>
      <c r="J37" s="1035"/>
      <c r="K37" s="1035"/>
      <c r="L37" s="1035"/>
      <c r="M37" s="1035"/>
      <c r="N37" s="1035"/>
      <c r="O37" s="1035"/>
      <c r="P37" s="1035"/>
      <c r="Q37" s="1035"/>
      <c r="R37" s="1035"/>
      <c r="S37" s="1035"/>
      <c r="T37" s="1036"/>
    </row>
    <row r="38" spans="1:20">
      <c r="A38" s="261"/>
      <c r="B38" s="261"/>
      <c r="C38" s="261"/>
      <c r="D38" s="261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P38" s="261"/>
      <c r="Q38" s="261"/>
      <c r="R38" s="261"/>
      <c r="S38" s="261"/>
      <c r="T38" s="653"/>
    </row>
    <row r="39" spans="1:20">
      <c r="A39" s="261"/>
      <c r="B39" s="261"/>
      <c r="C39" s="261"/>
      <c r="D39" s="261"/>
      <c r="E39" s="261"/>
      <c r="F39" s="261"/>
      <c r="G39" s="261"/>
      <c r="H39" s="261"/>
      <c r="I39" s="261"/>
      <c r="J39" s="261"/>
      <c r="K39" s="261"/>
      <c r="L39" s="261"/>
      <c r="M39" s="261"/>
      <c r="N39" s="261"/>
      <c r="O39" s="261"/>
      <c r="P39" s="261"/>
      <c r="Q39" s="261"/>
      <c r="R39" s="261"/>
      <c r="S39" s="261"/>
      <c r="T39" s="653"/>
    </row>
    <row r="40" spans="1:20">
      <c r="A40" s="261"/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1"/>
      <c r="P40" s="261"/>
      <c r="Q40" s="261"/>
      <c r="R40" s="261"/>
      <c r="S40" s="261"/>
      <c r="T40" s="653"/>
    </row>
    <row r="41" spans="1:20">
      <c r="A41" s="261"/>
      <c r="B41" s="261"/>
      <c r="C41" s="261"/>
      <c r="D41" s="261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P41" s="261"/>
      <c r="Q41" s="261"/>
      <c r="R41" s="261"/>
      <c r="S41" s="261"/>
      <c r="T41" s="653"/>
    </row>
    <row r="42" spans="1:20">
      <c r="A42" s="261"/>
      <c r="B42" s="261"/>
      <c r="C42" s="261"/>
      <c r="D42" s="261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P42" s="261"/>
      <c r="Q42" s="261"/>
      <c r="R42" s="261"/>
      <c r="S42" s="261"/>
      <c r="T42" s="653"/>
    </row>
    <row r="43" spans="1:20">
      <c r="A43" s="261"/>
      <c r="B43" s="261"/>
      <c r="C43" s="261"/>
      <c r="D43" s="261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P43" s="261"/>
      <c r="Q43" s="261"/>
      <c r="R43" s="261"/>
      <c r="S43" s="261"/>
      <c r="T43" s="653"/>
    </row>
    <row r="44" spans="1:20">
      <c r="A44" s="261"/>
      <c r="B44" s="261"/>
      <c r="C44" s="261"/>
      <c r="D44" s="261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P44" s="261"/>
      <c r="Q44" s="261"/>
      <c r="R44" s="261"/>
      <c r="S44" s="261"/>
      <c r="T44" s="653"/>
    </row>
    <row r="45" spans="1:20">
      <c r="A45" s="261"/>
      <c r="B45" s="261"/>
      <c r="C45" s="261"/>
      <c r="D45" s="261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P45" s="261"/>
      <c r="Q45" s="261"/>
      <c r="R45" s="261"/>
      <c r="S45" s="261"/>
      <c r="T45" s="653"/>
    </row>
    <row r="46" spans="1:20">
      <c r="A46" s="261"/>
      <c r="B46" s="261"/>
      <c r="C46" s="261"/>
      <c r="D46" s="261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P46" s="261"/>
      <c r="Q46" s="261"/>
      <c r="R46" s="261"/>
      <c r="S46" s="261"/>
      <c r="T46" s="653"/>
    </row>
    <row r="47" spans="1:20">
      <c r="A47" s="261"/>
      <c r="B47" s="261"/>
      <c r="C47" s="261"/>
      <c r="D47" s="261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P47" s="261"/>
      <c r="Q47" s="261"/>
      <c r="R47" s="261"/>
      <c r="S47" s="261"/>
      <c r="T47" s="653"/>
    </row>
    <row r="48" spans="1:20">
      <c r="A48" s="261"/>
      <c r="B48" s="261"/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653"/>
    </row>
    <row r="49" spans="1:20">
      <c r="A49" s="261"/>
      <c r="B49" s="261"/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  <c r="N49" s="261"/>
      <c r="O49" s="261"/>
      <c r="P49" s="261"/>
      <c r="Q49" s="261"/>
      <c r="R49" s="261"/>
      <c r="S49" s="261"/>
      <c r="T49" s="653"/>
    </row>
    <row r="50" spans="1:20">
      <c r="A50" s="261"/>
      <c r="B50" s="261"/>
      <c r="C50" s="261"/>
      <c r="D50" s="261"/>
      <c r="E50" s="261"/>
      <c r="F50" s="261"/>
      <c r="G50" s="261"/>
      <c r="H50" s="261"/>
      <c r="I50" s="261"/>
      <c r="J50" s="261"/>
      <c r="K50" s="261"/>
      <c r="L50" s="261"/>
      <c r="M50" s="261"/>
      <c r="N50" s="261"/>
      <c r="O50" s="261"/>
      <c r="P50" s="261"/>
      <c r="Q50" s="261"/>
      <c r="R50" s="261"/>
      <c r="S50" s="261"/>
      <c r="T50" s="653"/>
    </row>
    <row r="51" spans="1:20">
      <c r="A51" s="261"/>
      <c r="B51" s="261"/>
      <c r="C51" s="261"/>
      <c r="D51" s="261"/>
      <c r="E51" s="261"/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  <c r="S51" s="261"/>
      <c r="T51" s="653"/>
    </row>
    <row r="52" spans="1:20" hidden="1">
      <c r="A52" s="261"/>
      <c r="B52" s="261"/>
      <c r="C52" s="261"/>
      <c r="D52" s="261"/>
      <c r="E52" s="261"/>
      <c r="F52" s="261"/>
      <c r="G52" s="261"/>
      <c r="H52" s="261"/>
      <c r="I52" s="261"/>
      <c r="J52" s="261"/>
      <c r="K52" s="261"/>
      <c r="L52" s="261"/>
      <c r="M52" s="261"/>
      <c r="N52" s="261"/>
      <c r="O52" s="261"/>
      <c r="P52" s="261"/>
      <c r="Q52" s="261"/>
      <c r="R52" s="261"/>
      <c r="S52" s="261"/>
    </row>
  </sheetData>
  <sheetProtection selectLockedCells="1" selectUnlockedCells="1"/>
  <pageMargins left="0.511811024" right="0.511811024" top="0.78740157499999996" bottom="0.78740157499999996" header="0.31496062000000002" footer="0.31496062000000002"/>
  <pageSetup paperSize="9" scale="71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7E54D-5B1D-4C1C-BC35-98A629880CD1}">
  <sheetPr codeName="Planilha12"/>
  <dimension ref="A1:B100"/>
  <sheetViews>
    <sheetView showGridLines="0" zoomScaleNormal="100" workbookViewId="0">
      <selection activeCell="C1" sqref="C1"/>
    </sheetView>
  </sheetViews>
  <sheetFormatPr defaultRowHeight="14.25"/>
  <cols>
    <col min="1" max="1" width="7.625" customWidth="1"/>
    <col min="2" max="2" width="8.25" bestFit="1" customWidth="1"/>
  </cols>
  <sheetData>
    <row r="1" spans="1:2">
      <c r="A1" s="747">
        <f>((120*'Calc.Exg'!$I$18)+('Calc.Exg'!$I$35-(120*'Calc.Exg'!$I$18)*0.64)/0.8)/1000</f>
        <v>0.52419305647828351</v>
      </c>
      <c r="B1" s="747">
        <f>-53.07 + (304.89 * (A1)) + (90.79 *'Calc.Exg'!$I$18) - (3.13 * 'Calc.Exg'!$I$18*'Calc.Exg'!$I$18)</f>
        <v>345.14915946809072</v>
      </c>
    </row>
    <row r="2" spans="1:2">
      <c r="A2" s="747">
        <f>(B1+('Calc.Exg'!$I$35-(B1*0.64))/0.8)/1000</f>
        <v>0.52314991494006446</v>
      </c>
      <c r="B2" s="747">
        <f>-53.07 + (304.89 * (A2)) + (90.79 *'Calc.Exg'!$I$18) - (3.13 * 'Calc.Exg'!$I$18*'Calc.Exg'!$I$18)</f>
        <v>344.83111604450312</v>
      </c>
    </row>
    <row r="3" spans="1:2">
      <c r="A3" s="747">
        <f>(B2+('Calc.Exg'!$I$35-(B2*0.64))/0.8)/1000</f>
        <v>0.52308630625534691</v>
      </c>
      <c r="B3" s="747">
        <f>-53.07 + (304.89 * (A3)) + (90.79 *'Calc.Exg'!$I$18) - (3.13 * 'Calc.Exg'!$I$18*'Calc.Exg'!$I$18)</f>
        <v>344.81172239261957</v>
      </c>
    </row>
    <row r="4" spans="1:2">
      <c r="A4" s="747">
        <f>(B3+('Calc.Exg'!$I$35-(B3*0.64))/0.8)/1000</f>
        <v>0.52308242752497014</v>
      </c>
      <c r="B4" s="747">
        <f>-53.07 + (304.89 * (A4)) + (90.79 *'Calc.Exg'!$I$18) - (3.13 * 'Calc.Exg'!$I$18*'Calc.Exg'!$I$18)</f>
        <v>344.81053980651501</v>
      </c>
    </row>
    <row r="5" spans="1:2">
      <c r="A5" s="747">
        <f>(B4+('Calc.Exg'!$I$35-(B4*0.64))/0.8)/1000</f>
        <v>0.52308219100774933</v>
      </c>
      <c r="B5" s="747">
        <f>-53.07 + (304.89 * (A5)) + (90.79 *'Calc.Exg'!$I$18) - (3.13 * 'Calc.Exg'!$I$18*'Calc.Exg'!$I$18)</f>
        <v>344.8104676947795</v>
      </c>
    </row>
    <row r="6" spans="1:2">
      <c r="A6" s="747">
        <f>(B5+('Calc.Exg'!$I$35-(B5*0.64))/0.8)/1000</f>
        <v>0.52308217658540213</v>
      </c>
      <c r="B6" s="747">
        <f>-53.07 + (304.89 * (A6)) + (90.79 *'Calc.Exg'!$I$18) - (3.13 * 'Calc.Exg'!$I$18*'Calc.Exg'!$I$18)</f>
        <v>344.81046329755009</v>
      </c>
    </row>
    <row r="7" spans="1:2">
      <c r="A7" s="747">
        <f>(B6+('Calc.Exg'!$I$35-(B6*0.64))/0.8)/1000</f>
        <v>0.52308217570595628</v>
      </c>
      <c r="B7" s="747">
        <f>-53.07 + (304.89 * (A7)) + (90.79 *'Calc.Exg'!$I$18) - (3.13 * 'Calc.Exg'!$I$18*'Calc.Exg'!$I$18)</f>
        <v>344.81046302941587</v>
      </c>
    </row>
    <row r="8" spans="1:2">
      <c r="A8" s="747">
        <f>(B7+('Calc.Exg'!$I$35-(B7*0.64))/0.8)/1000</f>
        <v>0.5230821756523294</v>
      </c>
      <c r="B8" s="747">
        <f>-53.07 + (304.89 * (A8)) + (90.79 *'Calc.Exg'!$I$18) - (3.13 * 'Calc.Exg'!$I$18*'Calc.Exg'!$I$18)</f>
        <v>344.8104630130656</v>
      </c>
    </row>
    <row r="9" spans="1:2">
      <c r="A9" s="747">
        <f>(B8+('Calc.Exg'!$I$35-(B8*0.64))/0.8)/1000</f>
        <v>0.52308217564905946</v>
      </c>
      <c r="B9" s="747">
        <f>-53.07 + (304.89 * (A9)) + (90.79 *'Calc.Exg'!$I$18) - (3.13 * 'Calc.Exg'!$I$18*'Calc.Exg'!$I$18)</f>
        <v>344.81046301206857</v>
      </c>
    </row>
    <row r="10" spans="1:2">
      <c r="A10" s="747">
        <f>(B9+('Calc.Exg'!$I$35-(B9*0.64))/0.8)/1000</f>
        <v>0.52308217564886006</v>
      </c>
      <c r="B10" s="747">
        <f>-53.07 + (304.89 * (A10)) + (90.79 *'Calc.Exg'!$I$18) - (3.13 * 'Calc.Exg'!$I$18*'Calc.Exg'!$I$18)</f>
        <v>344.8104630120078</v>
      </c>
    </row>
    <row r="11" spans="1:2">
      <c r="A11" s="747">
        <f>(B10+('Calc.Exg'!$I$35-(B10*0.64))/0.8)/1000</f>
        <v>0.52308217564884785</v>
      </c>
      <c r="B11" s="747">
        <f>-53.07 + (304.89 * (A11)) + (90.79 *'Calc.Exg'!$I$18) - (3.13 * 'Calc.Exg'!$I$18*'Calc.Exg'!$I$18)</f>
        <v>344.81046301200411</v>
      </c>
    </row>
    <row r="12" spans="1:2">
      <c r="A12" s="747">
        <f>(B11+('Calc.Exg'!$I$35-(B11*0.64))/0.8)/1000</f>
        <v>0.52308217564884707</v>
      </c>
      <c r="B12" s="747">
        <f>-53.07 + (304.89 * (A12)) + (90.79 *'Calc.Exg'!$I$18) - (3.13 * 'Calc.Exg'!$I$18*'Calc.Exg'!$I$18)</f>
        <v>344.81046301200382</v>
      </c>
    </row>
    <row r="13" spans="1:2">
      <c r="A13" s="747">
        <f>(B12+('Calc.Exg'!$I$35-(B12*0.64))/0.8)/1000</f>
        <v>0.52308217564884707</v>
      </c>
      <c r="B13" s="747">
        <f>-53.07 + (304.89 * (A13)) + (90.79 *'Calc.Exg'!$I$18) - (3.13 * 'Calc.Exg'!$I$18*'Calc.Exg'!$I$18)</f>
        <v>344.81046301200382</v>
      </c>
    </row>
    <row r="14" spans="1:2">
      <c r="A14" s="747">
        <f>(B13+('Calc.Exg'!$I$35-(B13*0.64))/0.8)/1000</f>
        <v>0.52308217564884707</v>
      </c>
      <c r="B14" s="747">
        <f>-53.07 + (304.89 * (A14)) + (90.79 *'Calc.Exg'!$I$18) - (3.13 * 'Calc.Exg'!$I$18*'Calc.Exg'!$I$18)</f>
        <v>344.81046301200382</v>
      </c>
    </row>
    <row r="15" spans="1:2">
      <c r="A15" s="747">
        <f>(B14+('Calc.Exg'!$I$35-(B14*0.64))/0.8)/1000</f>
        <v>0.52308217564884707</v>
      </c>
      <c r="B15" s="747">
        <f>-53.07 + (304.89 * (A15)) + (90.79 *'Calc.Exg'!$I$18) - (3.13 * 'Calc.Exg'!$I$18*'Calc.Exg'!$I$18)</f>
        <v>344.81046301200382</v>
      </c>
    </row>
    <row r="16" spans="1:2">
      <c r="A16" s="747">
        <f>(B15+('Calc.Exg'!$I$35-(B15*0.64))/0.8)/1000</f>
        <v>0.52308217564884707</v>
      </c>
      <c r="B16" s="747">
        <f>-53.07 + (304.89 * (A16)) + (90.79 *'Calc.Exg'!$I$18) - (3.13 * 'Calc.Exg'!$I$18*'Calc.Exg'!$I$18)</f>
        <v>344.81046301200382</v>
      </c>
    </row>
    <row r="17" spans="1:2">
      <c r="A17" s="747">
        <f>(B16+('Calc.Exg'!$I$35-(B16*0.64))/0.8)/1000</f>
        <v>0.52308217564884707</v>
      </c>
      <c r="B17" s="747">
        <f>-53.07 + (304.89 * (A17)) + (90.79 *'Calc.Exg'!$I$18) - (3.13 * 'Calc.Exg'!$I$18*'Calc.Exg'!$I$18)</f>
        <v>344.81046301200382</v>
      </c>
    </row>
    <row r="18" spans="1:2">
      <c r="A18" s="747">
        <f>(B17+('Calc.Exg'!$I$35-(B17*0.64))/0.8)/1000</f>
        <v>0.52308217564884707</v>
      </c>
      <c r="B18" s="747">
        <f>-53.07 + (304.89 * (A18)) + (90.79 *'Calc.Exg'!$I$18) - (3.13 * 'Calc.Exg'!$I$18*'Calc.Exg'!$I$18)</f>
        <v>344.81046301200382</v>
      </c>
    </row>
    <row r="19" spans="1:2">
      <c r="A19" s="747">
        <f>(B18+('Calc.Exg'!$I$35-(B18*0.64))/0.8)/1000</f>
        <v>0.52308217564884707</v>
      </c>
      <c r="B19" s="747">
        <f>-53.07 + (304.89 * (A19)) + (90.79 *'Calc.Exg'!$I$18) - (3.13 * 'Calc.Exg'!$I$18*'Calc.Exg'!$I$18)</f>
        <v>344.81046301200382</v>
      </c>
    </row>
    <row r="20" spans="1:2">
      <c r="A20" s="747">
        <f>(B19+('Calc.Exg'!$I$35-(B19*0.64))/0.8)/1000</f>
        <v>0.52308217564884707</v>
      </c>
      <c r="B20" s="747">
        <f>-53.07 + (304.89 * (A20)) + (90.79 *'Calc.Exg'!$I$18) - (3.13 * 'Calc.Exg'!$I$18*'Calc.Exg'!$I$18)</f>
        <v>344.81046301200382</v>
      </c>
    </row>
    <row r="21" spans="1:2">
      <c r="A21" s="747">
        <f>(B20+('Calc.Exg'!$I$35-(B20*0.64))/0.8)/1000</f>
        <v>0.52308217564884707</v>
      </c>
      <c r="B21" s="747">
        <f>-53.07 + (304.89 * (A21)) + (90.79 *'Calc.Exg'!$I$18) - (3.13 * 'Calc.Exg'!$I$18*'Calc.Exg'!$I$18)</f>
        <v>344.81046301200382</v>
      </c>
    </row>
    <row r="22" spans="1:2">
      <c r="A22" s="747">
        <f>(B21+('Calc.Exg'!$I$35-(B21*0.64))/0.8)/1000</f>
        <v>0.52308217564884707</v>
      </c>
      <c r="B22" s="747">
        <f>-53.07 + (304.89 * (A22)) + (90.79 *'Calc.Exg'!$I$18) - (3.13 * 'Calc.Exg'!$I$18*'Calc.Exg'!$I$18)</f>
        <v>344.81046301200382</v>
      </c>
    </row>
    <row r="23" spans="1:2">
      <c r="A23" s="747">
        <f>(B22+('Calc.Exg'!$I$35-(B22*0.64))/0.8)/1000</f>
        <v>0.52308217564884707</v>
      </c>
      <c r="B23" s="747">
        <f>-53.07 + (304.89 * (A23)) + (90.79 *'Calc.Exg'!$I$18) - (3.13 * 'Calc.Exg'!$I$18*'Calc.Exg'!$I$18)</f>
        <v>344.81046301200382</v>
      </c>
    </row>
    <row r="24" spans="1:2">
      <c r="A24" s="747">
        <f>(B23+('Calc.Exg'!$I$35-(B23*0.64))/0.8)/1000</f>
        <v>0.52308217564884707</v>
      </c>
      <c r="B24" s="747">
        <f>-53.07 + (304.89 * (A24)) + (90.79 *'Calc.Exg'!$I$18) - (3.13 * 'Calc.Exg'!$I$18*'Calc.Exg'!$I$18)</f>
        <v>344.81046301200382</v>
      </c>
    </row>
    <row r="25" spans="1:2">
      <c r="A25" s="747">
        <f>(B24+('Calc.Exg'!$I$35-(B24*0.64))/0.8)/1000</f>
        <v>0.52308217564884707</v>
      </c>
      <c r="B25" s="747">
        <f>-53.07 + (304.89 * (A25)) + (90.79 *'Calc.Exg'!$I$18) - (3.13 * 'Calc.Exg'!$I$18*'Calc.Exg'!$I$18)</f>
        <v>344.81046301200382</v>
      </c>
    </row>
    <row r="26" spans="1:2">
      <c r="A26" s="747">
        <f>(B25+('Calc.Exg'!$I$35-(B25*0.64))/0.8)/1000</f>
        <v>0.52308217564884707</v>
      </c>
      <c r="B26" s="747">
        <f>-53.07 + (304.89 * (A26)) + (90.79 *'Calc.Exg'!$I$18) - (3.13 * 'Calc.Exg'!$I$18*'Calc.Exg'!$I$18)</f>
        <v>344.81046301200382</v>
      </c>
    </row>
    <row r="27" spans="1:2">
      <c r="A27" s="747">
        <f>(B26+('Calc.Exg'!$I$35-(B26*0.64))/0.8)/1000</f>
        <v>0.52308217564884707</v>
      </c>
      <c r="B27" s="747">
        <f>-53.07 + (304.89 * (A27)) + (90.79 *'Calc.Exg'!$I$18) - (3.13 * 'Calc.Exg'!$I$18*'Calc.Exg'!$I$18)</f>
        <v>344.81046301200382</v>
      </c>
    </row>
    <row r="28" spans="1:2">
      <c r="A28" s="747">
        <f>(B27+('Calc.Exg'!$I$35-(B27*0.64))/0.8)/1000</f>
        <v>0.52308217564884707</v>
      </c>
      <c r="B28" s="747">
        <f>-53.07 + (304.89 * (A28)) + (90.79 *'Calc.Exg'!$I$18) - (3.13 * 'Calc.Exg'!$I$18*'Calc.Exg'!$I$18)</f>
        <v>344.81046301200382</v>
      </c>
    </row>
    <row r="29" spans="1:2">
      <c r="A29" s="747">
        <f>(B28+('Calc.Exg'!$I$35-(B28*0.64))/0.8)/1000</f>
        <v>0.52308217564884707</v>
      </c>
      <c r="B29" s="747">
        <f>-53.07 + (304.89 * (A29)) + (90.79 *'Calc.Exg'!$I$18) - (3.13 * 'Calc.Exg'!$I$18*'Calc.Exg'!$I$18)</f>
        <v>344.81046301200382</v>
      </c>
    </row>
    <row r="30" spans="1:2">
      <c r="A30" s="747">
        <f>(B29+('Calc.Exg'!$I$35-(B29*0.64))/0.8)/1000</f>
        <v>0.52308217564884707</v>
      </c>
      <c r="B30" s="747">
        <f>-53.07 + (304.89 * (A30)) + (90.79 *'Calc.Exg'!$I$18) - (3.13 * 'Calc.Exg'!$I$18*'Calc.Exg'!$I$18)</f>
        <v>344.81046301200382</v>
      </c>
    </row>
    <row r="31" spans="1:2">
      <c r="A31" s="747">
        <f>(B30+('Calc.Exg'!$I$35-(B30*0.64))/0.8)/1000</f>
        <v>0.52308217564884707</v>
      </c>
      <c r="B31" s="747">
        <f>-53.07 + (304.89 * (A31)) + (90.79 *'Calc.Exg'!$I$18) - (3.13 * 'Calc.Exg'!$I$18*'Calc.Exg'!$I$18)</f>
        <v>344.81046301200382</v>
      </c>
    </row>
    <row r="32" spans="1:2">
      <c r="A32" s="747">
        <f>(B31+('Calc.Exg'!$I$35-(B31*0.64))/0.8)/1000</f>
        <v>0.52308217564884707</v>
      </c>
      <c r="B32" s="747">
        <f>-53.07 + (304.89 * (A32)) + (90.79 *'Calc.Exg'!$I$18) - (3.13 * 'Calc.Exg'!$I$18*'Calc.Exg'!$I$18)</f>
        <v>344.81046301200382</v>
      </c>
    </row>
    <row r="33" spans="1:2">
      <c r="A33" s="747">
        <f>(B32+('Calc.Exg'!$I$35-(B32*0.64))/0.8)/1000</f>
        <v>0.52308217564884707</v>
      </c>
      <c r="B33" s="747">
        <f>-53.07 + (304.89 * (A33)) + (90.79 *'Calc.Exg'!$I$18) - (3.13 * 'Calc.Exg'!$I$18*'Calc.Exg'!$I$18)</f>
        <v>344.81046301200382</v>
      </c>
    </row>
    <row r="34" spans="1:2">
      <c r="A34" s="747">
        <f>(B33+('Calc.Exg'!$I$35-(B33*0.64))/0.8)/1000</f>
        <v>0.52308217564884707</v>
      </c>
      <c r="B34" s="747">
        <f>-53.07 + (304.89 * (A34)) + (90.79 *'Calc.Exg'!$I$18) - (3.13 * 'Calc.Exg'!$I$18*'Calc.Exg'!$I$18)</f>
        <v>344.81046301200382</v>
      </c>
    </row>
    <row r="35" spans="1:2">
      <c r="A35" s="747">
        <f>(B34+('Calc.Exg'!$I$35-(B34*0.64))/0.8)/1000</f>
        <v>0.52308217564884707</v>
      </c>
      <c r="B35" s="747">
        <f>-53.07 + (304.89 * (A35)) + (90.79 *'Calc.Exg'!$I$18) - (3.13 * 'Calc.Exg'!$I$18*'Calc.Exg'!$I$18)</f>
        <v>344.81046301200382</v>
      </c>
    </row>
    <row r="36" spans="1:2">
      <c r="A36" s="747">
        <f>(B35+('Calc.Exg'!$I$35-(B35*0.64))/0.8)/1000</f>
        <v>0.52308217564884707</v>
      </c>
      <c r="B36" s="747">
        <f>-53.07 + (304.89 * (A36)) + (90.79 *'Calc.Exg'!$I$18) - (3.13 * 'Calc.Exg'!$I$18*'Calc.Exg'!$I$18)</f>
        <v>344.81046301200382</v>
      </c>
    </row>
    <row r="37" spans="1:2">
      <c r="A37" s="747">
        <f>(B36+('Calc.Exg'!$I$35-(B36*0.64))/0.8)/1000</f>
        <v>0.52308217564884707</v>
      </c>
      <c r="B37" s="747">
        <f>-53.07 + (304.89 * (A37)) + (90.79 *'Calc.Exg'!$I$18) - (3.13 * 'Calc.Exg'!$I$18*'Calc.Exg'!$I$18)</f>
        <v>344.81046301200382</v>
      </c>
    </row>
    <row r="38" spans="1:2">
      <c r="A38" s="747">
        <f>(B37+('Calc.Exg'!$I$35-(B37*0.64))/0.8)/1000</f>
        <v>0.52308217564884707</v>
      </c>
      <c r="B38" s="747">
        <f>-53.07 + (304.89 * (A38)) + (90.79 *'Calc.Exg'!$I$18) - (3.13 * 'Calc.Exg'!$I$18*'Calc.Exg'!$I$18)</f>
        <v>344.81046301200382</v>
      </c>
    </row>
    <row r="39" spans="1:2">
      <c r="A39" s="747">
        <f>(B38+('Calc.Exg'!$I$35-(B38*0.64))/0.8)/1000</f>
        <v>0.52308217564884707</v>
      </c>
      <c r="B39" s="747">
        <f>-53.07 + (304.89 * (A39)) + (90.79 *'Calc.Exg'!$I$18) - (3.13 * 'Calc.Exg'!$I$18*'Calc.Exg'!$I$18)</f>
        <v>344.81046301200382</v>
      </c>
    </row>
    <row r="40" spans="1:2">
      <c r="A40" s="747">
        <f>(B39+('Calc.Exg'!$I$35-(B39*0.64))/0.8)/1000</f>
        <v>0.52308217564884707</v>
      </c>
      <c r="B40" s="747">
        <f>-53.07 + (304.89 * (A40)) + (90.79 *'Calc.Exg'!$I$18) - (3.13 * 'Calc.Exg'!$I$18*'Calc.Exg'!$I$18)</f>
        <v>344.81046301200382</v>
      </c>
    </row>
    <row r="41" spans="1:2">
      <c r="A41" s="747">
        <f>(B40+('Calc.Exg'!$I$35-(B40*0.64))/0.8)/1000</f>
        <v>0.52308217564884707</v>
      </c>
      <c r="B41" s="747">
        <f>-53.07 + (304.89 * (A41)) + (90.79 *'Calc.Exg'!$I$18) - (3.13 * 'Calc.Exg'!$I$18*'Calc.Exg'!$I$18)</f>
        <v>344.81046301200382</v>
      </c>
    </row>
    <row r="42" spans="1:2">
      <c r="A42" s="747">
        <f>(B41+('Calc.Exg'!$I$35-(B41*0.64))/0.8)/1000</f>
        <v>0.52308217564884707</v>
      </c>
      <c r="B42" s="747">
        <f>-53.07 + (304.89 * (A42)) + (90.79 *'Calc.Exg'!$I$18) - (3.13 * 'Calc.Exg'!$I$18*'Calc.Exg'!$I$18)</f>
        <v>344.81046301200382</v>
      </c>
    </row>
    <row r="43" spans="1:2">
      <c r="A43" s="747">
        <f>(B42+('Calc.Exg'!$I$35-(B42*0.64))/0.8)/1000</f>
        <v>0.52308217564884707</v>
      </c>
      <c r="B43" s="747">
        <f>-53.07 + (304.89 * (A43)) + (90.79 *'Calc.Exg'!$I$18) - (3.13 * 'Calc.Exg'!$I$18*'Calc.Exg'!$I$18)</f>
        <v>344.81046301200382</v>
      </c>
    </row>
    <row r="44" spans="1:2">
      <c r="A44" s="747">
        <f>(B43+('Calc.Exg'!$I$35-(B43*0.64))/0.8)/1000</f>
        <v>0.52308217564884707</v>
      </c>
      <c r="B44" s="747">
        <f>-53.07 + (304.89 * (A44)) + (90.79 *'Calc.Exg'!$I$18) - (3.13 * 'Calc.Exg'!$I$18*'Calc.Exg'!$I$18)</f>
        <v>344.81046301200382</v>
      </c>
    </row>
    <row r="45" spans="1:2">
      <c r="A45" s="747">
        <f>(B44+('Calc.Exg'!$I$35-(B44*0.64))/0.8)/1000</f>
        <v>0.52308217564884707</v>
      </c>
      <c r="B45" s="747">
        <f>-53.07 + (304.89 * (A45)) + (90.79 *'Calc.Exg'!$I$18) - (3.13 * 'Calc.Exg'!$I$18*'Calc.Exg'!$I$18)</f>
        <v>344.81046301200382</v>
      </c>
    </row>
    <row r="46" spans="1:2">
      <c r="A46" s="747">
        <f>(B45+('Calc.Exg'!$I$35-(B45*0.64))/0.8)/1000</f>
        <v>0.52308217564884707</v>
      </c>
      <c r="B46" s="747">
        <f>-53.07 + (304.89 * (A46)) + (90.79 *'Calc.Exg'!$I$18) - (3.13 * 'Calc.Exg'!$I$18*'Calc.Exg'!$I$18)</f>
        <v>344.81046301200382</v>
      </c>
    </row>
    <row r="47" spans="1:2">
      <c r="A47" s="747">
        <f>(B46+('Calc.Exg'!$I$35-(B46*0.64))/0.8)/1000</f>
        <v>0.52308217564884707</v>
      </c>
      <c r="B47" s="747">
        <f>-53.07 + (304.89 * (A47)) + (90.79 *'Calc.Exg'!$I$18) - (3.13 * 'Calc.Exg'!$I$18*'Calc.Exg'!$I$18)</f>
        <v>344.81046301200382</v>
      </c>
    </row>
    <row r="48" spans="1:2">
      <c r="A48" s="747">
        <f>(B47+('Calc.Exg'!$I$35-(B47*0.64))/0.8)/1000</f>
        <v>0.52308217564884707</v>
      </c>
      <c r="B48" s="747">
        <f>-53.07 + (304.89 * (A48)) + (90.79 *'Calc.Exg'!$I$18) - (3.13 * 'Calc.Exg'!$I$18*'Calc.Exg'!$I$18)</f>
        <v>344.81046301200382</v>
      </c>
    </row>
    <row r="49" spans="1:2">
      <c r="A49" s="747">
        <f>(B48+('Calc.Exg'!$I$35-(B48*0.64))/0.8)/1000</f>
        <v>0.52308217564884707</v>
      </c>
      <c r="B49" s="747">
        <f>-53.07 + (304.89 * (A49)) + (90.79 *'Calc.Exg'!$I$18) - (3.13 * 'Calc.Exg'!$I$18*'Calc.Exg'!$I$18)</f>
        <v>344.81046301200382</v>
      </c>
    </row>
    <row r="50" spans="1:2">
      <c r="A50" s="747">
        <f>(B49+('Calc.Exg'!$I$35-(B49*0.64))/0.8)/1000</f>
        <v>0.52308217564884707</v>
      </c>
      <c r="B50" s="747">
        <f>-53.07 + (304.89 * (A50)) + (90.79 *'Calc.Exg'!$I$18) - (3.13 * 'Calc.Exg'!$I$18*'Calc.Exg'!$I$18)</f>
        <v>344.81046301200382</v>
      </c>
    </row>
    <row r="51" spans="1:2">
      <c r="A51" s="747">
        <f>(B50+('Calc.Exg'!$I$35-(B50*0.64))/0.8)/1000</f>
        <v>0.52308217564884707</v>
      </c>
      <c r="B51" s="747">
        <f>-53.07 + (304.89 * (A51)) + (90.79 *'Calc.Exg'!$I$18) - (3.13 * 'Calc.Exg'!$I$18*'Calc.Exg'!$I$18)</f>
        <v>344.81046301200382</v>
      </c>
    </row>
    <row r="52" spans="1:2">
      <c r="A52" s="747">
        <f>(B51+('Calc.Exg'!$I$35-(B51*0.64))/0.8)/1000</f>
        <v>0.52308217564884707</v>
      </c>
      <c r="B52" s="747">
        <f>-53.07 + (304.89 * (A52)) + (90.79 *'Calc.Exg'!$I$18) - (3.13 * 'Calc.Exg'!$I$18*'Calc.Exg'!$I$18)</f>
        <v>344.81046301200382</v>
      </c>
    </row>
    <row r="53" spans="1:2">
      <c r="A53" s="747">
        <f>(B52+('Calc.Exg'!$I$35-(B52*0.64))/0.8)/1000</f>
        <v>0.52308217564884707</v>
      </c>
      <c r="B53" s="747">
        <f>-53.07 + (304.89 * (A53)) + (90.79 *'Calc.Exg'!$I$18) - (3.13 * 'Calc.Exg'!$I$18*'Calc.Exg'!$I$18)</f>
        <v>344.81046301200382</v>
      </c>
    </row>
    <row r="54" spans="1:2">
      <c r="A54" s="747">
        <f>(B53+('Calc.Exg'!$I$35-(B53*0.64))/0.8)/1000</f>
        <v>0.52308217564884707</v>
      </c>
      <c r="B54" s="747">
        <f>-53.07 + (304.89 * (A54)) + (90.79 *'Calc.Exg'!$I$18) - (3.13 * 'Calc.Exg'!$I$18*'Calc.Exg'!$I$18)</f>
        <v>344.81046301200382</v>
      </c>
    </row>
    <row r="55" spans="1:2">
      <c r="A55" s="747">
        <f>(B54+('Calc.Exg'!$I$35-(B54*0.64))/0.8)/1000</f>
        <v>0.52308217564884707</v>
      </c>
      <c r="B55" s="747">
        <f>-53.07 + (304.89 * (A55)) + (90.79 *'Calc.Exg'!$I$18) - (3.13 * 'Calc.Exg'!$I$18*'Calc.Exg'!$I$18)</f>
        <v>344.81046301200382</v>
      </c>
    </row>
    <row r="56" spans="1:2">
      <c r="A56" s="747">
        <f>(B55+('Calc.Exg'!$I$35-(B55*0.64))/0.8)/1000</f>
        <v>0.52308217564884707</v>
      </c>
      <c r="B56" s="747">
        <f>-53.07 + (304.89 * (A56)) + (90.79 *'Calc.Exg'!$I$18) - (3.13 * 'Calc.Exg'!$I$18*'Calc.Exg'!$I$18)</f>
        <v>344.81046301200382</v>
      </c>
    </row>
    <row r="57" spans="1:2">
      <c r="A57" s="747">
        <f>(B56+('Calc.Exg'!$I$35-(B56*0.64))/0.8)/1000</f>
        <v>0.52308217564884707</v>
      </c>
      <c r="B57" s="747">
        <f>-53.07 + (304.89 * (A57)) + (90.79 *'Calc.Exg'!$I$18) - (3.13 * 'Calc.Exg'!$I$18*'Calc.Exg'!$I$18)</f>
        <v>344.81046301200382</v>
      </c>
    </row>
    <row r="58" spans="1:2">
      <c r="A58" s="747">
        <f>(B57+('Calc.Exg'!$I$35-(B57*0.64))/0.8)/1000</f>
        <v>0.52308217564884707</v>
      </c>
      <c r="B58" s="747">
        <f>-53.07 + (304.89 * (A58)) + (90.79 *'Calc.Exg'!$I$18) - (3.13 * 'Calc.Exg'!$I$18*'Calc.Exg'!$I$18)</f>
        <v>344.81046301200382</v>
      </c>
    </row>
    <row r="59" spans="1:2">
      <c r="A59" s="747">
        <f>(B58+('Calc.Exg'!$I$35-(B58*0.64))/0.8)/1000</f>
        <v>0.52308217564884707</v>
      </c>
      <c r="B59" s="747">
        <f>-53.07 + (304.89 * (A59)) + (90.79 *'Calc.Exg'!$I$18) - (3.13 * 'Calc.Exg'!$I$18*'Calc.Exg'!$I$18)</f>
        <v>344.81046301200382</v>
      </c>
    </row>
    <row r="60" spans="1:2">
      <c r="A60" s="747">
        <f>(B59+('Calc.Exg'!$I$35-(B59*0.64))/0.8)/1000</f>
        <v>0.52308217564884707</v>
      </c>
      <c r="B60" s="747">
        <f>-53.07 + (304.89 * (A60)) + (90.79 *'Calc.Exg'!$I$18) - (3.13 * 'Calc.Exg'!$I$18*'Calc.Exg'!$I$18)</f>
        <v>344.81046301200382</v>
      </c>
    </row>
    <row r="61" spans="1:2">
      <c r="A61" s="747">
        <f>(B60+('Calc.Exg'!$I$35-(B60*0.64))/0.8)/1000</f>
        <v>0.52308217564884707</v>
      </c>
      <c r="B61" s="747">
        <f>-53.07 + (304.89 * (A61)) + (90.79 *'Calc.Exg'!$I$18) - (3.13 * 'Calc.Exg'!$I$18*'Calc.Exg'!$I$18)</f>
        <v>344.81046301200382</v>
      </c>
    </row>
    <row r="62" spans="1:2">
      <c r="A62" s="747">
        <f>(B61+('Calc.Exg'!$I$35-(B61*0.64))/0.8)/1000</f>
        <v>0.52308217564884707</v>
      </c>
      <c r="B62" s="747">
        <f>-53.07 + (304.89 * (A62)) + (90.79 *'Calc.Exg'!$I$18) - (3.13 * 'Calc.Exg'!$I$18*'Calc.Exg'!$I$18)</f>
        <v>344.81046301200382</v>
      </c>
    </row>
    <row r="63" spans="1:2">
      <c r="A63" s="747">
        <f>(B62+('Calc.Exg'!$I$35-(B62*0.64))/0.8)/1000</f>
        <v>0.52308217564884707</v>
      </c>
      <c r="B63" s="747">
        <f>-53.07 + (304.89 * (A63)) + (90.79 *'Calc.Exg'!$I$18) - (3.13 * 'Calc.Exg'!$I$18*'Calc.Exg'!$I$18)</f>
        <v>344.81046301200382</v>
      </c>
    </row>
    <row r="64" spans="1:2">
      <c r="A64" s="747">
        <f>(B63+('Calc.Exg'!$I$35-(B63*0.64))/0.8)/1000</f>
        <v>0.52308217564884707</v>
      </c>
      <c r="B64" s="747">
        <f>-53.07 + (304.89 * (A64)) + (90.79 *'Calc.Exg'!$I$18) - (3.13 * 'Calc.Exg'!$I$18*'Calc.Exg'!$I$18)</f>
        <v>344.81046301200382</v>
      </c>
    </row>
    <row r="65" spans="1:2">
      <c r="A65" s="747">
        <f>(B64+('Calc.Exg'!$I$35-(B64*0.64))/0.8)/1000</f>
        <v>0.52308217564884707</v>
      </c>
      <c r="B65" s="747">
        <f>-53.07 + (304.89 * (A65)) + (90.79 *'Calc.Exg'!$I$18) - (3.13 * 'Calc.Exg'!$I$18*'Calc.Exg'!$I$18)</f>
        <v>344.81046301200382</v>
      </c>
    </row>
    <row r="66" spans="1:2">
      <c r="A66" s="747">
        <f>(B65+('Calc.Exg'!$I$35-(B65*0.64))/0.8)/1000</f>
        <v>0.52308217564884707</v>
      </c>
      <c r="B66" s="747">
        <f>-53.07 + (304.89 * (A66)) + (90.79 *'Calc.Exg'!$I$18) - (3.13 * 'Calc.Exg'!$I$18*'Calc.Exg'!$I$18)</f>
        <v>344.81046301200382</v>
      </c>
    </row>
    <row r="67" spans="1:2">
      <c r="A67" s="747">
        <f>(B66+('Calc.Exg'!$I$35-(B66*0.64))/0.8)/1000</f>
        <v>0.52308217564884707</v>
      </c>
      <c r="B67" s="747">
        <f>-53.07 + (304.89 * (A67)) + (90.79 *'Calc.Exg'!$I$18) - (3.13 * 'Calc.Exg'!$I$18*'Calc.Exg'!$I$18)</f>
        <v>344.81046301200382</v>
      </c>
    </row>
    <row r="68" spans="1:2">
      <c r="A68" s="747">
        <f>(B67+('Calc.Exg'!$I$35-(B67*0.64))/0.8)/1000</f>
        <v>0.52308217564884707</v>
      </c>
      <c r="B68" s="747">
        <f>-53.07 + (304.89 * (A68)) + (90.79 *'Calc.Exg'!$I$18) - (3.13 * 'Calc.Exg'!$I$18*'Calc.Exg'!$I$18)</f>
        <v>344.81046301200382</v>
      </c>
    </row>
    <row r="69" spans="1:2">
      <c r="A69" s="747">
        <f>(B68+('Calc.Exg'!$I$35-(B68*0.64))/0.8)/1000</f>
        <v>0.52308217564884707</v>
      </c>
      <c r="B69" s="747">
        <f>-53.07 + (304.89 * (A69)) + (90.79 *'Calc.Exg'!$I$18) - (3.13 * 'Calc.Exg'!$I$18*'Calc.Exg'!$I$18)</f>
        <v>344.81046301200382</v>
      </c>
    </row>
    <row r="70" spans="1:2">
      <c r="A70" s="747">
        <f>(B69+('Calc.Exg'!$I$35-(B69*0.64))/0.8)/1000</f>
        <v>0.52308217564884707</v>
      </c>
      <c r="B70" s="747">
        <f>-53.07 + (304.89 * (A70)) + (90.79 *'Calc.Exg'!$I$18) - (3.13 * 'Calc.Exg'!$I$18*'Calc.Exg'!$I$18)</f>
        <v>344.81046301200382</v>
      </c>
    </row>
    <row r="71" spans="1:2">
      <c r="A71" s="747">
        <f>(B70+('Calc.Exg'!$I$35-(B70*0.64))/0.8)/1000</f>
        <v>0.52308217564884707</v>
      </c>
      <c r="B71" s="747">
        <f>-53.07 + (304.89 * (A71)) + (90.79 *'Calc.Exg'!$I$18) - (3.13 * 'Calc.Exg'!$I$18*'Calc.Exg'!$I$18)</f>
        <v>344.81046301200382</v>
      </c>
    </row>
    <row r="72" spans="1:2">
      <c r="A72" s="747">
        <f>(B71+('Calc.Exg'!$I$35-(B71*0.64))/0.8)/1000</f>
        <v>0.52308217564884707</v>
      </c>
      <c r="B72" s="747">
        <f>-53.07 + (304.89 * (A72)) + (90.79 *'Calc.Exg'!$I$18) - (3.13 * 'Calc.Exg'!$I$18*'Calc.Exg'!$I$18)</f>
        <v>344.81046301200382</v>
      </c>
    </row>
    <row r="73" spans="1:2">
      <c r="A73" s="747">
        <f>(B72+('Calc.Exg'!$I$35-(B72*0.64))/0.8)/1000</f>
        <v>0.52308217564884707</v>
      </c>
      <c r="B73" s="747">
        <f>-53.07 + (304.89 * (A73)) + (90.79 *'Calc.Exg'!$I$18) - (3.13 * 'Calc.Exg'!$I$18*'Calc.Exg'!$I$18)</f>
        <v>344.81046301200382</v>
      </c>
    </row>
    <row r="74" spans="1:2">
      <c r="A74" s="747">
        <f>(B73+('Calc.Exg'!$I$35-(B73*0.64))/0.8)/1000</f>
        <v>0.52308217564884707</v>
      </c>
      <c r="B74" s="747">
        <f>-53.07 + (304.89 * (A74)) + (90.79 *'Calc.Exg'!$I$18) - (3.13 * 'Calc.Exg'!$I$18*'Calc.Exg'!$I$18)</f>
        <v>344.81046301200382</v>
      </c>
    </row>
    <row r="75" spans="1:2">
      <c r="A75" s="747">
        <f>(B74+('Calc.Exg'!$I$35-(B74*0.64))/0.8)/1000</f>
        <v>0.52308217564884707</v>
      </c>
      <c r="B75" s="747">
        <f>-53.07 + (304.89 * (A75)) + (90.79 *'Calc.Exg'!$I$18) - (3.13 * 'Calc.Exg'!$I$18*'Calc.Exg'!$I$18)</f>
        <v>344.81046301200382</v>
      </c>
    </row>
    <row r="76" spans="1:2">
      <c r="A76" s="747">
        <f>(B75+('Calc.Exg'!$I$35-(B75*0.64))/0.8)/1000</f>
        <v>0.52308217564884707</v>
      </c>
      <c r="B76" s="747">
        <f>-53.07 + (304.89 * (A76)) + (90.79 *'Calc.Exg'!$I$18) - (3.13 * 'Calc.Exg'!$I$18*'Calc.Exg'!$I$18)</f>
        <v>344.81046301200382</v>
      </c>
    </row>
    <row r="77" spans="1:2">
      <c r="A77" s="747">
        <f>(B76+('Calc.Exg'!$I$35-(B76*0.64))/0.8)/1000</f>
        <v>0.52308217564884707</v>
      </c>
      <c r="B77" s="747">
        <f>-53.07 + (304.89 * (A77)) + (90.79 *'Calc.Exg'!$I$18) - (3.13 * 'Calc.Exg'!$I$18*'Calc.Exg'!$I$18)</f>
        <v>344.81046301200382</v>
      </c>
    </row>
    <row r="78" spans="1:2">
      <c r="A78" s="747">
        <f>(B77+('Calc.Exg'!$I$35-(B77*0.64))/0.8)/1000</f>
        <v>0.52308217564884707</v>
      </c>
      <c r="B78" s="747">
        <f>-53.07 + (304.89 * (A78)) + (90.79 *'Calc.Exg'!$I$18) - (3.13 * 'Calc.Exg'!$I$18*'Calc.Exg'!$I$18)</f>
        <v>344.81046301200382</v>
      </c>
    </row>
    <row r="79" spans="1:2">
      <c r="A79" s="747">
        <f>(B78+('Calc.Exg'!$I$35-(B78*0.64))/0.8)/1000</f>
        <v>0.52308217564884707</v>
      </c>
      <c r="B79" s="747">
        <f>-53.07 + (304.89 * (A79)) + (90.79 *'Calc.Exg'!$I$18) - (3.13 * 'Calc.Exg'!$I$18*'Calc.Exg'!$I$18)</f>
        <v>344.81046301200382</v>
      </c>
    </row>
    <row r="80" spans="1:2">
      <c r="A80" s="747">
        <f>(B79+('Calc.Exg'!$I$35-(B79*0.64))/0.8)/1000</f>
        <v>0.52308217564884707</v>
      </c>
      <c r="B80" s="747">
        <f>-53.07 + (304.89 * (A80)) + (90.79 *'Calc.Exg'!$I$18) - (3.13 * 'Calc.Exg'!$I$18*'Calc.Exg'!$I$18)</f>
        <v>344.81046301200382</v>
      </c>
    </row>
    <row r="81" spans="1:2">
      <c r="A81" s="747">
        <f>(B80+('Calc.Exg'!$I$35-(B80*0.64))/0.8)/1000</f>
        <v>0.52308217564884707</v>
      </c>
      <c r="B81" s="747">
        <f>-53.07 + (304.89 * (A81)) + (90.79 *'Calc.Exg'!$I$18) - (3.13 * 'Calc.Exg'!$I$18*'Calc.Exg'!$I$18)</f>
        <v>344.81046301200382</v>
      </c>
    </row>
    <row r="82" spans="1:2">
      <c r="A82" s="747">
        <f>(B81+('Calc.Exg'!$I$35-(B81*0.64))/0.8)/1000</f>
        <v>0.52308217564884707</v>
      </c>
      <c r="B82" s="747">
        <f>-53.07 + (304.89 * (A82)) + (90.79 *'Calc.Exg'!$I$18) - (3.13 * 'Calc.Exg'!$I$18*'Calc.Exg'!$I$18)</f>
        <v>344.81046301200382</v>
      </c>
    </row>
    <row r="83" spans="1:2">
      <c r="A83" s="747">
        <f>(B82+('Calc.Exg'!$I$35-(B82*0.64))/0.8)/1000</f>
        <v>0.52308217564884707</v>
      </c>
      <c r="B83" s="747">
        <f>-53.07 + (304.89 * (A83)) + (90.79 *'Calc.Exg'!$I$18) - (3.13 * 'Calc.Exg'!$I$18*'Calc.Exg'!$I$18)</f>
        <v>344.81046301200382</v>
      </c>
    </row>
    <row r="84" spans="1:2">
      <c r="A84" s="747">
        <f>(B83+('Calc.Exg'!$I$35-(B83*0.64))/0.8)/1000</f>
        <v>0.52308217564884707</v>
      </c>
      <c r="B84" s="747">
        <f>-53.07 + (304.89 * (A84)) + (90.79 *'Calc.Exg'!$I$18) - (3.13 * 'Calc.Exg'!$I$18*'Calc.Exg'!$I$18)</f>
        <v>344.81046301200382</v>
      </c>
    </row>
    <row r="85" spans="1:2">
      <c r="A85" s="747">
        <f>(B84+('Calc.Exg'!$I$35-(B84*0.64))/0.8)/1000</f>
        <v>0.52308217564884707</v>
      </c>
      <c r="B85" s="747">
        <f>-53.07 + (304.89 * (A85)) + (90.79 *'Calc.Exg'!$I$18) - (3.13 * 'Calc.Exg'!$I$18*'Calc.Exg'!$I$18)</f>
        <v>344.81046301200382</v>
      </c>
    </row>
    <row r="86" spans="1:2">
      <c r="A86" s="747">
        <f>(B85+('Calc.Exg'!$I$35-(B85*0.64))/0.8)/1000</f>
        <v>0.52308217564884707</v>
      </c>
      <c r="B86" s="747">
        <f>-53.07 + (304.89 * (A86)) + (90.79 *'Calc.Exg'!$I$18) - (3.13 * 'Calc.Exg'!$I$18*'Calc.Exg'!$I$18)</f>
        <v>344.81046301200382</v>
      </c>
    </row>
    <row r="87" spans="1:2">
      <c r="A87" s="747">
        <f>(B86+('Calc.Exg'!$I$35-(B86*0.64))/0.8)/1000</f>
        <v>0.52308217564884707</v>
      </c>
      <c r="B87" s="747">
        <f>-53.07 + (304.89 * (A87)) + (90.79 *'Calc.Exg'!$I$18) - (3.13 * 'Calc.Exg'!$I$18*'Calc.Exg'!$I$18)</f>
        <v>344.81046301200382</v>
      </c>
    </row>
    <row r="88" spans="1:2">
      <c r="A88" s="747">
        <f>(B87+('Calc.Exg'!$I$35-(B87*0.64))/0.8)/1000</f>
        <v>0.52308217564884707</v>
      </c>
      <c r="B88" s="747">
        <f>-53.07 + (304.89 * (A88)) + (90.79 *'Calc.Exg'!$I$18) - (3.13 * 'Calc.Exg'!$I$18*'Calc.Exg'!$I$18)</f>
        <v>344.81046301200382</v>
      </c>
    </row>
    <row r="89" spans="1:2">
      <c r="A89" s="747">
        <f>(B88+('Calc.Exg'!$I$35-(B88*0.64))/0.8)/1000</f>
        <v>0.52308217564884707</v>
      </c>
      <c r="B89" s="747">
        <f>-53.07 + (304.89 * (A89)) + (90.79 *'Calc.Exg'!$I$18) - (3.13 * 'Calc.Exg'!$I$18*'Calc.Exg'!$I$18)</f>
        <v>344.81046301200382</v>
      </c>
    </row>
    <row r="90" spans="1:2">
      <c r="A90" s="747">
        <f>(B89+('Calc.Exg'!$I$35-(B89*0.64))/0.8)/1000</f>
        <v>0.52308217564884707</v>
      </c>
      <c r="B90" s="747">
        <f>-53.07 + (304.89 * (A90)) + (90.79 *'Calc.Exg'!$I$18) - (3.13 * 'Calc.Exg'!$I$18*'Calc.Exg'!$I$18)</f>
        <v>344.81046301200382</v>
      </c>
    </row>
    <row r="91" spans="1:2">
      <c r="A91" s="747">
        <f>(B90+('Calc.Exg'!$I$35-(B90*0.64))/0.8)/1000</f>
        <v>0.52308217564884707</v>
      </c>
      <c r="B91" s="747">
        <f>-53.07 + (304.89 * (A91)) + (90.79 *'Calc.Exg'!$I$18) - (3.13 * 'Calc.Exg'!$I$18*'Calc.Exg'!$I$18)</f>
        <v>344.81046301200382</v>
      </c>
    </row>
    <row r="92" spans="1:2">
      <c r="A92" s="747">
        <f>(B91+('Calc.Exg'!$I$35-(B91*0.64))/0.8)/1000</f>
        <v>0.52308217564884707</v>
      </c>
      <c r="B92" s="747">
        <f>-53.07 + (304.89 * (A92)) + (90.79 *'Calc.Exg'!$I$18) - (3.13 * 'Calc.Exg'!$I$18*'Calc.Exg'!$I$18)</f>
        <v>344.81046301200382</v>
      </c>
    </row>
    <row r="93" spans="1:2">
      <c r="A93" s="747">
        <f>(B92+('Calc.Exg'!$I$35-(B92*0.64))/0.8)/1000</f>
        <v>0.52308217564884707</v>
      </c>
      <c r="B93" s="747">
        <f>-53.07 + (304.89 * (A93)) + (90.79 *'Calc.Exg'!$I$18) - (3.13 * 'Calc.Exg'!$I$18*'Calc.Exg'!$I$18)</f>
        <v>344.81046301200382</v>
      </c>
    </row>
    <row r="94" spans="1:2">
      <c r="A94" s="747">
        <f>(B93+('Calc.Exg'!$I$35-(B93*0.64))/0.8)/1000</f>
        <v>0.52308217564884707</v>
      </c>
      <c r="B94" s="747">
        <f>-53.07 + (304.89 * (A94)) + (90.79 *'Calc.Exg'!$I$18) - (3.13 * 'Calc.Exg'!$I$18*'Calc.Exg'!$I$18)</f>
        <v>344.81046301200382</v>
      </c>
    </row>
    <row r="95" spans="1:2">
      <c r="A95" s="747">
        <f>(B94+('Calc.Exg'!$I$35-(B94*0.64))/0.8)/1000</f>
        <v>0.52308217564884707</v>
      </c>
      <c r="B95" s="747">
        <f>-53.07 + (304.89 * (A95)) + (90.79 *'Calc.Exg'!$I$18) - (3.13 * 'Calc.Exg'!$I$18*'Calc.Exg'!$I$18)</f>
        <v>344.81046301200382</v>
      </c>
    </row>
    <row r="96" spans="1:2">
      <c r="A96" s="747">
        <f>(B95+('Calc.Exg'!$I$35-(B95*0.64))/0.8)/1000</f>
        <v>0.52308217564884707</v>
      </c>
      <c r="B96" s="747">
        <f>-53.07 + (304.89 * (A96)) + (90.79 *'Calc.Exg'!$I$18) - (3.13 * 'Calc.Exg'!$I$18*'Calc.Exg'!$I$18)</f>
        <v>344.81046301200382</v>
      </c>
    </row>
    <row r="97" spans="1:2">
      <c r="A97" s="747">
        <f>(B96+('Calc.Exg'!$I$35-(B96*0.64))/0.8)/1000</f>
        <v>0.52308217564884707</v>
      </c>
      <c r="B97" s="747">
        <f>-53.07 + (304.89 * (A97)) + (90.79 *'Calc.Exg'!$I$18) - (3.13 * 'Calc.Exg'!$I$18*'Calc.Exg'!$I$18)</f>
        <v>344.81046301200382</v>
      </c>
    </row>
    <row r="98" spans="1:2">
      <c r="A98" s="747">
        <f>(B97+('Calc.Exg'!$I$35-(B97*0.64))/0.8)/1000</f>
        <v>0.52308217564884707</v>
      </c>
      <c r="B98" s="747">
        <f>-53.07 + (304.89 * (A98)) + (90.79 *'Calc.Exg'!$I$18) - (3.13 * 'Calc.Exg'!$I$18*'Calc.Exg'!$I$18)</f>
        <v>344.81046301200382</v>
      </c>
    </row>
    <row r="99" spans="1:2">
      <c r="A99" s="747">
        <f>(B98+('Calc.Exg'!$I$35-(B98*0.64))/0.8)/1000</f>
        <v>0.52308217564884707</v>
      </c>
      <c r="B99" s="747">
        <f>-53.07 + (304.89 * (A99)) + (90.79 *'Calc.Exg'!$I$18) - (3.13 * 'Calc.Exg'!$I$18*'Calc.Exg'!$I$18)</f>
        <v>344.81046301200382</v>
      </c>
    </row>
    <row r="100" spans="1:2">
      <c r="A100" s="747">
        <f>(B99+('Calc.Exg'!$I$35-(B99*0.64))/0.8)/1000</f>
        <v>0.52308217564884707</v>
      </c>
      <c r="B100" s="747">
        <f>-53.07 + (304.89 * (A100)) + (90.79 *'Calc.Exg'!$I$18) - (3.13 * 'Calc.Exg'!$I$18*'Calc.Exg'!$I$18)</f>
        <v>344.81046301200382</v>
      </c>
    </row>
  </sheetData>
  <sheetProtection selectLockedCells="1" selectUnlockedCells="1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6D59B-3AE6-43EE-AE27-835987D0D95B}">
  <sheetPr codeName="Planilha8"/>
  <dimension ref="A1:AU57"/>
  <sheetViews>
    <sheetView zoomScaleNormal="100" workbookViewId="0">
      <selection activeCell="B10" sqref="B10"/>
    </sheetView>
  </sheetViews>
  <sheetFormatPr defaultRowHeight="14.25"/>
  <cols>
    <col min="1" max="1" width="3.625" style="58" customWidth="1"/>
    <col min="2" max="2" width="10.125" style="58" customWidth="1"/>
    <col min="3" max="3" width="16.625" style="62" customWidth="1"/>
    <col min="4" max="4" width="21.5" style="62" customWidth="1"/>
    <col min="5" max="5" width="23.625" style="62" bestFit="1" customWidth="1"/>
    <col min="6" max="6" width="17.625" style="58" customWidth="1"/>
    <col min="7" max="7" width="14.25" style="58" bestFit="1" customWidth="1"/>
    <col min="8" max="8" width="19" style="58" bestFit="1" customWidth="1"/>
    <col min="9" max="9" width="25.5" style="58" bestFit="1" customWidth="1"/>
    <col min="10" max="10" width="16" style="58" bestFit="1" customWidth="1"/>
    <col min="11" max="11" width="19.5" style="58" bestFit="1" customWidth="1"/>
    <col min="12" max="12" width="11.5" style="58" bestFit="1" customWidth="1"/>
    <col min="13" max="13" width="15.875" style="58" bestFit="1" customWidth="1"/>
    <col min="14" max="14" width="8.875" style="58" bestFit="1" customWidth="1"/>
    <col min="15" max="15" width="13.75" style="58" bestFit="1" customWidth="1"/>
    <col min="16" max="16" width="13.25" style="58" bestFit="1" customWidth="1"/>
    <col min="17" max="17" width="11.375" style="58" bestFit="1" customWidth="1"/>
    <col min="18" max="18" width="8.125" style="58" bestFit="1" customWidth="1"/>
    <col min="19" max="19" width="14.75" style="58" bestFit="1" customWidth="1"/>
    <col min="20" max="20" width="28.75" style="58" bestFit="1" customWidth="1"/>
    <col min="21" max="21" width="13.375" style="58" bestFit="1" customWidth="1"/>
    <col min="22" max="23" width="14.625" style="58" bestFit="1" customWidth="1"/>
    <col min="24" max="24" width="18" style="58" customWidth="1"/>
    <col min="25" max="25" width="11.25" style="58" bestFit="1" customWidth="1"/>
    <col min="26" max="26" width="13" style="58" customWidth="1"/>
    <col min="27" max="27" width="23.625" style="58" bestFit="1" customWidth="1"/>
    <col min="28" max="28" width="14.625" style="58" bestFit="1" customWidth="1"/>
    <col min="29" max="29" width="15.5" style="58" customWidth="1"/>
    <col min="30" max="30" width="13.75" style="58" bestFit="1" customWidth="1"/>
    <col min="31" max="31" width="14.625" style="58" bestFit="1" customWidth="1"/>
    <col min="32" max="32" width="25.375" style="58" bestFit="1" customWidth="1"/>
    <col min="33" max="33" width="28.625" style="58" bestFit="1" customWidth="1"/>
    <col min="34" max="34" width="18.375" style="58" bestFit="1" customWidth="1"/>
    <col min="35" max="35" width="23.75" style="58" bestFit="1" customWidth="1"/>
    <col min="36" max="36" width="24.125" style="58" bestFit="1" customWidth="1"/>
    <col min="37" max="37" width="30.125" style="58" bestFit="1" customWidth="1"/>
    <col min="38" max="38" width="18.625" style="58" bestFit="1" customWidth="1"/>
    <col min="39" max="39" width="21.75" style="58" bestFit="1" customWidth="1"/>
    <col min="40" max="40" width="14.375" style="58" bestFit="1" customWidth="1"/>
    <col min="41" max="41" width="20.125" style="58" bestFit="1" customWidth="1"/>
    <col min="42" max="42" width="29.5" style="58" bestFit="1" customWidth="1"/>
    <col min="43" max="43" width="10.25" style="58" bestFit="1" customWidth="1"/>
    <col min="44" max="47" width="9.875" style="58" bestFit="1" customWidth="1"/>
    <col min="48" max="16384" width="9" style="58"/>
  </cols>
  <sheetData>
    <row r="1" spans="1:47">
      <c r="A1" s="511">
        <v>1</v>
      </c>
      <c r="B1" s="62" t="str">
        <f>INDEX(G15:G18,MATCH(A1,F15:F18,0))</f>
        <v>1º</v>
      </c>
      <c r="C1" s="102" t="str">
        <f>Alimentos!H2</f>
        <v>MS</v>
      </c>
      <c r="D1" s="102" t="str">
        <f>Alimentos!I2</f>
        <v>FDN</v>
      </c>
      <c r="E1" s="102" t="str">
        <f>Alimentos!J2</f>
        <v>FDA</v>
      </c>
      <c r="F1" s="102" t="str">
        <f>Alimentos!K2</f>
        <v>CNF</v>
      </c>
      <c r="G1" s="102" t="str">
        <f>Alimentos!L2</f>
        <v>NDT</v>
      </c>
      <c r="H1" s="102" t="str">
        <f>Alimentos!M2</f>
        <v>ED</v>
      </c>
      <c r="I1" s="102" t="str">
        <f>Alimentos!N2</f>
        <v>EM</v>
      </c>
      <c r="J1" s="102" t="str">
        <f>Alimentos!O2</f>
        <v>EL</v>
      </c>
      <c r="K1" s="102" t="str">
        <f>Alimentos!P2</f>
        <v>EE</v>
      </c>
      <c r="L1" s="102" t="str">
        <f>Alimentos!Q2</f>
        <v>PB</v>
      </c>
      <c r="M1" s="102" t="str">
        <f>Alimentos!R2</f>
        <v>PDR</v>
      </c>
      <c r="N1" s="102" t="str">
        <f>Alimentos!S2</f>
        <v>PNDR</v>
      </c>
      <c r="O1" s="102" t="str">
        <f>Alimentos!T2</f>
        <v>PM</v>
      </c>
      <c r="P1" s="102" t="str">
        <f>Alimentos!U2</f>
        <v>PBNNP</v>
      </c>
      <c r="Q1" s="102" t="str">
        <f>Alimentos!V2</f>
        <v>Ca</v>
      </c>
      <c r="R1" s="102" t="str">
        <f>Alimentos!W2</f>
        <v>P</v>
      </c>
      <c r="S1" s="102" t="str">
        <f>Alimentos!X2</f>
        <v>Mg</v>
      </c>
      <c r="T1" s="102" t="str">
        <f>Alimentos!Y2</f>
        <v>Na</v>
      </c>
      <c r="U1" s="102" t="str">
        <f>Alimentos!Z2</f>
        <v>K</v>
      </c>
      <c r="V1" s="102" t="str">
        <f>Alimentos!AA2</f>
        <v>S</v>
      </c>
      <c r="W1" s="102" t="str">
        <f>Alimentos!AB2</f>
        <v>Cu</v>
      </c>
      <c r="X1" s="102" t="str">
        <f>Alimentos!AC2</f>
        <v>Zn</v>
      </c>
      <c r="Y1" s="102" t="str">
        <f>Alimentos!AD2</f>
        <v>Fe</v>
      </c>
      <c r="Z1" s="102" t="str">
        <f>Alimentos!AE2</f>
        <v>Mn</v>
      </c>
      <c r="AA1" s="102" t="str">
        <f>Alimentos!AF2</f>
        <v>I</v>
      </c>
      <c r="AB1" s="102" t="str">
        <f>Alimentos!AG2</f>
        <v>Co</v>
      </c>
      <c r="AC1" s="102" t="str">
        <f>Alimentos!AH2</f>
        <v>Se</v>
      </c>
      <c r="AD1" s="102" t="str">
        <f>Alimentos!AI2</f>
        <v>Lis</v>
      </c>
      <c r="AE1" s="102" t="str">
        <f>Alimentos!AJ2</f>
        <v>Met</v>
      </c>
      <c r="AF1" s="102" t="str">
        <f>Alimentos!AK2</f>
        <v>Mon</v>
      </c>
      <c r="AG1" s="102" t="str">
        <f>Alimentos!AL2</f>
        <v>Vit A</v>
      </c>
      <c r="AH1" s="102" t="str">
        <f>Alimentos!AM2</f>
        <v>Vit B (UI)</v>
      </c>
      <c r="AI1" s="102" t="str">
        <f>Alimentos!AN2</f>
        <v>Vit D (UI)</v>
      </c>
      <c r="AJ1" s="102" t="str">
        <f>Alimentos!AO2</f>
        <v>Vit E (UI)</v>
      </c>
      <c r="AK1" s="102" t="str">
        <f>Alimentos!AP2</f>
        <v>Novo 01</v>
      </c>
      <c r="AL1" s="102" t="str">
        <f>Alimentos!AQ2</f>
        <v>Novo 02</v>
      </c>
      <c r="AM1" s="102" t="str">
        <f>Alimentos!AR2</f>
        <v>Novo 03</v>
      </c>
      <c r="AN1" s="102" t="str">
        <f>Alimentos!AS2</f>
        <v>Novo 04</v>
      </c>
      <c r="AO1" s="102" t="str">
        <f>Alimentos!AT2</f>
        <v>Novo 05</v>
      </c>
      <c r="AP1" s="102" t="str">
        <f>Alimentos!AU2</f>
        <v>Novo 06</v>
      </c>
      <c r="AQ1" s="102" t="str">
        <f>Alimentos!AV2</f>
        <v>Novo 07</v>
      </c>
      <c r="AR1" s="102" t="str">
        <f>Alimentos!AW2</f>
        <v>Novo 08</v>
      </c>
      <c r="AS1" s="102" t="str">
        <f>Alimentos!AX2</f>
        <v>Novo 09</v>
      </c>
      <c r="AT1" s="102" t="str">
        <f>Alimentos!AY2</f>
        <v>VOL</v>
      </c>
      <c r="AU1" s="102" t="str">
        <f>Alimentos!AZ2</f>
        <v>CONC</v>
      </c>
    </row>
    <row r="2" spans="1:47">
      <c r="A2" s="58">
        <f>A1</f>
        <v>1</v>
      </c>
      <c r="B2" s="62">
        <f>IF(A2=0,1,A2)</f>
        <v>1</v>
      </c>
      <c r="D2" s="66" t="str">
        <f>IFERROR(IF(D1=INDEX(Alimentos!$E$5:$E$310,MATCH(LARGE(Alimentos!BG$5:BG$310,$B2),Alimentos!BG$5:BG$310,0)),INDEX(Alimentos!$E$5:$E$310,MATCH(LARGE(Alimentos!BG$5:BG$310,$B2+1),Alimentos!BG$5:BG$310,0)),INDEX(Alimentos!$E$5:$E$310,MATCH(LARGE(Alimentos!BG$5:BG$310,$B2),Alimentos!BG$5:BG$310,0))),"Sem Sugestão")</f>
        <v>Capim Braquiária Decumbens Feno</v>
      </c>
      <c r="E2" s="66" t="str">
        <f>IFERROR(IF(E1=INDEX(Alimentos!$E$5:$E$310,MATCH(LARGE(Alimentos!BH$5:BH$310,$B2),Alimentos!BH$5:BH$310,0)),INDEX(Alimentos!$E$5:$E$310,MATCH(LARGE(Alimentos!BH$5:BH$310,$B2+1),Alimentos!BH$5:BH$310,0)),INDEX(Alimentos!$E$5:$E$310,MATCH(LARGE(Alimentos!BH$5:BH$310,$B2),Alimentos!BH$5:BH$310,0))),"Sem Sugestão")</f>
        <v>Caju, Coproduto da Indústria do Suco</v>
      </c>
      <c r="F2" s="66" t="str">
        <f>IFERROR(IF(F1=INDEX(Alimentos!$E$5:$E$310,MATCH(LARGE(Alimentos!BI$5:BI$310,$B2),Alimentos!BI$5:BI$310,0)),INDEX(Alimentos!$E$5:$E$310,MATCH(LARGE(Alimentos!BI$5:BI$310,$B2+1),Alimentos!BI$5:BI$310,0)),INDEX(Alimentos!$E$5:$E$310,MATCH(LARGE(Alimentos!BI$5:BI$310,$B2),Alimentos!BI$5:BI$310,0))),"Sem Sugestão")</f>
        <v>Mandioca, Raspa (BRC3.0)</v>
      </c>
      <c r="G2" s="66" t="str">
        <f>IFERROR(IF(G1=INDEX(Alimentos!$E$5:$E$310,MATCH(LARGE(Alimentos!BJ$5:BJ$310,$B2),Alimentos!BJ$5:BJ$310,0)),INDEX(Alimentos!$E$5:$E$310,MATCH(LARGE(Alimentos!BJ$5:BJ$310,$B2+1),Alimentos!BJ$5:BJ$310,0)),INDEX(Alimentos!$E$5:$E$310,MATCH(LARGE(Alimentos!BJ$5:BJ$310,$B2),Alimentos!BJ$5:BJ$310,0))),"Sem Sugestão")</f>
        <v>Oleo</v>
      </c>
      <c r="H2" s="66" t="str">
        <f>IFERROR(IF(H1=INDEX(Alimentos!$E$5:$E$310,MATCH(LARGE(Alimentos!BK$5:BK$310,$B2),Alimentos!BK$5:BK$310,0)),INDEX(Alimentos!$E$5:$E$310,MATCH(LARGE(Alimentos!BK$5:BK$310,$B2+1),Alimentos!BK$5:BK$310,0)),INDEX(Alimentos!$E$5:$E$310,MATCH(LARGE(Alimentos!BK$5:BK$310,$B2),Alimentos!BK$5:BK$310,0))),"Sem Sugestão")</f>
        <v>Oleo</v>
      </c>
      <c r="I2" s="66" t="str">
        <f>IFERROR(IF(I1=INDEX(Alimentos!$E$5:$E$310,MATCH(LARGE(Alimentos!BL$5:BL$310,$B2),Alimentos!BL$5:BL$310,0)),INDEX(Alimentos!$E$5:$E$310,MATCH(LARGE(Alimentos!BL$5:BL$310,$B2+1),Alimentos!BL$5:BL$310,0)),INDEX(Alimentos!$E$5:$E$310,MATCH(LARGE(Alimentos!BL$5:BL$310,$B2),Alimentos!BL$5:BL$310,0))),"Sem Sugestão")</f>
        <v>Oleo</v>
      </c>
      <c r="J2" s="66" t="str">
        <f>IFERROR(IF(J1=INDEX(Alimentos!$E$5:$E$310,MATCH(LARGE(Alimentos!BM$5:BM$310,$B2),Alimentos!BM$5:BM$310,0)),INDEX(Alimentos!$E$5:$E$310,MATCH(LARGE(Alimentos!BM$5:BM$310,$B2+1),Alimentos!BM$5:BM$310,0)),INDEX(Alimentos!$E$5:$E$310,MATCH(LARGE(Alimentos!BM$5:BM$310,$B2),Alimentos!BM$5:BM$310,0))),"Sem Sugestão")</f>
        <v>Sem Sugestão</v>
      </c>
      <c r="K2" s="66" t="str">
        <f>IFERROR(IF(K1=INDEX(Alimentos!$E$5:$E$310,MATCH(LARGE(Alimentos!BN$5:BN$310,$B2),Alimentos!BN$5:BN$310,0)),INDEX(Alimentos!$E$5:$E$310,MATCH(LARGE(Alimentos!BN$5:BN$310,$B2+1),Alimentos!BN$5:BN$310,0)),INDEX(Alimentos!$E$5:$E$310,MATCH(LARGE(Alimentos!BN$5:BN$310,$B2),Alimentos!BN$5:BN$310,0))),"Sem Sugestão")</f>
        <v>Oleo</v>
      </c>
      <c r="L2" s="66" t="str">
        <f>IFERROR(IF(L1=INDEX(Alimentos!$E$5:$E$310,MATCH(LARGE(Alimentos!BO$5:BO$310,$B2),Alimentos!BO$5:BO$310,0)),INDEX(Alimentos!$E$5:$E$310,MATCH(LARGE(Alimentos!BO$5:BO$310,$B2+1),Alimentos!BO$5:BO$310,0)),INDEX(Alimentos!$E$5:$E$310,MATCH(LARGE(Alimentos!BO$5:BO$310,$B2),Alimentos!BO$5:BO$310,0))),"Sem Sugestão")</f>
        <v>Ureia</v>
      </c>
      <c r="M2" s="66" t="str">
        <f>IFERROR(IF(M1=INDEX(Alimentos!$E$5:$E$310,MATCH(LARGE(Alimentos!BP$5:BP$310,$B2),Alimentos!BP$5:BP$310,0)),INDEX(Alimentos!$E$5:$E$310,MATCH(LARGE(Alimentos!BP$5:BP$310,$B2+1),Alimentos!BP$5:BP$310,0)),INDEX(Alimentos!$E$5:$E$310,MATCH(LARGE(Alimentos!BP$5:BP$310,$B2),Alimentos!BP$5:BP$310,0))),"Sem Sugestão")</f>
        <v>Ureia</v>
      </c>
      <c r="N2" s="66" t="str">
        <f>IFERROR(IF(N1=INDEX(Alimentos!$E$5:$E$310,MATCH(LARGE(Alimentos!BQ$5:BQ$310,$B2),Alimentos!BQ$5:BQ$310,0)),INDEX(Alimentos!$E$5:$E$310,MATCH(LARGE(Alimentos!BQ$5:BQ$310,$B2+1),Alimentos!BQ$5:BQ$310,0)),INDEX(Alimentos!$E$5:$E$310,MATCH(LARGE(Alimentos!BQ$5:BQ$310,$B2),Alimentos!BQ$5:BQ$310,0))),"Sem Sugestão")</f>
        <v>Milho Glúten 60</v>
      </c>
      <c r="O2" s="66" t="str">
        <f>IFERROR(IF(O1=INDEX(Alimentos!$E$5:$E$310,MATCH(LARGE(Alimentos!BR$5:BR$310,$B2),Alimentos!BR$5:BR$310,0)),INDEX(Alimentos!$E$5:$E$310,MATCH(LARGE(Alimentos!BR$5:BR$310,$B2+1),Alimentos!BR$5:BR$310,0)),INDEX(Alimentos!$E$5:$E$310,MATCH(LARGE(Alimentos!BR$5:BR$310,$B2),Alimentos!BR$5:BR$310,0))),"Sem Sugestão")</f>
        <v>Fosbovi Nucleo Proteico</v>
      </c>
      <c r="P2" s="66" t="str">
        <f>IFERROR(IF(P1=INDEX(Alimentos!$E$5:$E$310,MATCH(LARGE(Alimentos!BS$5:BS$310,$B2),Alimentos!BS$5:BS$310,0)),INDEX(Alimentos!$E$5:$E$310,MATCH(LARGE(Alimentos!BS$5:BS$310,$B2+1),Alimentos!BS$5:BS$310,0)),INDEX(Alimentos!$E$5:$E$310,MATCH(LARGE(Alimentos!BS$5:BS$310,$B2),Alimentos!BS$5:BS$310,0))),"Sem Sugestão")</f>
        <v>Ureia</v>
      </c>
      <c r="Q2" s="66" t="str">
        <f>IFERROR(IF(Q1=INDEX(Alimentos!$E$5:$E$310,MATCH(LARGE(Alimentos!BT$5:BT$310,$B2),Alimentos!BT$5:BT$310,0)),INDEX(Alimentos!$E$5:$E$310,MATCH(LARGE(Alimentos!BT$5:BT$310,$B2+1),Alimentos!BT$5:BT$310,0)),INDEX(Alimentos!$E$5:$E$310,MATCH(LARGE(Alimentos!BT$5:BT$310,$B2),Alimentos!BT$5:BT$310,0))),"Sem Sugestão")</f>
        <v>Calcário Calcítico</v>
      </c>
      <c r="R2" s="66" t="str">
        <f>IFERROR(IF(R1=INDEX(Alimentos!$E$5:$E$310,MATCH(LARGE(Alimentos!BU$5:BU$310,$B2),Alimentos!BU$5:BU$310,0)),INDEX(Alimentos!$E$5:$E$310,MATCH(LARGE(Alimentos!BU$5:BU$310,$B2+1),Alimentos!BU$5:BU$310,0)),INDEX(Alimentos!$E$5:$E$310,MATCH(LARGE(Alimentos!BU$5:BU$310,$B2),Alimentos!BU$5:BU$310,0))),"Sem Sugestão")</f>
        <v>Fosfato Bicálcico</v>
      </c>
      <c r="S2" s="66" t="str">
        <f>IFERROR(IF(S1=INDEX(Alimentos!$E$5:$E$310,MATCH(LARGE(Alimentos!BV$5:BV$310,$B2),Alimentos!BV$5:BV$310,0)),INDEX(Alimentos!$E$5:$E$310,MATCH(LARGE(Alimentos!BV$5:BV$310,$B2+1),Alimentos!BV$5:BV$310,0)),INDEX(Alimentos!$E$5:$E$310,MATCH(LARGE(Alimentos!BV$5:BV$310,$B2),Alimentos!BV$5:BV$310,0))),"Sem Sugestão")</f>
        <v>Óxido de Magnésio</v>
      </c>
      <c r="T2" s="66" t="str">
        <f>IFERROR(IF(T1=INDEX(Alimentos!$E$5:$E$310,MATCH(LARGE(Alimentos!BW$5:BW$310,$B2),Alimentos!BW$5:BW$310,0)),INDEX(Alimentos!$E$5:$E$310,MATCH(LARGE(Alimentos!BW$5:BW$310,$B2+1),Alimentos!BW$5:BW$310,0)),INDEX(Alimentos!$E$5:$E$310,MATCH(LARGE(Alimentos!BW$5:BW$310,$B2),Alimentos!BW$5:BW$310,0))),"Sem Sugestão")</f>
        <v>Sal Comum (BRC)</v>
      </c>
      <c r="U2" s="66" t="str">
        <f>IFERROR(IF(U1=INDEX(Alimentos!$E$5:$E$310,MATCH(LARGE(Alimentos!BX$5:BX$310,$B2),Alimentos!BX$5:BX$310,0)),INDEX(Alimentos!$E$5:$E$310,MATCH(LARGE(Alimentos!BX$5:BX$310,$B2+1),Alimentos!BX$5:BX$310,0)),INDEX(Alimentos!$E$5:$E$310,MATCH(LARGE(Alimentos!BX$5:BX$310,$B2),Alimentos!BX$5:BX$310,0))),"Sem Sugestão")</f>
        <v>Cloreto de Potássio</v>
      </c>
      <c r="V2" s="66" t="str">
        <f>IFERROR(IF(V1=INDEX(Alimentos!$E$5:$E$310,MATCH(LARGE(Alimentos!BY$5:BY$310,$B2),Alimentos!BY$5:BY$310,0)),INDEX(Alimentos!$E$5:$E$310,MATCH(LARGE(Alimentos!BY$5:BY$310,$B2+1),Alimentos!BY$5:BY$310,0)),INDEX(Alimentos!$E$5:$E$310,MATCH(LARGE(Alimentos!BY$5:BY$310,$B2),Alimentos!BY$5:BY$310,0))),"Sem Sugestão")</f>
        <v xml:space="preserve">Flor de S </v>
      </c>
      <c r="W2" s="66" t="str">
        <f>IFERROR(IF(W1=INDEX(Alimentos!$E$5:$E$310,MATCH(LARGE(Alimentos!BZ$5:BZ$310,$B2),Alimentos!BZ$5:BZ$310,0)),INDEX(Alimentos!$E$5:$E$310,MATCH(LARGE(Alimentos!BZ$5:BZ$310,$B2+1),Alimentos!BZ$5:BZ$310,0)),INDEX(Alimentos!$E$5:$E$310,MATCH(LARGE(Alimentos!BZ$5:BZ$310,$B2),Alimentos!BZ$5:BZ$310,0))),"Sem Sugestão")</f>
        <v>Sulfato Cobre</v>
      </c>
      <c r="X2" s="66" t="str">
        <f>IFERROR(IF(X1=INDEX(Alimentos!$E$5:$E$310,MATCH(LARGE(Alimentos!CA$5:CA$310,$B2),Alimentos!CA$5:CA$310,0)),INDEX(Alimentos!$E$5:$E$310,MATCH(LARGE(Alimentos!CA$5:CA$310,$B2+1),Alimentos!CA$5:CA$310,0)),INDEX(Alimentos!$E$5:$E$310,MATCH(LARGE(Alimentos!CA$5:CA$310,$B2),Alimentos!CA$5:CA$310,0))),"Sem Sugestão")</f>
        <v>Sulfato de Zinco</v>
      </c>
      <c r="Y2" s="66" t="str">
        <f>IFERROR(IF(Y1=INDEX(Alimentos!$E$5:$E$310,MATCH(LARGE(Alimentos!CB$5:CB$310,$B2),Alimentos!CB$5:CB$310,0)),INDEX(Alimentos!$E$5:$E$310,MATCH(LARGE(Alimentos!CB$5:CB$310,$B2+1),Alimentos!CB$5:CB$310,0)),INDEX(Alimentos!$E$5:$E$310,MATCH(LARGE(Alimentos!CB$5:CB$310,$B2),Alimentos!CB$5:CB$310,0))),"Sem Sugestão")</f>
        <v>Sulfato Ferro</v>
      </c>
      <c r="Z2" s="66" t="str">
        <f>IFERROR(IF(Z1=INDEX(Alimentos!$E$5:$E$310,MATCH(LARGE(Alimentos!CC$5:CC$310,$B2),Alimentos!CC$5:CC$310,0)),INDEX(Alimentos!$E$5:$E$310,MATCH(LARGE(Alimentos!CC$5:CC$310,$B2+1),Alimentos!CC$5:CC$310,0)),INDEX(Alimentos!$E$5:$E$310,MATCH(LARGE(Alimentos!CC$5:CC$310,$B2),Alimentos!CC$5:CC$310,0))),"Sem Sugestão")</f>
        <v>Sulfato de Manganês</v>
      </c>
      <c r="AA2" s="66" t="str">
        <f>IFERROR(IF(AA1=INDEX(Alimentos!$E$5:$E$310,MATCH(LARGE(Alimentos!CD$5:CD$310,$B2),Alimentos!CD$5:CD$310,0)),INDEX(Alimentos!$E$5:$E$310,MATCH(LARGE(Alimentos!CD$5:CD$310,$B2+1),Alimentos!CD$5:CD$310,0)),INDEX(Alimentos!$E$5:$E$310,MATCH(LARGE(Alimentos!CD$5:CD$310,$B2),Alimentos!CD$5:CD$310,0))),"Sem Sugestão")</f>
        <v>Iodato de Potássio</v>
      </c>
      <c r="AB2" s="66" t="str">
        <f>IFERROR(IF(AB1=INDEX(Alimentos!$E$5:$E$310,MATCH(LARGE(Alimentos!CE$5:CE$310,$B2),Alimentos!CE$5:CE$310,0)),INDEX(Alimentos!$E$5:$E$310,MATCH(LARGE(Alimentos!CE$5:CE$310,$B2+1),Alimentos!CE$5:CE$310,0)),INDEX(Alimentos!$E$5:$E$310,MATCH(LARGE(Alimentos!CE$5:CE$310,$B2),Alimentos!CE$5:CE$310,0))),"Sem Sugestão")</f>
        <v>Sulfato Cobalto</v>
      </c>
      <c r="AC2" s="66" t="str">
        <f>IFERROR(IF(AC1=INDEX(Alimentos!$E$5:$E$310,MATCH(LARGE(Alimentos!CF$5:CF$310,$B2),Alimentos!CF$5:CF$310,0)),INDEX(Alimentos!$E$5:$E$310,MATCH(LARGE(Alimentos!CF$5:CF$310,$B2+1),Alimentos!CF$5:CF$310,0)),INDEX(Alimentos!$E$5:$E$310,MATCH(LARGE(Alimentos!CF$5:CF$310,$B2),Alimentos!CF$5:CF$310,0))),"Sem Sugestão")</f>
        <v>Selenito de Sódio</v>
      </c>
      <c r="AD2" s="66" t="str">
        <f>IFERROR(IF(AD1=INDEX(Alimentos!$E$5:$E$310,MATCH(LARGE(Alimentos!CG$5:CG$310,$B2),Alimentos!CG$5:CG$310,0)),INDEX(Alimentos!$E$5:$E$310,MATCH(LARGE(Alimentos!CG$5:CG$310,$B2+1),Alimentos!CG$5:CG$310,0)),INDEX(Alimentos!$E$5:$E$310,MATCH(LARGE(Alimentos!CG$5:CG$310,$B2),Alimentos!CG$5:CG$310,0))),"Sem Sugestão")</f>
        <v>Sem Sugestão</v>
      </c>
      <c r="AE2" s="66" t="str">
        <f>IFERROR(IF(AE1=INDEX(Alimentos!$E$5:$E$310,MATCH(LARGE(Alimentos!CH$5:CH$310,$B2),Alimentos!CH$5:CH$310,0)),INDEX(Alimentos!$E$5:$E$310,MATCH(LARGE(Alimentos!CH$5:CH$310,$B2+1),Alimentos!CH$5:CH$310,0)),INDEX(Alimentos!$E$5:$E$310,MATCH(LARGE(Alimentos!CH$5:CH$310,$B2),Alimentos!CH$5:CH$310,0))),"Sem Sugestão")</f>
        <v>Sem Sugestão</v>
      </c>
      <c r="AF2" s="66" t="str">
        <f>IFERROR(IF(AF1=INDEX(Alimentos!$E$5:$E$310,MATCH(LARGE(Alimentos!CI$5:CI$310,$B2),Alimentos!CI$5:CI$310,0)),INDEX(Alimentos!$E$5:$E$310,MATCH(LARGE(Alimentos!CI$5:CI$310,$B2+1),Alimentos!CI$5:CI$310,0)),INDEX(Alimentos!$E$5:$E$310,MATCH(LARGE(Alimentos!CI$5:CI$310,$B2),Alimentos!CI$5:CI$310,0))),"Sem Sugestão")</f>
        <v>Sem Sugestão</v>
      </c>
      <c r="AG2" s="66" t="str">
        <f>IFERROR(IF(AG1=INDEX(Alimentos!$E$5:$E$310,MATCH(LARGE(Alimentos!CJ$5:CJ$310,$B2),Alimentos!CJ$5:CJ$310,0)),INDEX(Alimentos!$E$5:$E$310,MATCH(LARGE(Alimentos!CJ$5:CJ$310,$B2+1),Alimentos!CJ$5:CJ$310,0)),INDEX(Alimentos!$E$5:$E$310,MATCH(LARGE(Alimentos!CJ$5:CJ$310,$B2),Alimentos!CJ$5:CJ$310,0))),"Sem Sugestão")</f>
        <v>Vit ADE</v>
      </c>
      <c r="AH2" s="66" t="str">
        <f>IFERROR(IF(AH1=INDEX(Alimentos!$E$5:$E$310,MATCH(LARGE(Alimentos!CK$5:CK$310,$B2),Alimentos!CK$5:CK$310,0)),INDEX(Alimentos!$E$5:$E$310,MATCH(LARGE(Alimentos!CK$5:CK$310,$B2+1),Alimentos!CK$5:CK$310,0)),INDEX(Alimentos!$E$5:$E$310,MATCH(LARGE(Alimentos!CK$5:CK$310,$B2),Alimentos!CK$5:CK$310,0))),"Sem Sugestão")</f>
        <v>Sem Sugestão</v>
      </c>
      <c r="AI2" s="66" t="str">
        <f>IFERROR(IF(AI1=INDEX(Alimentos!$E$5:$E$310,MATCH(LARGE(Alimentos!CL$5:CL$310,$B2),Alimentos!CL$5:CL$310,0)),INDEX(Alimentos!$E$5:$E$310,MATCH(LARGE(Alimentos!CL$5:CL$310,$B2+1),Alimentos!CL$5:CL$310,0)),INDEX(Alimentos!$E$5:$E$310,MATCH(LARGE(Alimentos!CL$5:CL$310,$B2),Alimentos!CL$5:CL$310,0))),"Sem Sugestão")</f>
        <v>Vit ADE</v>
      </c>
      <c r="AJ2" s="66" t="str">
        <f>IFERROR(IF(AJ1=INDEX(Alimentos!$E$5:$E$310,MATCH(LARGE(Alimentos!CM$5:CM$310,$B2),Alimentos!CM$5:CM$310,0)),INDEX(Alimentos!$E$5:$E$310,MATCH(LARGE(Alimentos!CM$5:CM$310,$B2+1),Alimentos!CM$5:CM$310,0)),INDEX(Alimentos!$E$5:$E$310,MATCH(LARGE(Alimentos!CM$5:CM$310,$B2),Alimentos!CM$5:CM$310,0))),"Sem Sugestão")</f>
        <v>Vit ADE</v>
      </c>
      <c r="AK2" s="66" t="str">
        <f>IFERROR(IF(AK1=INDEX(Alimentos!$E$5:$E$310,MATCH(LARGE(Alimentos!CN$5:CN$310,$B2),Alimentos!CN$5:CN$310,0)),INDEX(Alimentos!$E$5:$E$310,MATCH(LARGE(Alimentos!CN$5:CN$310,$B2+1),Alimentos!CN$5:CN$310,0)),INDEX(Alimentos!$E$5:$E$310,MATCH(LARGE(Alimentos!CN$5:CN$310,$B2),Alimentos!CN$5:CN$310,0))),"Sem Sugestão")</f>
        <v>Sem Sugestão</v>
      </c>
      <c r="AL2" s="66" t="str">
        <f>IFERROR(IF(AL1=INDEX(Alimentos!$E$5:$E$310,MATCH(LARGE(Alimentos!CO$5:CO$310,$B2),Alimentos!CO$5:CO$310,0)),INDEX(Alimentos!$E$5:$E$310,MATCH(LARGE(Alimentos!CO$5:CO$310,$B2+1),Alimentos!CO$5:CO$310,0)),INDEX(Alimentos!$E$5:$E$310,MATCH(LARGE(Alimentos!CO$5:CO$310,$B2),Alimentos!CO$5:CO$310,0))),"Sem Sugestão")</f>
        <v>Sem Sugestão</v>
      </c>
      <c r="AM2" s="66" t="str">
        <f>IFERROR(IF(AM1=INDEX(Alimentos!$E$5:$E$310,MATCH(LARGE(Alimentos!CP$5:CP$310,$B2),Alimentos!CP$5:CP$310,0)),INDEX(Alimentos!$E$5:$E$310,MATCH(LARGE(Alimentos!CP$5:CP$310,$B2+1),Alimentos!CP$5:CP$310,0)),INDEX(Alimentos!$E$5:$E$310,MATCH(LARGE(Alimentos!CP$5:CP$310,$B2),Alimentos!CP$5:CP$310,0))),"Sem Sugestão")</f>
        <v>Sem Sugestão</v>
      </c>
      <c r="AN2" s="66" t="str">
        <f>IFERROR(IF(AN1=INDEX(Alimentos!$E$5:$E$310,MATCH(LARGE(Alimentos!CQ$5:CQ$310,$B2),Alimentos!CQ$5:CQ$310,0)),INDEX(Alimentos!$E$5:$E$310,MATCH(LARGE(Alimentos!CQ$5:CQ$310,$B2+1),Alimentos!CQ$5:CQ$310,0)),INDEX(Alimentos!$E$5:$E$310,MATCH(LARGE(Alimentos!CQ$5:CQ$310,$B2),Alimentos!CQ$5:CQ$310,0))),"Sem Sugestão")</f>
        <v>Sem Sugestão</v>
      </c>
      <c r="AO2" s="66" t="str">
        <f>IFERROR(IF(AO1=INDEX(Alimentos!$E$5:$E$310,MATCH(LARGE(Alimentos!CR$5:CR$310,$B2),Alimentos!CR$5:CR$310,0)),INDEX(Alimentos!$E$5:$E$310,MATCH(LARGE(Alimentos!CR$5:CR$310,$B2+1),Alimentos!CR$5:CR$310,0)),INDEX(Alimentos!$E$5:$E$310,MATCH(LARGE(Alimentos!CR$5:CR$310,$B2),Alimentos!CR$5:CR$310,0))),"Sem Sugestão")</f>
        <v>Sem Sugestão</v>
      </c>
      <c r="AP2" s="66" t="str">
        <f>IFERROR(IF(AP1=INDEX(Alimentos!$E$5:$E$310,MATCH(LARGE(Alimentos!CS$5:CS$310,$B2),Alimentos!CS$5:CS$310,0)),INDEX(Alimentos!$E$5:$E$310,MATCH(LARGE(Alimentos!CS$5:CS$310,$B2+1),Alimentos!CS$5:CS$310,0)),INDEX(Alimentos!$E$5:$E$310,MATCH(LARGE(Alimentos!CS$5:CS$310,$B2),Alimentos!CS$5:CS$310,0))),"Sem Sugestão")</f>
        <v>Sem Sugestão</v>
      </c>
      <c r="AQ2" s="66" t="str">
        <f>IFERROR(IF(AQ1=INDEX(Alimentos!$E$5:$E$310,MATCH(LARGE(Alimentos!CT$5:CT$310,$B2),Alimentos!CT$5:CT$310,0)),INDEX(Alimentos!$E$5:$E$310,MATCH(LARGE(Alimentos!CT$5:CT$310,$B2+1),Alimentos!CT$5:CT$310,0)),INDEX(Alimentos!$E$5:$E$310,MATCH(LARGE(Alimentos!CT$5:CT$310,$B2),Alimentos!CT$5:CT$310,0))),"Sem Sugestão")</f>
        <v>Sem Sugestão</v>
      </c>
      <c r="AR2" s="66" t="str">
        <f>IFERROR(IF(AR1=INDEX(Alimentos!$E$5:$E$310,MATCH(LARGE(Alimentos!CU$5:CU$310,$B2),Alimentos!CU$5:CU$310,0)),INDEX(Alimentos!$E$5:$E$310,MATCH(LARGE(Alimentos!CU$5:CU$310,$B2+1),Alimentos!CU$5:CU$310,0)),INDEX(Alimentos!$E$5:$E$310,MATCH(LARGE(Alimentos!CU$5:CU$310,$B2),Alimentos!CU$5:CU$310,0))),"Sem Sugestão")</f>
        <v>Sem Sugestão</v>
      </c>
      <c r="AS2" s="66" t="str">
        <f>IFERROR(IF(AS1=INDEX(Alimentos!$E$5:$E$310,MATCH(LARGE(Alimentos!CV$5:CV$310,$B2),Alimentos!CV$5:CV$310,0)),INDEX(Alimentos!$E$5:$E$310,MATCH(LARGE(Alimentos!CV$5:CV$310,$B2+1),Alimentos!CV$5:CV$310,0)),INDEX(Alimentos!$E$5:$E$310,MATCH(LARGE(Alimentos!CV$5:CV$310,$B2),Alimentos!CV$5:CV$310,0))),"Sem Sugestão")</f>
        <v>Sem Sugestão</v>
      </c>
      <c r="AT2" s="66" t="str">
        <f>IFERROR(IF(AT1=INDEX(Alimentos!$E$5:$E$310,MATCH(LARGE(Alimentos!CW$5:CW$310,$B2),Alimentos!CW$5:CW$310,0)),INDEX(Alimentos!$E$5:$E$310,MATCH(LARGE(Alimentos!CW$5:CW$310,$B2+1),Alimentos!CW$5:CW$310,0)),INDEX(Alimentos!$E$5:$E$310,MATCH(LARGE(Alimentos!CW$5:CW$310,$B2),Alimentos!CW$5:CW$310,0))),"Sem Sugestão")</f>
        <v>Sem Sugestão</v>
      </c>
      <c r="AU2" s="66" t="str">
        <f>IFERROR(IF(AU1=INDEX(Alimentos!$E$5:$E$310,MATCH(LARGE(Alimentos!CX$5:CX$310,$B2),Alimentos!CX$5:CX$310,0)),INDEX(Alimentos!$E$5:$E$310,MATCH(LARGE(Alimentos!CX$5:CX$310,$B2+1),Alimentos!CX$5:CX$310,0)),INDEX(Alimentos!$E$5:$E$310,MATCH(LARGE(Alimentos!CX$5:CX$310,$B2),Alimentos!CX$5:CX$310,0))),"Sem Sugestão")</f>
        <v>Vantage Nucleo Peso</v>
      </c>
    </row>
    <row r="3" spans="1:47">
      <c r="B3" s="62">
        <f>B2+1</f>
        <v>2</v>
      </c>
      <c r="D3" s="66" t="str">
        <f>IFERROR(IF(D2=INDEX(Alimentos!$E$5:$E$310,MATCH(LARGE(Alimentos!BG$5:BG$310,$B3),Alimentos!BG$5:BG$310,0)),INDEX(Alimentos!$E$5:$E$310,MATCH(LARGE(Alimentos!BG$5:BG$310,$B3+1),Alimentos!BG$5:BG$310,0)),INDEX(Alimentos!$E$5:$E$310,MATCH(LARGE(Alimentos!BG$5:BG$310,$B3),Alimentos!BG$5:BG$310,0))),"Sem Sugestão")</f>
        <v>Capim Braquiária Brizantha Feno</v>
      </c>
      <c r="E3" s="66" t="str">
        <f>IFERROR(IF(E2=INDEX(Alimentos!$E$5:$E$310,MATCH(LARGE(Alimentos!BH$5:BH$310,$B3),Alimentos!BH$5:BH$310,0)),INDEX(Alimentos!$E$5:$E$310,MATCH(LARGE(Alimentos!BH$5:BH$310,$B3+1),Alimentos!BH$5:BH$310,0)),INDEX(Alimentos!$E$5:$E$310,MATCH(LARGE(Alimentos!BH$5:BH$310,$B3),Alimentos!BH$5:BH$310,0))),"Sem Sugestão")</f>
        <v>Acerola, Coproduto</v>
      </c>
      <c r="F3" s="66" t="str">
        <f>IFERROR(IF(F2=INDEX(Alimentos!$E$5:$E$310,MATCH(LARGE(Alimentos!BI$5:BI$310,$B3),Alimentos!BI$5:BI$310,0)),INDEX(Alimentos!$E$5:$E$310,MATCH(LARGE(Alimentos!BI$5:BI$310,$B3+1),Alimentos!BI$5:BI$310,0)),INDEX(Alimentos!$E$5:$E$310,MATCH(LARGE(Alimentos!BI$5:BI$310,$B3),Alimentos!BI$5:BI$310,0))),"Sem Sugestão")</f>
        <v>Sorgo, Grão (BRC3.0)</v>
      </c>
      <c r="G3" s="66" t="str">
        <f>IFERROR(IF(G2=INDEX(Alimentos!$E$5:$E$310,MATCH(LARGE(Alimentos!BJ$5:BJ$310,$B3),Alimentos!BJ$5:BJ$310,0)),INDEX(Alimentos!$E$5:$E$310,MATCH(LARGE(Alimentos!BJ$5:BJ$310,$B3+1),Alimentos!BJ$5:BJ$310,0)),INDEX(Alimentos!$E$5:$E$310,MATCH(LARGE(Alimentos!BJ$5:BJ$310,$B3),Alimentos!BJ$5:BJ$310,0))),"Sem Sugestão")</f>
        <v>Milho Gérmen, Farelo</v>
      </c>
      <c r="H3" s="66" t="str">
        <f>IFERROR(IF(H2=INDEX(Alimentos!$E$5:$E$310,MATCH(LARGE(Alimentos!BK$5:BK$310,$B3),Alimentos!BK$5:BK$310,0)),INDEX(Alimentos!$E$5:$E$310,MATCH(LARGE(Alimentos!BK$5:BK$310,$B3+1),Alimentos!BK$5:BK$310,0)),INDEX(Alimentos!$E$5:$E$310,MATCH(LARGE(Alimentos!BK$5:BK$310,$B3),Alimentos!BK$5:BK$310,0))),"Sem Sugestão")</f>
        <v>Algodão, Caroço</v>
      </c>
      <c r="I3" s="66" t="str">
        <f>IFERROR(IF(I2=INDEX(Alimentos!$E$5:$E$310,MATCH(LARGE(Alimentos!BL$5:BL$310,$B3),Alimentos!BL$5:BL$310,0)),INDEX(Alimentos!$E$5:$E$310,MATCH(LARGE(Alimentos!BL$5:BL$310,$B3+1),Alimentos!BL$5:BL$310,0)),INDEX(Alimentos!$E$5:$E$310,MATCH(LARGE(Alimentos!BL$5:BL$310,$B3),Alimentos!BL$5:BL$310,0))),"Sem Sugestão")</f>
        <v>Soja, Grão Tostada</v>
      </c>
      <c r="J3" s="66" t="str">
        <f>IFERROR(IF(J2=INDEX(Alimentos!$E$5:$E$310,MATCH(LARGE(Alimentos!BM$5:BM$310,$B3),Alimentos!BM$5:BM$310,0)),INDEX(Alimentos!$E$5:$E$310,MATCH(LARGE(Alimentos!BM$5:BM$310,$B3+1),Alimentos!BM$5:BM$310,0)),INDEX(Alimentos!$E$5:$E$310,MATCH(LARGE(Alimentos!BM$5:BM$310,$B3),Alimentos!BM$5:BM$310,0))),"Sem Sugestão")</f>
        <v>Sem Sugestão</v>
      </c>
      <c r="K3" s="66" t="str">
        <f>IFERROR(IF(K2=INDEX(Alimentos!$E$5:$E$310,MATCH(LARGE(Alimentos!BN$5:BN$310,$B3),Alimentos!BN$5:BN$310,0)),INDEX(Alimentos!$E$5:$E$310,MATCH(LARGE(Alimentos!BN$5:BN$310,$B3+1),Alimentos!BN$5:BN$310,0)),INDEX(Alimentos!$E$5:$E$310,MATCH(LARGE(Alimentos!BN$5:BN$310,$B3),Alimentos!BN$5:BN$310,0))),"Sem Sugestão")</f>
        <v>Algodão, Caroço</v>
      </c>
      <c r="L3" s="66" t="str">
        <f>IFERROR(IF(L2=INDEX(Alimentos!$E$5:$E$310,MATCH(LARGE(Alimentos!BO$5:BO$310,$B3),Alimentos!BO$5:BO$310,0)),INDEX(Alimentos!$E$5:$E$310,MATCH(LARGE(Alimentos!BO$5:BO$310,$B3+1),Alimentos!BO$5:BO$310,0)),INDEX(Alimentos!$E$5:$E$310,MATCH(LARGE(Alimentos!BO$5:BO$310,$B3),Alimentos!BO$5:BO$310,0))),"Sem Sugestão")</f>
        <v>Amiréia</v>
      </c>
      <c r="M3" s="66" t="str">
        <f>IFERROR(IF(M2=INDEX(Alimentos!$E$5:$E$310,MATCH(LARGE(Alimentos!BP$5:BP$310,$B3),Alimentos!BP$5:BP$310,0)),INDEX(Alimentos!$E$5:$E$310,MATCH(LARGE(Alimentos!BP$5:BP$310,$B3+1),Alimentos!BP$5:BP$310,0)),INDEX(Alimentos!$E$5:$E$310,MATCH(LARGE(Alimentos!BP$5:BP$310,$B3),Alimentos!BP$5:BP$310,0))),"Sem Sugestão")</f>
        <v>Fosbovi Nucleo Proteico</v>
      </c>
      <c r="N3" s="66" t="str">
        <f>IFERROR(IF(N2=INDEX(Alimentos!$E$5:$E$310,MATCH(LARGE(Alimentos!BQ$5:BQ$310,$B3),Alimentos!BQ$5:BQ$310,0)),INDEX(Alimentos!$E$5:$E$310,MATCH(LARGE(Alimentos!BQ$5:BQ$310,$B3+1),Alimentos!BQ$5:BQ$310,0)),INDEX(Alimentos!$E$5:$E$310,MATCH(LARGE(Alimentos!BQ$5:BQ$310,$B3),Alimentos!BQ$5:BQ$310,0))),"Sem Sugestão")</f>
        <v>Soja, Farelo Extrusado</v>
      </c>
      <c r="O3" s="66" t="str">
        <f>IFERROR(IF(O2=INDEX(Alimentos!$E$5:$E$310,MATCH(LARGE(Alimentos!BR$5:BR$310,$B3),Alimentos!BR$5:BR$310,0)),INDEX(Alimentos!$E$5:$E$310,MATCH(LARGE(Alimentos!BR$5:BR$310,$B3+1),Alimentos!BR$5:BR$310,0)),INDEX(Alimentos!$E$5:$E$310,MATCH(LARGE(Alimentos!BR$5:BR$310,$B3),Alimentos!BR$5:BR$310,0))),"Sem Sugestão")</f>
        <v>Milho Glúten 60</v>
      </c>
      <c r="P3" s="66" t="str">
        <f>IFERROR(IF(P2=INDEX(Alimentos!$E$5:$E$310,MATCH(LARGE(Alimentos!BS$5:BS$310,$B3),Alimentos!BS$5:BS$310,0)),INDEX(Alimentos!$E$5:$E$310,MATCH(LARGE(Alimentos!BS$5:BS$310,$B3+1),Alimentos!BS$5:BS$310,0)),INDEX(Alimentos!$E$5:$E$310,MATCH(LARGE(Alimentos!BS$5:BS$310,$B3),Alimentos!BS$5:BS$310,0))),"Sem Sugestão")</f>
        <v>Amiréia</v>
      </c>
      <c r="Q3" s="66" t="str">
        <f>IFERROR(IF(Q2=INDEX(Alimentos!$E$5:$E$310,MATCH(LARGE(Alimentos!BT$5:BT$310,$B3),Alimentos!BT$5:BT$310,0)),INDEX(Alimentos!$E$5:$E$310,MATCH(LARGE(Alimentos!BT$5:BT$310,$B3+1),Alimentos!BT$5:BT$310,0)),INDEX(Alimentos!$E$5:$E$310,MATCH(LARGE(Alimentos!BT$5:BT$310,$B3),Alimentos!BT$5:BT$310,0))),"Sem Sugestão")</f>
        <v>Calcário</v>
      </c>
      <c r="R3" s="66" t="str">
        <f>IFERROR(IF(R2=INDEX(Alimentos!$E$5:$E$310,MATCH(LARGE(Alimentos!BU$5:BU$310,$B3),Alimentos!BU$5:BU$310,0)),INDEX(Alimentos!$E$5:$E$310,MATCH(LARGE(Alimentos!BU$5:BU$310,$B3+1),Alimentos!BU$5:BU$310,0)),INDEX(Alimentos!$E$5:$E$310,MATCH(LARGE(Alimentos!BU$5:BU$310,$B3),Alimentos!BU$5:BU$310,0))),"Sem Sugestão")</f>
        <v>Mineral Fosbovi 40</v>
      </c>
      <c r="S3" s="66" t="str">
        <f>IFERROR(IF(S2=INDEX(Alimentos!$E$5:$E$310,MATCH(LARGE(Alimentos!BV$5:BV$310,$B3),Alimentos!BV$5:BV$310,0)),INDEX(Alimentos!$E$5:$E$310,MATCH(LARGE(Alimentos!BV$5:BV$310,$B3+1),Alimentos!BV$5:BV$310,0)),INDEX(Alimentos!$E$5:$E$310,MATCH(LARGE(Alimentos!BV$5:BV$310,$B3),Alimentos!BV$5:BV$310,0))),"Sem Sugestão")</f>
        <v>Nucleo Confinamento Aep</v>
      </c>
      <c r="T3" s="66" t="str">
        <f>IFERROR(IF(T2=INDEX(Alimentos!$E$5:$E$310,MATCH(LARGE(Alimentos!BW$5:BW$310,$B3),Alimentos!BW$5:BW$310,0)),INDEX(Alimentos!$E$5:$E$310,MATCH(LARGE(Alimentos!BW$5:BW$310,$B3+1),Alimentos!BW$5:BW$310,0)),INDEX(Alimentos!$E$5:$E$310,MATCH(LARGE(Alimentos!BW$5:BW$310,$B3),Alimentos!BW$5:BW$310,0))),"Sem Sugestão")</f>
        <v>Sal Comum (NaCl)</v>
      </c>
      <c r="U3" s="66" t="str">
        <f>IFERROR(IF(U2=INDEX(Alimentos!$E$5:$E$310,MATCH(LARGE(Alimentos!BX$5:BX$310,$B3),Alimentos!BX$5:BX$310,0)),INDEX(Alimentos!$E$5:$E$310,MATCH(LARGE(Alimentos!BX$5:BX$310,$B3+1),Alimentos!BX$5:BX$310,0)),INDEX(Alimentos!$E$5:$E$310,MATCH(LARGE(Alimentos!BX$5:BX$310,$B3),Alimentos!BX$5:BX$310,0))),"Sem Sugestão")</f>
        <v xml:space="preserve">Bicarbonato de K </v>
      </c>
      <c r="V3" s="66" t="str">
        <f>IFERROR(IF(V2=INDEX(Alimentos!$E$5:$E$310,MATCH(LARGE(Alimentos!BY$5:BY$310,$B3),Alimentos!BY$5:BY$310,0)),INDEX(Alimentos!$E$5:$E$310,MATCH(LARGE(Alimentos!BY$5:BY$310,$B3+1),Alimentos!BY$5:BY$310,0)),INDEX(Alimentos!$E$5:$E$310,MATCH(LARGE(Alimentos!BY$5:BY$310,$B3),Alimentos!BY$5:BY$310,0))),"Sem Sugestão")</f>
        <v>Premix Fosbovi Proteico 35</v>
      </c>
      <c r="W3" s="66" t="str">
        <f>IFERROR(IF(W2=INDEX(Alimentos!$E$5:$E$310,MATCH(LARGE(Alimentos!BZ$5:BZ$310,$B3),Alimentos!BZ$5:BZ$310,0)),INDEX(Alimentos!$E$5:$E$310,MATCH(LARGE(Alimentos!BZ$5:BZ$310,$B3+1),Alimentos!BZ$5:BZ$310,0)),INDEX(Alimentos!$E$5:$E$310,MATCH(LARGE(Alimentos!BZ$5:BZ$310,$B3),Alimentos!BZ$5:BZ$310,0))),"Sem Sugestão")</f>
        <v>Sal Mineral Bezerro (Iomar Mombaça)</v>
      </c>
      <c r="X3" s="66" t="str">
        <f>IFERROR(IF(X2=INDEX(Alimentos!$E$5:$E$310,MATCH(LARGE(Alimentos!CA$5:CA$310,$B3),Alimentos!CA$5:CA$310,0)),INDEX(Alimentos!$E$5:$E$310,MATCH(LARGE(Alimentos!CA$5:CA$310,$B3+1),Alimentos!CA$5:CA$310,0)),INDEX(Alimentos!$E$5:$E$310,MATCH(LARGE(Alimentos!CA$5:CA$310,$B3),Alimentos!CA$5:CA$310,0))),"Sem Sugestão")</f>
        <v>Nucleo Tortuga</v>
      </c>
      <c r="Y3" s="66" t="str">
        <f>IFERROR(IF(Y2=INDEX(Alimentos!$E$5:$E$310,MATCH(LARGE(Alimentos!CB$5:CB$310,$B3),Alimentos!CB$5:CB$310,0)),INDEX(Alimentos!$E$5:$E$310,MATCH(LARGE(Alimentos!CB$5:CB$310,$B3+1),Alimentos!CB$5:CB$310,0)),INDEX(Alimentos!$E$5:$E$310,MATCH(LARGE(Alimentos!CB$5:CB$310,$B3),Alimentos!CB$5:CB$310,0))),"Sem Sugestão")</f>
        <v>Sal Mineral Vaca Leite Iomar</v>
      </c>
      <c r="Z3" s="66" t="str">
        <f>IFERROR(IF(Z2=INDEX(Alimentos!$E$5:$E$310,MATCH(LARGE(Alimentos!CC$5:CC$310,$B3),Alimentos!CC$5:CC$310,0)),INDEX(Alimentos!$E$5:$E$310,MATCH(LARGE(Alimentos!CC$5:CC$310,$B3+1),Alimentos!CC$5:CC$310,0)),INDEX(Alimentos!$E$5:$E$310,MATCH(LARGE(Alimentos!CC$5:CC$310,$B3),Alimentos!CC$5:CC$310,0))),"Sem Sugestão")</f>
        <v>Sal Mineral Bezerro (Iomar Mombaça)</v>
      </c>
      <c r="AA3" s="66" t="str">
        <f>IFERROR(IF(AA2=INDEX(Alimentos!$E$5:$E$310,MATCH(LARGE(Alimentos!CD$5:CD$310,$B3),Alimentos!CD$5:CD$310,0)),INDEX(Alimentos!$E$5:$E$310,MATCH(LARGE(Alimentos!CD$5:CD$310,$B3+1),Alimentos!CD$5:CD$310,0)),INDEX(Alimentos!$E$5:$E$310,MATCH(LARGE(Alimentos!CD$5:CD$310,$B3),Alimentos!CD$5:CD$310,0))),"Sem Sugestão")</f>
        <v>Premix Premiphós 80</v>
      </c>
      <c r="AB3" s="66" t="str">
        <f>IFERROR(IF(AB2=INDEX(Alimentos!$E$5:$E$310,MATCH(LARGE(Alimentos!CE$5:CE$310,$B3),Alimentos!CE$5:CE$310,0)),INDEX(Alimentos!$E$5:$E$310,MATCH(LARGE(Alimentos!CE$5:CE$310,$B3+1),Alimentos!CE$5:CE$310,0)),INDEX(Alimentos!$E$5:$E$310,MATCH(LARGE(Alimentos!CE$5:CE$310,$B3),Alimentos!CE$5:CE$310,0))),"Sem Sugestão")</f>
        <v>Sal Mineral (Ovino Recria)</v>
      </c>
      <c r="AC3" s="66" t="str">
        <f>IFERROR(IF(AC2=INDEX(Alimentos!$E$5:$E$310,MATCH(LARGE(Alimentos!CF$5:CF$310,$B3),Alimentos!CF$5:CF$310,0)),INDEX(Alimentos!$E$5:$E$310,MATCH(LARGE(Alimentos!CF$5:CF$310,$B3+1),Alimentos!CF$5:CF$310,0)),INDEX(Alimentos!$E$5:$E$310,MATCH(LARGE(Alimentos!CF$5:CF$310,$B3),Alimentos!CF$5:CF$310,0))),"Sem Sugestão")</f>
        <v>Sal Mineral (Pastagem Seca)</v>
      </c>
      <c r="AD3" s="66" t="str">
        <f>IFERROR(IF(AD2=INDEX(Alimentos!$E$5:$E$310,MATCH(LARGE(Alimentos!CG$5:CG$310,$B3),Alimentos!CG$5:CG$310,0)),INDEX(Alimentos!$E$5:$E$310,MATCH(LARGE(Alimentos!CG$5:CG$310,$B3+1),Alimentos!CG$5:CG$310,0)),INDEX(Alimentos!$E$5:$E$310,MATCH(LARGE(Alimentos!CG$5:CG$310,$B3),Alimentos!CG$5:CG$310,0))),"Sem Sugestão")</f>
        <v>Sem Sugestão</v>
      </c>
      <c r="AE3" s="66" t="str">
        <f>IFERROR(IF(AE2=INDEX(Alimentos!$E$5:$E$310,MATCH(LARGE(Alimentos!CH$5:CH$310,$B3),Alimentos!CH$5:CH$310,0)),INDEX(Alimentos!$E$5:$E$310,MATCH(LARGE(Alimentos!CH$5:CH$310,$B3+1),Alimentos!CH$5:CH$310,0)),INDEX(Alimentos!$E$5:$E$310,MATCH(LARGE(Alimentos!CH$5:CH$310,$B3),Alimentos!CH$5:CH$310,0))),"Sem Sugestão")</f>
        <v>Sem Sugestão</v>
      </c>
      <c r="AF3" s="66" t="str">
        <f>IFERROR(IF(AF2=INDEX(Alimentos!$E$5:$E$310,MATCH(LARGE(Alimentos!CI$5:CI$310,$B3),Alimentos!CI$5:CI$310,0)),INDEX(Alimentos!$E$5:$E$310,MATCH(LARGE(Alimentos!CI$5:CI$310,$B3+1),Alimentos!CI$5:CI$310,0)),INDEX(Alimentos!$E$5:$E$310,MATCH(LARGE(Alimentos!CI$5:CI$310,$B3),Alimentos!CI$5:CI$310,0))),"Sem Sugestão")</f>
        <v>Sem Sugestão</v>
      </c>
      <c r="AG3" s="66" t="str">
        <f>IFERROR(IF(AG2=INDEX(Alimentos!$E$5:$E$310,MATCH(LARGE(Alimentos!CJ$5:CJ$310,$B3),Alimentos!CJ$5:CJ$310,0)),INDEX(Alimentos!$E$5:$E$310,MATCH(LARGE(Alimentos!CJ$5:CJ$310,$B3+1),Alimentos!CJ$5:CJ$310,0)),INDEX(Alimentos!$E$5:$E$310,MATCH(LARGE(Alimentos!CJ$5:CJ$310,$B3),Alimentos!CJ$5:CJ$310,0))),"Sem Sugestão")</f>
        <v>Nucleo FOSBOVI® CONFINAMENTO CRINA®  N</v>
      </c>
      <c r="AH3" s="66" t="str">
        <f>IFERROR(IF(AH2=INDEX(Alimentos!$E$5:$E$310,MATCH(LARGE(Alimentos!CK$5:CK$310,$B3),Alimentos!CK$5:CK$310,0)),INDEX(Alimentos!$E$5:$E$310,MATCH(LARGE(Alimentos!CK$5:CK$310,$B3+1),Alimentos!CK$5:CK$310,0)),INDEX(Alimentos!$E$5:$E$310,MATCH(LARGE(Alimentos!CK$5:CK$310,$B3),Alimentos!CK$5:CK$310,0))),"Sem Sugestão")</f>
        <v>Sem Sugestão</v>
      </c>
      <c r="AI3" s="66" t="str">
        <f>IFERROR(IF(AI2=INDEX(Alimentos!$E$5:$E$310,MATCH(LARGE(Alimentos!CL$5:CL$310,$B3),Alimentos!CL$5:CL$310,0)),INDEX(Alimentos!$E$5:$E$310,MATCH(LARGE(Alimentos!CL$5:CL$310,$B3+1),Alimentos!CL$5:CL$310,0)),INDEX(Alimentos!$E$5:$E$310,MATCH(LARGE(Alimentos!CL$5:CL$310,$B3),Alimentos!CL$5:CL$310,0))),"Sem Sugestão")</f>
        <v>Nucleo FOSBOVI® CONFINAMENTO CRINA®  N</v>
      </c>
      <c r="AJ3" s="66" t="str">
        <f>IFERROR(IF(AJ2=INDEX(Alimentos!$E$5:$E$310,MATCH(LARGE(Alimentos!CM$5:CM$310,$B3),Alimentos!CM$5:CM$310,0)),INDEX(Alimentos!$E$5:$E$310,MATCH(LARGE(Alimentos!CM$5:CM$310,$B3+1),Alimentos!CM$5:CM$310,0)),INDEX(Alimentos!$E$5:$E$310,MATCH(LARGE(Alimentos!CM$5:CM$310,$B3),Alimentos!CM$5:CM$310,0))),"Sem Sugestão")</f>
        <v>Nucleo FOSBOVI® CONFINAMENTO CRINA®  N</v>
      </c>
      <c r="AK3" s="66" t="str">
        <f>IFERROR(IF(AK2=INDEX(Alimentos!$E$5:$E$310,MATCH(LARGE(Alimentos!CN$5:CN$310,$B3),Alimentos!CN$5:CN$310,0)),INDEX(Alimentos!$E$5:$E$310,MATCH(LARGE(Alimentos!CN$5:CN$310,$B3+1),Alimentos!CN$5:CN$310,0)),INDEX(Alimentos!$E$5:$E$310,MATCH(LARGE(Alimentos!CN$5:CN$310,$B3),Alimentos!CN$5:CN$310,0))),"Sem Sugestão")</f>
        <v>Sem Sugestão</v>
      </c>
      <c r="AL3" s="66" t="str">
        <f>IFERROR(IF(AL2=INDEX(Alimentos!$E$5:$E$310,MATCH(LARGE(Alimentos!CO$5:CO$310,$B3),Alimentos!CO$5:CO$310,0)),INDEX(Alimentos!$E$5:$E$310,MATCH(LARGE(Alimentos!CO$5:CO$310,$B3+1),Alimentos!CO$5:CO$310,0)),INDEX(Alimentos!$E$5:$E$310,MATCH(LARGE(Alimentos!CO$5:CO$310,$B3),Alimentos!CO$5:CO$310,0))),"Sem Sugestão")</f>
        <v>Sem Sugestão</v>
      </c>
      <c r="AM3" s="66" t="str">
        <f>IFERROR(IF(AM2=INDEX(Alimentos!$E$5:$E$310,MATCH(LARGE(Alimentos!CP$5:CP$310,$B3),Alimentos!CP$5:CP$310,0)),INDEX(Alimentos!$E$5:$E$310,MATCH(LARGE(Alimentos!CP$5:CP$310,$B3+1),Alimentos!CP$5:CP$310,0)),INDEX(Alimentos!$E$5:$E$310,MATCH(LARGE(Alimentos!CP$5:CP$310,$B3),Alimentos!CP$5:CP$310,0))),"Sem Sugestão")</f>
        <v>Sem Sugestão</v>
      </c>
      <c r="AN3" s="66" t="str">
        <f>IFERROR(IF(AN2=INDEX(Alimentos!$E$5:$E$310,MATCH(LARGE(Alimentos!CQ$5:CQ$310,$B3),Alimentos!CQ$5:CQ$310,0)),INDEX(Alimentos!$E$5:$E$310,MATCH(LARGE(Alimentos!CQ$5:CQ$310,$B3+1),Alimentos!CQ$5:CQ$310,0)),INDEX(Alimentos!$E$5:$E$310,MATCH(LARGE(Alimentos!CQ$5:CQ$310,$B3),Alimentos!CQ$5:CQ$310,0))),"Sem Sugestão")</f>
        <v>Sem Sugestão</v>
      </c>
      <c r="AO3" s="66" t="str">
        <f>IFERROR(IF(AO2=INDEX(Alimentos!$E$5:$E$310,MATCH(LARGE(Alimentos!CR$5:CR$310,$B3),Alimentos!CR$5:CR$310,0)),INDEX(Alimentos!$E$5:$E$310,MATCH(LARGE(Alimentos!CR$5:CR$310,$B3+1),Alimentos!CR$5:CR$310,0)),INDEX(Alimentos!$E$5:$E$310,MATCH(LARGE(Alimentos!CR$5:CR$310,$B3),Alimentos!CR$5:CR$310,0))),"Sem Sugestão")</f>
        <v>Sem Sugestão</v>
      </c>
      <c r="AP3" s="66" t="str">
        <f>IFERROR(IF(AP2=INDEX(Alimentos!$E$5:$E$310,MATCH(LARGE(Alimentos!CS$5:CS$310,$B3),Alimentos!CS$5:CS$310,0)),INDEX(Alimentos!$E$5:$E$310,MATCH(LARGE(Alimentos!CS$5:CS$310,$B3+1),Alimentos!CS$5:CS$310,0)),INDEX(Alimentos!$E$5:$E$310,MATCH(LARGE(Alimentos!CS$5:CS$310,$B3),Alimentos!CS$5:CS$310,0))),"Sem Sugestão")</f>
        <v>Sem Sugestão</v>
      </c>
      <c r="AQ3" s="66" t="str">
        <f>IFERROR(IF(AQ2=INDEX(Alimentos!$E$5:$E$310,MATCH(LARGE(Alimentos!CT$5:CT$310,$B3),Alimentos!CT$5:CT$310,0)),INDEX(Alimentos!$E$5:$E$310,MATCH(LARGE(Alimentos!CT$5:CT$310,$B3+1),Alimentos!CT$5:CT$310,0)),INDEX(Alimentos!$E$5:$E$310,MATCH(LARGE(Alimentos!CT$5:CT$310,$B3),Alimentos!CT$5:CT$310,0))),"Sem Sugestão")</f>
        <v>Sem Sugestão</v>
      </c>
      <c r="AR3" s="66" t="str">
        <f>IFERROR(IF(AR2=INDEX(Alimentos!$E$5:$E$310,MATCH(LARGE(Alimentos!CU$5:CU$310,$B3),Alimentos!CU$5:CU$310,0)),INDEX(Alimentos!$E$5:$E$310,MATCH(LARGE(Alimentos!CU$5:CU$310,$B3+1),Alimentos!CU$5:CU$310,0)),INDEX(Alimentos!$E$5:$E$310,MATCH(LARGE(Alimentos!CU$5:CU$310,$B3),Alimentos!CU$5:CU$310,0))),"Sem Sugestão")</f>
        <v>Sem Sugestão</v>
      </c>
      <c r="AS3" s="66" t="str">
        <f>IFERROR(IF(AS2=INDEX(Alimentos!$E$5:$E$310,MATCH(LARGE(Alimentos!CV$5:CV$310,$B3),Alimentos!CV$5:CV$310,0)),INDEX(Alimentos!$E$5:$E$310,MATCH(LARGE(Alimentos!CV$5:CV$310,$B3+1),Alimentos!CV$5:CV$310,0)),INDEX(Alimentos!$E$5:$E$310,MATCH(LARGE(Alimentos!CV$5:CV$310,$B3),Alimentos!CV$5:CV$310,0))),"Sem Sugestão")</f>
        <v>Sem Sugestão</v>
      </c>
      <c r="AT3" s="66" t="str">
        <f>IFERROR(IF(AT2=INDEX(Alimentos!$E$5:$E$310,MATCH(LARGE(Alimentos!CW$5:CW$310,$B3),Alimentos!CW$5:CW$310,0)),INDEX(Alimentos!$E$5:$E$310,MATCH(LARGE(Alimentos!CW$5:CW$310,$B3+1),Alimentos!CW$5:CW$310,0)),INDEX(Alimentos!$E$5:$E$310,MATCH(LARGE(Alimentos!CW$5:CW$310,$B3),Alimentos!CW$5:CW$310,0))),"Sem Sugestão")</f>
        <v>Sem Sugestão</v>
      </c>
      <c r="AU3" s="66" t="str">
        <f>IFERROR(IF(AU2=INDEX(Alimentos!$E$5:$E$310,MATCH(LARGE(Alimentos!CX$5:CX$310,$B3),Alimentos!CX$5:CX$310,0)),INDEX(Alimentos!$E$5:$E$310,MATCH(LARGE(Alimentos!CX$5:CX$310,$B3+1),Alimentos!CX$5:CX$310,0)),INDEX(Alimentos!$E$5:$E$310,MATCH(LARGE(Alimentos!CX$5:CX$310,$B3),Alimentos!CX$5:CX$310,0))),"Sem Sugestão")</f>
        <v>Ureia</v>
      </c>
    </row>
    <row r="4" spans="1:47">
      <c r="B4" s="62">
        <f>B3+1</f>
        <v>3</v>
      </c>
      <c r="D4" s="66" t="str">
        <f>IFERROR(IF(D3=INDEX(Alimentos!$E$5:$E$310,MATCH(LARGE(Alimentos!BG$5:BG$310,$B4),Alimentos!BG$5:BG$310,0)),INDEX(Alimentos!$E$5:$E$310,MATCH(LARGE(Alimentos!BG$5:BG$310,$B4+1),Alimentos!BG$5:BG$310,0)),INDEX(Alimentos!$E$5:$E$310,MATCH(LARGE(Alimentos!BG$5:BG$310,$B4),Alimentos!BG$5:BG$310,0))),"Sem Sugestão")</f>
        <v>Capim Coast Cross, Feno</v>
      </c>
      <c r="E4" s="66" t="str">
        <f>IFERROR(IF(E3=INDEX(Alimentos!$E$5:$E$310,MATCH(LARGE(Alimentos!BH$5:BH$310,$B4),Alimentos!BH$5:BH$310,0)),INDEX(Alimentos!$E$5:$E$310,MATCH(LARGE(Alimentos!BH$5:BH$310,$B4+1),Alimentos!BH$5:BH$310,0)),INDEX(Alimentos!$E$5:$E$310,MATCH(LARGE(Alimentos!BH$5:BH$310,$B4),Alimentos!BH$5:BH$310,0))),"Sem Sugestão")</f>
        <v>Soja, Casca</v>
      </c>
      <c r="F4" s="66" t="str">
        <f>IFERROR(IF(F3=INDEX(Alimentos!$E$5:$E$310,MATCH(LARGE(Alimentos!BI$5:BI$310,$B4),Alimentos!BI$5:BI$310,0)),INDEX(Alimentos!$E$5:$E$310,MATCH(LARGE(Alimentos!BI$5:BI$310,$B4+1),Alimentos!BI$5:BI$310,0)),INDEX(Alimentos!$E$5:$E$310,MATCH(LARGE(Alimentos!BI$5:BI$310,$B4),Alimentos!BI$5:BI$310,0))),"Sem Sugestão")</f>
        <v>Melaço</v>
      </c>
      <c r="G4" s="66" t="str">
        <f>IFERROR(IF(G3=INDEX(Alimentos!$E$5:$E$310,MATCH(LARGE(Alimentos!BJ$5:BJ$310,$B4),Alimentos!BJ$5:BJ$310,0)),INDEX(Alimentos!$E$5:$E$310,MATCH(LARGE(Alimentos!BJ$5:BJ$310,$B4+1),Alimentos!BJ$5:BJ$310,0)),INDEX(Alimentos!$E$5:$E$310,MATCH(LARGE(Alimentos!BJ$5:BJ$310,$B4),Alimentos!BJ$5:BJ$310,0))),"Sem Sugestão")</f>
        <v>Soja, Grão</v>
      </c>
      <c r="H4" s="66" t="str">
        <f>IFERROR(IF(H3=INDEX(Alimentos!$E$5:$E$310,MATCH(LARGE(Alimentos!BK$5:BK$310,$B4),Alimentos!BK$5:BK$310,0)),INDEX(Alimentos!$E$5:$E$310,MATCH(LARGE(Alimentos!BK$5:BK$310,$B4+1),Alimentos!BK$5:BK$310,0)),INDEX(Alimentos!$E$5:$E$310,MATCH(LARGE(Alimentos!BK$5:BK$310,$B4),Alimentos!BK$5:BK$310,0))),"Sem Sugestão")</f>
        <v>Trigo, Grão</v>
      </c>
      <c r="I4" s="66" t="str">
        <f>IFERROR(IF(I3=INDEX(Alimentos!$E$5:$E$310,MATCH(LARGE(Alimentos!BL$5:BL$310,$B4),Alimentos!BL$5:BL$310,0)),INDEX(Alimentos!$E$5:$E$310,MATCH(LARGE(Alimentos!BL$5:BL$310,$B4+1),Alimentos!BL$5:BL$310,0)),INDEX(Alimentos!$E$5:$E$310,MATCH(LARGE(Alimentos!BL$5:BL$310,$B4),Alimentos!BL$5:BL$310,0))),"Sem Sugestão")</f>
        <v>Milho Glúten 60</v>
      </c>
      <c r="J4" s="66" t="str">
        <f>IFERROR(IF(J3=INDEX(Alimentos!$E$5:$E$310,MATCH(LARGE(Alimentos!BM$5:BM$310,$B4),Alimentos!BM$5:BM$310,0)),INDEX(Alimentos!$E$5:$E$310,MATCH(LARGE(Alimentos!BM$5:BM$310,$B4+1),Alimentos!BM$5:BM$310,0)),INDEX(Alimentos!$E$5:$E$310,MATCH(LARGE(Alimentos!BM$5:BM$310,$B4),Alimentos!BM$5:BM$310,0))),"Sem Sugestão")</f>
        <v>Sem Sugestão</v>
      </c>
      <c r="K4" s="66" t="str">
        <f>IFERROR(IF(K3=INDEX(Alimentos!$E$5:$E$310,MATCH(LARGE(Alimentos!BN$5:BN$310,$B4),Alimentos!BN$5:BN$310,0)),INDEX(Alimentos!$E$5:$E$310,MATCH(LARGE(Alimentos!BN$5:BN$310,$B4+1),Alimentos!BN$5:BN$310,0)),INDEX(Alimentos!$E$5:$E$310,MATCH(LARGE(Alimentos!BN$5:BN$310,$B4),Alimentos!BN$5:BN$310,0))),"Sem Sugestão")</f>
        <v>Milho Gérmen, Farelo</v>
      </c>
      <c r="L4" s="66" t="str">
        <f>IFERROR(IF(L3=INDEX(Alimentos!$E$5:$E$310,MATCH(LARGE(Alimentos!BO$5:BO$310,$B4),Alimentos!BO$5:BO$310,0)),INDEX(Alimentos!$E$5:$E$310,MATCH(LARGE(Alimentos!BO$5:BO$310,$B4+1),Alimentos!BO$5:BO$310,0)),INDEX(Alimentos!$E$5:$E$310,MATCH(LARGE(Alimentos!BO$5:BO$310,$B4),Alimentos!BO$5:BO$310,0))),"Sem Sugestão")</f>
        <v>Fosbovi Nucleo Proteico</v>
      </c>
      <c r="M4" s="66" t="str">
        <f>IFERROR(IF(M3=INDEX(Alimentos!$E$5:$E$310,MATCH(LARGE(Alimentos!BP$5:BP$310,$B4),Alimentos!BP$5:BP$310,0)),INDEX(Alimentos!$E$5:$E$310,MATCH(LARGE(Alimentos!BP$5:BP$310,$B4+1),Alimentos!BP$5:BP$310,0)),INDEX(Alimentos!$E$5:$E$310,MATCH(LARGE(Alimentos!BP$5:BP$310,$B4),Alimentos!BP$5:BP$310,0))),"Sem Sugestão")</f>
        <v>Premix Fosquima Confinamento 56 PB</v>
      </c>
      <c r="N4" s="66" t="str">
        <f>IFERROR(IF(N3=INDEX(Alimentos!$E$5:$E$310,MATCH(LARGE(Alimentos!BQ$5:BQ$310,$B4),Alimentos!BQ$5:BQ$310,0)),INDEX(Alimentos!$E$5:$E$310,MATCH(LARGE(Alimentos!BQ$5:BQ$310,$B4+1),Alimentos!BQ$5:BQ$310,0)),INDEX(Alimentos!$E$5:$E$310,MATCH(LARGE(Alimentos!BQ$5:BQ$310,$B4),Alimentos!BQ$5:BQ$310,0))),"Sem Sugestão")</f>
        <v>Res. Seco Dest. Com Solúveis, Milho - (DDGS)</v>
      </c>
      <c r="O4" s="66" t="str">
        <f>IFERROR(IF(O3=INDEX(Alimentos!$E$5:$E$310,MATCH(LARGE(Alimentos!BR$5:BR$310,$B4),Alimentos!BR$5:BR$310,0)),INDEX(Alimentos!$E$5:$E$310,MATCH(LARGE(Alimentos!BR$5:BR$310,$B4+1),Alimentos!BR$5:BR$310,0)),INDEX(Alimentos!$E$5:$E$310,MATCH(LARGE(Alimentos!BR$5:BR$310,$B4),Alimentos!BR$5:BR$310,0))),"Sem Sugestão")</f>
        <v>Premix Fosquima Confinamento 56 PB</v>
      </c>
      <c r="P4" s="66" t="str">
        <f>IFERROR(IF(P3=INDEX(Alimentos!$E$5:$E$310,MATCH(LARGE(Alimentos!BS$5:BS$310,$B4),Alimentos!BS$5:BS$310,0)),INDEX(Alimentos!$E$5:$E$310,MATCH(LARGE(Alimentos!BS$5:BS$310,$B4+1),Alimentos!BS$5:BS$310,0)),INDEX(Alimentos!$E$5:$E$310,MATCH(LARGE(Alimentos!BS$5:BS$310,$B4),Alimentos!BS$5:BS$310,0))),"Sem Sugestão")</f>
        <v>Nucleo FOSBOVI® CONFINAMENTO CRINA®  N</v>
      </c>
      <c r="Q4" s="66" t="str">
        <f>IFERROR(IF(Q3=INDEX(Alimentos!$E$5:$E$310,MATCH(LARGE(Alimentos!BT$5:BT$310,$B4),Alimentos!BT$5:BT$310,0)),INDEX(Alimentos!$E$5:$E$310,MATCH(LARGE(Alimentos!BT$5:BT$310,$B4+1),Alimentos!BT$5:BT$310,0)),INDEX(Alimentos!$E$5:$E$310,MATCH(LARGE(Alimentos!BT$5:BT$310,$B4),Alimentos!BT$5:BT$310,0))),"Sem Sugestão")</f>
        <v>Vit ADE</v>
      </c>
      <c r="R4" s="66" t="str">
        <f>IFERROR(IF(R3=INDEX(Alimentos!$E$5:$E$310,MATCH(LARGE(Alimentos!BU$5:BU$310,$B4),Alimentos!BU$5:BU$310,0)),INDEX(Alimentos!$E$5:$E$310,MATCH(LARGE(Alimentos!BU$5:BU$310,$B4+1),Alimentos!BU$5:BU$310,0)),INDEX(Alimentos!$E$5:$E$310,MATCH(LARGE(Alimentos!BU$5:BU$310,$B4),Alimentos!BU$5:BU$310,0))),"Sem Sugestão")</f>
        <v>Mineral Suprasal BRC 160</v>
      </c>
      <c r="S4" s="66" t="str">
        <f>IFERROR(IF(S3=INDEX(Alimentos!$E$5:$E$310,MATCH(LARGE(Alimentos!BV$5:BV$310,$B4),Alimentos!BV$5:BV$310,0)),INDEX(Alimentos!$E$5:$E$310,MATCH(LARGE(Alimentos!BV$5:BV$310,$B4+1),Alimentos!BV$5:BV$310,0)),INDEX(Alimentos!$E$5:$E$310,MATCH(LARGE(Alimentos!BV$5:BV$310,$B4),Alimentos!BV$5:BV$310,0))),"Sem Sugestão")</f>
        <v>Sulfato Magnésio</v>
      </c>
      <c r="T4" s="66" t="str">
        <f>IFERROR(IF(T3=INDEX(Alimentos!$E$5:$E$310,MATCH(LARGE(Alimentos!BW$5:BW$310,$B4),Alimentos!BW$5:BW$310,0)),INDEX(Alimentos!$E$5:$E$310,MATCH(LARGE(Alimentos!BW$5:BW$310,$B4+1),Alimentos!BW$5:BW$310,0)),INDEX(Alimentos!$E$5:$E$310,MATCH(LARGE(Alimentos!BW$5:BW$310,$B4),Alimentos!BW$5:BW$310,0))),"Sem Sugestão")</f>
        <v>Premix Big Energia</v>
      </c>
      <c r="U4" s="66" t="str">
        <f>IFERROR(IF(U3=INDEX(Alimentos!$E$5:$E$310,MATCH(LARGE(Alimentos!BX$5:BX$310,$B4),Alimentos!BX$5:BX$310,0)),INDEX(Alimentos!$E$5:$E$310,MATCH(LARGE(Alimentos!BX$5:BX$310,$B4+1),Alimentos!BX$5:BX$310,0)),INDEX(Alimentos!$E$5:$E$310,MATCH(LARGE(Alimentos!BX$5:BX$310,$B4),Alimentos!BX$5:BX$310,0))),"Sem Sugestão")</f>
        <v>Sal Mineral (Decumbes Seca)</v>
      </c>
      <c r="V4" s="66" t="str">
        <f>IFERROR(IF(V3=INDEX(Alimentos!$E$5:$E$310,MATCH(LARGE(Alimentos!BY$5:BY$310,$B4),Alimentos!BY$5:BY$310,0)),INDEX(Alimentos!$E$5:$E$310,MATCH(LARGE(Alimentos!BY$5:BY$310,$B4+1),Alimentos!BY$5:BY$310,0)),INDEX(Alimentos!$E$5:$E$310,MATCH(LARGE(Alimentos!BY$5:BY$310,$B4),Alimentos!BY$5:BY$310,0))),"Sem Sugestão")</f>
        <v>Bovitop Nucleo Proteinado</v>
      </c>
      <c r="W4" s="66" t="str">
        <f>IFERROR(IF(W3=INDEX(Alimentos!$E$5:$E$310,MATCH(LARGE(Alimentos!BZ$5:BZ$310,$B4),Alimentos!BZ$5:BZ$310,0)),INDEX(Alimentos!$E$5:$E$310,MATCH(LARGE(Alimentos!BZ$5:BZ$310,$B4+1),Alimentos!BZ$5:BZ$310,0)),INDEX(Alimentos!$E$5:$E$310,MATCH(LARGE(Alimentos!BZ$5:BZ$310,$B4),Alimentos!BZ$5:BZ$310,0))),"Sem Sugestão")</f>
        <v>Nucleo Tortuga</v>
      </c>
      <c r="X4" s="66" t="str">
        <f>IFERROR(IF(X3=INDEX(Alimentos!$E$5:$E$310,MATCH(LARGE(Alimentos!CA$5:CA$310,$B4),Alimentos!CA$5:CA$310,0)),INDEX(Alimentos!$E$5:$E$310,MATCH(LARGE(Alimentos!CA$5:CA$310,$B4+1),Alimentos!CA$5:CA$310,0)),INDEX(Alimentos!$E$5:$E$310,MATCH(LARGE(Alimentos!CA$5:CA$310,$B4),Alimentos!CA$5:CA$310,0))),"Sem Sugestão")</f>
        <v>Sal Mineral Bezerro (Iomar Mombaça)</v>
      </c>
      <c r="Y4" s="66" t="str">
        <f>IFERROR(IF(Y3=INDEX(Alimentos!$E$5:$E$310,MATCH(LARGE(Alimentos!CB$5:CB$310,$B4),Alimentos!CB$5:CB$310,0)),INDEX(Alimentos!$E$5:$E$310,MATCH(LARGE(Alimentos!CB$5:CB$310,$B4+1),Alimentos!CB$5:CB$310,0)),INDEX(Alimentos!$E$5:$E$310,MATCH(LARGE(Alimentos!CB$5:CB$310,$B4),Alimentos!CB$5:CB$310,0))),"Sem Sugestão")</f>
        <v>Sal Mineral Bezerro (Iomar Mombaça)</v>
      </c>
      <c r="Z4" s="66" t="str">
        <f>IFERROR(IF(Z3=INDEX(Alimentos!$E$5:$E$310,MATCH(LARGE(Alimentos!CC$5:CC$310,$B4),Alimentos!CC$5:CC$310,0)),INDEX(Alimentos!$E$5:$E$310,MATCH(LARGE(Alimentos!CC$5:CC$310,$B4+1),Alimentos!CC$5:CC$310,0)),INDEX(Alimentos!$E$5:$E$310,MATCH(LARGE(Alimentos!CC$5:CC$310,$B4),Alimentos!CC$5:CC$310,0))),"Sem Sugestão")</f>
        <v>Mineral Zeomin Mix</v>
      </c>
      <c r="AA4" s="66" t="str">
        <f>IFERROR(IF(AA3=INDEX(Alimentos!$E$5:$E$310,MATCH(LARGE(Alimentos!CD$5:CD$310,$B4),Alimentos!CD$5:CD$310,0)),INDEX(Alimentos!$E$5:$E$310,MATCH(LARGE(Alimentos!CD$5:CD$310,$B4+1),Alimentos!CD$5:CD$310,0)),INDEX(Alimentos!$E$5:$E$310,MATCH(LARGE(Alimentos!CD$5:CD$310,$B4),Alimentos!CD$5:CD$310,0))),"Sem Sugestão")</f>
        <v>Nucleo Tortuga</v>
      </c>
      <c r="AB4" s="66" t="str">
        <f>IFERROR(IF(AB3=INDEX(Alimentos!$E$5:$E$310,MATCH(LARGE(Alimentos!CE$5:CE$310,$B4),Alimentos!CE$5:CE$310,0)),INDEX(Alimentos!$E$5:$E$310,MATCH(LARGE(Alimentos!CE$5:CE$310,$B4+1),Alimentos!CE$5:CE$310,0)),INDEX(Alimentos!$E$5:$E$310,MATCH(LARGE(Alimentos!CE$5:CE$310,$B4),Alimentos!CE$5:CE$310,0))),"Sem Sugestão")</f>
        <v>Sal Mineral Vaca Leite Iomar</v>
      </c>
      <c r="AC4" s="66" t="str">
        <f>IFERROR(IF(AC3=INDEX(Alimentos!$E$5:$E$310,MATCH(LARGE(Alimentos!CF$5:CF$310,$B4),Alimentos!CF$5:CF$310,0)),INDEX(Alimentos!$E$5:$E$310,MATCH(LARGE(Alimentos!CF$5:CF$310,$B4+1),Alimentos!CF$5:CF$310,0)),INDEX(Alimentos!$E$5:$E$310,MATCH(LARGE(Alimentos!CF$5:CF$310,$B4),Alimentos!CF$5:CF$310,0))),"Sem Sugestão")</f>
        <v>Nucleo Tortuga</v>
      </c>
      <c r="AD4" s="66" t="str">
        <f>IFERROR(IF(AD3=INDEX(Alimentos!$E$5:$E$310,MATCH(LARGE(Alimentos!CG$5:CG$310,$B4),Alimentos!CG$5:CG$310,0)),INDEX(Alimentos!$E$5:$E$310,MATCH(LARGE(Alimentos!CG$5:CG$310,$B4+1),Alimentos!CG$5:CG$310,0)),INDEX(Alimentos!$E$5:$E$310,MATCH(LARGE(Alimentos!CG$5:CG$310,$B4),Alimentos!CG$5:CG$310,0))),"Sem Sugestão")</f>
        <v>Sem Sugestão</v>
      </c>
      <c r="AE4" s="66" t="str">
        <f>IFERROR(IF(AE3=INDEX(Alimentos!$E$5:$E$310,MATCH(LARGE(Alimentos!CH$5:CH$310,$B4),Alimentos!CH$5:CH$310,0)),INDEX(Alimentos!$E$5:$E$310,MATCH(LARGE(Alimentos!CH$5:CH$310,$B4+1),Alimentos!CH$5:CH$310,0)),INDEX(Alimentos!$E$5:$E$310,MATCH(LARGE(Alimentos!CH$5:CH$310,$B4),Alimentos!CH$5:CH$310,0))),"Sem Sugestão")</f>
        <v>Sem Sugestão</v>
      </c>
      <c r="AF4" s="66" t="str">
        <f>IFERROR(IF(AF3=INDEX(Alimentos!$E$5:$E$310,MATCH(LARGE(Alimentos!CI$5:CI$310,$B4),Alimentos!CI$5:CI$310,0)),INDEX(Alimentos!$E$5:$E$310,MATCH(LARGE(Alimentos!CI$5:CI$310,$B4+1),Alimentos!CI$5:CI$310,0)),INDEX(Alimentos!$E$5:$E$310,MATCH(LARGE(Alimentos!CI$5:CI$310,$B4),Alimentos!CI$5:CI$310,0))),"Sem Sugestão")</f>
        <v>Sem Sugestão</v>
      </c>
      <c r="AG4" s="66" t="str">
        <f>IFERROR(IF(AG3=INDEX(Alimentos!$E$5:$E$310,MATCH(LARGE(Alimentos!CJ$5:CJ$310,$B4),Alimentos!CJ$5:CJ$310,0)),INDEX(Alimentos!$E$5:$E$310,MATCH(LARGE(Alimentos!CJ$5:CJ$310,$B4+1),Alimentos!CJ$5:CJ$310,0)),INDEX(Alimentos!$E$5:$E$310,MATCH(LARGE(Alimentos!CJ$5:CJ$310,$B4),Alimentos!CJ$5:CJ$310,0))),"Sem Sugestão")</f>
        <v>Capim Bahia (Paspalum)</v>
      </c>
      <c r="AH4" s="66" t="str">
        <f>IFERROR(IF(AH3=INDEX(Alimentos!$E$5:$E$310,MATCH(LARGE(Alimentos!CK$5:CK$310,$B4),Alimentos!CK$5:CK$310,0)),INDEX(Alimentos!$E$5:$E$310,MATCH(LARGE(Alimentos!CK$5:CK$310,$B4+1),Alimentos!CK$5:CK$310,0)),INDEX(Alimentos!$E$5:$E$310,MATCH(LARGE(Alimentos!CK$5:CK$310,$B4),Alimentos!CK$5:CK$310,0))),"Sem Sugestão")</f>
        <v>Sem Sugestão</v>
      </c>
      <c r="AI4" s="66" t="str">
        <f>IFERROR(IF(AI3=INDEX(Alimentos!$E$5:$E$310,MATCH(LARGE(Alimentos!CL$5:CL$310,$B4),Alimentos!CL$5:CL$310,0)),INDEX(Alimentos!$E$5:$E$310,MATCH(LARGE(Alimentos!CL$5:CL$310,$B4+1),Alimentos!CL$5:CL$310,0)),INDEX(Alimentos!$E$5:$E$310,MATCH(LARGE(Alimentos!CL$5:CL$310,$B4),Alimentos!CL$5:CL$310,0))),"Sem Sugestão")</f>
        <v>Sem Sugestão</v>
      </c>
      <c r="AJ4" s="66" t="str">
        <f>IFERROR(IF(AJ3=INDEX(Alimentos!$E$5:$E$310,MATCH(LARGE(Alimentos!CM$5:CM$310,$B4),Alimentos!CM$5:CM$310,0)),INDEX(Alimentos!$E$5:$E$310,MATCH(LARGE(Alimentos!CM$5:CM$310,$B4+1),Alimentos!CM$5:CM$310,0)),INDEX(Alimentos!$E$5:$E$310,MATCH(LARGE(Alimentos!CM$5:CM$310,$B4),Alimentos!CM$5:CM$310,0))),"Sem Sugestão")</f>
        <v>Sem Sugestão</v>
      </c>
      <c r="AK4" s="66" t="str">
        <f>IFERROR(IF(AK3=INDEX(Alimentos!$E$5:$E$310,MATCH(LARGE(Alimentos!CN$5:CN$310,$B4),Alimentos!CN$5:CN$310,0)),INDEX(Alimentos!$E$5:$E$310,MATCH(LARGE(Alimentos!CN$5:CN$310,$B4+1),Alimentos!CN$5:CN$310,0)),INDEX(Alimentos!$E$5:$E$310,MATCH(LARGE(Alimentos!CN$5:CN$310,$B4),Alimentos!CN$5:CN$310,0))),"Sem Sugestão")</f>
        <v>Sem Sugestão</v>
      </c>
      <c r="AL4" s="66" t="str">
        <f>IFERROR(IF(AL3=INDEX(Alimentos!$E$5:$E$310,MATCH(LARGE(Alimentos!CO$5:CO$310,$B4),Alimentos!CO$5:CO$310,0)),INDEX(Alimentos!$E$5:$E$310,MATCH(LARGE(Alimentos!CO$5:CO$310,$B4+1),Alimentos!CO$5:CO$310,0)),INDEX(Alimentos!$E$5:$E$310,MATCH(LARGE(Alimentos!CO$5:CO$310,$B4),Alimentos!CO$5:CO$310,0))),"Sem Sugestão")</f>
        <v>Sem Sugestão</v>
      </c>
      <c r="AM4" s="66" t="str">
        <f>IFERROR(IF(AM3=INDEX(Alimentos!$E$5:$E$310,MATCH(LARGE(Alimentos!CP$5:CP$310,$B4),Alimentos!CP$5:CP$310,0)),INDEX(Alimentos!$E$5:$E$310,MATCH(LARGE(Alimentos!CP$5:CP$310,$B4+1),Alimentos!CP$5:CP$310,0)),INDEX(Alimentos!$E$5:$E$310,MATCH(LARGE(Alimentos!CP$5:CP$310,$B4),Alimentos!CP$5:CP$310,0))),"Sem Sugestão")</f>
        <v>Sem Sugestão</v>
      </c>
      <c r="AN4" s="66" t="str">
        <f>IFERROR(IF(AN3=INDEX(Alimentos!$E$5:$E$310,MATCH(LARGE(Alimentos!CQ$5:CQ$310,$B4),Alimentos!CQ$5:CQ$310,0)),INDEX(Alimentos!$E$5:$E$310,MATCH(LARGE(Alimentos!CQ$5:CQ$310,$B4+1),Alimentos!CQ$5:CQ$310,0)),INDEX(Alimentos!$E$5:$E$310,MATCH(LARGE(Alimentos!CQ$5:CQ$310,$B4),Alimentos!CQ$5:CQ$310,0))),"Sem Sugestão")</f>
        <v>Sem Sugestão</v>
      </c>
      <c r="AO4" s="66" t="str">
        <f>IFERROR(IF(AO3=INDEX(Alimentos!$E$5:$E$310,MATCH(LARGE(Alimentos!CR$5:CR$310,$B4),Alimentos!CR$5:CR$310,0)),INDEX(Alimentos!$E$5:$E$310,MATCH(LARGE(Alimentos!CR$5:CR$310,$B4+1),Alimentos!CR$5:CR$310,0)),INDEX(Alimentos!$E$5:$E$310,MATCH(LARGE(Alimentos!CR$5:CR$310,$B4),Alimentos!CR$5:CR$310,0))),"Sem Sugestão")</f>
        <v>Sem Sugestão</v>
      </c>
      <c r="AP4" s="66" t="str">
        <f>IFERROR(IF(AP3=INDEX(Alimentos!$E$5:$E$310,MATCH(LARGE(Alimentos!CS$5:CS$310,$B4),Alimentos!CS$5:CS$310,0)),INDEX(Alimentos!$E$5:$E$310,MATCH(LARGE(Alimentos!CS$5:CS$310,$B4+1),Alimentos!CS$5:CS$310,0)),INDEX(Alimentos!$E$5:$E$310,MATCH(LARGE(Alimentos!CS$5:CS$310,$B4),Alimentos!CS$5:CS$310,0))),"Sem Sugestão")</f>
        <v>Sem Sugestão</v>
      </c>
      <c r="AQ4" s="66" t="str">
        <f>IFERROR(IF(AQ3=INDEX(Alimentos!$E$5:$E$310,MATCH(LARGE(Alimentos!CT$5:CT$310,$B4),Alimentos!CT$5:CT$310,0)),INDEX(Alimentos!$E$5:$E$310,MATCH(LARGE(Alimentos!CT$5:CT$310,$B4+1),Alimentos!CT$5:CT$310,0)),INDEX(Alimentos!$E$5:$E$310,MATCH(LARGE(Alimentos!CT$5:CT$310,$B4),Alimentos!CT$5:CT$310,0))),"Sem Sugestão")</f>
        <v>Sem Sugestão</v>
      </c>
      <c r="AR4" s="66" t="str">
        <f>IFERROR(IF(AR3=INDEX(Alimentos!$E$5:$E$310,MATCH(LARGE(Alimentos!CU$5:CU$310,$B4),Alimentos!CU$5:CU$310,0)),INDEX(Alimentos!$E$5:$E$310,MATCH(LARGE(Alimentos!CU$5:CU$310,$B4+1),Alimentos!CU$5:CU$310,0)),INDEX(Alimentos!$E$5:$E$310,MATCH(LARGE(Alimentos!CU$5:CU$310,$B4),Alimentos!CU$5:CU$310,0))),"Sem Sugestão")</f>
        <v>Sem Sugestão</v>
      </c>
      <c r="AS4" s="66" t="str">
        <f>IFERROR(IF(AS3=INDEX(Alimentos!$E$5:$E$310,MATCH(LARGE(Alimentos!CV$5:CV$310,$B4),Alimentos!CV$5:CV$310,0)),INDEX(Alimentos!$E$5:$E$310,MATCH(LARGE(Alimentos!CV$5:CV$310,$B4+1),Alimentos!CV$5:CV$310,0)),INDEX(Alimentos!$E$5:$E$310,MATCH(LARGE(Alimentos!CV$5:CV$310,$B4),Alimentos!CV$5:CV$310,0))),"Sem Sugestão")</f>
        <v>Sem Sugestão</v>
      </c>
      <c r="AT4" s="66" t="str">
        <f>IFERROR(IF(AT3=INDEX(Alimentos!$E$5:$E$310,MATCH(LARGE(Alimentos!CW$5:CW$310,$B4),Alimentos!CW$5:CW$310,0)),INDEX(Alimentos!$E$5:$E$310,MATCH(LARGE(Alimentos!CW$5:CW$310,$B4+1),Alimentos!CW$5:CW$310,0)),INDEX(Alimentos!$E$5:$E$310,MATCH(LARGE(Alimentos!CW$5:CW$310,$B4),Alimentos!CW$5:CW$310,0))),"Sem Sugestão")</f>
        <v>Sem Sugestão</v>
      </c>
      <c r="AU4" s="66" t="str">
        <f>IFERROR(IF(AU3=INDEX(Alimentos!$E$5:$E$310,MATCH(LARGE(Alimentos!CX$5:CX$310,$B4),Alimentos!CX$5:CX$310,0)),INDEX(Alimentos!$E$5:$E$310,MATCH(LARGE(Alimentos!CX$5:CX$310,$B4+1),Alimentos!CX$5:CX$310,0)),INDEX(Alimentos!$E$5:$E$310,MATCH(LARGE(Alimentos!CX$5:CX$310,$B4),Alimentos!CX$5:CX$310,0))),"Sem Sugestão")</f>
        <v>Sulfato Magnésio</v>
      </c>
    </row>
    <row r="5" spans="1:47">
      <c r="B5" s="62">
        <v>4</v>
      </c>
      <c r="D5" s="66" t="str">
        <f>IFERROR(IF(D4=INDEX(Alimentos!$E$5:$E$310,MATCH(LARGE(Alimentos!BG$5:BG$310,$B5),Alimentos!BG$5:BG$310,0)),INDEX(Alimentos!$E$5:$E$310,MATCH(LARGE(Alimentos!BG$5:BG$310,$B5+1),Alimentos!BG$5:BG$310,0)),INDEX(Alimentos!$E$5:$E$310,MATCH(LARGE(Alimentos!BG$5:BG$310,$B5),Alimentos!BG$5:BG$310,0))),"Sem Sugestão")</f>
        <v>Capim Tifton 85, Feno</v>
      </c>
      <c r="E5" s="66" t="str">
        <f>IFERROR(IF(E4=INDEX(Alimentos!$E$5:$E$310,MATCH(LARGE(Alimentos!BH$5:BH$310,$B5),Alimentos!BH$5:BH$310,0)),INDEX(Alimentos!$E$5:$E$310,MATCH(LARGE(Alimentos!BH$5:BH$310,$B5+1),Alimentos!BH$5:BH$310,0)),INDEX(Alimentos!$E$5:$E$310,MATCH(LARGE(Alimentos!BH$5:BH$310,$B5),Alimentos!BH$5:BH$310,0))),"Sem Sugestão")</f>
        <v>Arroz, Palha</v>
      </c>
      <c r="F5" s="66" t="str">
        <f>IFERROR(IF(F4=INDEX(Alimentos!$E$5:$E$310,MATCH(LARGE(Alimentos!BI$5:BI$310,$B5),Alimentos!BI$5:BI$310,0)),INDEX(Alimentos!$E$5:$E$310,MATCH(LARGE(Alimentos!BI$5:BI$310,$B5+1),Alimentos!BI$5:BI$310,0)),INDEX(Alimentos!$E$5:$E$310,MATCH(LARGE(Alimentos!BI$5:BI$310,$B5),Alimentos!BI$5:BI$310,0))),"Sem Sugestão")</f>
        <v>Milho, Fubá (BRC3.0)</v>
      </c>
      <c r="G5" s="66" t="str">
        <f>IFERROR(IF(G4=INDEX(Alimentos!$E$5:$E$310,MATCH(LARGE(Alimentos!BJ$5:BJ$310,$B5),Alimentos!BJ$5:BJ$310,0)),INDEX(Alimentos!$E$5:$E$310,MATCH(LARGE(Alimentos!BJ$5:BJ$310,$B5+1),Alimentos!BJ$5:BJ$310,0)),INDEX(Alimentos!$E$5:$E$310,MATCH(LARGE(Alimentos!BJ$5:BJ$310,$B5),Alimentos!BJ$5:BJ$310,0))),"Sem Sugestão")</f>
        <v>Soja, Farelo Extrusado</v>
      </c>
      <c r="H5" s="66" t="str">
        <f>IFERROR(IF(H4=INDEX(Alimentos!$E$5:$E$310,MATCH(LARGE(Alimentos!BK$5:BK$310,$B5),Alimentos!BK$5:BK$310,0)),INDEX(Alimentos!$E$5:$E$310,MATCH(LARGE(Alimentos!BK$5:BK$310,$B5+1),Alimentos!BK$5:BK$310,0)),INDEX(Alimentos!$E$5:$E$310,MATCH(LARGE(Alimentos!BK$5:BK$310,$B5),Alimentos!BK$5:BK$310,0))),"Sem Sugestão")</f>
        <v>Feijão</v>
      </c>
      <c r="I5" s="66" t="str">
        <f>IFERROR(IF(I4=INDEX(Alimentos!$E$5:$E$310,MATCH(LARGE(Alimentos!BL$5:BL$310,$B5),Alimentos!BL$5:BL$310,0)),INDEX(Alimentos!$E$5:$E$310,MATCH(LARGE(Alimentos!BL$5:BL$310,$B5+1),Alimentos!BL$5:BL$310,0)),INDEX(Alimentos!$E$5:$E$310,MATCH(LARGE(Alimentos!BL$5:BL$310,$B5),Alimentos!BL$5:BL$310,0))),"Sem Sugestão")</f>
        <v>Soja, Farelo Extrusado</v>
      </c>
      <c r="J5" s="66" t="str">
        <f>IFERROR(IF(J4=INDEX(Alimentos!$E$5:$E$310,MATCH(LARGE(Alimentos!BM$5:BM$310,$B5),Alimentos!BM$5:BM$310,0)),INDEX(Alimentos!$E$5:$E$310,MATCH(LARGE(Alimentos!BM$5:BM$310,$B5+1),Alimentos!BM$5:BM$310,0)),INDEX(Alimentos!$E$5:$E$310,MATCH(LARGE(Alimentos!BM$5:BM$310,$B5),Alimentos!BM$5:BM$310,0))),"Sem Sugestão")</f>
        <v>Sem Sugestão</v>
      </c>
      <c r="K5" s="66" t="str">
        <f>IFERROR(IF(K4=INDEX(Alimentos!$E$5:$E$310,MATCH(LARGE(Alimentos!BN$5:BN$310,$B5),Alimentos!BN$5:BN$310,0)),INDEX(Alimentos!$E$5:$E$310,MATCH(LARGE(Alimentos!BN$5:BN$310,$B5+1),Alimentos!BN$5:BN$310,0)),INDEX(Alimentos!$E$5:$E$310,MATCH(LARGE(Alimentos!BN$5:BN$310,$B5),Alimentos!BN$5:BN$310,0))),"Sem Sugestão")</f>
        <v>Soja, Grão Tostada</v>
      </c>
      <c r="L5" s="66" t="str">
        <f>IFERROR(IF(L4=INDEX(Alimentos!$E$5:$E$310,MATCH(LARGE(Alimentos!BO$5:BO$310,$B5),Alimentos!BO$5:BO$310,0)),INDEX(Alimentos!$E$5:$E$310,MATCH(LARGE(Alimentos!BO$5:BO$310,$B5+1),Alimentos!BO$5:BO$310,0)),INDEX(Alimentos!$E$5:$E$310,MATCH(LARGE(Alimentos!BO$5:BO$310,$B5),Alimentos!BO$5:BO$310,0))),"Sem Sugestão")</f>
        <v>Premix Fosbovi Confinamento 10</v>
      </c>
      <c r="M5" s="66" t="str">
        <f>IFERROR(IF(M4=INDEX(Alimentos!$E$5:$E$310,MATCH(LARGE(Alimentos!BP$5:BP$310,$B5),Alimentos!BP$5:BP$310,0)),INDEX(Alimentos!$E$5:$E$310,MATCH(LARGE(Alimentos!BP$5:BP$310,$B5+1),Alimentos!BP$5:BP$310,0)),INDEX(Alimentos!$E$5:$E$310,MATCH(LARGE(Alimentos!BP$5:BP$310,$B5),Alimentos!BP$5:BP$310,0))),"Sem Sugestão")</f>
        <v>Amendoim, Farelo</v>
      </c>
      <c r="N5" s="66" t="str">
        <f>IFERROR(IF(N4=INDEX(Alimentos!$E$5:$E$310,MATCH(LARGE(Alimentos!BQ$5:BQ$310,$B5),Alimentos!BQ$5:BQ$310,0)),INDEX(Alimentos!$E$5:$E$310,MATCH(LARGE(Alimentos!BQ$5:BQ$310,$B5+1),Alimentos!BQ$5:BQ$310,0)),INDEX(Alimentos!$E$5:$E$310,MATCH(LARGE(Alimentos!BQ$5:BQ$310,$B5),Alimentos!BQ$5:BQ$310,0))),"Sem Sugestão")</f>
        <v>Soja, Farelo (43%)</v>
      </c>
      <c r="O5" s="66" t="str">
        <f>IFERROR(IF(O4=INDEX(Alimentos!$E$5:$E$310,MATCH(LARGE(Alimentos!BR$5:BR$310,$B5),Alimentos!BR$5:BR$310,0)),INDEX(Alimentos!$E$5:$E$310,MATCH(LARGE(Alimentos!BR$5:BR$310,$B5+1),Alimentos!BR$5:BR$310,0)),INDEX(Alimentos!$E$5:$E$310,MATCH(LARGE(Alimentos!BR$5:BR$310,$B5),Alimentos!BR$5:BR$310,0))),"Sem Sugestão")</f>
        <v>Soja, Farelo (43%)</v>
      </c>
      <c r="P5" s="66" t="str">
        <f>IFERROR(IF(P4=INDEX(Alimentos!$E$5:$E$310,MATCH(LARGE(Alimentos!BS$5:BS$310,$B5),Alimentos!BS$5:BS$310,0)),INDEX(Alimentos!$E$5:$E$310,MATCH(LARGE(Alimentos!BS$5:BS$310,$B5+1),Alimentos!BS$5:BS$310,0)),INDEX(Alimentos!$E$5:$E$310,MATCH(LARGE(Alimentos!BS$5:BS$310,$B5),Alimentos!BS$5:BS$310,0))),"Sem Sugestão")</f>
        <v>Nucleo Protéico Matsuda</v>
      </c>
      <c r="Q5" s="66" t="str">
        <f>IFERROR(IF(Q4=INDEX(Alimentos!$E$5:$E$310,MATCH(LARGE(Alimentos!BT$5:BT$310,$B5),Alimentos!BT$5:BT$310,0)),INDEX(Alimentos!$E$5:$E$310,MATCH(LARGE(Alimentos!BT$5:BT$310,$B5+1),Alimentos!BT$5:BT$310,0)),INDEX(Alimentos!$E$5:$E$310,MATCH(LARGE(Alimentos!BT$5:BT$310,$B5),Alimentos!BT$5:BT$310,0))),"Sem Sugestão")</f>
        <v>Alpha Nucleo Bovinos Confinamento</v>
      </c>
      <c r="R5" s="66" t="str">
        <f>IFERROR(IF(R4=INDEX(Alimentos!$E$5:$E$310,MATCH(LARGE(Alimentos!BU$5:BU$310,$B5),Alimentos!BU$5:BU$310,0)),INDEX(Alimentos!$E$5:$E$310,MATCH(LARGE(Alimentos!BU$5:BU$310,$B5+1),Alimentos!BU$5:BU$310,0)),INDEX(Alimentos!$E$5:$E$310,MATCH(LARGE(Alimentos!BU$5:BU$310,$B5),Alimentos!BU$5:BU$310,0))),"Sem Sugestão")</f>
        <v>Nucleo Tortuga</v>
      </c>
      <c r="S5" s="66" t="str">
        <f>IFERROR(IF(S4=INDEX(Alimentos!$E$5:$E$310,MATCH(LARGE(Alimentos!BV$5:BV$310,$B5),Alimentos!BV$5:BV$310,0)),INDEX(Alimentos!$E$5:$E$310,MATCH(LARGE(Alimentos!BV$5:BV$310,$B5+1),Alimentos!BV$5:BV$310,0)),INDEX(Alimentos!$E$5:$E$310,MATCH(LARGE(Alimentos!BV$5:BV$310,$B5),Alimentos!BV$5:BV$310,0))),"Sem Sugestão")</f>
        <v>Matsuda Top Beef Nucleo</v>
      </c>
      <c r="T5" s="66" t="str">
        <f>IFERROR(IF(T4=INDEX(Alimentos!$E$5:$E$310,MATCH(LARGE(Alimentos!BW$5:BW$310,$B5),Alimentos!BW$5:BW$310,0)),INDEX(Alimentos!$E$5:$E$310,MATCH(LARGE(Alimentos!BW$5:BW$310,$B5+1),Alimentos!BW$5:BW$310,0)),INDEX(Alimentos!$E$5:$E$310,MATCH(LARGE(Alimentos!BW$5:BW$310,$B5),Alimentos!BW$5:BW$310,0))),"Sem Sugestão")</f>
        <v>Bicarbonato Sódio (Nahco3)</v>
      </c>
      <c r="U5" s="66" t="str">
        <f>IFERROR(IF(U4=INDEX(Alimentos!$E$5:$E$310,MATCH(LARGE(Alimentos!BX$5:BX$310,$B5),Alimentos!BX$5:BX$310,0)),INDEX(Alimentos!$E$5:$E$310,MATCH(LARGE(Alimentos!BX$5:BX$310,$B5+1),Alimentos!BX$5:BX$310,0)),INDEX(Alimentos!$E$5:$E$310,MATCH(LARGE(Alimentos!BX$5:BX$310,$B5),Alimentos!BX$5:BX$310,0))),"Sem Sugestão")</f>
        <v>Premix Poli Confinamento 250</v>
      </c>
      <c r="V5" s="66" t="str">
        <f>IFERROR(IF(V4=INDEX(Alimentos!$E$5:$E$310,MATCH(LARGE(Alimentos!BY$5:BY$310,$B5),Alimentos!BY$5:BY$310,0)),INDEX(Alimentos!$E$5:$E$310,MATCH(LARGE(Alimentos!BY$5:BY$310,$B5+1),Alimentos!BY$5:BY$310,0)),INDEX(Alimentos!$E$5:$E$310,MATCH(LARGE(Alimentos!BY$5:BY$310,$B5),Alimentos!BY$5:BY$310,0))),"Sem Sugestão")</f>
        <v>Nucleo Tortuga</v>
      </c>
      <c r="W5" s="66" t="str">
        <f>IFERROR(IF(W4=INDEX(Alimentos!$E$5:$E$310,MATCH(LARGE(Alimentos!BZ$5:BZ$310,$B5),Alimentos!BZ$5:BZ$310,0)),INDEX(Alimentos!$E$5:$E$310,MATCH(LARGE(Alimentos!BZ$5:BZ$310,$B5+1),Alimentos!BZ$5:BZ$310,0)),INDEX(Alimentos!$E$5:$E$310,MATCH(LARGE(Alimentos!BZ$5:BZ$310,$B5),Alimentos!BZ$5:BZ$310,0))),"Sem Sugestão")</f>
        <v>Nucleo Crescimento (Nutronordeste)</v>
      </c>
      <c r="X5" s="66" t="str">
        <f>IFERROR(IF(X4=INDEX(Alimentos!$E$5:$E$310,MATCH(LARGE(Alimentos!CA$5:CA$310,$B5),Alimentos!CA$5:CA$310,0)),INDEX(Alimentos!$E$5:$E$310,MATCH(LARGE(Alimentos!CA$5:CA$310,$B5+1),Alimentos!CA$5:CA$310,0)),INDEX(Alimentos!$E$5:$E$310,MATCH(LARGE(Alimentos!CA$5:CA$310,$B5),Alimentos!CA$5:CA$310,0))),"Sem Sugestão")</f>
        <v>Mineral Suprasal BRC 160</v>
      </c>
      <c r="Y5" s="66" t="str">
        <f>IFERROR(IF(Y4=INDEX(Alimentos!$E$5:$E$310,MATCH(LARGE(Alimentos!CB$5:CB$310,$B5),Alimentos!CB$5:CB$310,0)),INDEX(Alimentos!$E$5:$E$310,MATCH(LARGE(Alimentos!CB$5:CB$310,$B5+1),Alimentos!CB$5:CB$310,0)),INDEX(Alimentos!$E$5:$E$310,MATCH(LARGE(Alimentos!CB$5:CB$310,$B5),Alimentos!CB$5:CB$310,0))),"Sem Sugestão")</f>
        <v>Nucleo Crescimento (Nutronordeste)</v>
      </c>
      <c r="Z5" s="66" t="str">
        <f>IFERROR(IF(Z4=INDEX(Alimentos!$E$5:$E$310,MATCH(LARGE(Alimentos!CC$5:CC$310,$B5),Alimentos!CC$5:CC$310,0)),INDEX(Alimentos!$E$5:$E$310,MATCH(LARGE(Alimentos!CC$5:CC$310,$B5+1),Alimentos!CC$5:CC$310,0)),INDEX(Alimentos!$E$5:$E$310,MATCH(LARGE(Alimentos!CC$5:CC$310,$B5),Alimentos!CC$5:CC$310,0))),"Sem Sugestão")</f>
        <v>Nucleo Tortuga</v>
      </c>
      <c r="AA5" s="66" t="str">
        <f>IFERROR(IF(AA4=INDEX(Alimentos!$E$5:$E$310,MATCH(LARGE(Alimentos!CD$5:CD$310,$B5),Alimentos!CD$5:CD$310,0)),INDEX(Alimentos!$E$5:$E$310,MATCH(LARGE(Alimentos!CD$5:CD$310,$B5+1),Alimentos!CD$5:CD$310,0)),INDEX(Alimentos!$E$5:$E$310,MATCH(LARGE(Alimentos!CD$5:CD$310,$B5),Alimentos!CD$5:CD$310,0))),"Sem Sugestão")</f>
        <v>Nucleo Crescimento (Nutronordeste)</v>
      </c>
      <c r="AB5" s="66" t="str">
        <f>IFERROR(IF(AB4=INDEX(Alimentos!$E$5:$E$310,MATCH(LARGE(Alimentos!CE$5:CE$310,$B5),Alimentos!CE$5:CE$310,0)),INDEX(Alimentos!$E$5:$E$310,MATCH(LARGE(Alimentos!CE$5:CE$310,$B5+1),Alimentos!CE$5:CE$310,0)),INDEX(Alimentos!$E$5:$E$310,MATCH(LARGE(Alimentos!CE$5:CE$310,$B5),Alimentos!CE$5:CE$310,0))),"Sem Sugestão")</f>
        <v>Premix Minerthal Confinamento Pasto Aguas</v>
      </c>
      <c r="AC5" s="66" t="str">
        <f>IFERROR(IF(AC4=INDEX(Alimentos!$E$5:$E$310,MATCH(LARGE(Alimentos!CF$5:CF$310,$B5),Alimentos!CF$5:CF$310,0)),INDEX(Alimentos!$E$5:$E$310,MATCH(LARGE(Alimentos!CF$5:CF$310,$B5+1),Alimentos!CF$5:CF$310,0)),INDEX(Alimentos!$E$5:$E$310,MATCH(LARGE(Alimentos!CF$5:CF$310,$B5),Alimentos!CF$5:CF$310,0))),"Sem Sugestão")</f>
        <v>Sal Mineral Vaca Leite Iomar</v>
      </c>
      <c r="AD5" s="66" t="str">
        <f>IFERROR(IF(AD4=INDEX(Alimentos!$E$5:$E$310,MATCH(LARGE(Alimentos!CG$5:CG$310,$B5),Alimentos!CG$5:CG$310,0)),INDEX(Alimentos!$E$5:$E$310,MATCH(LARGE(Alimentos!CG$5:CG$310,$B5+1),Alimentos!CG$5:CG$310,0)),INDEX(Alimentos!$E$5:$E$310,MATCH(LARGE(Alimentos!CG$5:CG$310,$B5),Alimentos!CG$5:CG$310,0))),"Sem Sugestão")</f>
        <v>Sem Sugestão</v>
      </c>
      <c r="AE5" s="66" t="str">
        <f>IFERROR(IF(AE4=INDEX(Alimentos!$E$5:$E$310,MATCH(LARGE(Alimentos!CH$5:CH$310,$B5),Alimentos!CH$5:CH$310,0)),INDEX(Alimentos!$E$5:$E$310,MATCH(LARGE(Alimentos!CH$5:CH$310,$B5+1),Alimentos!CH$5:CH$310,0)),INDEX(Alimentos!$E$5:$E$310,MATCH(LARGE(Alimentos!CH$5:CH$310,$B5),Alimentos!CH$5:CH$310,0))),"Sem Sugestão")</f>
        <v>Sem Sugestão</v>
      </c>
      <c r="AF5" s="66" t="str">
        <f>IFERROR(IF(AF4=INDEX(Alimentos!$E$5:$E$310,MATCH(LARGE(Alimentos!CI$5:CI$310,$B5),Alimentos!CI$5:CI$310,0)),INDEX(Alimentos!$E$5:$E$310,MATCH(LARGE(Alimentos!CI$5:CI$310,$B5+1),Alimentos!CI$5:CI$310,0)),INDEX(Alimentos!$E$5:$E$310,MATCH(LARGE(Alimentos!CI$5:CI$310,$B5),Alimentos!CI$5:CI$310,0))),"Sem Sugestão")</f>
        <v>Sem Sugestão</v>
      </c>
      <c r="AG5" s="66" t="str">
        <f>IFERROR(IF(AG4=INDEX(Alimentos!$E$5:$E$310,MATCH(LARGE(Alimentos!CJ$5:CJ$310,$B5),Alimentos!CJ$5:CJ$310,0)),INDEX(Alimentos!$E$5:$E$310,MATCH(LARGE(Alimentos!CJ$5:CJ$310,$B5+1),Alimentos!CJ$5:CJ$310,0)),INDEX(Alimentos!$E$5:$E$310,MATCH(LARGE(Alimentos!CJ$5:CJ$310,$B5),Alimentos!CJ$5:CJ$310,0))),"Sem Sugestão")</f>
        <v>Silagem de Sorgo</v>
      </c>
      <c r="AH5" s="66" t="str">
        <f>IFERROR(IF(AH4=INDEX(Alimentos!$E$5:$E$310,MATCH(LARGE(Alimentos!CK$5:CK$310,$B5),Alimentos!CK$5:CK$310,0)),INDEX(Alimentos!$E$5:$E$310,MATCH(LARGE(Alimentos!CK$5:CK$310,$B5+1),Alimentos!CK$5:CK$310,0)),INDEX(Alimentos!$E$5:$E$310,MATCH(LARGE(Alimentos!CK$5:CK$310,$B5),Alimentos!CK$5:CK$310,0))),"Sem Sugestão")</f>
        <v>Sem Sugestão</v>
      </c>
      <c r="AI5" s="66" t="str">
        <f>IFERROR(IF(AI4=INDEX(Alimentos!$E$5:$E$310,MATCH(LARGE(Alimentos!CL$5:CL$310,$B5),Alimentos!CL$5:CL$310,0)),INDEX(Alimentos!$E$5:$E$310,MATCH(LARGE(Alimentos!CL$5:CL$310,$B5+1),Alimentos!CL$5:CL$310,0)),INDEX(Alimentos!$E$5:$E$310,MATCH(LARGE(Alimentos!CL$5:CL$310,$B5),Alimentos!CL$5:CL$310,0))),"Sem Sugestão")</f>
        <v>Sem Sugestão</v>
      </c>
      <c r="AJ5" s="66" t="str">
        <f>IFERROR(IF(AJ4=INDEX(Alimentos!$E$5:$E$310,MATCH(LARGE(Alimentos!CM$5:CM$310,$B5),Alimentos!CM$5:CM$310,0)),INDEX(Alimentos!$E$5:$E$310,MATCH(LARGE(Alimentos!CM$5:CM$310,$B5+1),Alimentos!CM$5:CM$310,0)),INDEX(Alimentos!$E$5:$E$310,MATCH(LARGE(Alimentos!CM$5:CM$310,$B5),Alimentos!CM$5:CM$310,0))),"Sem Sugestão")</f>
        <v>Sem Sugestão</v>
      </c>
      <c r="AK5" s="66" t="str">
        <f>IFERROR(IF(AK4=INDEX(Alimentos!$E$5:$E$310,MATCH(LARGE(Alimentos!CN$5:CN$310,$B5),Alimentos!CN$5:CN$310,0)),INDEX(Alimentos!$E$5:$E$310,MATCH(LARGE(Alimentos!CN$5:CN$310,$B5+1),Alimentos!CN$5:CN$310,0)),INDEX(Alimentos!$E$5:$E$310,MATCH(LARGE(Alimentos!CN$5:CN$310,$B5),Alimentos!CN$5:CN$310,0))),"Sem Sugestão")</f>
        <v>Sem Sugestão</v>
      </c>
      <c r="AL5" s="66" t="str">
        <f>IFERROR(IF(AL4=INDEX(Alimentos!$E$5:$E$310,MATCH(LARGE(Alimentos!CO$5:CO$310,$B5),Alimentos!CO$5:CO$310,0)),INDEX(Alimentos!$E$5:$E$310,MATCH(LARGE(Alimentos!CO$5:CO$310,$B5+1),Alimentos!CO$5:CO$310,0)),INDEX(Alimentos!$E$5:$E$310,MATCH(LARGE(Alimentos!CO$5:CO$310,$B5),Alimentos!CO$5:CO$310,0))),"Sem Sugestão")</f>
        <v>Sem Sugestão</v>
      </c>
      <c r="AM5" s="66" t="str">
        <f>IFERROR(IF(AM4=INDEX(Alimentos!$E$5:$E$310,MATCH(LARGE(Alimentos!CP$5:CP$310,$B5),Alimentos!CP$5:CP$310,0)),INDEX(Alimentos!$E$5:$E$310,MATCH(LARGE(Alimentos!CP$5:CP$310,$B5+1),Alimentos!CP$5:CP$310,0)),INDEX(Alimentos!$E$5:$E$310,MATCH(LARGE(Alimentos!CP$5:CP$310,$B5),Alimentos!CP$5:CP$310,0))),"Sem Sugestão")</f>
        <v>Sem Sugestão</v>
      </c>
      <c r="AN5" s="66" t="str">
        <f>IFERROR(IF(AN4=INDEX(Alimentos!$E$5:$E$310,MATCH(LARGE(Alimentos!CQ$5:CQ$310,$B5),Alimentos!CQ$5:CQ$310,0)),INDEX(Alimentos!$E$5:$E$310,MATCH(LARGE(Alimentos!CQ$5:CQ$310,$B5+1),Alimentos!CQ$5:CQ$310,0)),INDEX(Alimentos!$E$5:$E$310,MATCH(LARGE(Alimentos!CQ$5:CQ$310,$B5),Alimentos!CQ$5:CQ$310,0))),"Sem Sugestão")</f>
        <v>Sem Sugestão</v>
      </c>
      <c r="AO5" s="66" t="str">
        <f>IFERROR(IF(AO4=INDEX(Alimentos!$E$5:$E$310,MATCH(LARGE(Alimentos!CR$5:CR$310,$B5),Alimentos!CR$5:CR$310,0)),INDEX(Alimentos!$E$5:$E$310,MATCH(LARGE(Alimentos!CR$5:CR$310,$B5+1),Alimentos!CR$5:CR$310,0)),INDEX(Alimentos!$E$5:$E$310,MATCH(LARGE(Alimentos!CR$5:CR$310,$B5),Alimentos!CR$5:CR$310,0))),"Sem Sugestão")</f>
        <v>Sem Sugestão</v>
      </c>
      <c r="AP5" s="66" t="str">
        <f>IFERROR(IF(AP4=INDEX(Alimentos!$E$5:$E$310,MATCH(LARGE(Alimentos!CS$5:CS$310,$B5),Alimentos!CS$5:CS$310,0)),INDEX(Alimentos!$E$5:$E$310,MATCH(LARGE(Alimentos!CS$5:CS$310,$B5+1),Alimentos!CS$5:CS$310,0)),INDEX(Alimentos!$E$5:$E$310,MATCH(LARGE(Alimentos!CS$5:CS$310,$B5),Alimentos!CS$5:CS$310,0))),"Sem Sugestão")</f>
        <v>Sem Sugestão</v>
      </c>
      <c r="AQ5" s="66" t="str">
        <f>IFERROR(IF(AQ4=INDEX(Alimentos!$E$5:$E$310,MATCH(LARGE(Alimentos!CT$5:CT$310,$B5),Alimentos!CT$5:CT$310,0)),INDEX(Alimentos!$E$5:$E$310,MATCH(LARGE(Alimentos!CT$5:CT$310,$B5+1),Alimentos!CT$5:CT$310,0)),INDEX(Alimentos!$E$5:$E$310,MATCH(LARGE(Alimentos!CT$5:CT$310,$B5),Alimentos!CT$5:CT$310,0))),"Sem Sugestão")</f>
        <v>Sem Sugestão</v>
      </c>
      <c r="AR5" s="66" t="str">
        <f>IFERROR(IF(AR4=INDEX(Alimentos!$E$5:$E$310,MATCH(LARGE(Alimentos!CU$5:CU$310,$B5),Alimentos!CU$5:CU$310,0)),INDEX(Alimentos!$E$5:$E$310,MATCH(LARGE(Alimentos!CU$5:CU$310,$B5+1),Alimentos!CU$5:CU$310,0)),INDEX(Alimentos!$E$5:$E$310,MATCH(LARGE(Alimentos!CU$5:CU$310,$B5),Alimentos!CU$5:CU$310,0))),"Sem Sugestão")</f>
        <v>Sem Sugestão</v>
      </c>
      <c r="AS5" s="66" t="str">
        <f>IFERROR(IF(AS4=INDEX(Alimentos!$E$5:$E$310,MATCH(LARGE(Alimentos!CV$5:CV$310,$B5),Alimentos!CV$5:CV$310,0)),INDEX(Alimentos!$E$5:$E$310,MATCH(LARGE(Alimentos!CV$5:CV$310,$B5+1),Alimentos!CV$5:CV$310,0)),INDEX(Alimentos!$E$5:$E$310,MATCH(LARGE(Alimentos!CV$5:CV$310,$B5),Alimentos!CV$5:CV$310,0))),"Sem Sugestão")</f>
        <v>Sem Sugestão</v>
      </c>
      <c r="AT5" s="66" t="str">
        <f>IFERROR(IF(AT4=INDEX(Alimentos!$E$5:$E$310,MATCH(LARGE(Alimentos!CW$5:CW$310,$B5),Alimentos!CW$5:CW$310,0)),INDEX(Alimentos!$E$5:$E$310,MATCH(LARGE(Alimentos!CW$5:CW$310,$B5+1),Alimentos!CW$5:CW$310,0)),INDEX(Alimentos!$E$5:$E$310,MATCH(LARGE(Alimentos!CW$5:CW$310,$B5),Alimentos!CW$5:CW$310,0))),"Sem Sugestão")</f>
        <v>Sem Sugestão</v>
      </c>
      <c r="AU5" s="66" t="str">
        <f>IFERROR(IF(AU4=INDEX(Alimentos!$E$5:$E$310,MATCH(LARGE(Alimentos!CX$5:CX$310,$B5),Alimentos!CX$5:CX$310,0)),INDEX(Alimentos!$E$5:$E$310,MATCH(LARGE(Alimentos!CX$5:CX$310,$B5+1),Alimentos!CX$5:CX$310,0)),INDEX(Alimentos!$E$5:$E$310,MATCH(LARGE(Alimentos!CX$5:CX$310,$B5),Alimentos!CX$5:CX$310,0))),"Sem Sugestão")</f>
        <v>Sulfato Ferro</v>
      </c>
    </row>
    <row r="6" spans="1:47">
      <c r="B6" s="62">
        <v>5</v>
      </c>
      <c r="D6" s="66" t="str">
        <f>IFERROR(IF(D5=INDEX(Alimentos!$E$5:$E$310,MATCH(LARGE(Alimentos!BG$5:BG$310,$B6),Alimentos!BG$5:BG$310,0)),INDEX(Alimentos!$E$5:$E$310,MATCH(LARGE(Alimentos!BG$5:BG$310,$B6+1),Alimentos!BG$5:BG$310,0)),INDEX(Alimentos!$E$5:$E$310,MATCH(LARGE(Alimentos!BG$5:BG$310,$B6),Alimentos!BG$5:BG$310,0))),"Sem Sugestão")</f>
        <v>Capim Elefante, Feno</v>
      </c>
      <c r="E6" s="66" t="str">
        <f>IFERROR(IF(E5=INDEX(Alimentos!$E$5:$E$310,MATCH(LARGE(Alimentos!BH$5:BH$310,$B6),Alimentos!BH$5:BH$310,0)),INDEX(Alimentos!$E$5:$E$310,MATCH(LARGE(Alimentos!BH$5:BH$310,$B6+1),Alimentos!BH$5:BH$310,0)),INDEX(Alimentos!$E$5:$E$310,MATCH(LARGE(Alimentos!BH$5:BH$310,$B6),Alimentos!BH$5:BH$310,0))),"Sem Sugestão")</f>
        <v>Capim Elefante, Feno</v>
      </c>
      <c r="F6" s="66" t="str">
        <f>IFERROR(IF(F5=INDEX(Alimentos!$E$5:$E$310,MATCH(LARGE(Alimentos!BI$5:BI$310,$B6),Alimentos!BI$5:BI$310,0)),INDEX(Alimentos!$E$5:$E$310,MATCH(LARGE(Alimentos!BI$5:BI$310,$B6+1),Alimentos!BI$5:BI$310,0)),INDEX(Alimentos!$E$5:$E$310,MATCH(LARGE(Alimentos!BI$5:BI$310,$B6),Alimentos!BI$5:BI$310,0))),"Sem Sugestão")</f>
        <v>Mandioca, Casca</v>
      </c>
      <c r="G6" s="66" t="str">
        <f>IFERROR(IF(G5=INDEX(Alimentos!$E$5:$E$310,MATCH(LARGE(Alimentos!BJ$5:BJ$310,$B6),Alimentos!BJ$5:BJ$310,0)),INDEX(Alimentos!$E$5:$E$310,MATCH(LARGE(Alimentos!BJ$5:BJ$310,$B6+1),Alimentos!BJ$5:BJ$310,0)),INDEX(Alimentos!$E$5:$E$310,MATCH(LARGE(Alimentos!BJ$5:BJ$310,$B6),Alimentos!BJ$5:BJ$310,0))),"Sem Sugestão")</f>
        <v>Soja, Grão Tostada</v>
      </c>
      <c r="H6" s="66" t="str">
        <f>IFERROR(IF(H5=INDEX(Alimentos!$E$5:$E$310,MATCH(LARGE(Alimentos!BK$5:BK$310,$B6),Alimentos!BK$5:BK$310,0)),INDEX(Alimentos!$E$5:$E$310,MATCH(LARGE(Alimentos!BK$5:BK$310,$B6+1),Alimentos!BK$5:BK$310,0)),INDEX(Alimentos!$E$5:$E$310,MATCH(LARGE(Alimentos!BK$5:BK$310,$B6),Alimentos!BK$5:BK$310,0))),"Sem Sugestão")</f>
        <v>Milho, Grão (Moido)</v>
      </c>
      <c r="I6" s="66" t="str">
        <f>IFERROR(IF(I5=INDEX(Alimentos!$E$5:$E$310,MATCH(LARGE(Alimentos!BL$5:BL$310,$B6),Alimentos!BL$5:BL$310,0)),INDEX(Alimentos!$E$5:$E$310,MATCH(LARGE(Alimentos!BL$5:BL$310,$B6+1),Alimentos!BL$5:BL$310,0)),INDEX(Alimentos!$E$5:$E$310,MATCH(LARGE(Alimentos!BL$5:BL$310,$B6),Alimentos!BL$5:BL$310,0))),"Sem Sugestão")</f>
        <v>Silagem de Milho Grão Reidratado</v>
      </c>
      <c r="J6" s="66" t="str">
        <f>IFERROR(IF(J5=INDEX(Alimentos!$E$5:$E$310,MATCH(LARGE(Alimentos!BM$5:BM$310,$B6),Alimentos!BM$5:BM$310,0)),INDEX(Alimentos!$E$5:$E$310,MATCH(LARGE(Alimentos!BM$5:BM$310,$B6+1),Alimentos!BM$5:BM$310,0)),INDEX(Alimentos!$E$5:$E$310,MATCH(LARGE(Alimentos!BM$5:BM$310,$B6),Alimentos!BM$5:BM$310,0))),"Sem Sugestão")</f>
        <v>Sem Sugestão</v>
      </c>
      <c r="K6" s="66" t="str">
        <f>IFERROR(IF(K5=INDEX(Alimentos!$E$5:$E$310,MATCH(LARGE(Alimentos!BN$5:BN$310,$B6),Alimentos!BN$5:BN$310,0)),INDEX(Alimentos!$E$5:$E$310,MATCH(LARGE(Alimentos!BN$5:BN$310,$B6+1),Alimentos!BN$5:BN$310,0)),INDEX(Alimentos!$E$5:$E$310,MATCH(LARGE(Alimentos!BN$5:BN$310,$B6),Alimentos!BN$5:BN$310,0))),"Sem Sugestão")</f>
        <v>Soja, Grão</v>
      </c>
      <c r="L6" s="66" t="str">
        <f>IFERROR(IF(L5=INDEX(Alimentos!$E$5:$E$310,MATCH(LARGE(Alimentos!BO$5:BO$310,$B6),Alimentos!BO$5:BO$310,0)),INDEX(Alimentos!$E$5:$E$310,MATCH(LARGE(Alimentos!BO$5:BO$310,$B6+1),Alimentos!BO$5:BO$310,0)),INDEX(Alimentos!$E$5:$E$310,MATCH(LARGE(Alimentos!BO$5:BO$310,$B6),Alimentos!BO$5:BO$310,0))),"Sem Sugestão")</f>
        <v>Nucleo Protéico Matsuda</v>
      </c>
      <c r="M6" s="66" t="str">
        <f>IFERROR(IF(M5=INDEX(Alimentos!$E$5:$E$310,MATCH(LARGE(Alimentos!BP$5:BP$310,$B6),Alimentos!BP$5:BP$310,0)),INDEX(Alimentos!$E$5:$E$310,MATCH(LARGE(Alimentos!BP$5:BP$310,$B6+1),Alimentos!BP$5:BP$310,0)),INDEX(Alimentos!$E$5:$E$310,MATCH(LARGE(Alimentos!BP$5:BP$310,$B6),Alimentos!BP$5:BP$310,0))),"Sem Sugestão")</f>
        <v>Nabo Forrageiro, Torta</v>
      </c>
      <c r="N6" s="66" t="str">
        <f>IFERROR(IF(N5=INDEX(Alimentos!$E$5:$E$310,MATCH(LARGE(Alimentos!BQ$5:BQ$310,$B6),Alimentos!BQ$5:BQ$310,0)),INDEX(Alimentos!$E$5:$E$310,MATCH(LARGE(Alimentos!BQ$5:BQ$310,$B6+1),Alimentos!BQ$5:BQ$310,0)),INDEX(Alimentos!$E$5:$E$310,MATCH(LARGE(Alimentos!BQ$5:BQ$310,$B6),Alimentos!BQ$5:BQ$310,0))),"Sem Sugestão")</f>
        <v>Resíduo Seco de Destilaria, Milho (DDG)</v>
      </c>
      <c r="O6" s="66" t="str">
        <f>IFERROR(IF(O5=INDEX(Alimentos!$E$5:$E$310,MATCH(LARGE(Alimentos!BR$5:BR$310,$B6),Alimentos!BR$5:BR$310,0)),INDEX(Alimentos!$E$5:$E$310,MATCH(LARGE(Alimentos!BR$5:BR$310,$B6+1),Alimentos!BR$5:BR$310,0)),INDEX(Alimentos!$E$5:$E$310,MATCH(LARGE(Alimentos!BR$5:BR$310,$B6),Alimentos!BR$5:BR$310,0))),"Sem Sugestão")</f>
        <v>Soja, Farelo Extrusado</v>
      </c>
      <c r="P6" s="66" t="str">
        <f>IFERROR(IF(P5=INDEX(Alimentos!$E$5:$E$310,MATCH(LARGE(Alimentos!BS$5:BS$310,$B6),Alimentos!BS$5:BS$310,0)),INDEX(Alimentos!$E$5:$E$310,MATCH(LARGE(Alimentos!BS$5:BS$310,$B6+1),Alimentos!BS$5:BS$310,0)),INDEX(Alimentos!$E$5:$E$310,MATCH(LARGE(Alimentos!BS$5:BS$310,$B6),Alimentos!BS$5:BS$310,0))),"Sem Sugestão")</f>
        <v>Nucleo Nutromax Leite</v>
      </c>
      <c r="Q6" s="66" t="str">
        <f>IFERROR(IF(Q5=INDEX(Alimentos!$E$5:$E$310,MATCH(LARGE(Alimentos!BT$5:BT$310,$B6),Alimentos!BT$5:BT$310,0)),INDEX(Alimentos!$E$5:$E$310,MATCH(LARGE(Alimentos!BT$5:BT$310,$B6+1),Alimentos!BT$5:BT$310,0)),INDEX(Alimentos!$E$5:$E$310,MATCH(LARGE(Alimentos!BT$5:BT$310,$B6),Alimentos!BT$5:BT$310,0))),"Sem Sugestão")</f>
        <v>Bovitop Nucleo Proteinado</v>
      </c>
      <c r="R6" s="66" t="str">
        <f>IFERROR(IF(R5=INDEX(Alimentos!$E$5:$E$310,MATCH(LARGE(Alimentos!BU$5:BU$310,$B6),Alimentos!BU$5:BU$310,0)),INDEX(Alimentos!$E$5:$E$310,MATCH(LARGE(Alimentos!BU$5:BU$310,$B6+1),Alimentos!BU$5:BU$310,0)),INDEX(Alimentos!$E$5:$E$310,MATCH(LARGE(Alimentos!BU$5:BU$310,$B6),Alimentos!BU$5:BU$310,0))),"Sem Sugestão")</f>
        <v>Mineral Suprasal BRC 130</v>
      </c>
      <c r="S6" s="66" t="str">
        <f>IFERROR(IF(S5=INDEX(Alimentos!$E$5:$E$310,MATCH(LARGE(Alimentos!BV$5:BV$310,$B6),Alimentos!BV$5:BV$310,0)),INDEX(Alimentos!$E$5:$E$310,MATCH(LARGE(Alimentos!BV$5:BV$310,$B6+1),Alimentos!BV$5:BV$310,0)),INDEX(Alimentos!$E$5:$E$310,MATCH(LARGE(Alimentos!BV$5:BV$310,$B6),Alimentos!BV$5:BV$310,0))),"Sem Sugestão")</f>
        <v>Alpha Nucleo Bovinos Confinamento</v>
      </c>
      <c r="T6" s="66" t="str">
        <f>IFERROR(IF(T5=INDEX(Alimentos!$E$5:$E$310,MATCH(LARGE(Alimentos!BW$5:BW$310,$B6),Alimentos!BW$5:BW$310,0)),INDEX(Alimentos!$E$5:$E$310,MATCH(LARGE(Alimentos!BW$5:BW$310,$B6+1),Alimentos!BW$5:BW$310,0)),INDEX(Alimentos!$E$5:$E$310,MATCH(LARGE(Alimentos!BW$5:BW$310,$B6),Alimentos!BW$5:BW$310,0))),"Sem Sugestão")</f>
        <v>Alpha Nucleo Bovinos M</v>
      </c>
      <c r="U6" s="66" t="str">
        <f>IFERROR(IF(U5=INDEX(Alimentos!$E$5:$E$310,MATCH(LARGE(Alimentos!BX$5:BX$310,$B6),Alimentos!BX$5:BX$310,0)),INDEX(Alimentos!$E$5:$E$310,MATCH(LARGE(Alimentos!BX$5:BX$310,$B6+1),Alimentos!BX$5:BX$310,0)),INDEX(Alimentos!$E$5:$E$310,MATCH(LARGE(Alimentos!BX$5:BX$310,$B6),Alimentos!BX$5:BX$310,0))),"Sem Sugestão")</f>
        <v>Nucleo Novo Bovigold Tortuga</v>
      </c>
      <c r="V6" s="66" t="str">
        <f>IFERROR(IF(V5=INDEX(Alimentos!$E$5:$E$310,MATCH(LARGE(Alimentos!BY$5:BY$310,$B6),Alimentos!BY$5:BY$310,0)),INDEX(Alimentos!$E$5:$E$310,MATCH(LARGE(Alimentos!BY$5:BY$310,$B6+1),Alimentos!BY$5:BY$310,0)),INDEX(Alimentos!$E$5:$E$310,MATCH(LARGE(Alimentos!BY$5:BY$310,$B6),Alimentos!BY$5:BY$310,0))),"Sem Sugestão")</f>
        <v>NucleoLB Confinamento 200 VM</v>
      </c>
      <c r="W6" s="66" t="str">
        <f>IFERROR(IF(W5=INDEX(Alimentos!$E$5:$E$310,MATCH(LARGE(Alimentos!BZ$5:BZ$310,$B6),Alimentos!BZ$5:BZ$310,0)),INDEX(Alimentos!$E$5:$E$310,MATCH(LARGE(Alimentos!BZ$5:BZ$310,$B6+1),Alimentos!BZ$5:BZ$310,0)),INDEX(Alimentos!$E$5:$E$310,MATCH(LARGE(Alimentos!BZ$5:BZ$310,$B6),Alimentos!BZ$5:BZ$310,0))),"Sem Sugestão")</f>
        <v>Mineral Suprasal BRC 160</v>
      </c>
      <c r="X6" s="66" t="str">
        <f>IFERROR(IF(X5=INDEX(Alimentos!$E$5:$E$310,MATCH(LARGE(Alimentos!CA$5:CA$310,$B6),Alimentos!CA$5:CA$310,0)),INDEX(Alimentos!$E$5:$E$310,MATCH(LARGE(Alimentos!CA$5:CA$310,$B6+1),Alimentos!CA$5:CA$310,0)),INDEX(Alimentos!$E$5:$E$310,MATCH(LARGE(Alimentos!CA$5:CA$310,$B6),Alimentos!CA$5:CA$310,0))),"Sem Sugestão")</f>
        <v>Mineral Suprasal BRC 130</v>
      </c>
      <c r="Y6" s="66" t="str">
        <f>IFERROR(IF(Y5=INDEX(Alimentos!$E$5:$E$310,MATCH(LARGE(Alimentos!CB$5:CB$310,$B6),Alimentos!CB$5:CB$310,0)),INDEX(Alimentos!$E$5:$E$310,MATCH(LARGE(Alimentos!CB$5:CB$310,$B6+1),Alimentos!CB$5:CB$310,0)),INDEX(Alimentos!$E$5:$E$310,MATCH(LARGE(Alimentos!CB$5:CB$310,$B6),Alimentos!CB$5:CB$310,0))),"Sem Sugestão")</f>
        <v>Café, Casca</v>
      </c>
      <c r="Z6" s="66" t="str">
        <f>IFERROR(IF(Z5=INDEX(Alimentos!$E$5:$E$310,MATCH(LARGE(Alimentos!CC$5:CC$310,$B6),Alimentos!CC$5:CC$310,0)),INDEX(Alimentos!$E$5:$E$310,MATCH(LARGE(Alimentos!CC$5:CC$310,$B6+1),Alimentos!CC$5:CC$310,0)),INDEX(Alimentos!$E$5:$E$310,MATCH(LARGE(Alimentos!CC$5:CC$310,$B6),Alimentos!CC$5:CC$310,0))),"Sem Sugestão")</f>
        <v>Bovitop Nucleo Proteinado</v>
      </c>
      <c r="AA6" s="66" t="str">
        <f>IFERROR(IF(AA5=INDEX(Alimentos!$E$5:$E$310,MATCH(LARGE(Alimentos!CD$5:CD$310,$B6),Alimentos!CD$5:CD$310,0)),INDEX(Alimentos!$E$5:$E$310,MATCH(LARGE(Alimentos!CD$5:CD$310,$B6+1),Alimentos!CD$5:CD$310,0)),INDEX(Alimentos!$E$5:$E$310,MATCH(LARGE(Alimentos!CD$5:CD$310,$B6),Alimentos!CD$5:CD$310,0))),"Sem Sugestão")</f>
        <v>Mineral Suprasal BRC 160</v>
      </c>
      <c r="AB6" s="66" t="str">
        <f>IFERROR(IF(AB5=INDEX(Alimentos!$E$5:$E$310,MATCH(LARGE(Alimentos!CE$5:CE$310,$B6),Alimentos!CE$5:CE$310,0)),INDEX(Alimentos!$E$5:$E$310,MATCH(LARGE(Alimentos!CE$5:CE$310,$B6+1),Alimentos!CE$5:CE$310,0)),INDEX(Alimentos!$E$5:$E$310,MATCH(LARGE(Alimentos!CE$5:CE$310,$B6),Alimentos!CE$5:CE$310,0))),"Sem Sugestão")</f>
        <v>Vit ADE</v>
      </c>
      <c r="AC6" s="66" t="str">
        <f>IFERROR(IF(AC5=INDEX(Alimentos!$E$5:$E$310,MATCH(LARGE(Alimentos!CF$5:CF$310,$B6),Alimentos!CF$5:CF$310,0)),INDEX(Alimentos!$E$5:$E$310,MATCH(LARGE(Alimentos!CF$5:CF$310,$B6+1),Alimentos!CF$5:CF$310,0)),INDEX(Alimentos!$E$5:$E$310,MATCH(LARGE(Alimentos!CF$5:CF$310,$B6),Alimentos!CF$5:CF$310,0))),"Sem Sugestão")</f>
        <v>Sal Mineral Bezerro (Iomar Mombaça)</v>
      </c>
      <c r="AD6" s="66" t="str">
        <f>IFERROR(IF(AD5=INDEX(Alimentos!$E$5:$E$310,MATCH(LARGE(Alimentos!CG$5:CG$310,$B6),Alimentos!CG$5:CG$310,0)),INDEX(Alimentos!$E$5:$E$310,MATCH(LARGE(Alimentos!CG$5:CG$310,$B6+1),Alimentos!CG$5:CG$310,0)),INDEX(Alimentos!$E$5:$E$310,MATCH(LARGE(Alimentos!CG$5:CG$310,$B6),Alimentos!CG$5:CG$310,0))),"Sem Sugestão")</f>
        <v>Sem Sugestão</v>
      </c>
      <c r="AE6" s="66" t="str">
        <f>IFERROR(IF(AE5=INDEX(Alimentos!$E$5:$E$310,MATCH(LARGE(Alimentos!CH$5:CH$310,$B6),Alimentos!CH$5:CH$310,0)),INDEX(Alimentos!$E$5:$E$310,MATCH(LARGE(Alimentos!CH$5:CH$310,$B6+1),Alimentos!CH$5:CH$310,0)),INDEX(Alimentos!$E$5:$E$310,MATCH(LARGE(Alimentos!CH$5:CH$310,$B6),Alimentos!CH$5:CH$310,0))),"Sem Sugestão")</f>
        <v>Sem Sugestão</v>
      </c>
      <c r="AF6" s="66" t="str">
        <f>IFERROR(IF(AF5=INDEX(Alimentos!$E$5:$E$310,MATCH(LARGE(Alimentos!CI$5:CI$310,$B6),Alimentos!CI$5:CI$310,0)),INDEX(Alimentos!$E$5:$E$310,MATCH(LARGE(Alimentos!CI$5:CI$310,$B6+1),Alimentos!CI$5:CI$310,0)),INDEX(Alimentos!$E$5:$E$310,MATCH(LARGE(Alimentos!CI$5:CI$310,$B6),Alimentos!CI$5:CI$310,0))),"Sem Sugestão")</f>
        <v>Sem Sugestão</v>
      </c>
      <c r="AG6" s="66" t="str">
        <f>IFERROR(IF(AG5=INDEX(Alimentos!$E$5:$E$310,MATCH(LARGE(Alimentos!CJ$5:CJ$310,$B6),Alimentos!CJ$5:CJ$310,0)),INDEX(Alimentos!$E$5:$E$310,MATCH(LARGE(Alimentos!CJ$5:CJ$310,$B6+1),Alimentos!CJ$5:CJ$310,0)),INDEX(Alimentos!$E$5:$E$310,MATCH(LARGE(Alimentos!CJ$5:CJ$310,$B6),Alimentos!CJ$5:CJ$310,0))),"Sem Sugestão")</f>
        <v>Alfafa, Floração</v>
      </c>
      <c r="AH6" s="66" t="str">
        <f>IFERROR(IF(AH5=INDEX(Alimentos!$E$5:$E$310,MATCH(LARGE(Alimentos!CK$5:CK$310,$B6),Alimentos!CK$5:CK$310,0)),INDEX(Alimentos!$E$5:$E$310,MATCH(LARGE(Alimentos!CK$5:CK$310,$B6+1),Alimentos!CK$5:CK$310,0)),INDEX(Alimentos!$E$5:$E$310,MATCH(LARGE(Alimentos!CK$5:CK$310,$B6),Alimentos!CK$5:CK$310,0))),"Sem Sugestão")</f>
        <v>Sem Sugestão</v>
      </c>
      <c r="AI6" s="66" t="str">
        <f>IFERROR(IF(AI5=INDEX(Alimentos!$E$5:$E$310,MATCH(LARGE(Alimentos!CL$5:CL$310,$B6),Alimentos!CL$5:CL$310,0)),INDEX(Alimentos!$E$5:$E$310,MATCH(LARGE(Alimentos!CL$5:CL$310,$B6+1),Alimentos!CL$5:CL$310,0)),INDEX(Alimentos!$E$5:$E$310,MATCH(LARGE(Alimentos!CL$5:CL$310,$B6),Alimentos!CL$5:CL$310,0))),"Sem Sugestão")</f>
        <v>Sem Sugestão</v>
      </c>
      <c r="AJ6" s="66" t="str">
        <f>IFERROR(IF(AJ5=INDEX(Alimentos!$E$5:$E$310,MATCH(LARGE(Alimentos!CM$5:CM$310,$B6),Alimentos!CM$5:CM$310,0)),INDEX(Alimentos!$E$5:$E$310,MATCH(LARGE(Alimentos!CM$5:CM$310,$B6+1),Alimentos!CM$5:CM$310,0)),INDEX(Alimentos!$E$5:$E$310,MATCH(LARGE(Alimentos!CM$5:CM$310,$B6),Alimentos!CM$5:CM$310,0))),"Sem Sugestão")</f>
        <v>Sem Sugestão</v>
      </c>
      <c r="AK6" s="66" t="str">
        <f>IFERROR(IF(AK5=INDEX(Alimentos!$E$5:$E$310,MATCH(LARGE(Alimentos!CN$5:CN$310,$B6),Alimentos!CN$5:CN$310,0)),INDEX(Alimentos!$E$5:$E$310,MATCH(LARGE(Alimentos!CN$5:CN$310,$B6+1),Alimentos!CN$5:CN$310,0)),INDEX(Alimentos!$E$5:$E$310,MATCH(LARGE(Alimentos!CN$5:CN$310,$B6),Alimentos!CN$5:CN$310,0))),"Sem Sugestão")</f>
        <v>Sem Sugestão</v>
      </c>
      <c r="AL6" s="66" t="str">
        <f>IFERROR(IF(AL5=INDEX(Alimentos!$E$5:$E$310,MATCH(LARGE(Alimentos!CO$5:CO$310,$B6),Alimentos!CO$5:CO$310,0)),INDEX(Alimentos!$E$5:$E$310,MATCH(LARGE(Alimentos!CO$5:CO$310,$B6+1),Alimentos!CO$5:CO$310,0)),INDEX(Alimentos!$E$5:$E$310,MATCH(LARGE(Alimentos!CO$5:CO$310,$B6),Alimentos!CO$5:CO$310,0))),"Sem Sugestão")</f>
        <v>Sem Sugestão</v>
      </c>
      <c r="AM6" s="66" t="str">
        <f>IFERROR(IF(AM5=INDEX(Alimentos!$E$5:$E$310,MATCH(LARGE(Alimentos!CP$5:CP$310,$B6),Alimentos!CP$5:CP$310,0)),INDEX(Alimentos!$E$5:$E$310,MATCH(LARGE(Alimentos!CP$5:CP$310,$B6+1),Alimentos!CP$5:CP$310,0)),INDEX(Alimentos!$E$5:$E$310,MATCH(LARGE(Alimentos!CP$5:CP$310,$B6),Alimentos!CP$5:CP$310,0))),"Sem Sugestão")</f>
        <v>Sem Sugestão</v>
      </c>
      <c r="AN6" s="66" t="str">
        <f>IFERROR(IF(AN5=INDEX(Alimentos!$E$5:$E$310,MATCH(LARGE(Alimentos!CQ$5:CQ$310,$B6),Alimentos!CQ$5:CQ$310,0)),INDEX(Alimentos!$E$5:$E$310,MATCH(LARGE(Alimentos!CQ$5:CQ$310,$B6+1),Alimentos!CQ$5:CQ$310,0)),INDEX(Alimentos!$E$5:$E$310,MATCH(LARGE(Alimentos!CQ$5:CQ$310,$B6),Alimentos!CQ$5:CQ$310,0))),"Sem Sugestão")</f>
        <v>Sem Sugestão</v>
      </c>
      <c r="AO6" s="66" t="str">
        <f>IFERROR(IF(AO5=INDEX(Alimentos!$E$5:$E$310,MATCH(LARGE(Alimentos!CR$5:CR$310,$B6),Alimentos!CR$5:CR$310,0)),INDEX(Alimentos!$E$5:$E$310,MATCH(LARGE(Alimentos!CR$5:CR$310,$B6+1),Alimentos!CR$5:CR$310,0)),INDEX(Alimentos!$E$5:$E$310,MATCH(LARGE(Alimentos!CR$5:CR$310,$B6),Alimentos!CR$5:CR$310,0))),"Sem Sugestão")</f>
        <v>Sem Sugestão</v>
      </c>
      <c r="AP6" s="66" t="str">
        <f>IFERROR(IF(AP5=INDEX(Alimentos!$E$5:$E$310,MATCH(LARGE(Alimentos!CS$5:CS$310,$B6),Alimentos!CS$5:CS$310,0)),INDEX(Alimentos!$E$5:$E$310,MATCH(LARGE(Alimentos!CS$5:CS$310,$B6+1),Alimentos!CS$5:CS$310,0)),INDEX(Alimentos!$E$5:$E$310,MATCH(LARGE(Alimentos!CS$5:CS$310,$B6),Alimentos!CS$5:CS$310,0))),"Sem Sugestão")</f>
        <v>Sem Sugestão</v>
      </c>
      <c r="AQ6" s="66" t="str">
        <f>IFERROR(IF(AQ5=INDEX(Alimentos!$E$5:$E$310,MATCH(LARGE(Alimentos!CT$5:CT$310,$B6),Alimentos!CT$5:CT$310,0)),INDEX(Alimentos!$E$5:$E$310,MATCH(LARGE(Alimentos!CT$5:CT$310,$B6+1),Alimentos!CT$5:CT$310,0)),INDEX(Alimentos!$E$5:$E$310,MATCH(LARGE(Alimentos!CT$5:CT$310,$B6),Alimentos!CT$5:CT$310,0))),"Sem Sugestão")</f>
        <v>Sem Sugestão</v>
      </c>
      <c r="AR6" s="66" t="str">
        <f>IFERROR(IF(AR5=INDEX(Alimentos!$E$5:$E$310,MATCH(LARGE(Alimentos!CU$5:CU$310,$B6),Alimentos!CU$5:CU$310,0)),INDEX(Alimentos!$E$5:$E$310,MATCH(LARGE(Alimentos!CU$5:CU$310,$B6+1),Alimentos!CU$5:CU$310,0)),INDEX(Alimentos!$E$5:$E$310,MATCH(LARGE(Alimentos!CU$5:CU$310,$B6),Alimentos!CU$5:CU$310,0))),"Sem Sugestão")</f>
        <v>Sem Sugestão</v>
      </c>
      <c r="AS6" s="66" t="str">
        <f>IFERROR(IF(AS5=INDEX(Alimentos!$E$5:$E$310,MATCH(LARGE(Alimentos!CV$5:CV$310,$B6),Alimentos!CV$5:CV$310,0)),INDEX(Alimentos!$E$5:$E$310,MATCH(LARGE(Alimentos!CV$5:CV$310,$B6+1),Alimentos!CV$5:CV$310,0)),INDEX(Alimentos!$E$5:$E$310,MATCH(LARGE(Alimentos!CV$5:CV$310,$B6),Alimentos!CV$5:CV$310,0))),"Sem Sugestão")</f>
        <v>Sem Sugestão</v>
      </c>
      <c r="AT6" s="66" t="str">
        <f>IFERROR(IF(AT5=INDEX(Alimentos!$E$5:$E$310,MATCH(LARGE(Alimentos!CW$5:CW$310,$B6),Alimentos!CW$5:CW$310,0)),INDEX(Alimentos!$E$5:$E$310,MATCH(LARGE(Alimentos!CW$5:CW$310,$B6+1),Alimentos!CW$5:CW$310,0)),INDEX(Alimentos!$E$5:$E$310,MATCH(LARGE(Alimentos!CW$5:CW$310,$B6),Alimentos!CW$5:CW$310,0))),"Sem Sugestão")</f>
        <v>Sem Sugestão</v>
      </c>
      <c r="AU6" s="66" t="str">
        <f>IFERROR(IF(AU5=INDEX(Alimentos!$E$5:$E$310,MATCH(LARGE(Alimentos!CX$5:CX$310,$B6),Alimentos!CX$5:CX$310,0)),INDEX(Alimentos!$E$5:$E$310,MATCH(LARGE(Alimentos!CX$5:CX$310,$B6+1),Alimentos!CX$5:CX$310,0)),INDEX(Alimentos!$E$5:$E$310,MATCH(LARGE(Alimentos!CX$5:CX$310,$B6),Alimentos!CX$5:CX$310,0))),"Sem Sugestão")</f>
        <v>Sulfato de Zinco</v>
      </c>
    </row>
    <row r="7" spans="1:47">
      <c r="B7" s="62">
        <v>6</v>
      </c>
      <c r="D7" s="66" t="str">
        <f>IFERROR(IF(D6=INDEX(Alimentos!$E$5:$E$310,MATCH(LARGE(Alimentos!BG$5:BG$310,$B7),Alimentos!BG$5:BG$310,0)),INDEX(Alimentos!$E$5:$E$310,MATCH(LARGE(Alimentos!BG$5:BG$310,$B7+1),Alimentos!BG$5:BG$310,0)),INDEX(Alimentos!$E$5:$E$310,MATCH(LARGE(Alimentos!BG$5:BG$310,$B7),Alimentos!BG$5:BG$310,0))),"Sem Sugestão")</f>
        <v>Dendê, Torta</v>
      </c>
      <c r="E7" s="66" t="str">
        <f>IFERROR(IF(E6=INDEX(Alimentos!$E$5:$E$310,MATCH(LARGE(Alimentos!BH$5:BH$310,$B7),Alimentos!BH$5:BH$310,0)),INDEX(Alimentos!$E$5:$E$310,MATCH(LARGE(Alimentos!BH$5:BH$310,$B7+1),Alimentos!BH$5:BH$310,0)),INDEX(Alimentos!$E$5:$E$310,MATCH(LARGE(Alimentos!BH$5:BH$310,$B7),Alimentos!BH$5:BH$310,0))),"Sem Sugestão")</f>
        <v>Capim Braquiária Decumbens Feno</v>
      </c>
      <c r="F7" s="66" t="str">
        <f>IFERROR(IF(F6=INDEX(Alimentos!$E$5:$E$310,MATCH(LARGE(Alimentos!BI$5:BI$310,$B7),Alimentos!BI$5:BI$310,0)),INDEX(Alimentos!$E$5:$E$310,MATCH(LARGE(Alimentos!BI$5:BI$310,$B7+1),Alimentos!BI$5:BI$310,0)),INDEX(Alimentos!$E$5:$E$310,MATCH(LARGE(Alimentos!BI$5:BI$310,$B7),Alimentos!BI$5:BI$310,0))),"Sem Sugestão")</f>
        <v>Citrus Polpa</v>
      </c>
      <c r="G7" s="66" t="str">
        <f>IFERROR(IF(G6=INDEX(Alimentos!$E$5:$E$310,MATCH(LARGE(Alimentos!BJ$5:BJ$310,$B7),Alimentos!BJ$5:BJ$310,0)),INDEX(Alimentos!$E$5:$E$310,MATCH(LARGE(Alimentos!BJ$5:BJ$310,$B7+1),Alimentos!BJ$5:BJ$310,0)),INDEX(Alimentos!$E$5:$E$310,MATCH(LARGE(Alimentos!BJ$5:BJ$310,$B7),Alimentos!BJ$5:BJ$310,0))),"Sem Sugestão")</f>
        <v>Nabo Forrageiro, Torta</v>
      </c>
      <c r="H7" s="66" t="str">
        <f>IFERROR(IF(H6=INDEX(Alimentos!$E$5:$E$310,MATCH(LARGE(Alimentos!BK$5:BK$310,$B7),Alimentos!BK$5:BK$310,0)),INDEX(Alimentos!$E$5:$E$310,MATCH(LARGE(Alimentos!BK$5:BK$310,$B7+1),Alimentos!BK$5:BK$310,0)),INDEX(Alimentos!$E$5:$E$310,MATCH(LARGE(Alimentos!BK$5:BK$310,$B7),Alimentos!BK$5:BK$310,0))),"Sem Sugestão")</f>
        <v>Coco, Farelo</v>
      </c>
      <c r="I7" s="66" t="str">
        <f>IFERROR(IF(I6=INDEX(Alimentos!$E$5:$E$310,MATCH(LARGE(Alimentos!BL$5:BL$310,$B7),Alimentos!BL$5:BL$310,0)),INDEX(Alimentos!$E$5:$E$310,MATCH(LARGE(Alimentos!BL$5:BL$310,$B7+1),Alimentos!BL$5:BL$310,0)),INDEX(Alimentos!$E$5:$E$310,MATCH(LARGE(Alimentos!BL$5:BL$310,$B7),Alimentos!BL$5:BL$310,0))),"Sem Sugestão")</f>
        <v>Nabo Forrageiro, Torta</v>
      </c>
      <c r="J7" s="66" t="str">
        <f>IFERROR(IF(J6=INDEX(Alimentos!$E$5:$E$310,MATCH(LARGE(Alimentos!BM$5:BM$310,$B7),Alimentos!BM$5:BM$310,0)),INDEX(Alimentos!$E$5:$E$310,MATCH(LARGE(Alimentos!BM$5:BM$310,$B7+1),Alimentos!BM$5:BM$310,0)),INDEX(Alimentos!$E$5:$E$310,MATCH(LARGE(Alimentos!BM$5:BM$310,$B7),Alimentos!BM$5:BM$310,0))),"Sem Sugestão")</f>
        <v>Sem Sugestão</v>
      </c>
      <c r="K7" s="66" t="str">
        <f>IFERROR(IF(K6=INDEX(Alimentos!$E$5:$E$310,MATCH(LARGE(Alimentos!BN$5:BN$310,$B7),Alimentos!BN$5:BN$310,0)),INDEX(Alimentos!$E$5:$E$310,MATCH(LARGE(Alimentos!BN$5:BN$310,$B7+1),Alimentos!BN$5:BN$310,0)),INDEX(Alimentos!$E$5:$E$310,MATCH(LARGE(Alimentos!BN$5:BN$310,$B7),Alimentos!BN$5:BN$310,0))),"Sem Sugestão")</f>
        <v>Nabo Forrageiro, Torta</v>
      </c>
      <c r="L7" s="66" t="str">
        <f>IFERROR(IF(L6=INDEX(Alimentos!$E$5:$E$310,MATCH(LARGE(Alimentos!BO$5:BO$310,$B7),Alimentos!BO$5:BO$310,0)),INDEX(Alimentos!$E$5:$E$310,MATCH(LARGE(Alimentos!BO$5:BO$310,$B7+1),Alimentos!BO$5:BO$310,0)),INDEX(Alimentos!$E$5:$E$310,MATCH(LARGE(Alimentos!BO$5:BO$310,$B7),Alimentos!BO$5:BO$310,0))),"Sem Sugestão")</f>
        <v>Premix Fosbovi Confinamento Crina Rumistar</v>
      </c>
      <c r="M7" s="66" t="str">
        <f>IFERROR(IF(M6=INDEX(Alimentos!$E$5:$E$310,MATCH(LARGE(Alimentos!BP$5:BP$310,$B7),Alimentos!BP$5:BP$310,0)),INDEX(Alimentos!$E$5:$E$310,MATCH(LARGE(Alimentos!BP$5:BP$310,$B7+1),Alimentos!BP$5:BP$310,0)),INDEX(Alimentos!$E$5:$E$310,MATCH(LARGE(Alimentos!BP$5:BP$310,$B7),Alimentos!BP$5:BP$310,0))),"Sem Sugestão")</f>
        <v>Milho Glúten 60</v>
      </c>
      <c r="N7" s="66" t="str">
        <f>IFERROR(IF(N6=INDEX(Alimentos!$E$5:$E$310,MATCH(LARGE(Alimentos!BQ$5:BQ$310,$B7),Alimentos!BQ$5:BQ$310,0)),INDEX(Alimentos!$E$5:$E$310,MATCH(LARGE(Alimentos!BQ$5:BQ$310,$B7+1),Alimentos!BQ$5:BQ$310,0)),INDEX(Alimentos!$E$5:$E$310,MATCH(LARGE(Alimentos!BQ$5:BQ$310,$B7),Alimentos!BQ$5:BQ$310,0))),"Sem Sugestão")</f>
        <v>Mamona, Farelo Detoxificado</v>
      </c>
      <c r="O7" s="66" t="str">
        <f>IFERROR(IF(O6=INDEX(Alimentos!$E$5:$E$310,MATCH(LARGE(Alimentos!BR$5:BR$310,$B7),Alimentos!BR$5:BR$310,0)),INDEX(Alimentos!$E$5:$E$310,MATCH(LARGE(Alimentos!BR$5:BR$310,$B7+1),Alimentos!BR$5:BR$310,0)),INDEX(Alimentos!$E$5:$E$310,MATCH(LARGE(Alimentos!BR$5:BR$310,$B7),Alimentos!BR$5:BR$310,0))),"Sem Sugestão")</f>
        <v>Soja, Grão Tostada</v>
      </c>
      <c r="P7" s="66" t="str">
        <f>IFERROR(IF(P6=INDEX(Alimentos!$E$5:$E$310,MATCH(LARGE(Alimentos!BS$5:BS$310,$B7),Alimentos!BS$5:BS$310,0)),INDEX(Alimentos!$E$5:$E$310,MATCH(LARGE(Alimentos!BS$5:BS$310,$B7+1),Alimentos!BS$5:BS$310,0)),INDEX(Alimentos!$E$5:$E$310,MATCH(LARGE(Alimentos!BS$5:BS$310,$B7),Alimentos!BS$5:BS$310,0))),"Sem Sugestão")</f>
        <v>Sem Sugestão</v>
      </c>
      <c r="Q7" s="66" t="str">
        <f>IFERROR(IF(Q6=INDEX(Alimentos!$E$5:$E$310,MATCH(LARGE(Alimentos!BT$5:BT$310,$B7),Alimentos!BT$5:BT$310,0)),INDEX(Alimentos!$E$5:$E$310,MATCH(LARGE(Alimentos!BT$5:BT$310,$B7+1),Alimentos!BT$5:BT$310,0)),INDEX(Alimentos!$E$5:$E$310,MATCH(LARGE(Alimentos!BT$5:BT$310,$B7),Alimentos!BT$5:BT$310,0))),"Sem Sugestão")</f>
        <v>Mineral Fosbovi 40</v>
      </c>
      <c r="R7" s="66" t="str">
        <f>IFERROR(IF(R6=INDEX(Alimentos!$E$5:$E$310,MATCH(LARGE(Alimentos!BU$5:BU$310,$B7),Alimentos!BU$5:BU$310,0)),INDEX(Alimentos!$E$5:$E$310,MATCH(LARGE(Alimentos!BU$5:BU$310,$B7+1),Alimentos!BU$5:BU$310,0)),INDEX(Alimentos!$E$5:$E$310,MATCH(LARGE(Alimentos!BU$5:BU$310,$B7),Alimentos!BU$5:BU$310,0))),"Sem Sugestão")</f>
        <v>Sal Mineral (Pastagem Seca)</v>
      </c>
      <c r="S7" s="66" t="str">
        <f>IFERROR(IF(S6=INDEX(Alimentos!$E$5:$E$310,MATCH(LARGE(Alimentos!BV$5:BV$310,$B7),Alimentos!BV$5:BV$310,0)),INDEX(Alimentos!$E$5:$E$310,MATCH(LARGE(Alimentos!BV$5:BV$310,$B7+1),Alimentos!BV$5:BV$310,0)),INDEX(Alimentos!$E$5:$E$310,MATCH(LARGE(Alimentos!BV$5:BV$310,$B7),Alimentos!BV$5:BV$310,0))),"Sem Sugestão")</f>
        <v>Nucleo (Tortuga) 2</v>
      </c>
      <c r="T7" s="66" t="str">
        <f>IFERROR(IF(T6=INDEX(Alimentos!$E$5:$E$310,MATCH(LARGE(Alimentos!BW$5:BW$310,$B7),Alimentos!BW$5:BW$310,0)),INDEX(Alimentos!$E$5:$E$310,MATCH(LARGE(Alimentos!BW$5:BW$310,$B7+1),Alimentos!BW$5:BW$310,0)),INDEX(Alimentos!$E$5:$E$310,MATCH(LARGE(Alimentos!BW$5:BW$310,$B7),Alimentos!BW$5:BW$310,0))),"Sem Sugestão")</f>
        <v>Mineral Suprasal BRC 40</v>
      </c>
      <c r="U7" s="66" t="str">
        <f>IFERROR(IF(U6=INDEX(Alimentos!$E$5:$E$310,MATCH(LARGE(Alimentos!BX$5:BX$310,$B7),Alimentos!BX$5:BX$310,0)),INDEX(Alimentos!$E$5:$E$310,MATCH(LARGE(Alimentos!BX$5:BX$310,$B7+1),Alimentos!BX$5:BX$310,0)),INDEX(Alimentos!$E$5:$E$310,MATCH(LARGE(Alimentos!BX$5:BX$310,$B7),Alimentos!BX$5:BX$310,0))),"Sem Sugestão")</f>
        <v>Nucleo (Tortuga) 2</v>
      </c>
      <c r="V7" s="66" t="str">
        <f>IFERROR(IF(V6=INDEX(Alimentos!$E$5:$E$310,MATCH(LARGE(Alimentos!BY$5:BY$310,$B7),Alimentos!BY$5:BY$310,0)),INDEX(Alimentos!$E$5:$E$310,MATCH(LARGE(Alimentos!BY$5:BY$310,$B7+1),Alimentos!BY$5:BY$310,0)),INDEX(Alimentos!$E$5:$E$310,MATCH(LARGE(Alimentos!BY$5:BY$310,$B7),Alimentos!BY$5:BY$310,0))),"Sem Sugestão")</f>
        <v>Premix Qualicorte Px 50</v>
      </c>
      <c r="W7" s="66" t="str">
        <f>IFERROR(IF(W6=INDEX(Alimentos!$E$5:$E$310,MATCH(LARGE(Alimentos!BZ$5:BZ$310,$B7),Alimentos!BZ$5:BZ$310,0)),INDEX(Alimentos!$E$5:$E$310,MATCH(LARGE(Alimentos!BZ$5:BZ$310,$B7+1),Alimentos!BZ$5:BZ$310,0)),INDEX(Alimentos!$E$5:$E$310,MATCH(LARGE(Alimentos!BZ$5:BZ$310,$B7),Alimentos!BZ$5:BZ$310,0))),"Sem Sugestão")</f>
        <v>Mineral Suprasal BRC 130</v>
      </c>
      <c r="X7" s="66" t="str">
        <f>IFERROR(IF(X6=INDEX(Alimentos!$E$5:$E$310,MATCH(LARGE(Alimentos!CA$5:CA$310,$B7),Alimentos!CA$5:CA$310,0)),INDEX(Alimentos!$E$5:$E$310,MATCH(LARGE(Alimentos!CA$5:CA$310,$B7+1),Alimentos!CA$5:CA$310,0)),INDEX(Alimentos!$E$5:$E$310,MATCH(LARGE(Alimentos!CA$5:CA$310,$B7),Alimentos!CA$5:CA$310,0))),"Sem Sugestão")</f>
        <v>Mineral Suprasal BRC Reprodução</v>
      </c>
      <c r="Y7" s="66" t="str">
        <f>IFERROR(IF(Y6=INDEX(Alimentos!$E$5:$E$310,MATCH(LARGE(Alimentos!CB$5:CB$310,$B7),Alimentos!CB$5:CB$310,0)),INDEX(Alimentos!$E$5:$E$310,MATCH(LARGE(Alimentos!CB$5:CB$310,$B7+1),Alimentos!CB$5:CB$310,0)),INDEX(Alimentos!$E$5:$E$310,MATCH(LARGE(Alimentos!CB$5:CB$310,$B7),Alimentos!CB$5:CB$310,0))),"Sem Sugestão")</f>
        <v>Capim Tifton 85 (46 A 60 Dias)</v>
      </c>
      <c r="Z7" s="66" t="str">
        <f>IFERROR(IF(Z6=INDEX(Alimentos!$E$5:$E$310,MATCH(LARGE(Alimentos!CC$5:CC$310,$B7),Alimentos!CC$5:CC$310,0)),INDEX(Alimentos!$E$5:$E$310,MATCH(LARGE(Alimentos!CC$5:CC$310,$B7+1),Alimentos!CC$5:CC$310,0)),INDEX(Alimentos!$E$5:$E$310,MATCH(LARGE(Alimentos!CC$5:CC$310,$B7),Alimentos!CC$5:CC$310,0))),"Sem Sugestão")</f>
        <v>Guabi Nucleo 30</v>
      </c>
      <c r="AA7" s="66" t="str">
        <f>IFERROR(IF(AA6=INDEX(Alimentos!$E$5:$E$310,MATCH(LARGE(Alimentos!CD$5:CD$310,$B7),Alimentos!CD$5:CD$310,0)),INDEX(Alimentos!$E$5:$E$310,MATCH(LARGE(Alimentos!CD$5:CD$310,$B7+1),Alimentos!CD$5:CD$310,0)),INDEX(Alimentos!$E$5:$E$310,MATCH(LARGE(Alimentos!CD$5:CD$310,$B7),Alimentos!CD$5:CD$310,0))),"Sem Sugestão")</f>
        <v>Mineral Suprasal BRC 130</v>
      </c>
      <c r="AB7" s="66" t="str">
        <f>IFERROR(IF(AB6=INDEX(Alimentos!$E$5:$E$310,MATCH(LARGE(Alimentos!CE$5:CE$310,$B7),Alimentos!CE$5:CE$310,0)),INDEX(Alimentos!$E$5:$E$310,MATCH(LARGE(Alimentos!CE$5:CE$310,$B7+1),Alimentos!CE$5:CE$310,0)),INDEX(Alimentos!$E$5:$E$310,MATCH(LARGE(Alimentos!CE$5:CE$310,$B7),Alimentos!CE$5:CE$310,0))),"Sem Sugestão")</f>
        <v>Premix Premiphós 80</v>
      </c>
      <c r="AC7" s="66" t="str">
        <f>IFERROR(IF(AC6=INDEX(Alimentos!$E$5:$E$310,MATCH(LARGE(Alimentos!CF$5:CF$310,$B7),Alimentos!CF$5:CF$310,0)),INDEX(Alimentos!$E$5:$E$310,MATCH(LARGE(Alimentos!CF$5:CF$310,$B7+1),Alimentos!CF$5:CF$310,0)),INDEX(Alimentos!$E$5:$E$310,MATCH(LARGE(Alimentos!CF$5:CF$310,$B7),Alimentos!CF$5:CF$310,0))),"Sem Sugestão")</f>
        <v>Alpha Nucleo Bovinos Confinamento</v>
      </c>
      <c r="AD7" s="66" t="str">
        <f>IFERROR(IF(AD6=INDEX(Alimentos!$E$5:$E$310,MATCH(LARGE(Alimentos!CG$5:CG$310,$B7),Alimentos!CG$5:CG$310,0)),INDEX(Alimentos!$E$5:$E$310,MATCH(LARGE(Alimentos!CG$5:CG$310,$B7+1),Alimentos!CG$5:CG$310,0)),INDEX(Alimentos!$E$5:$E$310,MATCH(LARGE(Alimentos!CG$5:CG$310,$B7),Alimentos!CG$5:CG$310,0))),"Sem Sugestão")</f>
        <v>Sem Sugestão</v>
      </c>
      <c r="AE7" s="66" t="str">
        <f>IFERROR(IF(AE6=INDEX(Alimentos!$E$5:$E$310,MATCH(LARGE(Alimentos!CH$5:CH$310,$B7),Alimentos!CH$5:CH$310,0)),INDEX(Alimentos!$E$5:$E$310,MATCH(LARGE(Alimentos!CH$5:CH$310,$B7+1),Alimentos!CH$5:CH$310,0)),INDEX(Alimentos!$E$5:$E$310,MATCH(LARGE(Alimentos!CH$5:CH$310,$B7),Alimentos!CH$5:CH$310,0))),"Sem Sugestão")</f>
        <v>Sem Sugestão</v>
      </c>
      <c r="AF7" s="66" t="str">
        <f>IFERROR(IF(AF6=INDEX(Alimentos!$E$5:$E$310,MATCH(LARGE(Alimentos!CI$5:CI$310,$B7),Alimentos!CI$5:CI$310,0)),INDEX(Alimentos!$E$5:$E$310,MATCH(LARGE(Alimentos!CI$5:CI$310,$B7+1),Alimentos!CI$5:CI$310,0)),INDEX(Alimentos!$E$5:$E$310,MATCH(LARGE(Alimentos!CI$5:CI$310,$B7),Alimentos!CI$5:CI$310,0))),"Sem Sugestão")</f>
        <v>Sem Sugestão</v>
      </c>
      <c r="AG7" s="66" t="str">
        <f>IFERROR(IF(AG6=INDEX(Alimentos!$E$5:$E$310,MATCH(LARGE(Alimentos!CJ$5:CJ$310,$B7),Alimentos!CJ$5:CJ$310,0)),INDEX(Alimentos!$E$5:$E$310,MATCH(LARGE(Alimentos!CJ$5:CJ$310,$B7+1),Alimentos!CJ$5:CJ$310,0)),INDEX(Alimentos!$E$5:$E$310,MATCH(LARGE(Alimentos!CJ$5:CJ$310,$B7),Alimentos!CJ$5:CJ$310,0))),"Sem Sugestão")</f>
        <v>Aveia</v>
      </c>
      <c r="AH7" s="66" t="str">
        <f>IFERROR(IF(AH6=INDEX(Alimentos!$E$5:$E$310,MATCH(LARGE(Alimentos!CK$5:CK$310,$B7),Alimentos!CK$5:CK$310,0)),INDEX(Alimentos!$E$5:$E$310,MATCH(LARGE(Alimentos!CK$5:CK$310,$B7+1),Alimentos!CK$5:CK$310,0)),INDEX(Alimentos!$E$5:$E$310,MATCH(LARGE(Alimentos!CK$5:CK$310,$B7),Alimentos!CK$5:CK$310,0))),"Sem Sugestão")</f>
        <v>Sem Sugestão</v>
      </c>
      <c r="AI7" s="66" t="str">
        <f>IFERROR(IF(AI6=INDEX(Alimentos!$E$5:$E$310,MATCH(LARGE(Alimentos!CL$5:CL$310,$B7),Alimentos!CL$5:CL$310,0)),INDEX(Alimentos!$E$5:$E$310,MATCH(LARGE(Alimentos!CL$5:CL$310,$B7+1),Alimentos!CL$5:CL$310,0)),INDEX(Alimentos!$E$5:$E$310,MATCH(LARGE(Alimentos!CL$5:CL$310,$B7),Alimentos!CL$5:CL$310,0))),"Sem Sugestão")</f>
        <v>Sem Sugestão</v>
      </c>
      <c r="AJ7" s="66" t="str">
        <f>IFERROR(IF(AJ6=INDEX(Alimentos!$E$5:$E$310,MATCH(LARGE(Alimentos!CM$5:CM$310,$B7),Alimentos!CM$5:CM$310,0)),INDEX(Alimentos!$E$5:$E$310,MATCH(LARGE(Alimentos!CM$5:CM$310,$B7+1),Alimentos!CM$5:CM$310,0)),INDEX(Alimentos!$E$5:$E$310,MATCH(LARGE(Alimentos!CM$5:CM$310,$B7),Alimentos!CM$5:CM$310,0))),"Sem Sugestão")</f>
        <v>Sem Sugestão</v>
      </c>
      <c r="AK7" s="66" t="str">
        <f>IFERROR(IF(AK6=INDEX(Alimentos!$E$5:$E$310,MATCH(LARGE(Alimentos!CN$5:CN$310,$B7),Alimentos!CN$5:CN$310,0)),INDEX(Alimentos!$E$5:$E$310,MATCH(LARGE(Alimentos!CN$5:CN$310,$B7+1),Alimentos!CN$5:CN$310,0)),INDEX(Alimentos!$E$5:$E$310,MATCH(LARGE(Alimentos!CN$5:CN$310,$B7),Alimentos!CN$5:CN$310,0))),"Sem Sugestão")</f>
        <v>Sem Sugestão</v>
      </c>
      <c r="AL7" s="66" t="str">
        <f>IFERROR(IF(AL6=INDEX(Alimentos!$E$5:$E$310,MATCH(LARGE(Alimentos!CO$5:CO$310,$B7),Alimentos!CO$5:CO$310,0)),INDEX(Alimentos!$E$5:$E$310,MATCH(LARGE(Alimentos!CO$5:CO$310,$B7+1),Alimentos!CO$5:CO$310,0)),INDEX(Alimentos!$E$5:$E$310,MATCH(LARGE(Alimentos!CO$5:CO$310,$B7),Alimentos!CO$5:CO$310,0))),"Sem Sugestão")</f>
        <v>Sem Sugestão</v>
      </c>
      <c r="AM7" s="66" t="str">
        <f>IFERROR(IF(AM6=INDEX(Alimentos!$E$5:$E$310,MATCH(LARGE(Alimentos!CP$5:CP$310,$B7),Alimentos!CP$5:CP$310,0)),INDEX(Alimentos!$E$5:$E$310,MATCH(LARGE(Alimentos!CP$5:CP$310,$B7+1),Alimentos!CP$5:CP$310,0)),INDEX(Alimentos!$E$5:$E$310,MATCH(LARGE(Alimentos!CP$5:CP$310,$B7),Alimentos!CP$5:CP$310,0))),"Sem Sugestão")</f>
        <v>Sem Sugestão</v>
      </c>
      <c r="AN7" s="66" t="str">
        <f>IFERROR(IF(AN6=INDEX(Alimentos!$E$5:$E$310,MATCH(LARGE(Alimentos!CQ$5:CQ$310,$B7),Alimentos!CQ$5:CQ$310,0)),INDEX(Alimentos!$E$5:$E$310,MATCH(LARGE(Alimentos!CQ$5:CQ$310,$B7+1),Alimentos!CQ$5:CQ$310,0)),INDEX(Alimentos!$E$5:$E$310,MATCH(LARGE(Alimentos!CQ$5:CQ$310,$B7),Alimentos!CQ$5:CQ$310,0))),"Sem Sugestão")</f>
        <v>Sem Sugestão</v>
      </c>
      <c r="AO7" s="66" t="str">
        <f>IFERROR(IF(AO6=INDEX(Alimentos!$E$5:$E$310,MATCH(LARGE(Alimentos!CR$5:CR$310,$B7),Alimentos!CR$5:CR$310,0)),INDEX(Alimentos!$E$5:$E$310,MATCH(LARGE(Alimentos!CR$5:CR$310,$B7+1),Alimentos!CR$5:CR$310,0)),INDEX(Alimentos!$E$5:$E$310,MATCH(LARGE(Alimentos!CR$5:CR$310,$B7),Alimentos!CR$5:CR$310,0))),"Sem Sugestão")</f>
        <v>Sem Sugestão</v>
      </c>
      <c r="AP7" s="66" t="str">
        <f>IFERROR(IF(AP6=INDEX(Alimentos!$E$5:$E$310,MATCH(LARGE(Alimentos!CS$5:CS$310,$B7),Alimentos!CS$5:CS$310,0)),INDEX(Alimentos!$E$5:$E$310,MATCH(LARGE(Alimentos!CS$5:CS$310,$B7+1),Alimentos!CS$5:CS$310,0)),INDEX(Alimentos!$E$5:$E$310,MATCH(LARGE(Alimentos!CS$5:CS$310,$B7),Alimentos!CS$5:CS$310,0))),"Sem Sugestão")</f>
        <v>Sem Sugestão</v>
      </c>
      <c r="AQ7" s="66" t="str">
        <f>IFERROR(IF(AQ6=INDEX(Alimentos!$E$5:$E$310,MATCH(LARGE(Alimentos!CT$5:CT$310,$B7),Alimentos!CT$5:CT$310,0)),INDEX(Alimentos!$E$5:$E$310,MATCH(LARGE(Alimentos!CT$5:CT$310,$B7+1),Alimentos!CT$5:CT$310,0)),INDEX(Alimentos!$E$5:$E$310,MATCH(LARGE(Alimentos!CT$5:CT$310,$B7),Alimentos!CT$5:CT$310,0))),"Sem Sugestão")</f>
        <v>Sem Sugestão</v>
      </c>
      <c r="AR7" s="66" t="str">
        <f>IFERROR(IF(AR6=INDEX(Alimentos!$E$5:$E$310,MATCH(LARGE(Alimentos!CU$5:CU$310,$B7),Alimentos!CU$5:CU$310,0)),INDEX(Alimentos!$E$5:$E$310,MATCH(LARGE(Alimentos!CU$5:CU$310,$B7+1),Alimentos!CU$5:CU$310,0)),INDEX(Alimentos!$E$5:$E$310,MATCH(LARGE(Alimentos!CU$5:CU$310,$B7),Alimentos!CU$5:CU$310,0))),"Sem Sugestão")</f>
        <v>Sem Sugestão</v>
      </c>
      <c r="AS7" s="66" t="str">
        <f>IFERROR(IF(AS6=INDEX(Alimentos!$E$5:$E$310,MATCH(LARGE(Alimentos!CV$5:CV$310,$B7),Alimentos!CV$5:CV$310,0)),INDEX(Alimentos!$E$5:$E$310,MATCH(LARGE(Alimentos!CV$5:CV$310,$B7+1),Alimentos!CV$5:CV$310,0)),INDEX(Alimentos!$E$5:$E$310,MATCH(LARGE(Alimentos!CV$5:CV$310,$B7),Alimentos!CV$5:CV$310,0))),"Sem Sugestão")</f>
        <v>Sem Sugestão</v>
      </c>
      <c r="AT7" s="66" t="str">
        <f>IFERROR(IF(AT6=INDEX(Alimentos!$E$5:$E$310,MATCH(LARGE(Alimentos!CW$5:CW$310,$B7),Alimentos!CW$5:CW$310,0)),INDEX(Alimentos!$E$5:$E$310,MATCH(LARGE(Alimentos!CW$5:CW$310,$B7+1),Alimentos!CW$5:CW$310,0)),INDEX(Alimentos!$E$5:$E$310,MATCH(LARGE(Alimentos!CW$5:CW$310,$B7),Alimentos!CW$5:CW$310,0))),"Sem Sugestão")</f>
        <v>Sem Sugestão</v>
      </c>
      <c r="AU7" s="66" t="str">
        <f>IFERROR(IF(AU6=INDEX(Alimentos!$E$5:$E$310,MATCH(LARGE(Alimentos!CX$5:CX$310,$B7),Alimentos!CX$5:CX$310,0)),INDEX(Alimentos!$E$5:$E$310,MATCH(LARGE(Alimentos!CX$5:CX$310,$B7+1),Alimentos!CX$5:CX$310,0)),INDEX(Alimentos!$E$5:$E$310,MATCH(LARGE(Alimentos!CX$5:CX$310,$B7),Alimentos!CX$5:CX$310,0))),"Sem Sugestão")</f>
        <v>Sulfato de Manganês</v>
      </c>
    </row>
    <row r="8" spans="1:47">
      <c r="B8" s="62">
        <v>7</v>
      </c>
      <c r="D8" s="66" t="str">
        <f>IFERROR(IF(D7=INDEX(Alimentos!$E$5:$E$310,MATCH(LARGE(Alimentos!BG$5:BG$310,$B8),Alimentos!BG$5:BG$310,0)),INDEX(Alimentos!$E$5:$E$310,MATCH(LARGE(Alimentos!BG$5:BG$310,$B8+1),Alimentos!BG$5:BG$310,0)),INDEX(Alimentos!$E$5:$E$310,MATCH(LARGE(Alimentos!BG$5:BG$310,$B8),Alimentos!BG$5:BG$310,0))),"Sem Sugestão")</f>
        <v>Babaçu, Torta</v>
      </c>
      <c r="E8" s="66" t="str">
        <f>IFERROR(IF(E7=INDEX(Alimentos!$E$5:$E$310,MATCH(LARGE(Alimentos!BH$5:BH$310,$B8),Alimentos!BH$5:BH$310,0)),INDEX(Alimentos!$E$5:$E$310,MATCH(LARGE(Alimentos!BH$5:BH$310,$B8+1),Alimentos!BH$5:BH$310,0)),INDEX(Alimentos!$E$5:$E$310,MATCH(LARGE(Alimentos!BH$5:BH$310,$B8),Alimentos!BH$5:BH$310,0))),"Sem Sugestão")</f>
        <v>Mamona, Farelo</v>
      </c>
      <c r="F8" s="66" t="str">
        <f>IFERROR(IF(F7=INDEX(Alimentos!$E$5:$E$310,MATCH(LARGE(Alimentos!BI$5:BI$310,$B8),Alimentos!BI$5:BI$310,0)),INDEX(Alimentos!$E$5:$E$310,MATCH(LARGE(Alimentos!BI$5:BI$310,$B8+1),Alimentos!BI$5:BI$310,0)),INDEX(Alimentos!$E$5:$E$310,MATCH(LARGE(Alimentos!BI$5:BI$310,$B8),Alimentos!BI$5:BI$310,0))),"Sem Sugestão")</f>
        <v>Faveira, Vagem</v>
      </c>
      <c r="G8" s="66" t="str">
        <f>IFERROR(IF(G7=INDEX(Alimentos!$E$5:$E$310,MATCH(LARGE(Alimentos!BJ$5:BJ$310,$B8),Alimentos!BJ$5:BJ$310,0)),INDEX(Alimentos!$E$5:$E$310,MATCH(LARGE(Alimentos!BJ$5:BJ$310,$B8+1),Alimentos!BJ$5:BJ$310,0)),INDEX(Alimentos!$E$5:$E$310,MATCH(LARGE(Alimentos!BJ$5:BJ$310,$B8),Alimentos!BJ$5:BJ$310,0))),"Sem Sugestão")</f>
        <v>Res. Seco Dest. Com Solúveis, Milho - (DDGS)</v>
      </c>
      <c r="H8" s="66" t="str">
        <f>IFERROR(IF(H7=INDEX(Alimentos!$E$5:$E$310,MATCH(LARGE(Alimentos!BK$5:BK$310,$B8),Alimentos!BK$5:BK$310,0)),INDEX(Alimentos!$E$5:$E$310,MATCH(LARGE(Alimentos!BK$5:BK$310,$B8+1),Alimentos!BK$5:BK$310,0)),INDEX(Alimentos!$E$5:$E$310,MATCH(LARGE(Alimentos!BK$5:BK$310,$B8),Alimentos!BK$5:BK$310,0))),"Sem Sugestão")</f>
        <v>Babaçu, Farelo</v>
      </c>
      <c r="I8" s="66" t="str">
        <f>IFERROR(IF(I7=INDEX(Alimentos!$E$5:$E$310,MATCH(LARGE(Alimentos!BL$5:BL$310,$B8),Alimentos!BL$5:BL$310,0)),INDEX(Alimentos!$E$5:$E$310,MATCH(LARGE(Alimentos!BL$5:BL$310,$B8+1),Alimentos!BL$5:BL$310,0)),INDEX(Alimentos!$E$5:$E$310,MATCH(LARGE(Alimentos!BL$5:BL$310,$B8),Alimentos!BL$5:BL$310,0))),"Sem Sugestão")</f>
        <v>Resíduo de Cervejaria Úmido</v>
      </c>
      <c r="J8" s="66" t="str">
        <f>IFERROR(IF(J7=INDEX(Alimentos!$E$5:$E$310,MATCH(LARGE(Alimentos!BM$5:BM$310,$B8),Alimentos!BM$5:BM$310,0)),INDEX(Alimentos!$E$5:$E$310,MATCH(LARGE(Alimentos!BM$5:BM$310,$B8+1),Alimentos!BM$5:BM$310,0)),INDEX(Alimentos!$E$5:$E$310,MATCH(LARGE(Alimentos!BM$5:BM$310,$B8),Alimentos!BM$5:BM$310,0))),"Sem Sugestão")</f>
        <v>Sem Sugestão</v>
      </c>
      <c r="K8" s="66" t="str">
        <f>IFERROR(IF(K7=INDEX(Alimentos!$E$5:$E$310,MATCH(LARGE(Alimentos!BN$5:BN$310,$B8),Alimentos!BN$5:BN$310,0)),INDEX(Alimentos!$E$5:$E$310,MATCH(LARGE(Alimentos!BN$5:BN$310,$B8+1),Alimentos!BN$5:BN$310,0)),INDEX(Alimentos!$E$5:$E$310,MATCH(LARGE(Alimentos!BN$5:BN$310,$B8),Alimentos!BN$5:BN$310,0))),"Sem Sugestão")</f>
        <v>Arroz, Farelo Integral</v>
      </c>
      <c r="L8" s="66" t="str">
        <f>IFERROR(IF(L7=INDEX(Alimentos!$E$5:$E$310,MATCH(LARGE(Alimentos!BO$5:BO$310,$B8),Alimentos!BO$5:BO$310,0)),INDEX(Alimentos!$E$5:$E$310,MATCH(LARGE(Alimentos!BO$5:BO$310,$B8+1),Alimentos!BO$5:BO$310,0)),INDEX(Alimentos!$E$5:$E$310,MATCH(LARGE(Alimentos!BO$5:BO$310,$B8),Alimentos!BO$5:BO$310,0))),"Sem Sugestão")</f>
        <v>Milho Glúten 60</v>
      </c>
      <c r="M8" s="66" t="str">
        <f>IFERROR(IF(M7=INDEX(Alimentos!$E$5:$E$310,MATCH(LARGE(Alimentos!BP$5:BP$310,$B8),Alimentos!BP$5:BP$310,0)),INDEX(Alimentos!$E$5:$E$310,MATCH(LARGE(Alimentos!BP$5:BP$310,$B8+1),Alimentos!BP$5:BP$310,0)),INDEX(Alimentos!$E$5:$E$310,MATCH(LARGE(Alimentos!BP$5:BP$310,$B8),Alimentos!BP$5:BP$310,0))),"Sem Sugestão")</f>
        <v>Algodão, Farelo 42%PB</v>
      </c>
      <c r="N8" s="66" t="str">
        <f>IFERROR(IF(N7=INDEX(Alimentos!$E$5:$E$310,MATCH(LARGE(Alimentos!BQ$5:BQ$310,$B8),Alimentos!BQ$5:BQ$310,0)),INDEX(Alimentos!$E$5:$E$310,MATCH(LARGE(Alimentos!BQ$5:BQ$310,$B8+1),Alimentos!BQ$5:BQ$310,0)),INDEX(Alimentos!$E$5:$E$310,MATCH(LARGE(Alimentos!BQ$5:BQ$310,$B8),Alimentos!BQ$5:BQ$310,0))),"Sem Sugestão")</f>
        <v>Algodão, Farelo 38%PB</v>
      </c>
      <c r="O8" s="66" t="str">
        <f>IFERROR(IF(O7=INDEX(Alimentos!$E$5:$E$310,MATCH(LARGE(Alimentos!BR$5:BR$310,$B8),Alimentos!BR$5:BR$310,0)),INDEX(Alimentos!$E$5:$E$310,MATCH(LARGE(Alimentos!BR$5:BR$310,$B8+1),Alimentos!BR$5:BR$310,0)),INDEX(Alimentos!$E$5:$E$310,MATCH(LARGE(Alimentos!BR$5:BR$310,$B8),Alimentos!BR$5:BR$310,0))),"Sem Sugestão")</f>
        <v>Algodão, Farelo 38%PB</v>
      </c>
      <c r="P8" s="66" t="str">
        <f>IFERROR(IF(P7=INDEX(Alimentos!$E$5:$E$310,MATCH(LARGE(Alimentos!BS$5:BS$310,$B8),Alimentos!BS$5:BS$310,0)),INDEX(Alimentos!$E$5:$E$310,MATCH(LARGE(Alimentos!BS$5:BS$310,$B8+1),Alimentos!BS$5:BS$310,0)),INDEX(Alimentos!$E$5:$E$310,MATCH(LARGE(Alimentos!BS$5:BS$310,$B8),Alimentos!BS$5:BS$310,0))),"Sem Sugestão")</f>
        <v>Sem Sugestão</v>
      </c>
      <c r="Q8" s="66" t="str">
        <f>IFERROR(IF(Q7=INDEX(Alimentos!$E$5:$E$310,MATCH(LARGE(Alimentos!BT$5:BT$310,$B8),Alimentos!BT$5:BT$310,0)),INDEX(Alimentos!$E$5:$E$310,MATCH(LARGE(Alimentos!BT$5:BT$310,$B8+1),Alimentos!BT$5:BT$310,0)),INDEX(Alimentos!$E$5:$E$310,MATCH(LARGE(Alimentos!BT$5:BT$310,$B8),Alimentos!BT$5:BT$310,0))),"Sem Sugestão")</f>
        <v>Alpha Nucleo Bovinos M</v>
      </c>
      <c r="R8" s="66" t="str">
        <f>IFERROR(IF(R7=INDEX(Alimentos!$E$5:$E$310,MATCH(LARGE(Alimentos!BU$5:BU$310,$B8),Alimentos!BU$5:BU$310,0)),INDEX(Alimentos!$E$5:$E$310,MATCH(LARGE(Alimentos!BU$5:BU$310,$B8+1),Alimentos!BU$5:BU$310,0)),INDEX(Alimentos!$E$5:$E$310,MATCH(LARGE(Alimentos!BU$5:BU$310,$B8),Alimentos!BU$5:BU$310,0))),"Sem Sugestão")</f>
        <v>Nucleo Crescimento (Nutronordeste)</v>
      </c>
      <c r="S8" s="66" t="str">
        <f>IFERROR(IF(S7=INDEX(Alimentos!$E$5:$E$310,MATCH(LARGE(Alimentos!BV$5:BV$310,$B8),Alimentos!BV$5:BV$310,0)),INDEX(Alimentos!$E$5:$E$310,MATCH(LARGE(Alimentos!BV$5:BV$310,$B8+1),Alimentos!BV$5:BV$310,0)),INDEX(Alimentos!$E$5:$E$310,MATCH(LARGE(Alimentos!BV$5:BV$310,$B8),Alimentos!BV$5:BV$310,0))),"Sem Sugestão")</f>
        <v>Nucleo Tortuga</v>
      </c>
      <c r="T8" s="66" t="str">
        <f>IFERROR(IF(T7=INDEX(Alimentos!$E$5:$E$310,MATCH(LARGE(Alimentos!BW$5:BW$310,$B8),Alimentos!BW$5:BW$310,0)),INDEX(Alimentos!$E$5:$E$310,MATCH(LARGE(Alimentos!BW$5:BW$310,$B8+1),Alimentos!BW$5:BW$310,0)),INDEX(Alimentos!$E$5:$E$310,MATCH(LARGE(Alimentos!BW$5:BW$310,$B8),Alimentos!BW$5:BW$310,0))),"Sem Sugestão")</f>
        <v>Nucleo Nutribel 75</v>
      </c>
      <c r="U8" s="66" t="str">
        <f>IFERROR(IF(U7=INDEX(Alimentos!$E$5:$E$310,MATCH(LARGE(Alimentos!BX$5:BX$310,$B8),Alimentos!BX$5:BX$310,0)),INDEX(Alimentos!$E$5:$E$310,MATCH(LARGE(Alimentos!BX$5:BX$310,$B8+1),Alimentos!BX$5:BX$310,0)),INDEX(Alimentos!$E$5:$E$310,MATCH(LARGE(Alimentos!BX$5:BX$310,$B8),Alimentos!BX$5:BX$310,0))),"Sem Sugestão")</f>
        <v>Nucleo Confinamento 150 Premix</v>
      </c>
      <c r="V8" s="66" t="str">
        <f>IFERROR(IF(V7=INDEX(Alimentos!$E$5:$E$310,MATCH(LARGE(Alimentos!BY$5:BY$310,$B8),Alimentos!BY$5:BY$310,0)),INDEX(Alimentos!$E$5:$E$310,MATCH(LARGE(Alimentos!BY$5:BY$310,$B8+1),Alimentos!BY$5:BY$310,0)),INDEX(Alimentos!$E$5:$E$310,MATCH(LARGE(Alimentos!BY$5:BY$310,$B8),Alimentos!BY$5:BY$310,0))),"Sem Sugestão")</f>
        <v>Nutroboi Nucleo M+V</v>
      </c>
      <c r="W8" s="66" t="str">
        <f>IFERROR(IF(W7=INDEX(Alimentos!$E$5:$E$310,MATCH(LARGE(Alimentos!BZ$5:BZ$310,$B8),Alimentos!BZ$5:BZ$310,0)),INDEX(Alimentos!$E$5:$E$310,MATCH(LARGE(Alimentos!BZ$5:BZ$310,$B8+1),Alimentos!BZ$5:BZ$310,0)),INDEX(Alimentos!$E$5:$E$310,MATCH(LARGE(Alimentos!BZ$5:BZ$310,$B8),Alimentos!BZ$5:BZ$310,0))),"Sem Sugestão")</f>
        <v>Premix Premiphós 80</v>
      </c>
      <c r="X8" s="66" t="str">
        <f>IFERROR(IF(X7=INDEX(Alimentos!$E$5:$E$310,MATCH(LARGE(Alimentos!CA$5:CA$310,$B8),Alimentos!CA$5:CA$310,0)),INDEX(Alimentos!$E$5:$E$310,MATCH(LARGE(Alimentos!CA$5:CA$310,$B8+1),Alimentos!CA$5:CA$310,0)),INDEX(Alimentos!$E$5:$E$310,MATCH(LARGE(Alimentos!CA$5:CA$310,$B8),Alimentos!CA$5:CA$310,0))),"Sem Sugestão")</f>
        <v>Mineral Fosbovi 40</v>
      </c>
      <c r="Y8" s="66" t="str">
        <f>IFERROR(IF(Y7=INDEX(Alimentos!$E$5:$E$310,MATCH(LARGE(Alimentos!CB$5:CB$310,$B8),Alimentos!CB$5:CB$310,0)),INDEX(Alimentos!$E$5:$E$310,MATCH(LARGE(Alimentos!CB$5:CB$310,$B8+1),Alimentos!CB$5:CB$310,0)),INDEX(Alimentos!$E$5:$E$310,MATCH(LARGE(Alimentos!CB$5:CB$310,$B8),Alimentos!CB$5:CB$310,0))),"Sem Sugestão")</f>
        <v>Capim Tifton 85 (26 A 30 Dias)</v>
      </c>
      <c r="Z8" s="66" t="str">
        <f>IFERROR(IF(Z7=INDEX(Alimentos!$E$5:$E$310,MATCH(LARGE(Alimentos!CC$5:CC$310,$B8),Alimentos!CC$5:CC$310,0)),INDEX(Alimentos!$E$5:$E$310,MATCH(LARGE(Alimentos!CC$5:CC$310,$B8+1),Alimentos!CC$5:CC$310,0)),INDEX(Alimentos!$E$5:$E$310,MATCH(LARGE(Alimentos!CC$5:CC$310,$B8),Alimentos!CC$5:CC$310,0))),"Sem Sugestão")</f>
        <v>Premix Poli Confinamento 250</v>
      </c>
      <c r="AA8" s="66" t="str">
        <f>IFERROR(IF(AA7=INDEX(Alimentos!$E$5:$E$310,MATCH(LARGE(Alimentos!CD$5:CD$310,$B8),Alimentos!CD$5:CD$310,0)),INDEX(Alimentos!$E$5:$E$310,MATCH(LARGE(Alimentos!CD$5:CD$310,$B8+1),Alimentos!CD$5:CD$310,0)),INDEX(Alimentos!$E$5:$E$310,MATCH(LARGE(Alimentos!CD$5:CD$310,$B8),Alimentos!CD$5:CD$310,0))),"Sem Sugestão")</f>
        <v>Nucleo Nutribel 75</v>
      </c>
      <c r="AB8" s="66" t="str">
        <f>IFERROR(IF(AB7=INDEX(Alimentos!$E$5:$E$310,MATCH(LARGE(Alimentos!CE$5:CE$310,$B8),Alimentos!CE$5:CE$310,0)),INDEX(Alimentos!$E$5:$E$310,MATCH(LARGE(Alimentos!CE$5:CE$310,$B8+1),Alimentos!CE$5:CE$310,0)),INDEX(Alimentos!$E$5:$E$310,MATCH(LARGE(Alimentos!CE$5:CE$310,$B8),Alimentos!CE$5:CE$310,0))),"Sem Sugestão")</f>
        <v>Mineral Suprasal BRC 160</v>
      </c>
      <c r="AC8" s="66" t="str">
        <f>IFERROR(IF(AC7=INDEX(Alimentos!$E$5:$E$310,MATCH(LARGE(Alimentos!CF$5:CF$310,$B8),Alimentos!CF$5:CF$310,0)),INDEX(Alimentos!$E$5:$E$310,MATCH(LARGE(Alimentos!CF$5:CF$310,$B8+1),Alimentos!CF$5:CF$310,0)),INDEX(Alimentos!$E$5:$E$310,MATCH(LARGE(Alimentos!CF$5:CF$310,$B8),Alimentos!CF$5:CF$310,0))),"Sem Sugestão")</f>
        <v>Premix Potenfós Reprodução</v>
      </c>
      <c r="AD8" s="66" t="str">
        <f>IFERROR(IF(AD7=INDEX(Alimentos!$E$5:$E$310,MATCH(LARGE(Alimentos!CG$5:CG$310,$B8),Alimentos!CG$5:CG$310,0)),INDEX(Alimentos!$E$5:$E$310,MATCH(LARGE(Alimentos!CG$5:CG$310,$B8+1),Alimentos!CG$5:CG$310,0)),INDEX(Alimentos!$E$5:$E$310,MATCH(LARGE(Alimentos!CG$5:CG$310,$B8),Alimentos!CG$5:CG$310,0))),"Sem Sugestão")</f>
        <v>Sem Sugestão</v>
      </c>
      <c r="AE8" s="66" t="str">
        <f>IFERROR(IF(AE7=INDEX(Alimentos!$E$5:$E$310,MATCH(LARGE(Alimentos!CH$5:CH$310,$B8),Alimentos!CH$5:CH$310,0)),INDEX(Alimentos!$E$5:$E$310,MATCH(LARGE(Alimentos!CH$5:CH$310,$B8+1),Alimentos!CH$5:CH$310,0)),INDEX(Alimentos!$E$5:$E$310,MATCH(LARGE(Alimentos!CH$5:CH$310,$B8),Alimentos!CH$5:CH$310,0))),"Sem Sugestão")</f>
        <v>Sem Sugestão</v>
      </c>
      <c r="AF8" s="66" t="str">
        <f>IFERROR(IF(AF7=INDEX(Alimentos!$E$5:$E$310,MATCH(LARGE(Alimentos!CI$5:CI$310,$B8),Alimentos!CI$5:CI$310,0)),INDEX(Alimentos!$E$5:$E$310,MATCH(LARGE(Alimentos!CI$5:CI$310,$B8+1),Alimentos!CI$5:CI$310,0)),INDEX(Alimentos!$E$5:$E$310,MATCH(LARGE(Alimentos!CI$5:CI$310,$B8),Alimentos!CI$5:CI$310,0))),"Sem Sugestão")</f>
        <v>Sem Sugestão</v>
      </c>
      <c r="AG8" s="66" t="str">
        <f>IFERROR(IF(AG7=INDEX(Alimentos!$E$5:$E$310,MATCH(LARGE(Alimentos!CJ$5:CJ$310,$B8),Alimentos!CJ$5:CJ$310,0)),INDEX(Alimentos!$E$5:$E$310,MATCH(LARGE(Alimentos!CJ$5:CJ$310,$B8+1),Alimentos!CJ$5:CJ$310,0)),INDEX(Alimentos!$E$5:$E$310,MATCH(LARGE(Alimentos!CJ$5:CJ$310,$B8),Alimentos!CJ$5:CJ$310,0))),"Sem Sugestão")</f>
        <v>Silagem de Girassol</v>
      </c>
      <c r="AH8" s="66" t="str">
        <f>IFERROR(IF(AH7=INDEX(Alimentos!$E$5:$E$310,MATCH(LARGE(Alimentos!CK$5:CK$310,$B8),Alimentos!CK$5:CK$310,0)),INDEX(Alimentos!$E$5:$E$310,MATCH(LARGE(Alimentos!CK$5:CK$310,$B8+1),Alimentos!CK$5:CK$310,0)),INDEX(Alimentos!$E$5:$E$310,MATCH(LARGE(Alimentos!CK$5:CK$310,$B8),Alimentos!CK$5:CK$310,0))),"Sem Sugestão")</f>
        <v>Sem Sugestão</v>
      </c>
      <c r="AI8" s="66" t="str">
        <f>IFERROR(IF(AI7=INDEX(Alimentos!$E$5:$E$310,MATCH(LARGE(Alimentos!CL$5:CL$310,$B8),Alimentos!CL$5:CL$310,0)),INDEX(Alimentos!$E$5:$E$310,MATCH(LARGE(Alimentos!CL$5:CL$310,$B8+1),Alimentos!CL$5:CL$310,0)),INDEX(Alimentos!$E$5:$E$310,MATCH(LARGE(Alimentos!CL$5:CL$310,$B8),Alimentos!CL$5:CL$310,0))),"Sem Sugestão")</f>
        <v>Sem Sugestão</v>
      </c>
      <c r="AJ8" s="66" t="str">
        <f>IFERROR(IF(AJ7=INDEX(Alimentos!$E$5:$E$310,MATCH(LARGE(Alimentos!CM$5:CM$310,$B8),Alimentos!CM$5:CM$310,0)),INDEX(Alimentos!$E$5:$E$310,MATCH(LARGE(Alimentos!CM$5:CM$310,$B8+1),Alimentos!CM$5:CM$310,0)),INDEX(Alimentos!$E$5:$E$310,MATCH(LARGE(Alimentos!CM$5:CM$310,$B8),Alimentos!CM$5:CM$310,0))),"Sem Sugestão")</f>
        <v>Sem Sugestão</v>
      </c>
      <c r="AK8" s="66" t="str">
        <f>IFERROR(IF(AK7=INDEX(Alimentos!$E$5:$E$310,MATCH(LARGE(Alimentos!CN$5:CN$310,$B8),Alimentos!CN$5:CN$310,0)),INDEX(Alimentos!$E$5:$E$310,MATCH(LARGE(Alimentos!CN$5:CN$310,$B8+1),Alimentos!CN$5:CN$310,0)),INDEX(Alimentos!$E$5:$E$310,MATCH(LARGE(Alimentos!CN$5:CN$310,$B8),Alimentos!CN$5:CN$310,0))),"Sem Sugestão")</f>
        <v>Sem Sugestão</v>
      </c>
      <c r="AL8" s="66" t="str">
        <f>IFERROR(IF(AL7=INDEX(Alimentos!$E$5:$E$310,MATCH(LARGE(Alimentos!CO$5:CO$310,$B8),Alimentos!CO$5:CO$310,0)),INDEX(Alimentos!$E$5:$E$310,MATCH(LARGE(Alimentos!CO$5:CO$310,$B8+1),Alimentos!CO$5:CO$310,0)),INDEX(Alimentos!$E$5:$E$310,MATCH(LARGE(Alimentos!CO$5:CO$310,$B8),Alimentos!CO$5:CO$310,0))),"Sem Sugestão")</f>
        <v>Sem Sugestão</v>
      </c>
      <c r="AM8" s="66" t="str">
        <f>IFERROR(IF(AM7=INDEX(Alimentos!$E$5:$E$310,MATCH(LARGE(Alimentos!CP$5:CP$310,$B8),Alimentos!CP$5:CP$310,0)),INDEX(Alimentos!$E$5:$E$310,MATCH(LARGE(Alimentos!CP$5:CP$310,$B8+1),Alimentos!CP$5:CP$310,0)),INDEX(Alimentos!$E$5:$E$310,MATCH(LARGE(Alimentos!CP$5:CP$310,$B8),Alimentos!CP$5:CP$310,0))),"Sem Sugestão")</f>
        <v>Sem Sugestão</v>
      </c>
      <c r="AN8" s="66" t="str">
        <f>IFERROR(IF(AN7=INDEX(Alimentos!$E$5:$E$310,MATCH(LARGE(Alimentos!CQ$5:CQ$310,$B8),Alimentos!CQ$5:CQ$310,0)),INDEX(Alimentos!$E$5:$E$310,MATCH(LARGE(Alimentos!CQ$5:CQ$310,$B8+1),Alimentos!CQ$5:CQ$310,0)),INDEX(Alimentos!$E$5:$E$310,MATCH(LARGE(Alimentos!CQ$5:CQ$310,$B8),Alimentos!CQ$5:CQ$310,0))),"Sem Sugestão")</f>
        <v>Sem Sugestão</v>
      </c>
      <c r="AO8" s="66" t="str">
        <f>IFERROR(IF(AO7=INDEX(Alimentos!$E$5:$E$310,MATCH(LARGE(Alimentos!CR$5:CR$310,$B8),Alimentos!CR$5:CR$310,0)),INDEX(Alimentos!$E$5:$E$310,MATCH(LARGE(Alimentos!CR$5:CR$310,$B8+1),Alimentos!CR$5:CR$310,0)),INDEX(Alimentos!$E$5:$E$310,MATCH(LARGE(Alimentos!CR$5:CR$310,$B8),Alimentos!CR$5:CR$310,0))),"Sem Sugestão")</f>
        <v>Sem Sugestão</v>
      </c>
      <c r="AP8" s="66" t="str">
        <f>IFERROR(IF(AP7=INDEX(Alimentos!$E$5:$E$310,MATCH(LARGE(Alimentos!CS$5:CS$310,$B8),Alimentos!CS$5:CS$310,0)),INDEX(Alimentos!$E$5:$E$310,MATCH(LARGE(Alimentos!CS$5:CS$310,$B8+1),Alimentos!CS$5:CS$310,0)),INDEX(Alimentos!$E$5:$E$310,MATCH(LARGE(Alimentos!CS$5:CS$310,$B8),Alimentos!CS$5:CS$310,0))),"Sem Sugestão")</f>
        <v>Sem Sugestão</v>
      </c>
      <c r="AQ8" s="66" t="str">
        <f>IFERROR(IF(AQ7=INDEX(Alimentos!$E$5:$E$310,MATCH(LARGE(Alimentos!CT$5:CT$310,$B8),Alimentos!CT$5:CT$310,0)),INDEX(Alimentos!$E$5:$E$310,MATCH(LARGE(Alimentos!CT$5:CT$310,$B8+1),Alimentos!CT$5:CT$310,0)),INDEX(Alimentos!$E$5:$E$310,MATCH(LARGE(Alimentos!CT$5:CT$310,$B8),Alimentos!CT$5:CT$310,0))),"Sem Sugestão")</f>
        <v>Sem Sugestão</v>
      </c>
      <c r="AR8" s="66" t="str">
        <f>IFERROR(IF(AR7=INDEX(Alimentos!$E$5:$E$310,MATCH(LARGE(Alimentos!CU$5:CU$310,$B8),Alimentos!CU$5:CU$310,0)),INDEX(Alimentos!$E$5:$E$310,MATCH(LARGE(Alimentos!CU$5:CU$310,$B8+1),Alimentos!CU$5:CU$310,0)),INDEX(Alimentos!$E$5:$E$310,MATCH(LARGE(Alimentos!CU$5:CU$310,$B8),Alimentos!CU$5:CU$310,0))),"Sem Sugestão")</f>
        <v>Sem Sugestão</v>
      </c>
      <c r="AS8" s="66" t="str">
        <f>IFERROR(IF(AS7=INDEX(Alimentos!$E$5:$E$310,MATCH(LARGE(Alimentos!CV$5:CV$310,$B8),Alimentos!CV$5:CV$310,0)),INDEX(Alimentos!$E$5:$E$310,MATCH(LARGE(Alimentos!CV$5:CV$310,$B8+1),Alimentos!CV$5:CV$310,0)),INDEX(Alimentos!$E$5:$E$310,MATCH(LARGE(Alimentos!CV$5:CV$310,$B8),Alimentos!CV$5:CV$310,0))),"Sem Sugestão")</f>
        <v>Sem Sugestão</v>
      </c>
      <c r="AT8" s="66" t="str">
        <f>IFERROR(IF(AT7=INDEX(Alimentos!$E$5:$E$310,MATCH(LARGE(Alimentos!CW$5:CW$310,$B8),Alimentos!CW$5:CW$310,0)),INDEX(Alimentos!$E$5:$E$310,MATCH(LARGE(Alimentos!CW$5:CW$310,$B8+1),Alimentos!CW$5:CW$310,0)),INDEX(Alimentos!$E$5:$E$310,MATCH(LARGE(Alimentos!CW$5:CW$310,$B8),Alimentos!CW$5:CW$310,0))),"Sem Sugestão")</f>
        <v>Sem Sugestão</v>
      </c>
      <c r="AU8" s="66" t="str">
        <f>IFERROR(IF(AU7=INDEX(Alimentos!$E$5:$E$310,MATCH(LARGE(Alimentos!CX$5:CX$310,$B8),Alimentos!CX$5:CX$310,0)),INDEX(Alimentos!$E$5:$E$310,MATCH(LARGE(Alimentos!CX$5:CX$310,$B8+1),Alimentos!CX$5:CX$310,0)),INDEX(Alimentos!$E$5:$E$310,MATCH(LARGE(Alimentos!CX$5:CX$310,$B8),Alimentos!CX$5:CX$310,0))),"Sem Sugestão")</f>
        <v>Sulfato Cobre</v>
      </c>
    </row>
    <row r="9" spans="1:47">
      <c r="B9" s="62">
        <v>8</v>
      </c>
      <c r="D9" s="66" t="str">
        <f>IFERROR(IF(D8=INDEX(Alimentos!$E$5:$E$310,MATCH(LARGE(Alimentos!BG$5:BG$310,$B9),Alimentos!BG$5:BG$310,0)),INDEX(Alimentos!$E$5:$E$310,MATCH(LARGE(Alimentos!BG$5:BG$310,$B9+1),Alimentos!BG$5:BG$310,0)),INDEX(Alimentos!$E$5:$E$310,MATCH(LARGE(Alimentos!BG$5:BG$310,$B9),Alimentos!BG$5:BG$310,0))),"Sem Sugestão")</f>
        <v>Arroz, Palha</v>
      </c>
      <c r="E9" s="66" t="str">
        <f>IFERROR(IF(E8=INDEX(Alimentos!$E$5:$E$310,MATCH(LARGE(Alimentos!BH$5:BH$310,$B9),Alimentos!BH$5:BH$310,0)),INDEX(Alimentos!$E$5:$E$310,MATCH(LARGE(Alimentos!BH$5:BH$310,$B9+1),Alimentos!BH$5:BH$310,0)),INDEX(Alimentos!$E$5:$E$310,MATCH(LARGE(Alimentos!BH$5:BH$310,$B9),Alimentos!BH$5:BH$310,0))),"Sem Sugestão")</f>
        <v>Dendê, Torta</v>
      </c>
      <c r="F9" s="66" t="str">
        <f>IFERROR(IF(F8=INDEX(Alimentos!$E$5:$E$310,MATCH(LARGE(Alimentos!BI$5:BI$310,$B9),Alimentos!BI$5:BI$310,0)),INDEX(Alimentos!$E$5:$E$310,MATCH(LARGE(Alimentos!BI$5:BI$310,$B9+1),Alimentos!BI$5:BI$310,0)),INDEX(Alimentos!$E$5:$E$310,MATCH(LARGE(Alimentos!BI$5:BI$310,$B9),Alimentos!BI$5:BI$310,0))),"Sem Sugestão")</f>
        <v>Milho Desintegrado com Palha e Sabugo</v>
      </c>
      <c r="G9" s="66" t="str">
        <f>IFERROR(IF(G8=INDEX(Alimentos!$E$5:$E$310,MATCH(LARGE(Alimentos!BJ$5:BJ$310,$B9),Alimentos!BJ$5:BJ$310,0)),INDEX(Alimentos!$E$5:$E$310,MATCH(LARGE(Alimentos!BJ$5:BJ$310,$B9+1),Alimentos!BJ$5:BJ$310,0)),INDEX(Alimentos!$E$5:$E$310,MATCH(LARGE(Alimentos!BJ$5:BJ$310,$B9),Alimentos!BJ$5:BJ$310,0))),"Sem Sugestão")</f>
        <v>Algodão, Caroço</v>
      </c>
      <c r="H9" s="66" t="str">
        <f>IFERROR(IF(H8=INDEX(Alimentos!$E$5:$E$310,MATCH(LARGE(Alimentos!BK$5:BK$310,$B9),Alimentos!BK$5:BK$310,0)),INDEX(Alimentos!$E$5:$E$310,MATCH(LARGE(Alimentos!BK$5:BK$310,$B9+1),Alimentos!BK$5:BK$310,0)),INDEX(Alimentos!$E$5:$E$310,MATCH(LARGE(Alimentos!BK$5:BK$310,$B9),Alimentos!BK$5:BK$310,0))),"Sem Sugestão")</f>
        <v>Soja, Farelo (45%)</v>
      </c>
      <c r="I9" s="66" t="str">
        <f>IFERROR(IF(I8=INDEX(Alimentos!$E$5:$E$310,MATCH(LARGE(Alimentos!BL$5:BL$310,$B9),Alimentos!BL$5:BL$310,0)),INDEX(Alimentos!$E$5:$E$310,MATCH(LARGE(Alimentos!BL$5:BL$310,$B9+1),Alimentos!BL$5:BL$310,0)),INDEX(Alimentos!$E$5:$E$310,MATCH(LARGE(Alimentos!BL$5:BL$310,$B9),Alimentos!BL$5:BL$310,0))),"Sem Sugestão")</f>
        <v>Canola, Farelo (BRC3.0)</v>
      </c>
      <c r="J9" s="66" t="str">
        <f>IFERROR(IF(J8=INDEX(Alimentos!$E$5:$E$310,MATCH(LARGE(Alimentos!BM$5:BM$310,$B9),Alimentos!BM$5:BM$310,0)),INDEX(Alimentos!$E$5:$E$310,MATCH(LARGE(Alimentos!BM$5:BM$310,$B9+1),Alimentos!BM$5:BM$310,0)),INDEX(Alimentos!$E$5:$E$310,MATCH(LARGE(Alimentos!BM$5:BM$310,$B9),Alimentos!BM$5:BM$310,0))),"Sem Sugestão")</f>
        <v>Sem Sugestão</v>
      </c>
      <c r="K9" s="66" t="str">
        <f>IFERROR(IF(K8=INDEX(Alimentos!$E$5:$E$310,MATCH(LARGE(Alimentos!BN$5:BN$310,$B9),Alimentos!BN$5:BN$310,0)),INDEX(Alimentos!$E$5:$E$310,MATCH(LARGE(Alimentos!BN$5:BN$310,$B9+1),Alimentos!BN$5:BN$310,0)),INDEX(Alimentos!$E$5:$E$310,MATCH(LARGE(Alimentos!BN$5:BN$310,$B9),Alimentos!BN$5:BN$310,0))),"Sem Sugestão")</f>
        <v>Arroz, Farelo</v>
      </c>
      <c r="L9" s="66" t="str">
        <f>IFERROR(IF(L8=INDEX(Alimentos!$E$5:$E$310,MATCH(LARGE(Alimentos!BO$5:BO$310,$B9),Alimentos!BO$5:BO$310,0)),INDEX(Alimentos!$E$5:$E$310,MATCH(LARGE(Alimentos!BO$5:BO$310,$B9+1),Alimentos!BO$5:BO$310,0)),INDEX(Alimentos!$E$5:$E$310,MATCH(LARGE(Alimentos!BO$5:BO$310,$B9),Alimentos!BO$5:BO$310,0))),"Sem Sugestão")</f>
        <v>Peixe, Farinha</v>
      </c>
      <c r="M9" s="66" t="str">
        <f>IFERROR(IF(M8=INDEX(Alimentos!$E$5:$E$310,MATCH(LARGE(Alimentos!BP$5:BP$310,$B9),Alimentos!BP$5:BP$310,0)),INDEX(Alimentos!$E$5:$E$310,MATCH(LARGE(Alimentos!BP$5:BP$310,$B9+1),Alimentos!BP$5:BP$310,0)),INDEX(Alimentos!$E$5:$E$310,MATCH(LARGE(Alimentos!BP$5:BP$310,$B9),Alimentos!BP$5:BP$310,0))),"Sem Sugestão")</f>
        <v>Soja, Farelo (43%)</v>
      </c>
      <c r="N9" s="66" t="str">
        <f>IFERROR(IF(N8=INDEX(Alimentos!$E$5:$E$310,MATCH(LARGE(Alimentos!BQ$5:BQ$310,$B9),Alimentos!BQ$5:BQ$310,0)),INDEX(Alimentos!$E$5:$E$310,MATCH(LARGE(Alimentos!BQ$5:BQ$310,$B9+1),Alimentos!BQ$5:BQ$310,0)),INDEX(Alimentos!$E$5:$E$310,MATCH(LARGE(Alimentos!BQ$5:BQ$310,$B9),Alimentos!BQ$5:BQ$310,0))),"Sem Sugestão")</f>
        <v>Soja, Grão Tostada</v>
      </c>
      <c r="O9" s="66" t="str">
        <f>IFERROR(IF(O8=INDEX(Alimentos!$E$5:$E$310,MATCH(LARGE(Alimentos!BR$5:BR$310,$B9),Alimentos!BR$5:BR$310,0)),INDEX(Alimentos!$E$5:$E$310,MATCH(LARGE(Alimentos!BR$5:BR$310,$B9+1),Alimentos!BR$5:BR$310,0)),INDEX(Alimentos!$E$5:$E$310,MATCH(LARGE(Alimentos!BR$5:BR$310,$B9),Alimentos!BR$5:BR$310,0))),"Sem Sugestão")</f>
        <v>Mamona, Farelo</v>
      </c>
      <c r="P9" s="66" t="str">
        <f>IFERROR(IF(P8=INDEX(Alimentos!$E$5:$E$310,MATCH(LARGE(Alimentos!BS$5:BS$310,$B9),Alimentos!BS$5:BS$310,0)),INDEX(Alimentos!$E$5:$E$310,MATCH(LARGE(Alimentos!BS$5:BS$310,$B9+1),Alimentos!BS$5:BS$310,0)),INDEX(Alimentos!$E$5:$E$310,MATCH(LARGE(Alimentos!BS$5:BS$310,$B9),Alimentos!BS$5:BS$310,0))),"Sem Sugestão")</f>
        <v>Sem Sugestão</v>
      </c>
      <c r="Q9" s="66" t="str">
        <f>IFERROR(IF(Q8=INDEX(Alimentos!$E$5:$E$310,MATCH(LARGE(Alimentos!BT$5:BT$310,$B9),Alimentos!BT$5:BT$310,0)),INDEX(Alimentos!$E$5:$E$310,MATCH(LARGE(Alimentos!BT$5:BT$310,$B9+1),Alimentos!BT$5:BT$310,0)),INDEX(Alimentos!$E$5:$E$310,MATCH(LARGE(Alimentos!BT$5:BT$310,$B9),Alimentos!BT$5:BT$310,0))),"Sem Sugestão")</f>
        <v>Fosfato Bicálcico</v>
      </c>
      <c r="R9" s="66" t="str">
        <f>IFERROR(IF(R8=INDEX(Alimentos!$E$5:$E$310,MATCH(LARGE(Alimentos!BU$5:BU$310,$B9),Alimentos!BU$5:BU$310,0)),INDEX(Alimentos!$E$5:$E$310,MATCH(LARGE(Alimentos!BU$5:BU$310,$B9+1),Alimentos!BU$5:BU$310,0)),INDEX(Alimentos!$E$5:$E$310,MATCH(LARGE(Alimentos!BU$5:BU$310,$B9),Alimentos!BU$5:BU$310,0))),"Sem Sugestão")</f>
        <v>Premix Potenfós Reprodução</v>
      </c>
      <c r="S9" s="66" t="str">
        <f>IFERROR(IF(S8=INDEX(Alimentos!$E$5:$E$310,MATCH(LARGE(Alimentos!BV$5:BV$310,$B9),Alimentos!BV$5:BV$310,0)),INDEX(Alimentos!$E$5:$E$310,MATCH(LARGE(Alimentos!BV$5:BV$310,$B9+1),Alimentos!BV$5:BV$310,0)),INDEX(Alimentos!$E$5:$E$310,MATCH(LARGE(Alimentos!BV$5:BV$310,$B9),Alimentos!BV$5:BV$310,0))),"Sem Sugestão")</f>
        <v>Premix Capul Quelaphos Beef Confinamento</v>
      </c>
      <c r="T9" s="66" t="str">
        <f>IFERROR(IF(T8=INDEX(Alimentos!$E$5:$E$310,MATCH(LARGE(Alimentos!BW$5:BW$310,$B9),Alimentos!BW$5:BW$310,0)),INDEX(Alimentos!$E$5:$E$310,MATCH(LARGE(Alimentos!BW$5:BW$310,$B9+1),Alimentos!BW$5:BW$310,0)),INDEX(Alimentos!$E$5:$E$310,MATCH(LARGE(Alimentos!BW$5:BW$310,$B9),Alimentos!BW$5:BW$310,0))),"Sem Sugestão")</f>
        <v>Premix Premiphós 80</v>
      </c>
      <c r="U9" s="66" t="str">
        <f>IFERROR(IF(U8=INDEX(Alimentos!$E$5:$E$310,MATCH(LARGE(Alimentos!BX$5:BX$310,$B9),Alimentos!BX$5:BX$310,0)),INDEX(Alimentos!$E$5:$E$310,MATCH(LARGE(Alimentos!BX$5:BX$310,$B9+1),Alimentos!BX$5:BX$310,0)),INDEX(Alimentos!$E$5:$E$310,MATCH(LARGE(Alimentos!BX$5:BX$310,$B9),Alimentos!BX$5:BX$310,0))),"Sem Sugestão")</f>
        <v>Premix Fosbovi Confinamento Crina Rumistar</v>
      </c>
      <c r="V9" s="66" t="str">
        <f>IFERROR(IF(V8=INDEX(Alimentos!$E$5:$E$310,MATCH(LARGE(Alimentos!BY$5:BY$310,$B9),Alimentos!BY$5:BY$310,0)),INDEX(Alimentos!$E$5:$E$310,MATCH(LARGE(Alimentos!BY$5:BY$310,$B9+1),Alimentos!BY$5:BY$310,0)),INDEX(Alimentos!$E$5:$E$310,MATCH(LARGE(Alimentos!BY$5:BY$310,$B9),Alimentos!BY$5:BY$310,0))),"Sem Sugestão")</f>
        <v>Vantage Nucleo Peso</v>
      </c>
      <c r="W9" s="66" t="str">
        <f>IFERROR(IF(W8=INDEX(Alimentos!$E$5:$E$310,MATCH(LARGE(Alimentos!BZ$5:BZ$310,$B9),Alimentos!BZ$5:BZ$310,0)),INDEX(Alimentos!$E$5:$E$310,MATCH(LARGE(Alimentos!BZ$5:BZ$310,$B9+1),Alimentos!BZ$5:BZ$310,0)),INDEX(Alimentos!$E$5:$E$310,MATCH(LARGE(Alimentos!BZ$5:BZ$310,$B9),Alimentos!BZ$5:BZ$310,0))),"Sem Sugestão")</f>
        <v>Mineral Fosbovi 20</v>
      </c>
      <c r="X9" s="66" t="str">
        <f>IFERROR(IF(X8=INDEX(Alimentos!$E$5:$E$310,MATCH(LARGE(Alimentos!CA$5:CA$310,$B9),Alimentos!CA$5:CA$310,0)),INDEX(Alimentos!$E$5:$E$310,MATCH(LARGE(Alimentos!CA$5:CA$310,$B9+1),Alimentos!CA$5:CA$310,0)),INDEX(Alimentos!$E$5:$E$310,MATCH(LARGE(Alimentos!CA$5:CA$310,$B9),Alimentos!CA$5:CA$310,0))),"Sem Sugestão")</f>
        <v>Nucleo Crescimento (Nutronordeste)</v>
      </c>
      <c r="Y9" s="66" t="str">
        <f>IFERROR(IF(Y8=INDEX(Alimentos!$E$5:$E$310,MATCH(LARGE(Alimentos!CB$5:CB$310,$B9),Alimentos!CB$5:CB$310,0)),INDEX(Alimentos!$E$5:$E$310,MATCH(LARGE(Alimentos!CB$5:CB$310,$B9+1),Alimentos!CB$5:CB$310,0)),INDEX(Alimentos!$E$5:$E$310,MATCH(LARGE(Alimentos!CB$5:CB$310,$B9),Alimentos!CB$5:CB$310,0))),"Sem Sugestão")</f>
        <v>Capim Tifton 85</v>
      </c>
      <c r="Z9" s="66" t="str">
        <f>IFERROR(IF(Z8=INDEX(Alimentos!$E$5:$E$310,MATCH(LARGE(Alimentos!CC$5:CC$310,$B9),Alimentos!CC$5:CC$310,0)),INDEX(Alimentos!$E$5:$E$310,MATCH(LARGE(Alimentos!CC$5:CC$310,$B9+1),Alimentos!CC$5:CC$310,0)),INDEX(Alimentos!$E$5:$E$310,MATCH(LARGE(Alimentos!CC$5:CC$310,$B9),Alimentos!CC$5:CC$310,0))),"Sem Sugestão")</f>
        <v>Mineral Suprasal BRC 160</v>
      </c>
      <c r="AA9" s="66" t="str">
        <f>IFERROR(IF(AA8=INDEX(Alimentos!$E$5:$E$310,MATCH(LARGE(Alimentos!CD$5:CD$310,$B9),Alimentos!CD$5:CD$310,0)),INDEX(Alimentos!$E$5:$E$310,MATCH(LARGE(Alimentos!CD$5:CD$310,$B9+1),Alimentos!CD$5:CD$310,0)),INDEX(Alimentos!$E$5:$E$310,MATCH(LARGE(Alimentos!CD$5:CD$310,$B9),Alimentos!CD$5:CD$310,0))),"Sem Sugestão")</f>
        <v>Premix Potenfós Reprodução</v>
      </c>
      <c r="AB9" s="66" t="str">
        <f>IFERROR(IF(AB8=INDEX(Alimentos!$E$5:$E$310,MATCH(LARGE(Alimentos!CE$5:CE$310,$B9),Alimentos!CE$5:CE$310,0)),INDEX(Alimentos!$E$5:$E$310,MATCH(LARGE(Alimentos!CE$5:CE$310,$B9+1),Alimentos!CE$5:CE$310,0)),INDEX(Alimentos!$E$5:$E$310,MATCH(LARGE(Alimentos!CE$5:CE$310,$B9),Alimentos!CE$5:CE$310,0))),"Sem Sugestão")</f>
        <v>Alpha Nucleo Bovinos Confinamento</v>
      </c>
      <c r="AC9" s="66" t="str">
        <f>IFERROR(IF(AC8=INDEX(Alimentos!$E$5:$E$310,MATCH(LARGE(Alimentos!CF$5:CF$310,$B9),Alimentos!CF$5:CF$310,0)),INDEX(Alimentos!$E$5:$E$310,MATCH(LARGE(Alimentos!CF$5:CF$310,$B9+1),Alimentos!CF$5:CF$310,0)),INDEX(Alimentos!$E$5:$E$310,MATCH(LARGE(Alimentos!CF$5:CF$310,$B9),Alimentos!CF$5:CF$310,0))),"Sem Sugestão")</f>
        <v>Nucleo Crescimento (Nutronordeste)</v>
      </c>
      <c r="AD9" s="66" t="str">
        <f>IFERROR(IF(AD8=INDEX(Alimentos!$E$5:$E$310,MATCH(LARGE(Alimentos!CG$5:CG$310,$B9),Alimentos!CG$5:CG$310,0)),INDEX(Alimentos!$E$5:$E$310,MATCH(LARGE(Alimentos!CG$5:CG$310,$B9+1),Alimentos!CG$5:CG$310,0)),INDEX(Alimentos!$E$5:$E$310,MATCH(LARGE(Alimentos!CG$5:CG$310,$B9),Alimentos!CG$5:CG$310,0))),"Sem Sugestão")</f>
        <v>Sem Sugestão</v>
      </c>
      <c r="AE9" s="66" t="str">
        <f>IFERROR(IF(AE8=INDEX(Alimentos!$E$5:$E$310,MATCH(LARGE(Alimentos!CH$5:CH$310,$B9),Alimentos!CH$5:CH$310,0)),INDEX(Alimentos!$E$5:$E$310,MATCH(LARGE(Alimentos!CH$5:CH$310,$B9+1),Alimentos!CH$5:CH$310,0)),INDEX(Alimentos!$E$5:$E$310,MATCH(LARGE(Alimentos!CH$5:CH$310,$B9),Alimentos!CH$5:CH$310,0))),"Sem Sugestão")</f>
        <v>Sem Sugestão</v>
      </c>
      <c r="AF9" s="66" t="str">
        <f>IFERROR(IF(AF8=INDEX(Alimentos!$E$5:$E$310,MATCH(LARGE(Alimentos!CI$5:CI$310,$B9),Alimentos!CI$5:CI$310,0)),INDEX(Alimentos!$E$5:$E$310,MATCH(LARGE(Alimentos!CI$5:CI$310,$B9+1),Alimentos!CI$5:CI$310,0)),INDEX(Alimentos!$E$5:$E$310,MATCH(LARGE(Alimentos!CI$5:CI$310,$B9),Alimentos!CI$5:CI$310,0))),"Sem Sugestão")</f>
        <v>Sem Sugestão</v>
      </c>
      <c r="AG9" s="66" t="str">
        <f>IFERROR(IF(AG8=INDEX(Alimentos!$E$5:$E$310,MATCH(LARGE(Alimentos!CJ$5:CJ$310,$B9),Alimentos!CJ$5:CJ$310,0)),INDEX(Alimentos!$E$5:$E$310,MATCH(LARGE(Alimentos!CJ$5:CJ$310,$B9+1),Alimentos!CJ$5:CJ$310,0)),INDEX(Alimentos!$E$5:$E$310,MATCH(LARGE(Alimentos!CJ$5:CJ$310,$B9),Alimentos!CJ$5:CJ$310,0))),"Sem Sugestão")</f>
        <v>Capim Braquiária</v>
      </c>
      <c r="AH9" s="66" t="str">
        <f>IFERROR(IF(AH8=INDEX(Alimentos!$E$5:$E$310,MATCH(LARGE(Alimentos!CK$5:CK$310,$B9),Alimentos!CK$5:CK$310,0)),INDEX(Alimentos!$E$5:$E$310,MATCH(LARGE(Alimentos!CK$5:CK$310,$B9+1),Alimentos!CK$5:CK$310,0)),INDEX(Alimentos!$E$5:$E$310,MATCH(LARGE(Alimentos!CK$5:CK$310,$B9),Alimentos!CK$5:CK$310,0))),"Sem Sugestão")</f>
        <v>Sem Sugestão</v>
      </c>
      <c r="AI9" s="66" t="str">
        <f>IFERROR(IF(AI8=INDEX(Alimentos!$E$5:$E$310,MATCH(LARGE(Alimentos!CL$5:CL$310,$B9),Alimentos!CL$5:CL$310,0)),INDEX(Alimentos!$E$5:$E$310,MATCH(LARGE(Alimentos!CL$5:CL$310,$B9+1),Alimentos!CL$5:CL$310,0)),INDEX(Alimentos!$E$5:$E$310,MATCH(LARGE(Alimentos!CL$5:CL$310,$B9),Alimentos!CL$5:CL$310,0))),"Sem Sugestão")</f>
        <v>Sem Sugestão</v>
      </c>
      <c r="AJ9" s="66" t="str">
        <f>IFERROR(IF(AJ8=INDEX(Alimentos!$E$5:$E$310,MATCH(LARGE(Alimentos!CM$5:CM$310,$B9),Alimentos!CM$5:CM$310,0)),INDEX(Alimentos!$E$5:$E$310,MATCH(LARGE(Alimentos!CM$5:CM$310,$B9+1),Alimentos!CM$5:CM$310,0)),INDEX(Alimentos!$E$5:$E$310,MATCH(LARGE(Alimentos!CM$5:CM$310,$B9),Alimentos!CM$5:CM$310,0))),"Sem Sugestão")</f>
        <v>Sem Sugestão</v>
      </c>
      <c r="AK9" s="66" t="str">
        <f>IFERROR(IF(AK8=INDEX(Alimentos!$E$5:$E$310,MATCH(LARGE(Alimentos!CN$5:CN$310,$B9),Alimentos!CN$5:CN$310,0)),INDEX(Alimentos!$E$5:$E$310,MATCH(LARGE(Alimentos!CN$5:CN$310,$B9+1),Alimentos!CN$5:CN$310,0)),INDEX(Alimentos!$E$5:$E$310,MATCH(LARGE(Alimentos!CN$5:CN$310,$B9),Alimentos!CN$5:CN$310,0))),"Sem Sugestão")</f>
        <v>Sem Sugestão</v>
      </c>
      <c r="AL9" s="66" t="str">
        <f>IFERROR(IF(AL8=INDEX(Alimentos!$E$5:$E$310,MATCH(LARGE(Alimentos!CO$5:CO$310,$B9),Alimentos!CO$5:CO$310,0)),INDEX(Alimentos!$E$5:$E$310,MATCH(LARGE(Alimentos!CO$5:CO$310,$B9+1),Alimentos!CO$5:CO$310,0)),INDEX(Alimentos!$E$5:$E$310,MATCH(LARGE(Alimentos!CO$5:CO$310,$B9),Alimentos!CO$5:CO$310,0))),"Sem Sugestão")</f>
        <v>Sem Sugestão</v>
      </c>
      <c r="AM9" s="66" t="str">
        <f>IFERROR(IF(AM8=INDEX(Alimentos!$E$5:$E$310,MATCH(LARGE(Alimentos!CP$5:CP$310,$B9),Alimentos!CP$5:CP$310,0)),INDEX(Alimentos!$E$5:$E$310,MATCH(LARGE(Alimentos!CP$5:CP$310,$B9+1),Alimentos!CP$5:CP$310,0)),INDEX(Alimentos!$E$5:$E$310,MATCH(LARGE(Alimentos!CP$5:CP$310,$B9),Alimentos!CP$5:CP$310,0))),"Sem Sugestão")</f>
        <v>Sem Sugestão</v>
      </c>
      <c r="AN9" s="66" t="str">
        <f>IFERROR(IF(AN8=INDEX(Alimentos!$E$5:$E$310,MATCH(LARGE(Alimentos!CQ$5:CQ$310,$B9),Alimentos!CQ$5:CQ$310,0)),INDEX(Alimentos!$E$5:$E$310,MATCH(LARGE(Alimentos!CQ$5:CQ$310,$B9+1),Alimentos!CQ$5:CQ$310,0)),INDEX(Alimentos!$E$5:$E$310,MATCH(LARGE(Alimentos!CQ$5:CQ$310,$B9),Alimentos!CQ$5:CQ$310,0))),"Sem Sugestão")</f>
        <v>Sem Sugestão</v>
      </c>
      <c r="AO9" s="66" t="str">
        <f>IFERROR(IF(AO8=INDEX(Alimentos!$E$5:$E$310,MATCH(LARGE(Alimentos!CR$5:CR$310,$B9),Alimentos!CR$5:CR$310,0)),INDEX(Alimentos!$E$5:$E$310,MATCH(LARGE(Alimentos!CR$5:CR$310,$B9+1),Alimentos!CR$5:CR$310,0)),INDEX(Alimentos!$E$5:$E$310,MATCH(LARGE(Alimentos!CR$5:CR$310,$B9),Alimentos!CR$5:CR$310,0))),"Sem Sugestão")</f>
        <v>Sem Sugestão</v>
      </c>
      <c r="AP9" s="66" t="str">
        <f>IFERROR(IF(AP8=INDEX(Alimentos!$E$5:$E$310,MATCH(LARGE(Alimentos!CS$5:CS$310,$B9),Alimentos!CS$5:CS$310,0)),INDEX(Alimentos!$E$5:$E$310,MATCH(LARGE(Alimentos!CS$5:CS$310,$B9+1),Alimentos!CS$5:CS$310,0)),INDEX(Alimentos!$E$5:$E$310,MATCH(LARGE(Alimentos!CS$5:CS$310,$B9),Alimentos!CS$5:CS$310,0))),"Sem Sugestão")</f>
        <v>Sem Sugestão</v>
      </c>
      <c r="AQ9" s="66" t="str">
        <f>IFERROR(IF(AQ8=INDEX(Alimentos!$E$5:$E$310,MATCH(LARGE(Alimentos!CT$5:CT$310,$B9),Alimentos!CT$5:CT$310,0)),INDEX(Alimentos!$E$5:$E$310,MATCH(LARGE(Alimentos!CT$5:CT$310,$B9+1),Alimentos!CT$5:CT$310,0)),INDEX(Alimentos!$E$5:$E$310,MATCH(LARGE(Alimentos!CT$5:CT$310,$B9),Alimentos!CT$5:CT$310,0))),"Sem Sugestão")</f>
        <v>Sem Sugestão</v>
      </c>
      <c r="AR9" s="66" t="str">
        <f>IFERROR(IF(AR8=INDEX(Alimentos!$E$5:$E$310,MATCH(LARGE(Alimentos!CU$5:CU$310,$B9),Alimentos!CU$5:CU$310,0)),INDEX(Alimentos!$E$5:$E$310,MATCH(LARGE(Alimentos!CU$5:CU$310,$B9+1),Alimentos!CU$5:CU$310,0)),INDEX(Alimentos!$E$5:$E$310,MATCH(LARGE(Alimentos!CU$5:CU$310,$B9),Alimentos!CU$5:CU$310,0))),"Sem Sugestão")</f>
        <v>Sem Sugestão</v>
      </c>
      <c r="AS9" s="66" t="str">
        <f>IFERROR(IF(AS8=INDEX(Alimentos!$E$5:$E$310,MATCH(LARGE(Alimentos!CV$5:CV$310,$B9),Alimentos!CV$5:CV$310,0)),INDEX(Alimentos!$E$5:$E$310,MATCH(LARGE(Alimentos!CV$5:CV$310,$B9+1),Alimentos!CV$5:CV$310,0)),INDEX(Alimentos!$E$5:$E$310,MATCH(LARGE(Alimentos!CV$5:CV$310,$B9),Alimentos!CV$5:CV$310,0))),"Sem Sugestão")</f>
        <v>Sem Sugestão</v>
      </c>
      <c r="AT9" s="66" t="str">
        <f>IFERROR(IF(AT8=INDEX(Alimentos!$E$5:$E$310,MATCH(LARGE(Alimentos!CW$5:CW$310,$B9),Alimentos!CW$5:CW$310,0)),INDEX(Alimentos!$E$5:$E$310,MATCH(LARGE(Alimentos!CW$5:CW$310,$B9+1),Alimentos!CW$5:CW$310,0)),INDEX(Alimentos!$E$5:$E$310,MATCH(LARGE(Alimentos!CW$5:CW$310,$B9),Alimentos!CW$5:CW$310,0))),"Sem Sugestão")</f>
        <v>Sem Sugestão</v>
      </c>
      <c r="AU9" s="66" t="str">
        <f>IFERROR(IF(AU8=INDEX(Alimentos!$E$5:$E$310,MATCH(LARGE(Alimentos!CX$5:CX$310,$B9),Alimentos!CX$5:CX$310,0)),INDEX(Alimentos!$E$5:$E$310,MATCH(LARGE(Alimentos!CX$5:CX$310,$B9+1),Alimentos!CX$5:CX$310,0)),INDEX(Alimentos!$E$5:$E$310,MATCH(LARGE(Alimentos!CX$5:CX$310,$B9),Alimentos!CX$5:CX$310,0))),"Sem Sugestão")</f>
        <v>Sulfato Cobalto</v>
      </c>
    </row>
    <row r="10" spans="1:47">
      <c r="B10" s="62">
        <v>9</v>
      </c>
      <c r="D10" s="66" t="str">
        <f>IFERROR(IF(D9=INDEX(Alimentos!$E$5:$E$310,MATCH(LARGE(Alimentos!BG$5:BG$310,$B10),Alimentos!BG$5:BG$310,0)),INDEX(Alimentos!$E$5:$E$310,MATCH(LARGE(Alimentos!BG$5:BG$310,$B10+1),Alimentos!BG$5:BG$310,0)),INDEX(Alimentos!$E$5:$E$310,MATCH(LARGE(Alimentos!BG$5:BG$310,$B10),Alimentos!BG$5:BG$310,0))),"Sem Sugestão")</f>
        <v>Caju, Coproduto da Indústria do Suco</v>
      </c>
      <c r="E10" s="66" t="str">
        <f>IFERROR(IF(E9=INDEX(Alimentos!$E$5:$E$310,MATCH(LARGE(Alimentos!BH$5:BH$310,$B10),Alimentos!BH$5:BH$310,0)),INDEX(Alimentos!$E$5:$E$310,MATCH(LARGE(Alimentos!BH$5:BH$310,$B10+1),Alimentos!BH$5:BH$310,0)),INDEX(Alimentos!$E$5:$E$310,MATCH(LARGE(Alimentos!BH$5:BH$310,$B10),Alimentos!BH$5:BH$310,0))),"Sem Sugestão")</f>
        <v>Café, Casca</v>
      </c>
      <c r="F10" s="66" t="str">
        <f>IFERROR(IF(F9=INDEX(Alimentos!$E$5:$E$310,MATCH(LARGE(Alimentos!BI$5:BI$310,$B10),Alimentos!BI$5:BI$310,0)),INDEX(Alimentos!$E$5:$E$310,MATCH(LARGE(Alimentos!BI$5:BI$310,$B10+1),Alimentos!BI$5:BI$310,0)),INDEX(Alimentos!$E$5:$E$310,MATCH(LARGE(Alimentos!BI$5:BI$310,$B10),Alimentos!BI$5:BI$310,0))),"Sem Sugestão")</f>
        <v>Silagem de Milho Grão Reidratado</v>
      </c>
      <c r="G10" s="66" t="str">
        <f>IFERROR(IF(G9=INDEX(Alimentos!$E$5:$E$310,MATCH(LARGE(Alimentos!BJ$5:BJ$310,$B10),Alimentos!BJ$5:BJ$310,0)),INDEX(Alimentos!$E$5:$E$310,MATCH(LARGE(Alimentos!BJ$5:BJ$310,$B10+1),Alimentos!BJ$5:BJ$310,0)),INDEX(Alimentos!$E$5:$E$310,MATCH(LARGE(Alimentos!BJ$5:BJ$310,$B10),Alimentos!BJ$5:BJ$310,0))),"Sem Sugestão")</f>
        <v>Trigo, Grão</v>
      </c>
      <c r="H10" s="66" t="str">
        <f>IFERROR(IF(H9=INDEX(Alimentos!$E$5:$E$310,MATCH(LARGE(Alimentos!BK$5:BK$310,$B10),Alimentos!BK$5:BK$310,0)),INDEX(Alimentos!$E$5:$E$310,MATCH(LARGE(Alimentos!BK$5:BK$310,$B10+1),Alimentos!BK$5:BK$310,0)),INDEX(Alimentos!$E$5:$E$310,MATCH(LARGE(Alimentos!BK$5:BK$310,$B10),Alimentos!BK$5:BK$310,0))),"Sem Sugestão")</f>
        <v>Peixe, Farinha</v>
      </c>
      <c r="I10" s="66" t="str">
        <f>IFERROR(IF(I9=INDEX(Alimentos!$E$5:$E$310,MATCH(LARGE(Alimentos!BL$5:BL$310,$B10),Alimentos!BL$5:BL$310,0)),INDEX(Alimentos!$E$5:$E$310,MATCH(LARGE(Alimentos!BL$5:BL$310,$B10+1),Alimentos!BL$5:BL$310,0)),INDEX(Alimentos!$E$5:$E$310,MATCH(LARGE(Alimentos!BL$5:BL$310,$B10),Alimentos!BL$5:BL$310,0))),"Sem Sugestão")</f>
        <v>Soja, Farelo (43%)</v>
      </c>
      <c r="J10" s="66" t="str">
        <f>IFERROR(IF(J9=INDEX(Alimentos!$E$5:$E$310,MATCH(LARGE(Alimentos!BM$5:BM$310,$B10),Alimentos!BM$5:BM$310,0)),INDEX(Alimentos!$E$5:$E$310,MATCH(LARGE(Alimentos!BM$5:BM$310,$B10+1),Alimentos!BM$5:BM$310,0)),INDEX(Alimentos!$E$5:$E$310,MATCH(LARGE(Alimentos!BM$5:BM$310,$B10),Alimentos!BM$5:BM$310,0))),"Sem Sugestão")</f>
        <v>Sem Sugestão</v>
      </c>
      <c r="K10" s="66" t="str">
        <f>IFERROR(IF(K9=INDEX(Alimentos!$E$5:$E$310,MATCH(LARGE(Alimentos!BN$5:BN$310,$B10),Alimentos!BN$5:BN$310,0)),INDEX(Alimentos!$E$5:$E$310,MATCH(LARGE(Alimentos!BN$5:BN$310,$B10+1),Alimentos!BN$5:BN$310,0)),INDEX(Alimentos!$E$5:$E$310,MATCH(LARGE(Alimentos!BN$5:BN$310,$B10),Alimentos!BN$5:BN$310,0))),"Sem Sugestão")</f>
        <v>Resíduo Seco de Destilaria, Milho (DDG)</v>
      </c>
      <c r="L10" s="66" t="str">
        <f>IFERROR(IF(L9=INDEX(Alimentos!$E$5:$E$310,MATCH(LARGE(Alimentos!BO$5:BO$310,$B10),Alimentos!BO$5:BO$310,0)),INDEX(Alimentos!$E$5:$E$310,MATCH(LARGE(Alimentos!BO$5:BO$310,$B10+1),Alimentos!BO$5:BO$310,0)),INDEX(Alimentos!$E$5:$E$310,MATCH(LARGE(Alimentos!BO$5:BO$310,$B10),Alimentos!BO$5:BO$310,0))),"Sem Sugestão")</f>
        <v>Premix Fosquima Confinamento 56 PB</v>
      </c>
      <c r="M10" s="66" t="str">
        <f>IFERROR(IF(M9=INDEX(Alimentos!$E$5:$E$310,MATCH(LARGE(Alimentos!BP$5:BP$310,$B10),Alimentos!BP$5:BP$310,0)),INDEX(Alimentos!$E$5:$E$310,MATCH(LARGE(Alimentos!BP$5:BP$310,$B10+1),Alimentos!BP$5:BP$310,0)),INDEX(Alimentos!$E$5:$E$310,MATCH(LARGE(Alimentos!BP$5:BP$310,$B10),Alimentos!BP$5:BP$310,0))),"Sem Sugestão")</f>
        <v>Soja, Farelo (45%)</v>
      </c>
      <c r="N10" s="66" t="str">
        <f>IFERROR(IF(N9=INDEX(Alimentos!$E$5:$E$310,MATCH(LARGE(Alimentos!BQ$5:BQ$310,$B10),Alimentos!BQ$5:BQ$310,0)),INDEX(Alimentos!$E$5:$E$310,MATCH(LARGE(Alimentos!BQ$5:BQ$310,$B10+1),Alimentos!BQ$5:BQ$310,0)),INDEX(Alimentos!$E$5:$E$310,MATCH(LARGE(Alimentos!BQ$5:BQ$310,$B10),Alimentos!BQ$5:BQ$310,0))),"Sem Sugestão")</f>
        <v>Mamona, Farelo</v>
      </c>
      <c r="O10" s="66" t="str">
        <f>IFERROR(IF(O9=INDEX(Alimentos!$E$5:$E$310,MATCH(LARGE(Alimentos!BR$5:BR$310,$B10),Alimentos!BR$5:BR$310,0)),INDEX(Alimentos!$E$5:$E$310,MATCH(LARGE(Alimentos!BR$5:BR$310,$B10+1),Alimentos!BR$5:BR$310,0)),INDEX(Alimentos!$E$5:$E$310,MATCH(LARGE(Alimentos!BR$5:BR$310,$B10),Alimentos!BR$5:BR$310,0))),"Sem Sugestão")</f>
        <v>Res. Seco Dest. Com Solúveis, Milho - (DDGS)</v>
      </c>
      <c r="P10" s="66" t="str">
        <f>IFERROR(IF(P9=INDEX(Alimentos!$E$5:$E$310,MATCH(LARGE(Alimentos!BS$5:BS$310,$B10),Alimentos!BS$5:BS$310,0)),INDEX(Alimentos!$E$5:$E$310,MATCH(LARGE(Alimentos!BS$5:BS$310,$B10+1),Alimentos!BS$5:BS$310,0)),INDEX(Alimentos!$E$5:$E$310,MATCH(LARGE(Alimentos!BS$5:BS$310,$B10),Alimentos!BS$5:BS$310,0))),"Sem Sugestão")</f>
        <v>Sem Sugestão</v>
      </c>
      <c r="Q10" s="66" t="str">
        <f>IFERROR(IF(Q9=INDEX(Alimentos!$E$5:$E$310,MATCH(LARGE(Alimentos!BT$5:BT$310,$B10),Alimentos!BT$5:BT$310,0)),INDEX(Alimentos!$E$5:$E$310,MATCH(LARGE(Alimentos!BT$5:BT$310,$B10+1),Alimentos!BT$5:BT$310,0)),INDEX(Alimentos!$E$5:$E$310,MATCH(LARGE(Alimentos!BT$5:BT$310,$B10),Alimentos!BT$5:BT$310,0))),"Sem Sugestão")</f>
        <v>Mineral Suprasal BRC 130</v>
      </c>
      <c r="R10" s="66" t="str">
        <f>IFERROR(IF(R9=INDEX(Alimentos!$E$5:$E$310,MATCH(LARGE(Alimentos!BU$5:BU$310,$B10),Alimentos!BU$5:BU$310,0)),INDEX(Alimentos!$E$5:$E$310,MATCH(LARGE(Alimentos!BU$5:BU$310,$B10+1),Alimentos!BU$5:BU$310,0)),INDEX(Alimentos!$E$5:$E$310,MATCH(LARGE(Alimentos!BU$5:BU$310,$B10),Alimentos!BU$5:BU$310,0))),"Sem Sugestão")</f>
        <v>Mineral Suprasal BRC Reprodução</v>
      </c>
      <c r="S10" s="66" t="str">
        <f>IFERROR(IF(S9=INDEX(Alimentos!$E$5:$E$310,MATCH(LARGE(Alimentos!BV$5:BV$310,$B10),Alimentos!BV$5:BV$310,0)),INDEX(Alimentos!$E$5:$E$310,MATCH(LARGE(Alimentos!BV$5:BV$310,$B10+1),Alimentos!BV$5:BV$310,0)),INDEX(Alimentos!$E$5:$E$310,MATCH(LARGE(Alimentos!BV$5:BV$310,$B10),Alimentos!BV$5:BV$310,0))),"Sem Sugestão")</f>
        <v>Nucleo (Tortuga) 1</v>
      </c>
      <c r="T10" s="66" t="str">
        <f>IFERROR(IF(T9=INDEX(Alimentos!$E$5:$E$310,MATCH(LARGE(Alimentos!BW$5:BW$310,$B10),Alimentos!BW$5:BW$310,0)),INDEX(Alimentos!$E$5:$E$310,MATCH(LARGE(Alimentos!BW$5:BW$310,$B10+1),Alimentos!BW$5:BW$310,0)),INDEX(Alimentos!$E$5:$E$310,MATCH(LARGE(Alimentos!BW$5:BW$310,$B10),Alimentos!BW$5:BW$310,0))),"Sem Sugestão")</f>
        <v>Premix Potenfós 60</v>
      </c>
      <c r="U10" s="66" t="str">
        <f>IFERROR(IF(U9=INDEX(Alimentos!$E$5:$E$310,MATCH(LARGE(Alimentos!BX$5:BX$310,$B10),Alimentos!BX$5:BX$310,0)),INDEX(Alimentos!$E$5:$E$310,MATCH(LARGE(Alimentos!BX$5:BX$310,$B10+1),Alimentos!BX$5:BX$310,0)),INDEX(Alimentos!$E$5:$E$310,MATCH(LARGE(Alimentos!BX$5:BX$310,$B10),Alimentos!BX$5:BX$310,0))),"Sem Sugestão")</f>
        <v>Premix Qualicorte Px 50</v>
      </c>
      <c r="V10" s="66" t="str">
        <f>IFERROR(IF(V9=INDEX(Alimentos!$E$5:$E$310,MATCH(LARGE(Alimentos!BY$5:BY$310,$B10),Alimentos!BY$5:BY$310,0)),INDEX(Alimentos!$E$5:$E$310,MATCH(LARGE(Alimentos!BY$5:BY$310,$B10+1),Alimentos!BY$5:BY$310,0)),INDEX(Alimentos!$E$5:$E$310,MATCH(LARGE(Alimentos!BY$5:BY$310,$B10),Alimentos!BY$5:BY$310,0))),"Sem Sugestão")</f>
        <v>Premix Capul Quelaphos Beef Confinamento</v>
      </c>
      <c r="W10" s="66" t="str">
        <f>IFERROR(IF(W9=INDEX(Alimentos!$E$5:$E$310,MATCH(LARGE(Alimentos!BZ$5:BZ$310,$B10),Alimentos!BZ$5:BZ$310,0)),INDEX(Alimentos!$E$5:$E$310,MATCH(LARGE(Alimentos!BZ$5:BZ$310,$B10+1),Alimentos!BZ$5:BZ$310,0)),INDEX(Alimentos!$E$5:$E$310,MATCH(LARGE(Alimentos!BZ$5:BZ$310,$B10),Alimentos!BZ$5:BZ$310,0))),"Sem Sugestão")</f>
        <v>Mineral Suprasal BRC Reprodução</v>
      </c>
      <c r="X10" s="66" t="str">
        <f>IFERROR(IF(X9=INDEX(Alimentos!$E$5:$E$310,MATCH(LARGE(Alimentos!CA$5:CA$310,$B10),Alimentos!CA$5:CA$310,0)),INDEX(Alimentos!$E$5:$E$310,MATCH(LARGE(Alimentos!CA$5:CA$310,$B10+1),Alimentos!CA$5:CA$310,0)),INDEX(Alimentos!$E$5:$E$310,MATCH(LARGE(Alimentos!CA$5:CA$310,$B10),Alimentos!CA$5:CA$310,0))),"Sem Sugestão")</f>
        <v>Alpha Nucleo Bovinos Confinamento</v>
      </c>
      <c r="Y10" s="66" t="str">
        <f>IFERROR(IF(Y9=INDEX(Alimentos!$E$5:$E$310,MATCH(LARGE(Alimentos!CB$5:CB$310,$B10),Alimentos!CB$5:CB$310,0)),INDEX(Alimentos!$E$5:$E$310,MATCH(LARGE(Alimentos!CB$5:CB$310,$B10+1),Alimentos!CB$5:CB$310,0)),INDEX(Alimentos!$E$5:$E$310,MATCH(LARGE(Alimentos!CB$5:CB$310,$B10),Alimentos!CB$5:CB$310,0))),"Sem Sugestão")</f>
        <v>Nucleo (Tortuga) 1</v>
      </c>
      <c r="Z10" s="66" t="str">
        <f>IFERROR(IF(Z9=INDEX(Alimentos!$E$5:$E$310,MATCH(LARGE(Alimentos!CC$5:CC$310,$B10),Alimentos!CC$5:CC$310,0)),INDEX(Alimentos!$E$5:$E$310,MATCH(LARGE(Alimentos!CC$5:CC$310,$B10+1),Alimentos!CC$5:CC$310,0)),INDEX(Alimentos!$E$5:$E$310,MATCH(LARGE(Alimentos!CC$5:CC$310,$B10),Alimentos!CC$5:CC$310,0))),"Sem Sugestão")</f>
        <v>Mineral Suprasal BRC 130</v>
      </c>
      <c r="AA10" s="66" t="str">
        <f>IFERROR(IF(AA9=INDEX(Alimentos!$E$5:$E$310,MATCH(LARGE(Alimentos!CD$5:CD$310,$B10),Alimentos!CD$5:CD$310,0)),INDEX(Alimentos!$E$5:$E$310,MATCH(LARGE(Alimentos!CD$5:CD$310,$B10+1),Alimentos!CD$5:CD$310,0)),INDEX(Alimentos!$E$5:$E$310,MATCH(LARGE(Alimentos!CD$5:CD$310,$B10),Alimentos!CD$5:CD$310,0))),"Sem Sugestão")</f>
        <v>Mineral Suprasal BRC Reprodução</v>
      </c>
      <c r="AB10" s="66" t="str">
        <f>IFERROR(IF(AB9=INDEX(Alimentos!$E$5:$E$310,MATCH(LARGE(Alimentos!CE$5:CE$310,$B10),Alimentos!CE$5:CE$310,0)),INDEX(Alimentos!$E$5:$E$310,MATCH(LARGE(Alimentos!CE$5:CE$310,$B10+1),Alimentos!CE$5:CE$310,0)),INDEX(Alimentos!$E$5:$E$310,MATCH(LARGE(Alimentos!CE$5:CE$310,$B10),Alimentos!CE$5:CE$310,0))),"Sem Sugestão")</f>
        <v>Nucleo Tortuga</v>
      </c>
      <c r="AC10" s="66" t="str">
        <f>IFERROR(IF(AC9=INDEX(Alimentos!$E$5:$E$310,MATCH(LARGE(Alimentos!CF$5:CF$310,$B10),Alimentos!CF$5:CF$310,0)),INDEX(Alimentos!$E$5:$E$310,MATCH(LARGE(Alimentos!CF$5:CF$310,$B10+1),Alimentos!CF$5:CF$310,0)),INDEX(Alimentos!$E$5:$E$310,MATCH(LARGE(Alimentos!CF$5:CF$310,$B10),Alimentos!CF$5:CF$310,0))),"Sem Sugestão")</f>
        <v>Mineral Suprasal BRC 160</v>
      </c>
      <c r="AD10" s="66" t="str">
        <f>IFERROR(IF(AD9=INDEX(Alimentos!$E$5:$E$310,MATCH(LARGE(Alimentos!CG$5:CG$310,$B10),Alimentos!CG$5:CG$310,0)),INDEX(Alimentos!$E$5:$E$310,MATCH(LARGE(Alimentos!CG$5:CG$310,$B10+1),Alimentos!CG$5:CG$310,0)),INDEX(Alimentos!$E$5:$E$310,MATCH(LARGE(Alimentos!CG$5:CG$310,$B10),Alimentos!CG$5:CG$310,0))),"Sem Sugestão")</f>
        <v>Sem Sugestão</v>
      </c>
      <c r="AE10" s="66" t="str">
        <f>IFERROR(IF(AE9=INDEX(Alimentos!$E$5:$E$310,MATCH(LARGE(Alimentos!CH$5:CH$310,$B10),Alimentos!CH$5:CH$310,0)),INDEX(Alimentos!$E$5:$E$310,MATCH(LARGE(Alimentos!CH$5:CH$310,$B10+1),Alimentos!CH$5:CH$310,0)),INDEX(Alimentos!$E$5:$E$310,MATCH(LARGE(Alimentos!CH$5:CH$310,$B10),Alimentos!CH$5:CH$310,0))),"Sem Sugestão")</f>
        <v>Sem Sugestão</v>
      </c>
      <c r="AF10" s="66" t="str">
        <f>IFERROR(IF(AF9=INDEX(Alimentos!$E$5:$E$310,MATCH(LARGE(Alimentos!CI$5:CI$310,$B10),Alimentos!CI$5:CI$310,0)),INDEX(Alimentos!$E$5:$E$310,MATCH(LARGE(Alimentos!CI$5:CI$310,$B10+1),Alimentos!CI$5:CI$310,0)),INDEX(Alimentos!$E$5:$E$310,MATCH(LARGE(Alimentos!CI$5:CI$310,$B10),Alimentos!CI$5:CI$310,0))),"Sem Sugestão")</f>
        <v>Sem Sugestão</v>
      </c>
      <c r="AG10" s="66" t="str">
        <f>IFERROR(IF(AG9=INDEX(Alimentos!$E$5:$E$310,MATCH(LARGE(Alimentos!CJ$5:CJ$310,$B10),Alimentos!CJ$5:CJ$310,0)),INDEX(Alimentos!$E$5:$E$310,MATCH(LARGE(Alimentos!CJ$5:CJ$310,$B10+1),Alimentos!CJ$5:CJ$310,0)),INDEX(Alimentos!$E$5:$E$310,MATCH(LARGE(Alimentos!CJ$5:CJ$310,$B10),Alimentos!CJ$5:CJ$310,0))),"Sem Sugestão")</f>
        <v>Capim Jaraguá</v>
      </c>
      <c r="AH10" s="66" t="str">
        <f>IFERROR(IF(AH9=INDEX(Alimentos!$E$5:$E$310,MATCH(LARGE(Alimentos!CK$5:CK$310,$B10),Alimentos!CK$5:CK$310,0)),INDEX(Alimentos!$E$5:$E$310,MATCH(LARGE(Alimentos!CK$5:CK$310,$B10+1),Alimentos!CK$5:CK$310,0)),INDEX(Alimentos!$E$5:$E$310,MATCH(LARGE(Alimentos!CK$5:CK$310,$B10),Alimentos!CK$5:CK$310,0))),"Sem Sugestão")</f>
        <v>Sem Sugestão</v>
      </c>
      <c r="AI10" s="66" t="str">
        <f>IFERROR(IF(AI9=INDEX(Alimentos!$E$5:$E$310,MATCH(LARGE(Alimentos!CL$5:CL$310,$B10),Alimentos!CL$5:CL$310,0)),INDEX(Alimentos!$E$5:$E$310,MATCH(LARGE(Alimentos!CL$5:CL$310,$B10+1),Alimentos!CL$5:CL$310,0)),INDEX(Alimentos!$E$5:$E$310,MATCH(LARGE(Alimentos!CL$5:CL$310,$B10),Alimentos!CL$5:CL$310,0))),"Sem Sugestão")</f>
        <v>Sem Sugestão</v>
      </c>
      <c r="AJ10" s="66" t="str">
        <f>IFERROR(IF(AJ9=INDEX(Alimentos!$E$5:$E$310,MATCH(LARGE(Alimentos!CM$5:CM$310,$B10),Alimentos!CM$5:CM$310,0)),INDEX(Alimentos!$E$5:$E$310,MATCH(LARGE(Alimentos!CM$5:CM$310,$B10+1),Alimentos!CM$5:CM$310,0)),INDEX(Alimentos!$E$5:$E$310,MATCH(LARGE(Alimentos!CM$5:CM$310,$B10),Alimentos!CM$5:CM$310,0))),"Sem Sugestão")</f>
        <v>Sem Sugestão</v>
      </c>
      <c r="AK10" s="66" t="str">
        <f>IFERROR(IF(AK9=INDEX(Alimentos!$E$5:$E$310,MATCH(LARGE(Alimentos!CN$5:CN$310,$B10),Alimentos!CN$5:CN$310,0)),INDEX(Alimentos!$E$5:$E$310,MATCH(LARGE(Alimentos!CN$5:CN$310,$B10+1),Alimentos!CN$5:CN$310,0)),INDEX(Alimentos!$E$5:$E$310,MATCH(LARGE(Alimentos!CN$5:CN$310,$B10),Alimentos!CN$5:CN$310,0))),"Sem Sugestão")</f>
        <v>Sem Sugestão</v>
      </c>
      <c r="AL10" s="66" t="str">
        <f>IFERROR(IF(AL9=INDEX(Alimentos!$E$5:$E$310,MATCH(LARGE(Alimentos!CO$5:CO$310,$B10),Alimentos!CO$5:CO$310,0)),INDEX(Alimentos!$E$5:$E$310,MATCH(LARGE(Alimentos!CO$5:CO$310,$B10+1),Alimentos!CO$5:CO$310,0)),INDEX(Alimentos!$E$5:$E$310,MATCH(LARGE(Alimentos!CO$5:CO$310,$B10),Alimentos!CO$5:CO$310,0))),"Sem Sugestão")</f>
        <v>Sem Sugestão</v>
      </c>
      <c r="AM10" s="66" t="str">
        <f>IFERROR(IF(AM9=INDEX(Alimentos!$E$5:$E$310,MATCH(LARGE(Alimentos!CP$5:CP$310,$B10),Alimentos!CP$5:CP$310,0)),INDEX(Alimentos!$E$5:$E$310,MATCH(LARGE(Alimentos!CP$5:CP$310,$B10+1),Alimentos!CP$5:CP$310,0)),INDEX(Alimentos!$E$5:$E$310,MATCH(LARGE(Alimentos!CP$5:CP$310,$B10),Alimentos!CP$5:CP$310,0))),"Sem Sugestão")</f>
        <v>Sem Sugestão</v>
      </c>
      <c r="AN10" s="66" t="str">
        <f>IFERROR(IF(AN9=INDEX(Alimentos!$E$5:$E$310,MATCH(LARGE(Alimentos!CQ$5:CQ$310,$B10),Alimentos!CQ$5:CQ$310,0)),INDEX(Alimentos!$E$5:$E$310,MATCH(LARGE(Alimentos!CQ$5:CQ$310,$B10+1),Alimentos!CQ$5:CQ$310,0)),INDEX(Alimentos!$E$5:$E$310,MATCH(LARGE(Alimentos!CQ$5:CQ$310,$B10),Alimentos!CQ$5:CQ$310,0))),"Sem Sugestão")</f>
        <v>Sem Sugestão</v>
      </c>
      <c r="AO10" s="66" t="str">
        <f>IFERROR(IF(AO9=INDEX(Alimentos!$E$5:$E$310,MATCH(LARGE(Alimentos!CR$5:CR$310,$B10),Alimentos!CR$5:CR$310,0)),INDEX(Alimentos!$E$5:$E$310,MATCH(LARGE(Alimentos!CR$5:CR$310,$B10+1),Alimentos!CR$5:CR$310,0)),INDEX(Alimentos!$E$5:$E$310,MATCH(LARGE(Alimentos!CR$5:CR$310,$B10),Alimentos!CR$5:CR$310,0))),"Sem Sugestão")</f>
        <v>Sem Sugestão</v>
      </c>
      <c r="AP10" s="66" t="str">
        <f>IFERROR(IF(AP9=INDEX(Alimentos!$E$5:$E$310,MATCH(LARGE(Alimentos!CS$5:CS$310,$B10),Alimentos!CS$5:CS$310,0)),INDEX(Alimentos!$E$5:$E$310,MATCH(LARGE(Alimentos!CS$5:CS$310,$B10+1),Alimentos!CS$5:CS$310,0)),INDEX(Alimentos!$E$5:$E$310,MATCH(LARGE(Alimentos!CS$5:CS$310,$B10),Alimentos!CS$5:CS$310,0))),"Sem Sugestão")</f>
        <v>Sem Sugestão</v>
      </c>
      <c r="AQ10" s="66" t="str">
        <f>IFERROR(IF(AQ9=INDEX(Alimentos!$E$5:$E$310,MATCH(LARGE(Alimentos!CT$5:CT$310,$B10),Alimentos!CT$5:CT$310,0)),INDEX(Alimentos!$E$5:$E$310,MATCH(LARGE(Alimentos!CT$5:CT$310,$B10+1),Alimentos!CT$5:CT$310,0)),INDEX(Alimentos!$E$5:$E$310,MATCH(LARGE(Alimentos!CT$5:CT$310,$B10),Alimentos!CT$5:CT$310,0))),"Sem Sugestão")</f>
        <v>Sem Sugestão</v>
      </c>
      <c r="AR10" s="66" t="str">
        <f>IFERROR(IF(AR9=INDEX(Alimentos!$E$5:$E$310,MATCH(LARGE(Alimentos!CU$5:CU$310,$B10),Alimentos!CU$5:CU$310,0)),INDEX(Alimentos!$E$5:$E$310,MATCH(LARGE(Alimentos!CU$5:CU$310,$B10+1),Alimentos!CU$5:CU$310,0)),INDEX(Alimentos!$E$5:$E$310,MATCH(LARGE(Alimentos!CU$5:CU$310,$B10),Alimentos!CU$5:CU$310,0))),"Sem Sugestão")</f>
        <v>Sem Sugestão</v>
      </c>
      <c r="AS10" s="66" t="str">
        <f>IFERROR(IF(AS9=INDEX(Alimentos!$E$5:$E$310,MATCH(LARGE(Alimentos!CV$5:CV$310,$B10),Alimentos!CV$5:CV$310,0)),INDEX(Alimentos!$E$5:$E$310,MATCH(LARGE(Alimentos!CV$5:CV$310,$B10+1),Alimentos!CV$5:CV$310,0)),INDEX(Alimentos!$E$5:$E$310,MATCH(LARGE(Alimentos!CV$5:CV$310,$B10),Alimentos!CV$5:CV$310,0))),"Sem Sugestão")</f>
        <v>Sem Sugestão</v>
      </c>
      <c r="AT10" s="66" t="str">
        <f>IFERROR(IF(AT9=INDEX(Alimentos!$E$5:$E$310,MATCH(LARGE(Alimentos!CW$5:CW$310,$B10),Alimentos!CW$5:CW$310,0)),INDEX(Alimentos!$E$5:$E$310,MATCH(LARGE(Alimentos!CW$5:CW$310,$B10+1),Alimentos!CW$5:CW$310,0)),INDEX(Alimentos!$E$5:$E$310,MATCH(LARGE(Alimentos!CW$5:CW$310,$B10),Alimentos!CW$5:CW$310,0))),"Sem Sugestão")</f>
        <v>Sem Sugestão</v>
      </c>
      <c r="AU10" s="66" t="str">
        <f>IFERROR(IF(AU9=INDEX(Alimentos!$E$5:$E$310,MATCH(LARGE(Alimentos!CX$5:CX$310,$B10),Alimentos!CX$5:CX$310,0)),INDEX(Alimentos!$E$5:$E$310,MATCH(LARGE(Alimentos!CX$5:CX$310,$B10+1),Alimentos!CX$5:CX$310,0)),INDEX(Alimentos!$E$5:$E$310,MATCH(LARGE(Alimentos!CX$5:CX$310,$B10),Alimentos!CX$5:CX$310,0))),"Sem Sugestão")</f>
        <v>Selenito de Sódio</v>
      </c>
    </row>
    <row r="11" spans="1:47">
      <c r="B11" s="62">
        <v>10</v>
      </c>
      <c r="D11" s="66" t="str">
        <f>IFERROR(IF(D10=INDEX(Alimentos!$E$5:$E$310,MATCH(LARGE(Alimentos!BG$5:BG$310,$B11),Alimentos!BG$5:BG$310,0)),INDEX(Alimentos!$E$5:$E$310,MATCH(LARGE(Alimentos!BG$5:BG$310,$B11+1),Alimentos!BG$5:BG$310,0)),INDEX(Alimentos!$E$5:$E$310,MATCH(LARGE(Alimentos!BG$5:BG$310,$B11),Alimentos!BG$5:BG$310,0))),"Sem Sugestão")</f>
        <v>Acerola, Coproduto</v>
      </c>
      <c r="E11" s="66" t="str">
        <f>IFERROR(IF(E10=INDEX(Alimentos!$E$5:$E$310,MATCH(LARGE(Alimentos!BH$5:BH$310,$B11),Alimentos!BH$5:BH$310,0)),INDEX(Alimentos!$E$5:$E$310,MATCH(LARGE(Alimentos!BH$5:BH$310,$B11+1),Alimentos!BH$5:BH$310,0)),INDEX(Alimentos!$E$5:$E$310,MATCH(LARGE(Alimentos!BH$5:BH$310,$B11),Alimentos!BH$5:BH$310,0))),"Sem Sugestão")</f>
        <v>Mamona, Torta</v>
      </c>
      <c r="F11" s="66" t="str">
        <f>IFERROR(IF(F10=INDEX(Alimentos!$E$5:$E$310,MATCH(LARGE(Alimentos!BI$5:BI$310,$B11),Alimentos!BI$5:BI$310,0)),INDEX(Alimentos!$E$5:$E$310,MATCH(LARGE(Alimentos!BI$5:BI$310,$B11+1),Alimentos!BI$5:BI$310,0)),INDEX(Alimentos!$E$5:$E$310,MATCH(LARGE(Alimentos!BI$5:BI$310,$B11),Alimentos!BI$5:BI$310,0))),"Sem Sugestão")</f>
        <v>Silagem de Milho Grão Úmido</v>
      </c>
      <c r="G11" s="66" t="str">
        <f>IFERROR(IF(G10=INDEX(Alimentos!$E$5:$E$310,MATCH(LARGE(Alimentos!BJ$5:BJ$310,$B11),Alimentos!BJ$5:BJ$310,0)),INDEX(Alimentos!$E$5:$E$310,MATCH(LARGE(Alimentos!BJ$5:BJ$310,$B11+1),Alimentos!BJ$5:BJ$310,0)),INDEX(Alimentos!$E$5:$E$310,MATCH(LARGE(Alimentos!BJ$5:BJ$310,$B11),Alimentos!BJ$5:BJ$310,0))),"Sem Sugestão")</f>
        <v>Feijão</v>
      </c>
      <c r="H11" s="66" t="str">
        <f>IFERROR(IF(H10=INDEX(Alimentos!$E$5:$E$310,MATCH(LARGE(Alimentos!BK$5:BK$310,$B11),Alimentos!BK$5:BK$310,0)),INDEX(Alimentos!$E$5:$E$310,MATCH(LARGE(Alimentos!BK$5:BK$310,$B11+1),Alimentos!BK$5:BK$310,0)),INDEX(Alimentos!$E$5:$E$310,MATCH(LARGE(Alimentos!BK$5:BK$310,$B11),Alimentos!BK$5:BK$310,0))),"Sem Sugestão")</f>
        <v>Refinazil</v>
      </c>
      <c r="I11" s="66" t="str">
        <f>IFERROR(IF(I10=INDEX(Alimentos!$E$5:$E$310,MATCH(LARGE(Alimentos!BL$5:BL$310,$B11),Alimentos!BL$5:BL$310,0)),INDEX(Alimentos!$E$5:$E$310,MATCH(LARGE(Alimentos!BL$5:BL$310,$B11+1),Alimentos!BL$5:BL$310,0)),INDEX(Alimentos!$E$5:$E$310,MATCH(LARGE(Alimentos!BL$5:BL$310,$B11),Alimentos!BL$5:BL$310,0))),"Sem Sugestão")</f>
        <v>Resíduo Seco de Destilaria, Milho (DDG)</v>
      </c>
      <c r="J11" s="66" t="str">
        <f>IFERROR(IF(J10=INDEX(Alimentos!$E$5:$E$310,MATCH(LARGE(Alimentos!BM$5:BM$310,$B11),Alimentos!BM$5:BM$310,0)),INDEX(Alimentos!$E$5:$E$310,MATCH(LARGE(Alimentos!BM$5:BM$310,$B11+1),Alimentos!BM$5:BM$310,0)),INDEX(Alimentos!$E$5:$E$310,MATCH(LARGE(Alimentos!BM$5:BM$310,$B11),Alimentos!BM$5:BM$310,0))),"Sem Sugestão")</f>
        <v>Sem Sugestão</v>
      </c>
      <c r="K11" s="66" t="str">
        <f>IFERROR(IF(K10=INDEX(Alimentos!$E$5:$E$310,MATCH(LARGE(Alimentos!BN$5:BN$310,$B11),Alimentos!BN$5:BN$310,0)),INDEX(Alimentos!$E$5:$E$310,MATCH(LARGE(Alimentos!BN$5:BN$310,$B11+1),Alimentos!BN$5:BN$310,0)),INDEX(Alimentos!$E$5:$E$310,MATCH(LARGE(Alimentos!BN$5:BN$310,$B11),Alimentos!BN$5:BN$310,0))),"Sem Sugestão")</f>
        <v>Soja, Farelo Extrusado</v>
      </c>
      <c r="L11" s="66" t="str">
        <f>IFERROR(IF(L10=INDEX(Alimentos!$E$5:$E$310,MATCH(LARGE(Alimentos!BO$5:BO$310,$B11),Alimentos!BO$5:BO$310,0)),INDEX(Alimentos!$E$5:$E$310,MATCH(LARGE(Alimentos!BO$5:BO$310,$B11+1),Alimentos!BO$5:BO$310,0)),INDEX(Alimentos!$E$5:$E$310,MATCH(LARGE(Alimentos!BO$5:BO$310,$B11),Alimentos!BO$5:BO$310,0))),"Sem Sugestão")</f>
        <v>Amendoim, Farelo</v>
      </c>
      <c r="M11" s="66" t="str">
        <f>IFERROR(IF(M10=INDEX(Alimentos!$E$5:$E$310,MATCH(LARGE(Alimentos!BP$5:BP$310,$B11),Alimentos!BP$5:BP$310,0)),INDEX(Alimentos!$E$5:$E$310,MATCH(LARGE(Alimentos!BP$5:BP$310,$B11+1),Alimentos!BP$5:BP$310,0)),INDEX(Alimentos!$E$5:$E$310,MATCH(LARGE(Alimentos!BP$5:BP$310,$B11),Alimentos!BP$5:BP$310,0))),"Sem Sugestão")</f>
        <v>Soja, Grão</v>
      </c>
      <c r="N11" s="66" t="str">
        <f>IFERROR(IF(N10=INDEX(Alimentos!$E$5:$E$310,MATCH(LARGE(Alimentos!BQ$5:BQ$310,$B11),Alimentos!BQ$5:BQ$310,0)),INDEX(Alimentos!$E$5:$E$310,MATCH(LARGE(Alimentos!BQ$5:BQ$310,$B11+1),Alimentos!BQ$5:BQ$310,0)),INDEX(Alimentos!$E$5:$E$310,MATCH(LARGE(Alimentos!BQ$5:BQ$310,$B11),Alimentos!BQ$5:BQ$310,0))),"Sem Sugestão")</f>
        <v>Caju, Coproduto da Indústria do Suco</v>
      </c>
      <c r="O11" s="66" t="str">
        <f>IFERROR(IF(O10=INDEX(Alimentos!$E$5:$E$310,MATCH(LARGE(Alimentos!BR$5:BR$310,$B11),Alimentos!BR$5:BR$310,0)),INDEX(Alimentos!$E$5:$E$310,MATCH(LARGE(Alimentos!BR$5:BR$310,$B11+1),Alimentos!BR$5:BR$310,0)),INDEX(Alimentos!$E$5:$E$310,MATCH(LARGE(Alimentos!BR$5:BR$310,$B11),Alimentos!BR$5:BR$310,0))),"Sem Sugestão")</f>
        <v>Crambe, Farelo</v>
      </c>
      <c r="P11" s="66" t="str">
        <f>IFERROR(IF(P10=INDEX(Alimentos!$E$5:$E$310,MATCH(LARGE(Alimentos!BS$5:BS$310,$B11),Alimentos!BS$5:BS$310,0)),INDEX(Alimentos!$E$5:$E$310,MATCH(LARGE(Alimentos!BS$5:BS$310,$B11+1),Alimentos!BS$5:BS$310,0)),INDEX(Alimentos!$E$5:$E$310,MATCH(LARGE(Alimentos!BS$5:BS$310,$B11),Alimentos!BS$5:BS$310,0))),"Sem Sugestão")</f>
        <v>Sem Sugestão</v>
      </c>
      <c r="Q11" s="66" t="str">
        <f>IFERROR(IF(Q10=INDEX(Alimentos!$E$5:$E$310,MATCH(LARGE(Alimentos!BT$5:BT$310,$B11),Alimentos!BT$5:BT$310,0)),INDEX(Alimentos!$E$5:$E$310,MATCH(LARGE(Alimentos!BT$5:BT$310,$B11+1),Alimentos!BT$5:BT$310,0)),INDEX(Alimentos!$E$5:$E$310,MATCH(LARGE(Alimentos!BT$5:BT$310,$B11),Alimentos!BT$5:BT$310,0))),"Sem Sugestão")</f>
        <v>Nucleo Mineral Confbeef M</v>
      </c>
      <c r="R11" s="66" t="str">
        <f>IFERROR(IF(R10=INDEX(Alimentos!$E$5:$E$310,MATCH(LARGE(Alimentos!BU$5:BU$310,$B11),Alimentos!BU$5:BU$310,0)),INDEX(Alimentos!$E$5:$E$310,MATCH(LARGE(Alimentos!BU$5:BU$310,$B11+1),Alimentos!BU$5:BU$310,0)),INDEX(Alimentos!$E$5:$E$310,MATCH(LARGE(Alimentos!BU$5:BU$310,$B11),Alimentos!BU$5:BU$310,0))),"Sem Sugestão")</f>
        <v>Mineral Fosbovi 20</v>
      </c>
      <c r="S11" s="66" t="str">
        <f>IFERROR(IF(S10=INDEX(Alimentos!$E$5:$E$310,MATCH(LARGE(Alimentos!BV$5:BV$310,$B11),Alimentos!BV$5:BV$310,0)),INDEX(Alimentos!$E$5:$E$310,MATCH(LARGE(Alimentos!BV$5:BV$310,$B11+1),Alimentos!BV$5:BV$310,0)),INDEX(Alimentos!$E$5:$E$310,MATCH(LARGE(Alimentos!BV$5:BV$310,$B11),Alimentos!BV$5:BV$310,0))),"Sem Sugestão")</f>
        <v>Nucleo BRC Maxxipeso</v>
      </c>
      <c r="T11" s="66" t="str">
        <f>IFERROR(IF(T10=INDEX(Alimentos!$E$5:$E$310,MATCH(LARGE(Alimentos!BW$5:BW$310,$B11),Alimentos!BW$5:BW$310,0)),INDEX(Alimentos!$E$5:$E$310,MATCH(LARGE(Alimentos!BW$5:BW$310,$B11+1),Alimentos!BW$5:BW$310,0)),INDEX(Alimentos!$E$5:$E$310,MATCH(LARGE(Alimentos!BW$5:BW$310,$B11),Alimentos!BW$5:BW$310,0))),"Sem Sugestão")</f>
        <v>Flends Nucleo Confinamais VM Plus</v>
      </c>
      <c r="U11" s="66" t="str">
        <f>IFERROR(IF(U10=INDEX(Alimentos!$E$5:$E$310,MATCH(LARGE(Alimentos!BX$5:BX$310,$B11),Alimentos!BX$5:BX$310,0)),INDEX(Alimentos!$E$5:$E$310,MATCH(LARGE(Alimentos!BX$5:BX$310,$B11+1),Alimentos!BX$5:BX$310,0)),INDEX(Alimentos!$E$5:$E$310,MATCH(LARGE(Alimentos!BX$5:BX$310,$B11),Alimentos!BX$5:BX$310,0))),"Sem Sugestão")</f>
        <v>Nucleo FOSBOVI® CONFINAMENTO CRINA®  N</v>
      </c>
      <c r="V11" s="66" t="str">
        <f>IFERROR(IF(V10=INDEX(Alimentos!$E$5:$E$310,MATCH(LARGE(Alimentos!BY$5:BY$310,$B11),Alimentos!BY$5:BY$310,0)),INDEX(Alimentos!$E$5:$E$310,MATCH(LARGE(Alimentos!BY$5:BY$310,$B11+1),Alimentos!BY$5:BY$310,0)),INDEX(Alimentos!$E$5:$E$310,MATCH(LARGE(Alimentos!BY$5:BY$310,$B11),Alimentos!BY$5:BY$310,0))),"Sem Sugestão")</f>
        <v>Nucleo BRC Maxxipeso</v>
      </c>
      <c r="W11" s="66" t="str">
        <f>IFERROR(IF(W10=INDEX(Alimentos!$E$5:$E$310,MATCH(LARGE(Alimentos!BZ$5:BZ$310,$B11),Alimentos!BZ$5:BZ$310,0)),INDEX(Alimentos!$E$5:$E$310,MATCH(LARGE(Alimentos!BZ$5:BZ$310,$B11+1),Alimentos!BZ$5:BZ$310,0)),INDEX(Alimentos!$E$5:$E$310,MATCH(LARGE(Alimentos!BZ$5:BZ$310,$B11),Alimentos!BZ$5:BZ$310,0))),"Sem Sugestão")</f>
        <v>Alpha Nucleo Bovinos Confinamento</v>
      </c>
      <c r="X11" s="66" t="str">
        <f>IFERROR(IF(X10=INDEX(Alimentos!$E$5:$E$310,MATCH(LARGE(Alimentos!CA$5:CA$310,$B11),Alimentos!CA$5:CA$310,0)),INDEX(Alimentos!$E$5:$E$310,MATCH(LARGE(Alimentos!CA$5:CA$310,$B11+1),Alimentos!CA$5:CA$310,0)),INDEX(Alimentos!$E$5:$E$310,MATCH(LARGE(Alimentos!CA$5:CA$310,$B11),Alimentos!CA$5:CA$310,0))),"Sem Sugestão")</f>
        <v>Premix Premiphós 80</v>
      </c>
      <c r="Y11" s="66" t="str">
        <f>IFERROR(IF(Y10=INDEX(Alimentos!$E$5:$E$310,MATCH(LARGE(Alimentos!CB$5:CB$310,$B11),Alimentos!CB$5:CB$310,0)),INDEX(Alimentos!$E$5:$E$310,MATCH(LARGE(Alimentos!CB$5:CB$310,$B11+1),Alimentos!CB$5:CB$310,0)),INDEX(Alimentos!$E$5:$E$310,MATCH(LARGE(Alimentos!CB$5:CB$310,$B11),Alimentos!CB$5:CB$310,0))),"Sem Sugestão")</f>
        <v>Soja, Casca</v>
      </c>
      <c r="Z11" s="66" t="str">
        <f>IFERROR(IF(Z10=INDEX(Alimentos!$E$5:$E$310,MATCH(LARGE(Alimentos!CC$5:CC$310,$B11),Alimentos!CC$5:CC$310,0)),INDEX(Alimentos!$E$5:$E$310,MATCH(LARGE(Alimentos!CC$5:CC$310,$B11+1),Alimentos!CC$5:CC$310,0)),INDEX(Alimentos!$E$5:$E$310,MATCH(LARGE(Alimentos!CC$5:CC$310,$B11),Alimentos!CC$5:CC$310,0))),"Sem Sugestão")</f>
        <v>Mineral Fosbovi 40</v>
      </c>
      <c r="AA11" s="66" t="str">
        <f>IFERROR(IF(AA10=INDEX(Alimentos!$E$5:$E$310,MATCH(LARGE(Alimentos!CD$5:CD$310,$B11),Alimentos!CD$5:CD$310,0)),INDEX(Alimentos!$E$5:$E$310,MATCH(LARGE(Alimentos!CD$5:CD$310,$B11+1),Alimentos!CD$5:CD$310,0)),INDEX(Alimentos!$E$5:$E$310,MATCH(LARGE(Alimentos!CD$5:CD$310,$B11),Alimentos!CD$5:CD$310,0))),"Sem Sugestão")</f>
        <v>Alpha Nucleo Bovinos Confinamento</v>
      </c>
      <c r="AB11" s="66" t="str">
        <f>IFERROR(IF(AB10=INDEX(Alimentos!$E$5:$E$310,MATCH(LARGE(Alimentos!CE$5:CE$310,$B11),Alimentos!CE$5:CE$310,0)),INDEX(Alimentos!$E$5:$E$310,MATCH(LARGE(Alimentos!CE$5:CE$310,$B11+1),Alimentos!CE$5:CE$310,0)),INDEX(Alimentos!$E$5:$E$310,MATCH(LARGE(Alimentos!CE$5:CE$310,$B11),Alimentos!CE$5:CE$310,0))),"Sem Sugestão")</f>
        <v>Nucleo Crescimento (Nutronordeste)</v>
      </c>
      <c r="AC11" s="66" t="str">
        <f>IFERROR(IF(AC10=INDEX(Alimentos!$E$5:$E$310,MATCH(LARGE(Alimentos!CF$5:CF$310,$B11),Alimentos!CF$5:CF$310,0)),INDEX(Alimentos!$E$5:$E$310,MATCH(LARGE(Alimentos!CF$5:CF$310,$B11+1),Alimentos!CF$5:CF$310,0)),INDEX(Alimentos!$E$5:$E$310,MATCH(LARGE(Alimentos!CF$5:CF$310,$B11),Alimentos!CF$5:CF$310,0))),"Sem Sugestão")</f>
        <v>Sal Mineral (Decumbes Seca)</v>
      </c>
      <c r="AD11" s="66" t="str">
        <f>IFERROR(IF(AD10=INDEX(Alimentos!$E$5:$E$310,MATCH(LARGE(Alimentos!CG$5:CG$310,$B11),Alimentos!CG$5:CG$310,0)),INDEX(Alimentos!$E$5:$E$310,MATCH(LARGE(Alimentos!CG$5:CG$310,$B11+1),Alimentos!CG$5:CG$310,0)),INDEX(Alimentos!$E$5:$E$310,MATCH(LARGE(Alimentos!CG$5:CG$310,$B11),Alimentos!CG$5:CG$310,0))),"Sem Sugestão")</f>
        <v>Sem Sugestão</v>
      </c>
      <c r="AE11" s="66" t="str">
        <f>IFERROR(IF(AE10=INDEX(Alimentos!$E$5:$E$310,MATCH(LARGE(Alimentos!CH$5:CH$310,$B11),Alimentos!CH$5:CH$310,0)),INDEX(Alimentos!$E$5:$E$310,MATCH(LARGE(Alimentos!CH$5:CH$310,$B11+1),Alimentos!CH$5:CH$310,0)),INDEX(Alimentos!$E$5:$E$310,MATCH(LARGE(Alimentos!CH$5:CH$310,$B11),Alimentos!CH$5:CH$310,0))),"Sem Sugestão")</f>
        <v>Sem Sugestão</v>
      </c>
      <c r="AF11" s="66" t="str">
        <f>IFERROR(IF(AF10=INDEX(Alimentos!$E$5:$E$310,MATCH(LARGE(Alimentos!CI$5:CI$310,$B11),Alimentos!CI$5:CI$310,0)),INDEX(Alimentos!$E$5:$E$310,MATCH(LARGE(Alimentos!CI$5:CI$310,$B11+1),Alimentos!CI$5:CI$310,0)),INDEX(Alimentos!$E$5:$E$310,MATCH(LARGE(Alimentos!CI$5:CI$310,$B11),Alimentos!CI$5:CI$310,0))),"Sem Sugestão")</f>
        <v>Sem Sugestão</v>
      </c>
      <c r="AG11" s="66" t="str">
        <f>IFERROR(IF(AG10=INDEX(Alimentos!$E$5:$E$310,MATCH(LARGE(Alimentos!CJ$5:CJ$310,$B11),Alimentos!CJ$5:CJ$310,0)),INDEX(Alimentos!$E$5:$E$310,MATCH(LARGE(Alimentos!CJ$5:CJ$310,$B11+1),Alimentos!CJ$5:CJ$310,0)),INDEX(Alimentos!$E$5:$E$310,MATCH(LARGE(Alimentos!CJ$5:CJ$310,$B11),Alimentos!CJ$5:CJ$310,0))),"Sem Sugestão")</f>
        <v>Capim Bermuda (Cynodon)</v>
      </c>
      <c r="AH11" s="66" t="str">
        <f>IFERROR(IF(AH10=INDEX(Alimentos!$E$5:$E$310,MATCH(LARGE(Alimentos!CK$5:CK$310,$B11),Alimentos!CK$5:CK$310,0)),INDEX(Alimentos!$E$5:$E$310,MATCH(LARGE(Alimentos!CK$5:CK$310,$B11+1),Alimentos!CK$5:CK$310,0)),INDEX(Alimentos!$E$5:$E$310,MATCH(LARGE(Alimentos!CK$5:CK$310,$B11),Alimentos!CK$5:CK$310,0))),"Sem Sugestão")</f>
        <v>Sem Sugestão</v>
      </c>
      <c r="AI11" s="66" t="str">
        <f>IFERROR(IF(AI10=INDEX(Alimentos!$E$5:$E$310,MATCH(LARGE(Alimentos!CL$5:CL$310,$B11),Alimentos!CL$5:CL$310,0)),INDEX(Alimentos!$E$5:$E$310,MATCH(LARGE(Alimentos!CL$5:CL$310,$B11+1),Alimentos!CL$5:CL$310,0)),INDEX(Alimentos!$E$5:$E$310,MATCH(LARGE(Alimentos!CL$5:CL$310,$B11),Alimentos!CL$5:CL$310,0))),"Sem Sugestão")</f>
        <v>Sem Sugestão</v>
      </c>
      <c r="AJ11" s="66" t="str">
        <f>IFERROR(IF(AJ10=INDEX(Alimentos!$E$5:$E$310,MATCH(LARGE(Alimentos!CM$5:CM$310,$B11),Alimentos!CM$5:CM$310,0)),INDEX(Alimentos!$E$5:$E$310,MATCH(LARGE(Alimentos!CM$5:CM$310,$B11+1),Alimentos!CM$5:CM$310,0)),INDEX(Alimentos!$E$5:$E$310,MATCH(LARGE(Alimentos!CM$5:CM$310,$B11),Alimentos!CM$5:CM$310,0))),"Sem Sugestão")</f>
        <v>Sem Sugestão</v>
      </c>
      <c r="AK11" s="66" t="str">
        <f>IFERROR(IF(AK10=INDEX(Alimentos!$E$5:$E$310,MATCH(LARGE(Alimentos!CN$5:CN$310,$B11),Alimentos!CN$5:CN$310,0)),INDEX(Alimentos!$E$5:$E$310,MATCH(LARGE(Alimentos!CN$5:CN$310,$B11+1),Alimentos!CN$5:CN$310,0)),INDEX(Alimentos!$E$5:$E$310,MATCH(LARGE(Alimentos!CN$5:CN$310,$B11),Alimentos!CN$5:CN$310,0))),"Sem Sugestão")</f>
        <v>Sem Sugestão</v>
      </c>
      <c r="AL11" s="66" t="str">
        <f>IFERROR(IF(AL10=INDEX(Alimentos!$E$5:$E$310,MATCH(LARGE(Alimentos!CO$5:CO$310,$B11),Alimentos!CO$5:CO$310,0)),INDEX(Alimentos!$E$5:$E$310,MATCH(LARGE(Alimentos!CO$5:CO$310,$B11+1),Alimentos!CO$5:CO$310,0)),INDEX(Alimentos!$E$5:$E$310,MATCH(LARGE(Alimentos!CO$5:CO$310,$B11),Alimentos!CO$5:CO$310,0))),"Sem Sugestão")</f>
        <v>Sem Sugestão</v>
      </c>
      <c r="AM11" s="66" t="str">
        <f>IFERROR(IF(AM10=INDEX(Alimentos!$E$5:$E$310,MATCH(LARGE(Alimentos!CP$5:CP$310,$B11),Alimentos!CP$5:CP$310,0)),INDEX(Alimentos!$E$5:$E$310,MATCH(LARGE(Alimentos!CP$5:CP$310,$B11+1),Alimentos!CP$5:CP$310,0)),INDEX(Alimentos!$E$5:$E$310,MATCH(LARGE(Alimentos!CP$5:CP$310,$B11),Alimentos!CP$5:CP$310,0))),"Sem Sugestão")</f>
        <v>Sem Sugestão</v>
      </c>
      <c r="AN11" s="66" t="str">
        <f>IFERROR(IF(AN10=INDEX(Alimentos!$E$5:$E$310,MATCH(LARGE(Alimentos!CQ$5:CQ$310,$B11),Alimentos!CQ$5:CQ$310,0)),INDEX(Alimentos!$E$5:$E$310,MATCH(LARGE(Alimentos!CQ$5:CQ$310,$B11+1),Alimentos!CQ$5:CQ$310,0)),INDEX(Alimentos!$E$5:$E$310,MATCH(LARGE(Alimentos!CQ$5:CQ$310,$B11),Alimentos!CQ$5:CQ$310,0))),"Sem Sugestão")</f>
        <v>Sem Sugestão</v>
      </c>
      <c r="AO11" s="66" t="str">
        <f>IFERROR(IF(AO10=INDEX(Alimentos!$E$5:$E$310,MATCH(LARGE(Alimentos!CR$5:CR$310,$B11),Alimentos!CR$5:CR$310,0)),INDEX(Alimentos!$E$5:$E$310,MATCH(LARGE(Alimentos!CR$5:CR$310,$B11+1),Alimentos!CR$5:CR$310,0)),INDEX(Alimentos!$E$5:$E$310,MATCH(LARGE(Alimentos!CR$5:CR$310,$B11),Alimentos!CR$5:CR$310,0))),"Sem Sugestão")</f>
        <v>Sem Sugestão</v>
      </c>
      <c r="AP11" s="66" t="str">
        <f>IFERROR(IF(AP10=INDEX(Alimentos!$E$5:$E$310,MATCH(LARGE(Alimentos!CS$5:CS$310,$B11),Alimentos!CS$5:CS$310,0)),INDEX(Alimentos!$E$5:$E$310,MATCH(LARGE(Alimentos!CS$5:CS$310,$B11+1),Alimentos!CS$5:CS$310,0)),INDEX(Alimentos!$E$5:$E$310,MATCH(LARGE(Alimentos!CS$5:CS$310,$B11),Alimentos!CS$5:CS$310,0))),"Sem Sugestão")</f>
        <v>Sem Sugestão</v>
      </c>
      <c r="AQ11" s="66" t="str">
        <f>IFERROR(IF(AQ10=INDEX(Alimentos!$E$5:$E$310,MATCH(LARGE(Alimentos!CT$5:CT$310,$B11),Alimentos!CT$5:CT$310,0)),INDEX(Alimentos!$E$5:$E$310,MATCH(LARGE(Alimentos!CT$5:CT$310,$B11+1),Alimentos!CT$5:CT$310,0)),INDEX(Alimentos!$E$5:$E$310,MATCH(LARGE(Alimentos!CT$5:CT$310,$B11),Alimentos!CT$5:CT$310,0))),"Sem Sugestão")</f>
        <v>Sem Sugestão</v>
      </c>
      <c r="AR11" s="66" t="str">
        <f>IFERROR(IF(AR10=INDEX(Alimentos!$E$5:$E$310,MATCH(LARGE(Alimentos!CU$5:CU$310,$B11),Alimentos!CU$5:CU$310,0)),INDEX(Alimentos!$E$5:$E$310,MATCH(LARGE(Alimentos!CU$5:CU$310,$B11+1),Alimentos!CU$5:CU$310,0)),INDEX(Alimentos!$E$5:$E$310,MATCH(LARGE(Alimentos!CU$5:CU$310,$B11),Alimentos!CU$5:CU$310,0))),"Sem Sugestão")</f>
        <v>Sem Sugestão</v>
      </c>
      <c r="AS11" s="66" t="str">
        <f>IFERROR(IF(AS10=INDEX(Alimentos!$E$5:$E$310,MATCH(LARGE(Alimentos!CV$5:CV$310,$B11),Alimentos!CV$5:CV$310,0)),INDEX(Alimentos!$E$5:$E$310,MATCH(LARGE(Alimentos!CV$5:CV$310,$B11+1),Alimentos!CV$5:CV$310,0)),INDEX(Alimentos!$E$5:$E$310,MATCH(LARGE(Alimentos!CV$5:CV$310,$B11),Alimentos!CV$5:CV$310,0))),"Sem Sugestão")</f>
        <v>Sem Sugestão</v>
      </c>
      <c r="AT11" s="66" t="str">
        <f>IFERROR(IF(AT10=INDEX(Alimentos!$E$5:$E$310,MATCH(LARGE(Alimentos!CW$5:CW$310,$B11),Alimentos!CW$5:CW$310,0)),INDEX(Alimentos!$E$5:$E$310,MATCH(LARGE(Alimentos!CW$5:CW$310,$B11+1),Alimentos!CW$5:CW$310,0)),INDEX(Alimentos!$E$5:$E$310,MATCH(LARGE(Alimentos!CW$5:CW$310,$B11),Alimentos!CW$5:CW$310,0))),"Sem Sugestão")</f>
        <v>Sem Sugestão</v>
      </c>
      <c r="AU11" s="66" t="str">
        <f>IFERROR(IF(AU10=INDEX(Alimentos!$E$5:$E$310,MATCH(LARGE(Alimentos!CX$5:CX$310,$B11),Alimentos!CX$5:CX$310,0)),INDEX(Alimentos!$E$5:$E$310,MATCH(LARGE(Alimentos!CX$5:CX$310,$B11+1),Alimentos!CX$5:CX$310,0)),INDEX(Alimentos!$E$5:$E$310,MATCH(LARGE(Alimentos!CX$5:CX$310,$B11),Alimentos!CX$5:CX$310,0))),"Sem Sugestão")</f>
        <v>Sal Comum (NaCl)</v>
      </c>
    </row>
    <row r="12" spans="1:47">
      <c r="B12" s="62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</row>
    <row r="13" spans="1:47">
      <c r="B13" s="57" t="str">
        <f>Atendimento!C7</f>
        <v>MS</v>
      </c>
    </row>
    <row r="14" spans="1:47">
      <c r="B14" s="57" t="str">
        <f>Atendimento!C8</f>
        <v>FDN</v>
      </c>
      <c r="C14" s="67" t="str">
        <f>INDEX($D$2:$AU$2,MATCH($B14,$D$1:$AU$1,0))</f>
        <v>Capim Braquiária Decumbens Feno</v>
      </c>
      <c r="D14" s="67" t="str">
        <f>INDEX($D$3:$AU$3,MATCH($B14,$D$1:$AU$1,0))</f>
        <v>Capim Braquiária Brizantha Feno</v>
      </c>
      <c r="E14" s="67" t="str">
        <f>INDEX($D$4:$AU$4,MATCH($B14,$D$1:$AU$1,0))</f>
        <v>Capim Coast Cross, Feno</v>
      </c>
      <c r="F14" s="66"/>
      <c r="G14" s="68"/>
      <c r="H14" s="68"/>
    </row>
    <row r="15" spans="1:47">
      <c r="B15" s="57" t="str">
        <f>Atendimento!C9</f>
        <v>FDA</v>
      </c>
      <c r="C15" s="67" t="str">
        <f>INDEX($D$2:$AU$2,MATCH($B15,$D$1:$AU$1,0))</f>
        <v>Caju, Coproduto da Indústria do Suco</v>
      </c>
      <c r="D15" s="67" t="str">
        <f t="shared" ref="D15:D57" si="0">INDEX($D$3:$AU$3,MATCH($B15,$D$1:$AU$1,0))</f>
        <v>Acerola, Coproduto</v>
      </c>
      <c r="E15" s="67" t="str">
        <f t="shared" ref="E15:E57" si="1">INDEX($D$4:$AU$4,MATCH($B15,$D$1:$AU$1,0))</f>
        <v>Soja, Casca</v>
      </c>
      <c r="F15" s="103">
        <v>1</v>
      </c>
      <c r="G15" s="103" t="s">
        <v>428</v>
      </c>
    </row>
    <row r="16" spans="1:47">
      <c r="B16" s="57" t="str">
        <f>Atendimento!C10</f>
        <v>CNF</v>
      </c>
      <c r="C16" s="67" t="str">
        <f t="shared" ref="C16:C57" si="2">INDEX($D$2:$AU$2,MATCH($B16,$D$1:$AU$1,0))</f>
        <v>Mandioca, Raspa (BRC3.0)</v>
      </c>
      <c r="D16" s="67" t="str">
        <f>INDEX($D$3:$AU$3,MATCH($B16,$D$1:$AU$1,0))</f>
        <v>Sorgo, Grão (BRC3.0)</v>
      </c>
      <c r="E16" s="67" t="str">
        <f t="shared" si="1"/>
        <v>Melaço</v>
      </c>
      <c r="F16" s="103">
        <v>4</v>
      </c>
      <c r="G16" s="103" t="s">
        <v>429</v>
      </c>
    </row>
    <row r="17" spans="1:7">
      <c r="B17" s="57" t="str">
        <f>Atendimento!C11</f>
        <v>NDT</v>
      </c>
      <c r="C17" s="67" t="str">
        <f>INDEX($D$2:$AU$2,MATCH($B17,$D$1:$AU$1,0))</f>
        <v>Oleo</v>
      </c>
      <c r="D17" s="67" t="str">
        <f t="shared" si="0"/>
        <v>Milho Gérmen, Farelo</v>
      </c>
      <c r="E17" s="67" t="str">
        <f t="shared" si="1"/>
        <v>Soja, Grão</v>
      </c>
      <c r="F17" s="103">
        <v>7</v>
      </c>
      <c r="G17" s="103" t="s">
        <v>430</v>
      </c>
    </row>
    <row r="18" spans="1:7">
      <c r="B18" s="57" t="str">
        <f>Atendimento!C12</f>
        <v>ED</v>
      </c>
      <c r="C18" s="67" t="str">
        <f t="shared" si="2"/>
        <v>Oleo</v>
      </c>
      <c r="D18" s="67" t="str">
        <f>INDEX($D$3:$AU$3,MATCH($B18,$D$1:$AU$1,0))</f>
        <v>Algodão, Caroço</v>
      </c>
      <c r="E18" s="67" t="str">
        <f>INDEX($D$4:$AU$4,MATCH($B18,$D$1:$AU$1,0))</f>
        <v>Trigo, Grão</v>
      </c>
      <c r="F18" s="103">
        <v>10</v>
      </c>
      <c r="G18" s="103" t="s">
        <v>431</v>
      </c>
    </row>
    <row r="19" spans="1:7">
      <c r="B19" s="57" t="str">
        <f>Atendimento!C13</f>
        <v>EM</v>
      </c>
      <c r="C19" s="67" t="str">
        <f t="shared" si="2"/>
        <v>Oleo</v>
      </c>
      <c r="D19" s="67" t="str">
        <f>INDEX($D$3:$AU$3,MATCH($B19,$D$1:$AU$1,0))</f>
        <v>Soja, Grão Tostada</v>
      </c>
      <c r="E19" s="67" t="str">
        <f>INDEX($D$4:$AU$4,MATCH($B19,$D$1:$AU$1,0))</f>
        <v>Milho Glúten 60</v>
      </c>
      <c r="F19" s="66"/>
    </row>
    <row r="20" spans="1:7">
      <c r="B20" s="57" t="str">
        <f>Atendimento!C14</f>
        <v>EL</v>
      </c>
      <c r="C20" s="67" t="str">
        <f t="shared" si="2"/>
        <v>Sem Sugestão</v>
      </c>
      <c r="D20" s="67" t="str">
        <f t="shared" si="0"/>
        <v>Sem Sugestão</v>
      </c>
      <c r="E20" s="67" t="str">
        <f t="shared" si="1"/>
        <v>Sem Sugestão</v>
      </c>
      <c r="F20" s="66"/>
      <c r="G20" s="596" t="str">
        <f>"Ingrediente Cadastrado com maior concetração de "&amp;F21</f>
        <v xml:space="preserve">Ingrediente Cadastrado com maior concetração de </v>
      </c>
    </row>
    <row r="21" spans="1:7">
      <c r="B21" s="57" t="str">
        <f>Atendimento!C15</f>
        <v>EE</v>
      </c>
      <c r="C21" s="67" t="str">
        <f t="shared" si="2"/>
        <v>Oleo</v>
      </c>
      <c r="D21" s="67" t="str">
        <f t="shared" si="0"/>
        <v>Algodão, Caroço</v>
      </c>
      <c r="E21" s="67" t="str">
        <f t="shared" si="1"/>
        <v>Milho Gérmen, Farelo</v>
      </c>
      <c r="F21" s="597"/>
    </row>
    <row r="22" spans="1:7">
      <c r="A22" s="59">
        <v>1</v>
      </c>
      <c r="B22" s="57" t="str">
        <f>Atendimento!C16</f>
        <v>PB</v>
      </c>
      <c r="C22" s="67" t="str">
        <f t="shared" si="2"/>
        <v>Ureia</v>
      </c>
      <c r="D22" s="67" t="str">
        <f t="shared" si="0"/>
        <v>Amiréia</v>
      </c>
      <c r="E22" s="67" t="str">
        <f t="shared" si="1"/>
        <v>Fosbovi Nucleo Proteico</v>
      </c>
      <c r="F22" s="66">
        <f>F21</f>
        <v>0</v>
      </c>
      <c r="G22" s="518" t="str">
        <f>IFERROR(INDEX(D2:AU2,MATCH(F$21,$D$1:$AU$1,0)),"-")</f>
        <v>-</v>
      </c>
    </row>
    <row r="23" spans="1:7">
      <c r="A23" s="59">
        <v>2</v>
      </c>
      <c r="B23" s="57" t="str">
        <f>Atendimento!C17</f>
        <v>PDR</v>
      </c>
      <c r="C23" s="67" t="str">
        <f t="shared" si="2"/>
        <v>Ureia</v>
      </c>
      <c r="D23" s="67" t="str">
        <f>INDEX($D$3:$AU$3,MATCH($B23,$D$1:$AU$1,0))</f>
        <v>Fosbovi Nucleo Proteico</v>
      </c>
      <c r="E23" s="67" t="str">
        <f t="shared" si="1"/>
        <v>Premix Fosquima Confinamento 56 PB</v>
      </c>
      <c r="F23" s="66"/>
      <c r="G23" s="518" t="str">
        <f>IFERROR(INDEX(D3:AU3,MATCH(F$21,$D$1:$AU$1,0)),"-")</f>
        <v>-</v>
      </c>
    </row>
    <row r="24" spans="1:7">
      <c r="A24" s="59">
        <v>3</v>
      </c>
      <c r="B24" s="57" t="str">
        <f>Atendimento!C18</f>
        <v>PNDR</v>
      </c>
      <c r="C24" s="67" t="str">
        <f t="shared" si="2"/>
        <v>Milho Glúten 60</v>
      </c>
      <c r="D24" s="67" t="str">
        <f t="shared" si="0"/>
        <v>Soja, Farelo Extrusado</v>
      </c>
      <c r="E24" s="67" t="str">
        <f t="shared" si="1"/>
        <v>Res. Seco Dest. Com Solúveis, Milho - (DDGS)</v>
      </c>
      <c r="F24" s="66"/>
      <c r="G24" s="518" t="str">
        <f t="shared" ref="G24:G31" si="3">IFERROR(INDEX(D4:AU4,MATCH(F$21,$D$1:$AU$1,0)),"-")</f>
        <v>-</v>
      </c>
    </row>
    <row r="25" spans="1:7">
      <c r="A25" s="59">
        <v>4</v>
      </c>
      <c r="B25" s="57" t="str">
        <f>Atendimento!C19</f>
        <v>PM</v>
      </c>
      <c r="C25" s="67" t="str">
        <f t="shared" si="2"/>
        <v>Fosbovi Nucleo Proteico</v>
      </c>
      <c r="D25" s="67" t="str">
        <f t="shared" si="0"/>
        <v>Milho Glúten 60</v>
      </c>
      <c r="E25" s="67" t="str">
        <f t="shared" si="1"/>
        <v>Premix Fosquima Confinamento 56 PB</v>
      </c>
      <c r="F25" s="66"/>
      <c r="G25" s="518" t="str">
        <f t="shared" si="3"/>
        <v>-</v>
      </c>
    </row>
    <row r="26" spans="1:7">
      <c r="A26" s="59">
        <v>5</v>
      </c>
      <c r="B26" s="57" t="str">
        <f>Atendimento!C20</f>
        <v>PBNNP</v>
      </c>
      <c r="C26" s="67" t="str">
        <f t="shared" si="2"/>
        <v>Ureia</v>
      </c>
      <c r="D26" s="67" t="str">
        <f t="shared" si="0"/>
        <v>Amiréia</v>
      </c>
      <c r="E26" s="67" t="str">
        <f t="shared" si="1"/>
        <v>Nucleo FOSBOVI® CONFINAMENTO CRINA®  N</v>
      </c>
      <c r="F26" s="66"/>
      <c r="G26" s="518" t="str">
        <f>IFERROR(INDEX(D6:AU6,MATCH(F$21,$D$1:$AU$1,0)),"-")</f>
        <v>-</v>
      </c>
    </row>
    <row r="27" spans="1:7">
      <c r="A27" s="59">
        <v>6</v>
      </c>
      <c r="B27" s="57" t="str">
        <f>Atendimento!C21</f>
        <v>Ca</v>
      </c>
      <c r="C27" s="67" t="str">
        <f t="shared" si="2"/>
        <v>Calcário Calcítico</v>
      </c>
      <c r="D27" s="67" t="str">
        <f t="shared" si="0"/>
        <v>Calcário</v>
      </c>
      <c r="E27" s="67" t="str">
        <f t="shared" si="1"/>
        <v>Vit ADE</v>
      </c>
      <c r="F27" s="66"/>
      <c r="G27" s="518" t="str">
        <f t="shared" si="3"/>
        <v>-</v>
      </c>
    </row>
    <row r="28" spans="1:7">
      <c r="A28" s="59">
        <v>7</v>
      </c>
      <c r="B28" s="57" t="str">
        <f>Atendimento!C22</f>
        <v>P</v>
      </c>
      <c r="C28" s="67" t="str">
        <f t="shared" si="2"/>
        <v>Fosfato Bicálcico</v>
      </c>
      <c r="D28" s="67" t="str">
        <f t="shared" si="0"/>
        <v>Mineral Fosbovi 40</v>
      </c>
      <c r="E28" s="67" t="str">
        <f t="shared" si="1"/>
        <v>Mineral Suprasal BRC 160</v>
      </c>
      <c r="F28" s="66"/>
      <c r="G28" s="518" t="str">
        <f t="shared" si="3"/>
        <v>-</v>
      </c>
    </row>
    <row r="29" spans="1:7">
      <c r="A29" s="59">
        <v>8</v>
      </c>
      <c r="B29" s="57" t="str">
        <f>Atendimento!C23</f>
        <v>Mg</v>
      </c>
      <c r="C29" s="67" t="str">
        <f t="shared" si="2"/>
        <v>Óxido de Magnésio</v>
      </c>
      <c r="D29" s="67" t="str">
        <f t="shared" si="0"/>
        <v>Nucleo Confinamento Aep</v>
      </c>
      <c r="E29" s="67" t="str">
        <f t="shared" si="1"/>
        <v>Sulfato Magnésio</v>
      </c>
      <c r="F29" s="66"/>
      <c r="G29" s="518" t="str">
        <f t="shared" si="3"/>
        <v>-</v>
      </c>
    </row>
    <row r="30" spans="1:7">
      <c r="A30" s="59">
        <v>9</v>
      </c>
      <c r="B30" s="57" t="str">
        <f>Atendimento!C24</f>
        <v>Na</v>
      </c>
      <c r="C30" s="67" t="str">
        <f t="shared" si="2"/>
        <v>Sal Comum (BRC)</v>
      </c>
      <c r="D30" s="67" t="str">
        <f t="shared" si="0"/>
        <v>Sal Comum (NaCl)</v>
      </c>
      <c r="E30" s="67" t="str">
        <f t="shared" si="1"/>
        <v>Premix Big Energia</v>
      </c>
      <c r="F30" s="66"/>
      <c r="G30" s="518" t="str">
        <f t="shared" si="3"/>
        <v>-</v>
      </c>
    </row>
    <row r="31" spans="1:7">
      <c r="A31" s="59">
        <v>10</v>
      </c>
      <c r="B31" s="57" t="str">
        <f>Atendimento!C25</f>
        <v>K</v>
      </c>
      <c r="C31" s="67" t="str">
        <f t="shared" si="2"/>
        <v>Cloreto de Potássio</v>
      </c>
      <c r="D31" s="67" t="str">
        <f>INDEX($D$3:$AU$3,MATCH($B31,$D$1:$AU$1,0))</f>
        <v xml:space="preserve">Bicarbonato de K </v>
      </c>
      <c r="E31" s="67" t="str">
        <f t="shared" si="1"/>
        <v>Sal Mineral (Decumbes Seca)</v>
      </c>
      <c r="F31" s="66"/>
      <c r="G31" s="518" t="str">
        <f t="shared" si="3"/>
        <v>-</v>
      </c>
    </row>
    <row r="32" spans="1:7">
      <c r="B32" s="57" t="str">
        <f>Atendimento!C26</f>
        <v>S</v>
      </c>
      <c r="C32" s="67" t="str">
        <f t="shared" si="2"/>
        <v xml:space="preserve">Flor de S </v>
      </c>
      <c r="D32" s="67" t="str">
        <f t="shared" si="0"/>
        <v>Premix Fosbovi Proteico 35</v>
      </c>
      <c r="E32" s="67" t="str">
        <f t="shared" si="1"/>
        <v>Bovitop Nucleo Proteinado</v>
      </c>
      <c r="F32" s="66"/>
    </row>
    <row r="33" spans="2:6">
      <c r="B33" s="57" t="str">
        <f>Atendimento!C27</f>
        <v>Cu</v>
      </c>
      <c r="C33" s="67" t="str">
        <f t="shared" si="2"/>
        <v>Sulfato Cobre</v>
      </c>
      <c r="D33" s="67" t="str">
        <f t="shared" si="0"/>
        <v>Sal Mineral Bezerro (Iomar Mombaça)</v>
      </c>
      <c r="E33" s="67" t="str">
        <f t="shared" si="1"/>
        <v>Nucleo Tortuga</v>
      </c>
      <c r="F33" s="66"/>
    </row>
    <row r="34" spans="2:6">
      <c r="B34" s="57" t="str">
        <f>Atendimento!C28</f>
        <v>Zn</v>
      </c>
      <c r="C34" s="67" t="str">
        <f t="shared" si="2"/>
        <v>Sulfato de Zinco</v>
      </c>
      <c r="D34" s="67" t="str">
        <f t="shared" si="0"/>
        <v>Nucleo Tortuga</v>
      </c>
      <c r="E34" s="67" t="str">
        <f t="shared" si="1"/>
        <v>Sal Mineral Bezerro (Iomar Mombaça)</v>
      </c>
      <c r="F34" s="66"/>
    </row>
    <row r="35" spans="2:6">
      <c r="B35" s="57" t="str">
        <f>Atendimento!C29</f>
        <v>Fe</v>
      </c>
      <c r="C35" s="67" t="str">
        <f t="shared" si="2"/>
        <v>Sulfato Ferro</v>
      </c>
      <c r="D35" s="67" t="str">
        <f t="shared" si="0"/>
        <v>Sal Mineral Vaca Leite Iomar</v>
      </c>
      <c r="E35" s="67" t="str">
        <f t="shared" si="1"/>
        <v>Sal Mineral Bezerro (Iomar Mombaça)</v>
      </c>
      <c r="F35" s="66"/>
    </row>
    <row r="36" spans="2:6">
      <c r="B36" s="57" t="str">
        <f>Atendimento!C30</f>
        <v>Mn</v>
      </c>
      <c r="C36" s="67" t="str">
        <f t="shared" si="2"/>
        <v>Sulfato de Manganês</v>
      </c>
      <c r="D36" s="67" t="str">
        <f t="shared" si="0"/>
        <v>Sal Mineral Bezerro (Iomar Mombaça)</v>
      </c>
      <c r="E36" s="67" t="str">
        <f t="shared" si="1"/>
        <v>Mineral Zeomin Mix</v>
      </c>
      <c r="F36" s="66"/>
    </row>
    <row r="37" spans="2:6">
      <c r="B37" s="57" t="str">
        <f>Atendimento!C31</f>
        <v>I</v>
      </c>
      <c r="C37" s="67" t="str">
        <f t="shared" si="2"/>
        <v>Iodato de Potássio</v>
      </c>
      <c r="D37" s="67" t="str">
        <f t="shared" si="0"/>
        <v>Premix Premiphós 80</v>
      </c>
      <c r="E37" s="67" t="str">
        <f t="shared" si="1"/>
        <v>Nucleo Tortuga</v>
      </c>
      <c r="F37" s="66"/>
    </row>
    <row r="38" spans="2:6">
      <c r="B38" s="57" t="str">
        <f>Atendimento!C32</f>
        <v>Co</v>
      </c>
      <c r="C38" s="67" t="str">
        <f t="shared" si="2"/>
        <v>Sulfato Cobalto</v>
      </c>
      <c r="D38" s="67" t="str">
        <f t="shared" si="0"/>
        <v>Sal Mineral (Ovino Recria)</v>
      </c>
      <c r="E38" s="67" t="str">
        <f t="shared" si="1"/>
        <v>Sal Mineral Vaca Leite Iomar</v>
      </c>
      <c r="F38" s="66"/>
    </row>
    <row r="39" spans="2:6">
      <c r="B39" s="57" t="str">
        <f>Atendimento!C33</f>
        <v>Se</v>
      </c>
      <c r="C39" s="67" t="str">
        <f t="shared" si="2"/>
        <v>Selenito de Sódio</v>
      </c>
      <c r="D39" s="67" t="str">
        <f t="shared" si="0"/>
        <v>Sal Mineral (Pastagem Seca)</v>
      </c>
      <c r="E39" s="67" t="str">
        <f t="shared" si="1"/>
        <v>Nucleo Tortuga</v>
      </c>
      <c r="F39" s="66"/>
    </row>
    <row r="40" spans="2:6">
      <c r="B40" s="57" t="str">
        <f>Atendimento!C34</f>
        <v>Lis</v>
      </c>
      <c r="C40" s="67" t="str">
        <f t="shared" si="2"/>
        <v>Sem Sugestão</v>
      </c>
      <c r="D40" s="67" t="str">
        <f t="shared" si="0"/>
        <v>Sem Sugestão</v>
      </c>
      <c r="E40" s="67" t="str">
        <f t="shared" si="1"/>
        <v>Sem Sugestão</v>
      </c>
      <c r="F40" s="66"/>
    </row>
    <row r="41" spans="2:6">
      <c r="B41" s="57" t="str">
        <f>Atendimento!C35</f>
        <v>Met</v>
      </c>
      <c r="C41" s="67" t="str">
        <f t="shared" si="2"/>
        <v>Sem Sugestão</v>
      </c>
      <c r="D41" s="67" t="str">
        <f t="shared" si="0"/>
        <v>Sem Sugestão</v>
      </c>
      <c r="E41" s="67" t="str">
        <f t="shared" si="1"/>
        <v>Sem Sugestão</v>
      </c>
      <c r="F41" s="66"/>
    </row>
    <row r="42" spans="2:6">
      <c r="B42" s="57" t="str">
        <f>Atendimento!C36</f>
        <v>Mon</v>
      </c>
      <c r="C42" s="67" t="str">
        <f t="shared" si="2"/>
        <v>Sem Sugestão</v>
      </c>
      <c r="D42" s="67" t="str">
        <f t="shared" si="0"/>
        <v>Sem Sugestão</v>
      </c>
      <c r="E42" s="67" t="str">
        <f t="shared" si="1"/>
        <v>Sem Sugestão</v>
      </c>
      <c r="F42" s="66"/>
    </row>
    <row r="43" spans="2:6">
      <c r="B43" s="57" t="str">
        <f>Atendimento!C37</f>
        <v>Vit A</v>
      </c>
      <c r="C43" s="67" t="str">
        <f t="shared" si="2"/>
        <v>Vit ADE</v>
      </c>
      <c r="D43" s="67" t="str">
        <f>INDEX($D$3:$AU$3,MATCH($B43,$D$1:$AU$1,0))</f>
        <v>Nucleo FOSBOVI® CONFINAMENTO CRINA®  N</v>
      </c>
      <c r="E43" s="67" t="str">
        <f t="shared" si="1"/>
        <v>Capim Bahia (Paspalum)</v>
      </c>
      <c r="F43" s="66"/>
    </row>
    <row r="44" spans="2:6">
      <c r="B44" s="57" t="str">
        <f>Atendimento!C38</f>
        <v>Vit B (UI)</v>
      </c>
      <c r="C44" s="67" t="str">
        <f t="shared" si="2"/>
        <v>Sem Sugestão</v>
      </c>
      <c r="D44" s="67" t="str">
        <f t="shared" si="0"/>
        <v>Sem Sugestão</v>
      </c>
      <c r="E44" s="67" t="str">
        <f t="shared" si="1"/>
        <v>Sem Sugestão</v>
      </c>
      <c r="F44" s="66"/>
    </row>
    <row r="45" spans="2:6">
      <c r="B45" s="57" t="str">
        <f>Atendimento!C39</f>
        <v>Vit D (UI)</v>
      </c>
      <c r="C45" s="67" t="str">
        <f>INDEX($D$2:$AU$2,MATCH($B45,$D$1:$AU$1,0))</f>
        <v>Vit ADE</v>
      </c>
      <c r="D45" s="67" t="str">
        <f t="shared" si="0"/>
        <v>Nucleo FOSBOVI® CONFINAMENTO CRINA®  N</v>
      </c>
      <c r="E45" s="67" t="str">
        <f t="shared" si="1"/>
        <v>Sem Sugestão</v>
      </c>
      <c r="F45" s="66"/>
    </row>
    <row r="46" spans="2:6">
      <c r="B46" s="57" t="str">
        <f>Atendimento!C40</f>
        <v>Vit E (UI)</v>
      </c>
      <c r="C46" s="67" t="str">
        <f t="shared" si="2"/>
        <v>Vit ADE</v>
      </c>
      <c r="D46" s="67" t="str">
        <f t="shared" si="0"/>
        <v>Nucleo FOSBOVI® CONFINAMENTO CRINA®  N</v>
      </c>
      <c r="E46" s="67" t="str">
        <f t="shared" si="1"/>
        <v>Sem Sugestão</v>
      </c>
      <c r="F46" s="66"/>
    </row>
    <row r="47" spans="2:6">
      <c r="B47" s="57" t="str">
        <f>Atendimento!C41</f>
        <v>Novo 01</v>
      </c>
      <c r="C47" s="67" t="str">
        <f t="shared" si="2"/>
        <v>Sem Sugestão</v>
      </c>
      <c r="D47" s="67" t="str">
        <f t="shared" si="0"/>
        <v>Sem Sugestão</v>
      </c>
      <c r="E47" s="67" t="str">
        <f t="shared" si="1"/>
        <v>Sem Sugestão</v>
      </c>
      <c r="F47" s="66"/>
    </row>
    <row r="48" spans="2:6">
      <c r="B48" s="57" t="str">
        <f>Atendimento!C42</f>
        <v>Novo 02</v>
      </c>
      <c r="C48" s="67" t="str">
        <f t="shared" si="2"/>
        <v>Sem Sugestão</v>
      </c>
      <c r="D48" s="67" t="str">
        <f t="shared" si="0"/>
        <v>Sem Sugestão</v>
      </c>
      <c r="E48" s="67" t="str">
        <f t="shared" si="1"/>
        <v>Sem Sugestão</v>
      </c>
      <c r="F48" s="66"/>
    </row>
    <row r="49" spans="2:6">
      <c r="B49" s="57" t="str">
        <f>Atendimento!C43</f>
        <v>Novo 03</v>
      </c>
      <c r="C49" s="67" t="str">
        <f t="shared" si="2"/>
        <v>Sem Sugestão</v>
      </c>
      <c r="D49" s="67" t="str">
        <f t="shared" si="0"/>
        <v>Sem Sugestão</v>
      </c>
      <c r="E49" s="67" t="str">
        <f t="shared" si="1"/>
        <v>Sem Sugestão</v>
      </c>
      <c r="F49" s="66"/>
    </row>
    <row r="50" spans="2:6">
      <c r="B50" s="57" t="str">
        <f>Atendimento!C44</f>
        <v>Novo 04</v>
      </c>
      <c r="C50" s="67" t="str">
        <f t="shared" si="2"/>
        <v>Sem Sugestão</v>
      </c>
      <c r="D50" s="67" t="str">
        <f t="shared" si="0"/>
        <v>Sem Sugestão</v>
      </c>
      <c r="E50" s="67" t="str">
        <f t="shared" si="1"/>
        <v>Sem Sugestão</v>
      </c>
      <c r="F50" s="66"/>
    </row>
    <row r="51" spans="2:6">
      <c r="B51" s="57" t="str">
        <f>Atendimento!C45</f>
        <v>Novo 05</v>
      </c>
      <c r="C51" s="67" t="str">
        <f t="shared" si="2"/>
        <v>Sem Sugestão</v>
      </c>
      <c r="D51" s="67" t="str">
        <f t="shared" si="0"/>
        <v>Sem Sugestão</v>
      </c>
      <c r="E51" s="67" t="str">
        <f t="shared" si="1"/>
        <v>Sem Sugestão</v>
      </c>
      <c r="F51" s="66"/>
    </row>
    <row r="52" spans="2:6">
      <c r="B52" s="57" t="str">
        <f>Atendimento!C46</f>
        <v>Novo 06</v>
      </c>
      <c r="C52" s="67" t="str">
        <f t="shared" si="2"/>
        <v>Sem Sugestão</v>
      </c>
      <c r="D52" s="67" t="str">
        <f t="shared" si="0"/>
        <v>Sem Sugestão</v>
      </c>
      <c r="E52" s="67" t="str">
        <f t="shared" si="1"/>
        <v>Sem Sugestão</v>
      </c>
      <c r="F52" s="66"/>
    </row>
    <row r="53" spans="2:6">
      <c r="B53" s="57" t="str">
        <f>Atendimento!C47</f>
        <v>Novo 07</v>
      </c>
      <c r="C53" s="67" t="str">
        <f t="shared" si="2"/>
        <v>Sem Sugestão</v>
      </c>
      <c r="D53" s="67" t="str">
        <f t="shared" si="0"/>
        <v>Sem Sugestão</v>
      </c>
      <c r="E53" s="67" t="str">
        <f t="shared" si="1"/>
        <v>Sem Sugestão</v>
      </c>
      <c r="F53" s="66"/>
    </row>
    <row r="54" spans="2:6">
      <c r="B54" s="57" t="str">
        <f>Atendimento!C48</f>
        <v>Novo 08</v>
      </c>
      <c r="C54" s="67" t="str">
        <f t="shared" si="2"/>
        <v>Sem Sugestão</v>
      </c>
      <c r="D54" s="67" t="str">
        <f t="shared" si="0"/>
        <v>Sem Sugestão</v>
      </c>
      <c r="E54" s="67" t="str">
        <f t="shared" si="1"/>
        <v>Sem Sugestão</v>
      </c>
      <c r="F54" s="66"/>
    </row>
    <row r="55" spans="2:6">
      <c r="B55" s="57" t="str">
        <f>Atendimento!C49</f>
        <v>Novo 09</v>
      </c>
      <c r="C55" s="67" t="str">
        <f t="shared" si="2"/>
        <v>Sem Sugestão</v>
      </c>
      <c r="D55" s="67" t="str">
        <f t="shared" si="0"/>
        <v>Sem Sugestão</v>
      </c>
      <c r="E55" s="67" t="str">
        <f t="shared" si="1"/>
        <v>Sem Sugestão</v>
      </c>
      <c r="F55" s="66"/>
    </row>
    <row r="56" spans="2:6">
      <c r="B56" s="57" t="str">
        <f>Atendimento!C50</f>
        <v>VOL</v>
      </c>
      <c r="C56" s="67" t="str">
        <f t="shared" si="2"/>
        <v>Sem Sugestão</v>
      </c>
      <c r="D56" s="67" t="str">
        <f t="shared" si="0"/>
        <v>Sem Sugestão</v>
      </c>
      <c r="E56" s="67" t="str">
        <f t="shared" si="1"/>
        <v>Sem Sugestão</v>
      </c>
      <c r="F56" s="66"/>
    </row>
    <row r="57" spans="2:6">
      <c r="B57" s="57" t="str">
        <f>Atendimento!C51</f>
        <v>CONC</v>
      </c>
      <c r="C57" s="67" t="str">
        <f t="shared" si="2"/>
        <v>Vantage Nucleo Peso</v>
      </c>
      <c r="D57" s="67" t="str">
        <f t="shared" si="0"/>
        <v>Ureia</v>
      </c>
      <c r="E57" s="67" t="str">
        <f t="shared" si="1"/>
        <v>Sulfato Magnésio</v>
      </c>
      <c r="F57" s="66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13" r:id="rId3" name="Spinner 25">
              <controlPr defaultSize="0" autoPict="0">
                <anchor moveWithCells="1" sizeWithCells="1">
                  <from>
                    <xdr:col>2</xdr:col>
                    <xdr:colOff>304800</xdr:colOff>
                    <xdr:row>1</xdr:row>
                    <xdr:rowOff>57150</xdr:rowOff>
                  </from>
                  <to>
                    <xdr:col>2</xdr:col>
                    <xdr:colOff>657225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5DC47-E81F-42BF-85B9-A38BEFB553FC}">
  <sheetPr codeName="Planilha9"/>
  <dimension ref="A1:AD1016"/>
  <sheetViews>
    <sheetView topLeftCell="A13" zoomScaleNormal="100" workbookViewId="0">
      <selection activeCell="B13" sqref="B13"/>
    </sheetView>
  </sheetViews>
  <sheetFormatPr defaultColWidth="13.25" defaultRowHeight="15"/>
  <cols>
    <col min="1" max="1" width="4.875" style="115" customWidth="1"/>
    <col min="2" max="2" width="26.5" style="115" customWidth="1"/>
    <col min="3" max="3" width="26.25" style="115" customWidth="1"/>
    <col min="4" max="4" width="9.625" style="115" customWidth="1"/>
    <col min="5" max="5" width="58.125" style="115" customWidth="1"/>
    <col min="6" max="6" width="14.625" style="115" customWidth="1"/>
    <col min="7" max="7" width="18.875" style="115" customWidth="1"/>
    <col min="8" max="8" width="22" style="115" customWidth="1"/>
    <col min="9" max="9" width="25.5" style="115" customWidth="1"/>
    <col min="10" max="10" width="12.375" style="117" customWidth="1"/>
    <col min="11" max="11" width="12.375" style="114" customWidth="1"/>
    <col min="12" max="12" width="14" style="114" customWidth="1"/>
    <col min="13" max="16" width="9.875" style="114" customWidth="1"/>
    <col min="17" max="17" width="9.125" style="114" customWidth="1"/>
    <col min="18" max="18" width="7.75" style="114" customWidth="1"/>
    <col min="19" max="19" width="13.875" style="114" customWidth="1"/>
    <col min="20" max="21" width="7.125" style="114" customWidth="1"/>
    <col min="22" max="25" width="6.75" style="114" customWidth="1"/>
    <col min="26" max="30" width="13.25" style="114"/>
    <col min="31" max="16384" width="13.25" style="115"/>
  </cols>
  <sheetData>
    <row r="1" spans="1:30" ht="17.100000000000001" customHeight="1">
      <c r="A1" s="111" t="s">
        <v>500</v>
      </c>
      <c r="B1" s="111"/>
      <c r="C1" s="251"/>
      <c r="D1" s="111"/>
      <c r="E1" s="111"/>
      <c r="F1" s="111"/>
      <c r="G1" s="112"/>
      <c r="H1" s="111"/>
      <c r="I1" s="112"/>
      <c r="J1" s="113"/>
      <c r="K1" s="113">
        <v>1</v>
      </c>
      <c r="L1" s="251">
        <v>0.1</v>
      </c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</row>
    <row r="2" spans="1:30" s="118" customFormat="1" ht="24.95" customHeight="1">
      <c r="A2" s="111"/>
      <c r="B2" s="111"/>
      <c r="C2" s="251"/>
      <c r="D2" s="116"/>
      <c r="E2" s="2029" t="s">
        <v>637</v>
      </c>
      <c r="F2" s="2029"/>
      <c r="G2" s="2029"/>
      <c r="H2" s="2029"/>
      <c r="I2" s="2029"/>
      <c r="J2" s="113"/>
      <c r="K2" s="113">
        <v>2</v>
      </c>
      <c r="L2" s="251">
        <v>0.2</v>
      </c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7"/>
      <c r="AA2" s="117"/>
      <c r="AB2" s="117"/>
      <c r="AC2" s="117"/>
      <c r="AD2" s="117"/>
    </row>
    <row r="3" spans="1:30" s="118" customFormat="1" ht="24.95" customHeight="1">
      <c r="A3" s="249">
        <v>1</v>
      </c>
      <c r="B3" s="250" t="s">
        <v>505</v>
      </c>
      <c r="C3" s="251"/>
      <c r="D3" s="119"/>
      <c r="E3" s="2029"/>
      <c r="F3" s="2029"/>
      <c r="G3" s="2029"/>
      <c r="H3" s="2029"/>
      <c r="I3" s="2029"/>
      <c r="J3" s="113"/>
      <c r="K3" s="113">
        <v>3</v>
      </c>
      <c r="L3" s="251">
        <v>0.3</v>
      </c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7"/>
      <c r="AA3" s="117"/>
      <c r="AB3" s="117"/>
      <c r="AC3" s="117"/>
      <c r="AD3" s="117"/>
    </row>
    <row r="4" spans="1:30" s="118" customFormat="1" ht="24.95" customHeight="1">
      <c r="A4" s="249">
        <v>2</v>
      </c>
      <c r="B4" s="250" t="s">
        <v>537</v>
      </c>
      <c r="C4" s="251"/>
      <c r="D4" s="119"/>
      <c r="E4" s="2029"/>
      <c r="F4" s="2029"/>
      <c r="G4" s="2029"/>
      <c r="H4" s="2029"/>
      <c r="I4" s="2029"/>
      <c r="J4" s="113"/>
      <c r="K4" s="113">
        <v>4</v>
      </c>
      <c r="L4" s="251">
        <v>0.4</v>
      </c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7"/>
      <c r="AA4" s="117"/>
      <c r="AB4" s="117"/>
      <c r="AC4" s="117"/>
      <c r="AD4" s="117"/>
    </row>
    <row r="5" spans="1:30" s="118" customFormat="1" ht="24.95" customHeight="1">
      <c r="A5" s="111"/>
      <c r="B5" s="111"/>
      <c r="C5" s="251"/>
      <c r="D5" s="119"/>
      <c r="E5" s="2029"/>
      <c r="F5" s="2029"/>
      <c r="G5" s="2029"/>
      <c r="H5" s="2029"/>
      <c r="I5" s="2029"/>
      <c r="J5" s="113"/>
      <c r="K5" s="113">
        <v>5</v>
      </c>
      <c r="L5" s="251">
        <v>0.5</v>
      </c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7"/>
      <c r="AA5" s="117"/>
      <c r="AB5" s="117"/>
      <c r="AC5" s="117"/>
      <c r="AD5" s="117"/>
    </row>
    <row r="6" spans="1:30" s="118" customFormat="1" ht="24.95" customHeight="1">
      <c r="A6" s="249">
        <v>1</v>
      </c>
      <c r="B6" s="250" t="str">
        <f>IF(A23=1,"Corte","Corte")</f>
        <v>Corte</v>
      </c>
      <c r="C6" s="251"/>
      <c r="D6" s="111"/>
      <c r="E6" s="111"/>
      <c r="F6" s="111"/>
      <c r="G6" s="112"/>
      <c r="H6" s="111"/>
      <c r="I6" s="112"/>
      <c r="J6" s="120"/>
      <c r="K6" s="113">
        <v>6</v>
      </c>
      <c r="L6" s="251">
        <v>0.6</v>
      </c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7"/>
      <c r="AA6" s="117"/>
      <c r="AB6" s="117"/>
      <c r="AC6" s="117"/>
      <c r="AD6" s="117"/>
    </row>
    <row r="7" spans="1:30" s="118" customFormat="1" ht="35.1" customHeight="1">
      <c r="A7" s="249">
        <v>2</v>
      </c>
      <c r="B7" s="250" t="str">
        <f>IF(A23=1,"Corte","Leite")</f>
        <v>Corte</v>
      </c>
      <c r="C7" s="251"/>
      <c r="D7" s="111"/>
      <c r="E7" s="2030" t="s">
        <v>501</v>
      </c>
      <c r="F7" s="2031"/>
      <c r="G7" s="2031"/>
      <c r="H7" s="2031"/>
      <c r="I7" s="2031"/>
      <c r="J7" s="120"/>
      <c r="K7" s="113">
        <v>7</v>
      </c>
      <c r="L7" s="251">
        <v>0.7</v>
      </c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7"/>
      <c r="AA7" s="117"/>
      <c r="AB7" s="117"/>
      <c r="AC7" s="117"/>
      <c r="AD7" s="117"/>
    </row>
    <row r="8" spans="1:30" s="118" customFormat="1" ht="35.1" customHeight="1">
      <c r="A8" s="249"/>
      <c r="B8" s="250"/>
      <c r="C8" s="251"/>
      <c r="D8" s="112"/>
      <c r="E8" s="121" t="s">
        <v>2</v>
      </c>
      <c r="F8" s="122" t="s">
        <v>257</v>
      </c>
      <c r="G8" s="122" t="s">
        <v>5</v>
      </c>
      <c r="H8" s="122" t="s">
        <v>638</v>
      </c>
      <c r="I8" s="122" t="s">
        <v>638</v>
      </c>
      <c r="J8" s="120"/>
      <c r="K8" s="113">
        <v>8</v>
      </c>
      <c r="L8" s="251">
        <v>0.8</v>
      </c>
      <c r="M8" s="113"/>
      <c r="N8" s="113"/>
      <c r="O8" s="113"/>
      <c r="P8" s="113"/>
      <c r="Q8" s="113"/>
      <c r="R8" s="113"/>
      <c r="S8" s="113" t="s">
        <v>502</v>
      </c>
      <c r="T8" s="113"/>
      <c r="U8" s="113"/>
      <c r="V8" s="113"/>
      <c r="W8" s="113"/>
      <c r="X8" s="99"/>
      <c r="Y8" s="113"/>
      <c r="Z8" s="117"/>
      <c r="AA8" s="117"/>
      <c r="AB8" s="117"/>
      <c r="AC8" s="117"/>
      <c r="AD8" s="117"/>
    </row>
    <row r="9" spans="1:30" s="118" customFormat="1" ht="24.95" customHeight="1">
      <c r="A9" s="249">
        <v>1</v>
      </c>
      <c r="B9" s="250" t="s">
        <v>508</v>
      </c>
      <c r="C9" s="251"/>
      <c r="D9" s="112"/>
      <c r="E9" s="123" t="s">
        <v>351</v>
      </c>
      <c r="F9" s="124" t="s">
        <v>352</v>
      </c>
      <c r="G9" s="125" t="s">
        <v>7</v>
      </c>
      <c r="H9" s="126"/>
      <c r="I9" s="226">
        <f>IF(C26="confinamento",IF(C23="Zebuíno",C91,D91),G91)</f>
        <v>243.3048038276406</v>
      </c>
      <c r="J9" s="127">
        <f>I9/C$29</f>
        <v>0.96934184791888689</v>
      </c>
      <c r="K9" s="113">
        <v>9</v>
      </c>
      <c r="L9" s="251">
        <v>0.9</v>
      </c>
      <c r="M9" s="113"/>
      <c r="N9" s="113"/>
      <c r="O9" s="113"/>
      <c r="P9" s="113"/>
      <c r="Q9" s="113"/>
      <c r="R9" s="113"/>
      <c r="S9" s="113">
        <f>IF(C23="Zebuíno",(-2.7878+(0.08789*C29^0.75)+(5.0487*C30)-(1.6835*C30^2)),IF(C23="Cruzado",(-2.6098+(0.08844*C29^0.75)+(4.4672*C30)-1.3579*C30^2)))</f>
        <v>4.8580353054585519</v>
      </c>
      <c r="T9" s="113"/>
      <c r="U9" s="113"/>
      <c r="V9" s="113"/>
      <c r="W9" s="113"/>
      <c r="X9" s="113"/>
      <c r="Y9" s="113"/>
      <c r="Z9" s="117"/>
      <c r="AA9" s="117"/>
      <c r="AB9" s="117"/>
      <c r="AC9" s="117"/>
      <c r="AD9" s="117"/>
    </row>
    <row r="10" spans="1:30" s="118" customFormat="1" ht="24.95" customHeight="1">
      <c r="A10" s="249">
        <v>2</v>
      </c>
      <c r="B10" s="250" t="s">
        <v>562</v>
      </c>
      <c r="C10" s="251"/>
      <c r="D10" s="112"/>
      <c r="E10" s="128" t="s">
        <v>353</v>
      </c>
      <c r="F10" s="129" t="s">
        <v>354</v>
      </c>
      <c r="G10" s="130" t="s">
        <v>7</v>
      </c>
      <c r="H10" s="131"/>
      <c r="I10" s="226">
        <f>IF(C26="confinamento",IF(C23="Zebuíno",C95,D95),G92)</f>
        <v>212.81484588868489</v>
      </c>
      <c r="J10" s="127">
        <f>I10/C$29</f>
        <v>0.84786791190711108</v>
      </c>
      <c r="K10" s="113">
        <v>10</v>
      </c>
      <c r="L10" s="251">
        <v>1</v>
      </c>
      <c r="M10" s="113"/>
      <c r="N10" s="113"/>
      <c r="O10" s="113"/>
      <c r="P10" s="113"/>
      <c r="Q10" s="113"/>
      <c r="R10" s="113"/>
      <c r="S10" s="113">
        <f>0.07*S9</f>
        <v>0.34006247138209866</v>
      </c>
      <c r="T10" s="113"/>
      <c r="U10" s="113"/>
      <c r="V10" s="113"/>
      <c r="W10" s="113"/>
      <c r="X10" s="113"/>
      <c r="Y10" s="113"/>
      <c r="Z10" s="117"/>
      <c r="AA10" s="117"/>
      <c r="AB10" s="117"/>
      <c r="AC10" s="117"/>
      <c r="AD10" s="117"/>
    </row>
    <row r="11" spans="1:30" s="118" customFormat="1" ht="24.95" customHeight="1">
      <c r="A11" s="249">
        <v>3</v>
      </c>
      <c r="B11" s="250" t="s">
        <v>563</v>
      </c>
      <c r="C11" s="251"/>
      <c r="D11" s="112"/>
      <c r="E11" s="123" t="s">
        <v>355</v>
      </c>
      <c r="F11" s="124" t="s">
        <v>356</v>
      </c>
      <c r="G11" s="125" t="s">
        <v>7</v>
      </c>
      <c r="H11" s="132"/>
      <c r="I11" s="229">
        <f>0.963*C30^1.0151</f>
        <v>0.47648665138135055</v>
      </c>
      <c r="J11" s="127"/>
      <c r="K11" s="113">
        <v>11</v>
      </c>
      <c r="L11" s="251">
        <v>1.1000000000000001</v>
      </c>
      <c r="M11" s="113"/>
      <c r="N11" s="113"/>
      <c r="O11" s="113"/>
      <c r="P11" s="113"/>
      <c r="Q11" s="113"/>
      <c r="R11" s="113"/>
      <c r="S11" s="113">
        <f>0.8*S9</f>
        <v>3.8864282443668419</v>
      </c>
      <c r="T11" s="113"/>
      <c r="U11" s="113"/>
      <c r="V11" s="113"/>
      <c r="W11" s="113"/>
      <c r="X11" s="113"/>
      <c r="Y11" s="113"/>
      <c r="Z11" s="117"/>
      <c r="AA11" s="117"/>
      <c r="AB11" s="117"/>
      <c r="AC11" s="117"/>
      <c r="AD11" s="117"/>
    </row>
    <row r="12" spans="1:30" s="118" customFormat="1" ht="24.95" customHeight="1">
      <c r="A12" s="249">
        <v>4</v>
      </c>
      <c r="B12" s="250" t="s">
        <v>1182</v>
      </c>
      <c r="D12" s="112"/>
      <c r="E12" s="128" t="s">
        <v>357</v>
      </c>
      <c r="F12" s="129" t="s">
        <v>358</v>
      </c>
      <c r="G12" s="130" t="s">
        <v>7</v>
      </c>
      <c r="H12" s="131"/>
      <c r="I12" s="226">
        <f>IF(C23="Zebuíno",C107,IF(C24="corte",D107,E107))</f>
        <v>212.81484588868489</v>
      </c>
      <c r="J12" s="127">
        <f>I12/C$29</f>
        <v>0.84786791190711108</v>
      </c>
      <c r="K12" s="113">
        <v>12</v>
      </c>
      <c r="L12" s="251">
        <v>1.2</v>
      </c>
      <c r="M12" s="113"/>
      <c r="N12" s="113"/>
      <c r="O12" s="113"/>
      <c r="P12" s="113"/>
      <c r="Q12" s="113"/>
      <c r="R12" s="113"/>
      <c r="S12" s="113">
        <f>0.68*S9</f>
        <v>3.3034640077118156</v>
      </c>
      <c r="T12" s="113"/>
      <c r="U12" s="113"/>
      <c r="V12" s="113"/>
      <c r="W12" s="113"/>
      <c r="X12" s="113"/>
      <c r="Y12" s="113"/>
      <c r="Z12" s="117"/>
      <c r="AA12" s="117"/>
      <c r="AB12" s="117"/>
      <c r="AC12" s="117"/>
      <c r="AD12" s="117"/>
    </row>
    <row r="13" spans="1:30" s="118" customFormat="1" ht="24.95" customHeight="1">
      <c r="A13" s="249">
        <v>5</v>
      </c>
      <c r="B13" s="250" t="s">
        <v>1183</v>
      </c>
      <c r="C13" s="251"/>
      <c r="D13" s="133" t="s">
        <v>360</v>
      </c>
      <c r="E13" s="134" t="s">
        <v>359</v>
      </c>
      <c r="F13" s="135" t="s">
        <v>360</v>
      </c>
      <c r="G13" s="136" t="s">
        <v>7</v>
      </c>
      <c r="H13" s="137"/>
      <c r="I13" s="227">
        <f>IF(C23="Zebuíno",C96,IF(C24="Corte",D97,E97))</f>
        <v>4.9106489358158658</v>
      </c>
      <c r="J13" s="127">
        <f>I13/C29</f>
        <v>1.9564338389704644E-2</v>
      </c>
      <c r="K13" s="113">
        <v>13</v>
      </c>
      <c r="L13" s="251">
        <v>1.3</v>
      </c>
      <c r="M13" s="113"/>
      <c r="N13" s="113"/>
      <c r="O13" s="113"/>
      <c r="P13" s="113"/>
      <c r="Q13" s="113"/>
      <c r="R13" s="113"/>
      <c r="S13" s="113">
        <f>0.25*S9</f>
        <v>1.214508826364638</v>
      </c>
      <c r="T13" s="113"/>
      <c r="U13" s="113"/>
      <c r="V13" s="113"/>
      <c r="W13" s="113"/>
      <c r="X13" s="113"/>
      <c r="Y13" s="113"/>
      <c r="Z13" s="117"/>
      <c r="AA13" s="117"/>
      <c r="AB13" s="117"/>
      <c r="AC13" s="117"/>
      <c r="AD13" s="117"/>
    </row>
    <row r="14" spans="1:30" s="118" customFormat="1" ht="24.95" customHeight="1">
      <c r="A14" s="249">
        <v>6</v>
      </c>
      <c r="B14" s="250" t="s">
        <v>1184</v>
      </c>
      <c r="C14" s="251"/>
      <c r="D14" s="133" t="s">
        <v>360</v>
      </c>
      <c r="E14" s="138" t="s">
        <v>361</v>
      </c>
      <c r="F14" s="139" t="s">
        <v>362</v>
      </c>
      <c r="G14" s="140" t="s">
        <v>7</v>
      </c>
      <c r="H14" s="141"/>
      <c r="I14" s="228">
        <f>0.07*I13</f>
        <v>0.34374542550711062</v>
      </c>
      <c r="J14" s="127">
        <f>I14/I$13</f>
        <v>7.0000000000000007E-2</v>
      </c>
      <c r="K14" s="113">
        <v>14</v>
      </c>
      <c r="L14" s="251">
        <v>1.4</v>
      </c>
      <c r="M14" s="113"/>
      <c r="N14" s="113"/>
      <c r="O14" s="113"/>
      <c r="P14" s="113"/>
      <c r="Q14" s="113"/>
      <c r="R14" s="113"/>
      <c r="S14" s="113">
        <f>S15/4.409</f>
        <v>2.8455913857680017</v>
      </c>
      <c r="T14" s="113"/>
      <c r="U14" s="113"/>
      <c r="V14" s="113"/>
      <c r="W14" s="113"/>
      <c r="X14" s="113"/>
      <c r="Y14" s="113"/>
      <c r="Z14" s="117"/>
      <c r="AA14" s="117"/>
      <c r="AB14" s="117"/>
      <c r="AC14" s="117"/>
      <c r="AD14" s="117"/>
    </row>
    <row r="15" spans="1:30" s="118" customFormat="1" ht="24.95" customHeight="1">
      <c r="A15" s="249">
        <v>7</v>
      </c>
      <c r="B15" s="250" t="s">
        <v>1185</v>
      </c>
      <c r="C15" s="251"/>
      <c r="D15" s="133" t="s">
        <v>360</v>
      </c>
      <c r="E15" s="128" t="s">
        <v>363</v>
      </c>
      <c r="F15" s="129" t="s">
        <v>364</v>
      </c>
      <c r="G15" s="130" t="s">
        <v>7</v>
      </c>
      <c r="H15" s="142"/>
      <c r="I15" s="229">
        <f>0.8*I13</f>
        <v>3.9285191486526929</v>
      </c>
      <c r="J15" s="127">
        <f>I15/I$13</f>
        <v>0.8</v>
      </c>
      <c r="K15" s="113">
        <v>15</v>
      </c>
      <c r="L15" s="251">
        <v>1.5</v>
      </c>
      <c r="M15" s="113"/>
      <c r="N15" s="113"/>
      <c r="O15" s="113"/>
      <c r="P15" s="113"/>
      <c r="Q15" s="113"/>
      <c r="R15" s="113"/>
      <c r="S15" s="113">
        <f>S16/0.82</f>
        <v>12.54621241985112</v>
      </c>
      <c r="T15" s="113"/>
      <c r="U15" s="113"/>
      <c r="V15" s="113"/>
      <c r="W15" s="113"/>
      <c r="X15" s="113"/>
      <c r="Y15" s="113"/>
      <c r="Z15" s="117"/>
      <c r="AA15" s="117"/>
      <c r="AB15" s="117"/>
      <c r="AC15" s="117"/>
      <c r="AD15" s="117"/>
    </row>
    <row r="16" spans="1:30" s="118" customFormat="1" ht="24.95" customHeight="1">
      <c r="A16" s="249">
        <v>1</v>
      </c>
      <c r="B16" s="250" t="str">
        <f>IF(A25&gt;3,"Pasto","Pasto")</f>
        <v>Pasto</v>
      </c>
      <c r="C16" s="251"/>
      <c r="D16" s="133" t="s">
        <v>360</v>
      </c>
      <c r="E16" s="123" t="s">
        <v>365</v>
      </c>
      <c r="F16" s="124" t="s">
        <v>366</v>
      </c>
      <c r="G16" s="125" t="s">
        <v>7</v>
      </c>
      <c r="H16" s="132"/>
      <c r="I16" s="229">
        <f t="shared" ref="I16" si="0">0.68*I13</f>
        <v>3.3392412763547892</v>
      </c>
      <c r="J16" s="127">
        <f>I16/I$13</f>
        <v>0.68</v>
      </c>
      <c r="K16" s="113">
        <v>16</v>
      </c>
      <c r="L16" s="251">
        <v>1.6</v>
      </c>
      <c r="M16" s="113"/>
      <c r="N16" s="113"/>
      <c r="O16" s="113"/>
      <c r="P16" s="113"/>
      <c r="Q16" s="113"/>
      <c r="R16" s="113"/>
      <c r="S16" s="113">
        <f>SUM(S17:S18)</f>
        <v>10.287894184277917</v>
      </c>
      <c r="T16" s="113"/>
      <c r="U16" s="113"/>
      <c r="V16" s="113"/>
      <c r="W16" s="113"/>
      <c r="X16" s="113"/>
      <c r="Y16" s="113"/>
      <c r="Z16" s="117"/>
      <c r="AA16" s="117"/>
      <c r="AB16" s="117"/>
      <c r="AC16" s="117"/>
      <c r="AD16" s="117"/>
    </row>
    <row r="17" spans="1:30" s="118" customFormat="1" ht="24.95" customHeight="1">
      <c r="A17" s="249">
        <v>2</v>
      </c>
      <c r="B17" s="250" t="str">
        <f>IF(A25&gt;3,"Pasto","Confinamento")</f>
        <v>Confinamento</v>
      </c>
      <c r="C17" s="251"/>
      <c r="D17" s="133" t="s">
        <v>360</v>
      </c>
      <c r="E17" s="128" t="s">
        <v>367</v>
      </c>
      <c r="F17" s="129" t="s">
        <v>368</v>
      </c>
      <c r="G17" s="130" t="s">
        <v>7</v>
      </c>
      <c r="H17" s="142"/>
      <c r="I17" s="229">
        <f t="shared" ref="I17" si="1">0.25*I13</f>
        <v>1.2276622339539665</v>
      </c>
      <c r="J17" s="127">
        <f>I17/I$13</f>
        <v>0.25</v>
      </c>
      <c r="K17" s="113">
        <v>17</v>
      </c>
      <c r="L17" s="251">
        <v>1.7</v>
      </c>
      <c r="M17" s="113"/>
      <c r="N17" s="113"/>
      <c r="O17" s="113"/>
      <c r="P17" s="113"/>
      <c r="Q17" s="113"/>
      <c r="R17" s="113"/>
      <c r="S17" s="113">
        <f>IF(C26="confinamento",IF(C23="Zebuíno",C171,IF(C23="Cruzado",D171)),IF(C26="pasto",IF(C23="Zebuíno",IF(C25="Macho não castrado",F171,G171),IF(C23="Cruzado",H171))))</f>
        <v>6.6986730900768778</v>
      </c>
      <c r="T17" s="113"/>
      <c r="U17" s="113"/>
      <c r="V17" s="113"/>
      <c r="W17" s="113"/>
      <c r="X17" s="113"/>
      <c r="Y17" s="113"/>
      <c r="Z17" s="117"/>
      <c r="AA17" s="117"/>
      <c r="AB17" s="117"/>
      <c r="AC17" s="117"/>
      <c r="AD17" s="117"/>
    </row>
    <row r="18" spans="1:30" s="118" customFormat="1" ht="24.95" customHeight="1">
      <c r="C18" s="251"/>
      <c r="D18" s="133" t="s">
        <v>360</v>
      </c>
      <c r="E18" s="138" t="s">
        <v>369</v>
      </c>
      <c r="F18" s="143" t="s">
        <v>83</v>
      </c>
      <c r="G18" s="144" t="s">
        <v>7</v>
      </c>
      <c r="H18" s="145"/>
      <c r="I18" s="230">
        <f>I19/4.4</f>
        <v>2.9197072263265507</v>
      </c>
      <c r="J18" s="127">
        <f>I18/I$13</f>
        <v>0.59456647471409274</v>
      </c>
      <c r="K18" s="113">
        <v>18</v>
      </c>
      <c r="L18" s="251">
        <v>1.8</v>
      </c>
      <c r="M18" s="113"/>
      <c r="N18" s="113"/>
      <c r="O18" s="113"/>
      <c r="P18" s="113"/>
      <c r="Q18" s="113"/>
      <c r="R18" s="113"/>
      <c r="S18" s="113">
        <f>IF(C26="confinamento",IF(C23="Zebuíno",C172,IF(C23="Cruzado",D172)),IF(C26="pasto",IF(C23="Zebuíno",IF(C25="Macho não castrado",F172,G172),IF(C23="Cruzado",H172))))</f>
        <v>3.5892210942010387</v>
      </c>
      <c r="T18" s="113"/>
      <c r="U18" s="113"/>
      <c r="V18" s="113"/>
      <c r="W18" s="113"/>
      <c r="X18" s="113"/>
      <c r="Y18" s="113"/>
      <c r="Z18" s="117"/>
      <c r="AA18" s="117"/>
      <c r="AB18" s="117"/>
      <c r="AC18" s="117"/>
      <c r="AD18" s="117"/>
    </row>
    <row r="19" spans="1:30" s="118" customFormat="1" ht="24.95" customHeight="1">
      <c r="A19" s="249">
        <v>1</v>
      </c>
      <c r="B19" s="250" t="s">
        <v>510</v>
      </c>
      <c r="C19" s="251"/>
      <c r="D19" s="133" t="s">
        <v>360</v>
      </c>
      <c r="E19" s="128" t="s">
        <v>370</v>
      </c>
      <c r="F19" s="129" t="s">
        <v>306</v>
      </c>
      <c r="G19" s="130" t="s">
        <v>33</v>
      </c>
      <c r="H19" s="146"/>
      <c r="I19" s="229">
        <f>(((I20/I13)+0.3032)/0.9455)*I13</f>
        <v>12.846711795836825</v>
      </c>
      <c r="J19" s="127"/>
      <c r="K19" s="113">
        <v>19</v>
      </c>
      <c r="L19" s="251">
        <v>1.9</v>
      </c>
      <c r="M19" s="113"/>
      <c r="N19" s="113"/>
      <c r="O19" s="113"/>
      <c r="P19" s="113"/>
      <c r="Q19" s="113"/>
      <c r="R19" s="113"/>
      <c r="S19" s="113">
        <f>IF(C26="confinamento",IF(C23="Zebuíno",IF(C25="Macho não castrado",(C165+C164),IF(C25="macho castrado",(C166+C164),IF(C25="fêmea",(C167+C164)))),IF(C23="Cruzado",IF(C25="Macho não castrado",(D165+D164),IF(C25="macho castrado",(D166+D164),IF(C25="fêmea",(D167+D164)))))),IF(C26="pasto",IF(C23="Zebuíno",IF(C25="Macho não castrado",(F165+F164),IF(C25="macho castrado",(C166+C164),IF(C25="fêmea",(C167+C164)))),IF(C23="Cruzado",IF(C25="Macho não castrado",(D165+D164),IF(C25="macho castrado",(D166+D164),IF(C25="fêmea",(D167+D164))))))))</f>
        <v>5.4954838823258205</v>
      </c>
      <c r="T19" s="113"/>
      <c r="U19" s="113"/>
      <c r="V19" s="113"/>
      <c r="W19" s="113"/>
      <c r="X19" s="113"/>
      <c r="Y19" s="113"/>
      <c r="Z19" s="117"/>
      <c r="AA19" s="117"/>
      <c r="AB19" s="117"/>
      <c r="AC19" s="117"/>
      <c r="AD19" s="117"/>
    </row>
    <row r="20" spans="1:30" s="118" customFormat="1" ht="24.95" customHeight="1">
      <c r="A20" s="249">
        <v>2</v>
      </c>
      <c r="B20" s="250" t="s">
        <v>564</v>
      </c>
      <c r="C20" s="251"/>
      <c r="D20" s="112"/>
      <c r="E20" s="147" t="s">
        <v>371</v>
      </c>
      <c r="F20" s="148" t="s">
        <v>267</v>
      </c>
      <c r="G20" s="149" t="s">
        <v>33</v>
      </c>
      <c r="H20" s="150"/>
      <c r="I20" s="231">
        <f>I21+I22</f>
        <v>10.65765724562435</v>
      </c>
      <c r="J20" s="127"/>
      <c r="K20" s="113">
        <v>20</v>
      </c>
      <c r="L20" s="251">
        <v>2</v>
      </c>
      <c r="M20" s="113"/>
      <c r="N20" s="113"/>
      <c r="O20" s="113"/>
      <c r="P20" s="113"/>
      <c r="Q20" s="113"/>
      <c r="R20" s="113"/>
      <c r="S20" s="113">
        <f>IF(C26="confinamento",IF(C23="Zebuíno",C164,D164),F164)</f>
        <v>4.1757058468194677</v>
      </c>
      <c r="T20" s="113"/>
      <c r="U20" s="113"/>
      <c r="V20" s="113"/>
      <c r="W20" s="113"/>
      <c r="X20" s="113"/>
      <c r="Y20" s="113"/>
      <c r="Z20" s="117"/>
      <c r="AA20" s="117"/>
      <c r="AB20" s="117"/>
      <c r="AC20" s="117"/>
      <c r="AD20" s="117"/>
    </row>
    <row r="21" spans="1:30" s="118" customFormat="1" ht="24.95" customHeight="1">
      <c r="A21" s="111"/>
      <c r="B21" s="111"/>
      <c r="C21" s="111"/>
      <c r="D21" s="112"/>
      <c r="E21" s="128" t="s">
        <v>372</v>
      </c>
      <c r="F21" s="129" t="s">
        <v>373</v>
      </c>
      <c r="G21" s="130" t="s">
        <v>33</v>
      </c>
      <c r="H21" s="146"/>
      <c r="I21" s="229">
        <f>IF(C26="pasto",G110,C116)</f>
        <v>6.6467652048993822</v>
      </c>
      <c r="J21" s="127"/>
      <c r="K21" s="120"/>
      <c r="L21" s="113"/>
      <c r="M21" s="113"/>
      <c r="N21" s="113"/>
      <c r="O21" s="113"/>
      <c r="P21" s="113"/>
      <c r="Q21" s="113"/>
      <c r="R21" s="113"/>
      <c r="S21" s="113">
        <f>IF(C26="confinamento",IF(C23="Zebuíno",C175,D175),F165)</f>
        <v>1.3197780355063526</v>
      </c>
      <c r="T21" s="113"/>
      <c r="U21" s="113"/>
      <c r="V21" s="113"/>
      <c r="W21" s="113"/>
      <c r="X21" s="113"/>
      <c r="Y21" s="113"/>
      <c r="Z21" s="117"/>
      <c r="AA21" s="117"/>
      <c r="AB21" s="117"/>
      <c r="AC21" s="117"/>
      <c r="AD21" s="117"/>
    </row>
    <row r="22" spans="1:30" s="118" customFormat="1" ht="24.95" customHeight="1" thickBot="1">
      <c r="A22" s="111"/>
      <c r="B22" s="2032" t="s">
        <v>503</v>
      </c>
      <c r="C22" s="2033"/>
      <c r="D22" s="112"/>
      <c r="E22" s="123" t="s">
        <v>374</v>
      </c>
      <c r="F22" s="124" t="s">
        <v>375</v>
      </c>
      <c r="G22" s="125" t="s">
        <v>33</v>
      </c>
      <c r="H22" s="151"/>
      <c r="I22" s="229">
        <f>IF(C26="pasto",G111,C117)</f>
        <v>4.0108920407249684</v>
      </c>
      <c r="J22" s="127"/>
      <c r="K22" s="120"/>
      <c r="L22" s="113"/>
      <c r="M22" s="113"/>
      <c r="N22" s="113"/>
      <c r="O22" s="113"/>
      <c r="P22" s="113"/>
      <c r="Q22" s="113"/>
      <c r="R22" s="113"/>
      <c r="S22" s="113">
        <f>IF(C26="confinamento",IF(C23="Zebuíno",C170,D170),F170)*100</f>
        <v>62.336313336519979</v>
      </c>
      <c r="T22" s="113"/>
      <c r="U22" s="113"/>
      <c r="V22" s="113"/>
      <c r="W22" s="113"/>
      <c r="X22" s="113"/>
      <c r="Y22" s="113"/>
      <c r="Z22" s="117"/>
      <c r="AA22" s="117"/>
      <c r="AB22" s="117"/>
      <c r="AC22" s="117"/>
      <c r="AD22" s="117"/>
    </row>
    <row r="23" spans="1:30" s="118" customFormat="1" ht="24.95" customHeight="1">
      <c r="A23" s="256">
        <v>1</v>
      </c>
      <c r="B23" s="2034" t="s">
        <v>504</v>
      </c>
      <c r="C23" s="152" t="str">
        <f>INDEX(B3:B4,MATCH(A23,A3:A4,0))</f>
        <v>Zebuíno</v>
      </c>
      <c r="D23" s="112"/>
      <c r="E23" s="153" t="s">
        <v>376</v>
      </c>
      <c r="F23" s="154" t="s">
        <v>268</v>
      </c>
      <c r="G23" s="155" t="s">
        <v>33</v>
      </c>
      <c r="H23" s="156"/>
      <c r="I23" s="231">
        <f>SUM(I24:I25)</f>
        <v>5.7569316554850714</v>
      </c>
      <c r="J23" s="127"/>
      <c r="K23" s="120"/>
      <c r="L23" s="113"/>
      <c r="M23" s="113"/>
      <c r="N23" s="113"/>
      <c r="O23" s="113"/>
      <c r="P23" s="113"/>
      <c r="Q23" s="113"/>
      <c r="R23" s="113"/>
      <c r="S23" s="113">
        <f>IF(C26="confinamento",IF(C23="Zebuíno",C169,D169),F169)*100</f>
        <v>36.770597320924736</v>
      </c>
      <c r="T23" s="113"/>
      <c r="U23" s="113"/>
      <c r="V23" s="113"/>
      <c r="W23" s="113"/>
      <c r="X23" s="113"/>
      <c r="Y23" s="113"/>
      <c r="Z23" s="117"/>
      <c r="AA23" s="117"/>
      <c r="AB23" s="117"/>
      <c r="AC23" s="117"/>
      <c r="AD23" s="117"/>
    </row>
    <row r="24" spans="1:30" s="118" customFormat="1" ht="24.95" customHeight="1">
      <c r="A24" s="256">
        <v>1</v>
      </c>
      <c r="B24" s="2035"/>
      <c r="C24" s="157" t="str">
        <f>IF(A23=1,"Corte",INDEX(B6:B7,MATCH(A24,A6:A7,0)))</f>
        <v>Corte</v>
      </c>
      <c r="D24" s="158">
        <v>649.99539672471451</v>
      </c>
      <c r="E24" s="123" t="s">
        <v>377</v>
      </c>
      <c r="F24" s="124" t="s">
        <v>378</v>
      </c>
      <c r="G24" s="125" t="s">
        <v>33</v>
      </c>
      <c r="H24" s="132"/>
      <c r="I24" s="229">
        <f>IF(C23="Zebuíno",C108,D108)</f>
        <v>4.1789069796287457</v>
      </c>
      <c r="J24" s="127"/>
      <c r="K24" s="120"/>
      <c r="L24" s="113"/>
      <c r="M24" s="113"/>
      <c r="N24" s="113"/>
      <c r="O24" s="113"/>
      <c r="P24" s="113"/>
      <c r="Q24" s="113"/>
      <c r="R24" s="113"/>
      <c r="S24" s="113">
        <f>S25+S28</f>
        <v>614.98501757461736</v>
      </c>
      <c r="T24" s="113"/>
      <c r="U24" s="113"/>
      <c r="V24" s="113"/>
      <c r="W24" s="113"/>
      <c r="X24" s="113"/>
      <c r="Y24" s="113"/>
      <c r="Z24" s="117"/>
      <c r="AA24" s="117"/>
      <c r="AB24" s="117"/>
      <c r="AC24" s="117"/>
      <c r="AD24" s="117"/>
    </row>
    <row r="25" spans="1:30" s="118" customFormat="1" ht="24.95" customHeight="1">
      <c r="A25" s="256">
        <v>1</v>
      </c>
      <c r="B25" s="159" t="s">
        <v>507</v>
      </c>
      <c r="C25" s="157" t="str">
        <f>INDEX(B9:B15,MATCH(A25,A9:A15,0))</f>
        <v>Macho não castrado</v>
      </c>
      <c r="D25" s="112"/>
      <c r="E25" s="128" t="s">
        <v>379</v>
      </c>
      <c r="F25" s="129" t="s">
        <v>380</v>
      </c>
      <c r="G25" s="130" t="s">
        <v>33</v>
      </c>
      <c r="H25" s="142"/>
      <c r="I25" s="229">
        <f>IF(C26="confinamento",C110,G105)</f>
        <v>1.5780246758563259</v>
      </c>
      <c r="J25" s="127"/>
      <c r="K25" s="120"/>
      <c r="L25" s="113"/>
      <c r="M25" s="113"/>
      <c r="N25" s="113"/>
      <c r="O25" s="113"/>
      <c r="P25" s="113"/>
      <c r="Q25" s="113"/>
      <c r="R25" s="113"/>
      <c r="S25" s="113">
        <f>IF(C26="confinamento",IF(C23="Zebuíno",C198,IF(C23="Cruzado",D198)),IF(C26="pasto",IF(C23="Zebuíno",IF(C25="Macho não castrado",F198,C198),IF(C23="Cruzado",D198))))</f>
        <v>379.03277258429785</v>
      </c>
      <c r="T25" s="113"/>
      <c r="U25" s="113"/>
      <c r="V25" s="113"/>
      <c r="W25" s="113"/>
      <c r="X25" s="113"/>
      <c r="Y25" s="113"/>
      <c r="Z25" s="117"/>
      <c r="AA25" s="117"/>
      <c r="AB25" s="117"/>
      <c r="AC25" s="117"/>
      <c r="AD25" s="117"/>
    </row>
    <row r="26" spans="1:30" s="118" customFormat="1" ht="24.95" customHeight="1">
      <c r="A26" s="256">
        <v>2</v>
      </c>
      <c r="B26" s="159" t="s">
        <v>509</v>
      </c>
      <c r="C26" s="157" t="str">
        <f>IF(A25&gt;3,"Pasto",INDEX(B16:B17,MATCH(A26,A16:A17,0)))</f>
        <v>Confinamento</v>
      </c>
      <c r="D26" s="112"/>
      <c r="E26" s="123" t="s">
        <v>381</v>
      </c>
      <c r="F26" s="124" t="s">
        <v>382</v>
      </c>
      <c r="G26" s="125" t="s">
        <v>322</v>
      </c>
      <c r="H26" s="151"/>
      <c r="I26" s="229">
        <f>IF(C26="pasto",G108,C114)*100</f>
        <v>62.871289278406294</v>
      </c>
      <c r="J26" s="127"/>
      <c r="K26" s="120"/>
      <c r="L26" s="113"/>
      <c r="M26" s="113"/>
      <c r="N26" s="113"/>
      <c r="O26" s="113"/>
      <c r="P26" s="113"/>
      <c r="Q26" s="113"/>
      <c r="R26" s="113"/>
      <c r="S26" s="113">
        <f>(S25/S24)*100</f>
        <v>61.632846614561473</v>
      </c>
      <c r="T26" s="113"/>
      <c r="U26" s="113"/>
      <c r="V26" s="113"/>
      <c r="W26" s="113"/>
      <c r="X26" s="113"/>
      <c r="Y26" s="113"/>
      <c r="Z26" s="117"/>
      <c r="AA26" s="117"/>
      <c r="AB26" s="117"/>
      <c r="AC26" s="117"/>
      <c r="AD26" s="117"/>
    </row>
    <row r="27" spans="1:30" s="118" customFormat="1" ht="24.95" customHeight="1">
      <c r="A27" s="256"/>
      <c r="B27" s="159" t="s">
        <v>511</v>
      </c>
      <c r="C27" s="160">
        <f>BC!C5</f>
        <v>251</v>
      </c>
      <c r="D27" s="112"/>
      <c r="E27" s="128" t="s">
        <v>383</v>
      </c>
      <c r="F27" s="129" t="s">
        <v>7</v>
      </c>
      <c r="G27" s="130" t="s">
        <v>322</v>
      </c>
      <c r="H27" s="146"/>
      <c r="I27" s="229">
        <f>IF(C26="pasto",G107,C112)*100</f>
        <v>39.343484188397603</v>
      </c>
      <c r="J27" s="127"/>
      <c r="K27" s="120"/>
      <c r="L27" s="113"/>
      <c r="M27" s="113"/>
      <c r="N27" s="113"/>
      <c r="O27" s="113"/>
      <c r="P27" s="113"/>
      <c r="Q27" s="113"/>
      <c r="R27" s="113"/>
      <c r="S27" s="113">
        <f>120*S14</f>
        <v>341.4709662921602</v>
      </c>
      <c r="T27" s="113"/>
      <c r="U27" s="113"/>
      <c r="V27" s="113"/>
      <c r="W27" s="113"/>
      <c r="X27" s="113"/>
      <c r="Y27" s="113"/>
      <c r="Z27" s="117"/>
      <c r="AA27" s="117"/>
      <c r="AB27" s="117"/>
      <c r="AC27" s="117"/>
      <c r="AD27" s="117"/>
    </row>
    <row r="28" spans="1:30" s="118" customFormat="1" ht="24.95" customHeight="1">
      <c r="A28" s="256"/>
      <c r="B28" s="159" t="s">
        <v>512</v>
      </c>
      <c r="C28" s="160">
        <f>C27</f>
        <v>251</v>
      </c>
      <c r="D28" s="112"/>
      <c r="E28" s="161" t="s">
        <v>269</v>
      </c>
      <c r="F28" s="162" t="s">
        <v>270</v>
      </c>
      <c r="G28" s="163" t="s">
        <v>10</v>
      </c>
      <c r="H28" s="164"/>
      <c r="I28" s="232">
        <f>PBmic!A100*1000</f>
        <v>523.08217564884706</v>
      </c>
      <c r="J28" s="127">
        <f>I28/I$13/1000</f>
        <v>0.10651996965894714</v>
      </c>
      <c r="K28" s="120"/>
      <c r="L28" s="113"/>
      <c r="M28" s="113"/>
      <c r="N28" s="113"/>
      <c r="O28" s="113"/>
      <c r="P28" s="113"/>
      <c r="Q28" s="113"/>
      <c r="R28" s="113"/>
      <c r="S28" s="113">
        <f>IF(C26="confinamento",IF(C23="Zebuíno",C199,IF(C23="Cruzado",D199)),IF(C26="pasto",IF(C23="Zebuíno",IF(C25="Macho não castrado",F199,G199),IF(C23="Cruzado",H199))))</f>
        <v>235.95224499031949</v>
      </c>
      <c r="T28" s="113"/>
      <c r="U28" s="113"/>
      <c r="V28" s="113"/>
      <c r="W28" s="113"/>
      <c r="X28" s="113"/>
      <c r="Y28" s="113"/>
      <c r="Z28" s="117"/>
      <c r="AA28" s="117"/>
      <c r="AB28" s="117"/>
      <c r="AC28" s="117"/>
      <c r="AD28" s="117"/>
    </row>
    <row r="29" spans="1:30" s="118" customFormat="1" ht="24.95" customHeight="1">
      <c r="A29" s="256"/>
      <c r="B29" s="165" t="s">
        <v>513</v>
      </c>
      <c r="C29" s="166">
        <f>AVERAGE(C27:C28)</f>
        <v>251</v>
      </c>
      <c r="D29" s="112"/>
      <c r="E29" s="167" t="s">
        <v>273</v>
      </c>
      <c r="F29" s="168" t="s">
        <v>274</v>
      </c>
      <c r="G29" s="169" t="s">
        <v>10</v>
      </c>
      <c r="H29" s="170"/>
      <c r="I29" s="232">
        <f>I31</f>
        <v>344.81046301200382</v>
      </c>
      <c r="J29" s="127">
        <f>I29/I$13/1000</f>
        <v>7.0216883250831752E-2</v>
      </c>
      <c r="K29" s="120"/>
      <c r="L29" s="113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7"/>
      <c r="AA29" s="117"/>
      <c r="AB29" s="117"/>
      <c r="AC29" s="117"/>
      <c r="AD29" s="117"/>
    </row>
    <row r="30" spans="1:30" s="118" customFormat="1" ht="24.95" customHeight="1" thickBot="1">
      <c r="A30" s="256">
        <v>5</v>
      </c>
      <c r="B30" s="171" t="s">
        <v>514</v>
      </c>
      <c r="C30" s="172">
        <f>GMD.2</f>
        <v>0.5</v>
      </c>
      <c r="D30" s="112"/>
      <c r="E30" s="128" t="s">
        <v>273</v>
      </c>
      <c r="F30" s="129" t="s">
        <v>274</v>
      </c>
      <c r="G30" s="130" t="s">
        <v>384</v>
      </c>
      <c r="H30" s="146"/>
      <c r="I30" s="229">
        <f>(I29/I28)*100</f>
        <v>65.91898540306606</v>
      </c>
      <c r="J30" s="127">
        <f>I30/I28</f>
        <v>0.12602032428518167</v>
      </c>
      <c r="K30" s="120"/>
      <c r="L30" s="113"/>
      <c r="M30" s="113"/>
      <c r="N30" s="113"/>
      <c r="O30" s="113"/>
      <c r="P30" s="113"/>
      <c r="Q30" s="113"/>
      <c r="R30" s="113"/>
      <c r="S30" s="113">
        <f>(S28/S24)*100</f>
        <v>38.36715338543852</v>
      </c>
      <c r="T30" s="113"/>
      <c r="U30" s="113"/>
      <c r="V30" s="113"/>
      <c r="W30" s="113"/>
      <c r="X30" s="113"/>
      <c r="Y30" s="113"/>
      <c r="Z30" s="117"/>
      <c r="AA30" s="117"/>
      <c r="AB30" s="117"/>
      <c r="AC30" s="117"/>
      <c r="AD30" s="117"/>
    </row>
    <row r="31" spans="1:30" s="118" customFormat="1" ht="24.95" customHeight="1">
      <c r="A31" s="111"/>
      <c r="B31" s="111"/>
      <c r="C31" s="111"/>
      <c r="D31" s="112"/>
      <c r="E31" s="123" t="s">
        <v>385</v>
      </c>
      <c r="F31" s="124" t="s">
        <v>386</v>
      </c>
      <c r="G31" s="125" t="s">
        <v>10</v>
      </c>
      <c r="H31" s="126"/>
      <c r="I31" s="229">
        <f>PBmic!B100</f>
        <v>344.81046301200382</v>
      </c>
      <c r="J31" s="127"/>
      <c r="K31" s="120"/>
      <c r="L31" s="113"/>
      <c r="M31" s="113"/>
      <c r="N31" s="113"/>
      <c r="O31" s="113"/>
      <c r="P31" s="113"/>
      <c r="Q31" s="113"/>
      <c r="R31" s="113"/>
      <c r="S31" s="113">
        <f>S32+S33</f>
        <v>407.30321441923815</v>
      </c>
      <c r="T31" s="113"/>
      <c r="U31" s="113"/>
      <c r="V31" s="113"/>
      <c r="W31" s="113"/>
      <c r="X31" s="113"/>
      <c r="Y31" s="113"/>
      <c r="Z31" s="117"/>
      <c r="AA31" s="117"/>
      <c r="AB31" s="117"/>
      <c r="AC31" s="117"/>
      <c r="AD31" s="117"/>
    </row>
    <row r="32" spans="1:30" s="118" customFormat="1" ht="24.95" customHeight="1">
      <c r="A32" s="111"/>
      <c r="B32" s="111"/>
      <c r="C32" s="111"/>
      <c r="D32" s="112" t="s">
        <v>360</v>
      </c>
      <c r="E32" s="123" t="s">
        <v>387</v>
      </c>
      <c r="F32" s="124" t="s">
        <v>388</v>
      </c>
      <c r="G32" s="125" t="s">
        <v>389</v>
      </c>
      <c r="H32" s="126"/>
      <c r="I32" s="229">
        <f>I31/I18</f>
        <v>118.09761605646653</v>
      </c>
      <c r="J32" s="127"/>
      <c r="K32" s="120"/>
      <c r="L32" s="113"/>
      <c r="M32" s="113"/>
      <c r="N32" s="113"/>
      <c r="O32" s="113"/>
      <c r="P32" s="113"/>
      <c r="Q32" s="113"/>
      <c r="R32" s="113"/>
      <c r="S32" s="113">
        <f>IF(C26="confinamento",IF(C23="Zebuíno",C195,IF(C23="Cruzado",D195)),IF(C26="pasto",IF(C23="Zebuíno",IF(C25="Macho não castrado",F195,G195),IF(C23="Cruzado",H195))))</f>
        <v>252.24076939167375</v>
      </c>
      <c r="T32" s="113"/>
      <c r="U32" s="113"/>
      <c r="V32" s="113"/>
      <c r="W32" s="113"/>
      <c r="X32" s="113"/>
      <c r="Y32" s="113"/>
      <c r="Z32" s="117"/>
      <c r="AA32" s="117"/>
      <c r="AB32" s="117"/>
      <c r="AC32" s="117"/>
      <c r="AD32" s="117"/>
    </row>
    <row r="33" spans="1:30" s="118" customFormat="1" ht="24.95" customHeight="1">
      <c r="A33" s="111"/>
      <c r="B33" s="111"/>
      <c r="C33" s="111"/>
      <c r="D33" s="112"/>
      <c r="E33" s="167" t="s">
        <v>275</v>
      </c>
      <c r="F33" s="168" t="s">
        <v>276</v>
      </c>
      <c r="G33" s="169" t="s">
        <v>10</v>
      </c>
      <c r="H33" s="170"/>
      <c r="I33" s="232">
        <f>(I35-(I31*0.64))/0.8</f>
        <v>178.27171263684323</v>
      </c>
      <c r="J33" s="127">
        <f>I33/I$13/1000</f>
        <v>3.6303086408115387E-2</v>
      </c>
      <c r="K33" s="120"/>
      <c r="L33" s="113"/>
      <c r="M33" s="113"/>
      <c r="N33" s="113"/>
      <c r="O33" s="113"/>
      <c r="P33" s="113"/>
      <c r="Q33" s="113"/>
      <c r="R33" s="113"/>
      <c r="S33" s="113">
        <f>IF(C26="confinamento",IF(C23="Zebuíno",C194,IF(C23="Cruzado",D194)),IF(C26="pasto",IF(C23="Zebuíno",IF(C25="Macho não castrado",F194,C194),IF(C23="Cruzado",D194))))</f>
        <v>155.06244502756439</v>
      </c>
      <c r="T33" s="113"/>
      <c r="U33" s="113"/>
      <c r="V33" s="113"/>
      <c r="W33" s="113"/>
      <c r="X33" s="113"/>
      <c r="Y33" s="113"/>
      <c r="Z33" s="117"/>
      <c r="AA33" s="117"/>
      <c r="AB33" s="117"/>
      <c r="AC33" s="117"/>
      <c r="AD33" s="117"/>
    </row>
    <row r="34" spans="1:30" s="118" customFormat="1" ht="24.95" customHeight="1">
      <c r="A34" s="111"/>
      <c r="B34" s="111"/>
      <c r="C34" s="111"/>
      <c r="D34" s="112"/>
      <c r="E34" s="128" t="s">
        <v>275</v>
      </c>
      <c r="F34" s="129" t="s">
        <v>276</v>
      </c>
      <c r="G34" s="130" t="s">
        <v>384</v>
      </c>
      <c r="H34" s="146"/>
      <c r="I34" s="229">
        <f>(I33/I28)*100</f>
        <v>34.081014596933947</v>
      </c>
      <c r="J34" s="127">
        <f>I34/I28</f>
        <v>6.5154226589080044E-2</v>
      </c>
      <c r="K34" s="120"/>
      <c r="L34" s="113"/>
      <c r="M34" s="113"/>
      <c r="N34" s="113"/>
      <c r="O34" s="113"/>
      <c r="P34" s="113"/>
      <c r="Q34" s="113"/>
      <c r="R34" s="113"/>
      <c r="S34" s="113">
        <f>IF(C26="confinamento",IF(C23="Zebuíno",C191,D191),F188)</f>
        <v>90.940205403260393</v>
      </c>
      <c r="T34" s="113"/>
      <c r="U34" s="113"/>
      <c r="V34" s="113"/>
      <c r="W34" s="113"/>
      <c r="X34" s="113"/>
      <c r="Y34" s="113"/>
      <c r="Z34" s="117"/>
      <c r="AA34" s="117"/>
      <c r="AB34" s="117"/>
      <c r="AC34" s="117"/>
      <c r="AD34" s="117"/>
    </row>
    <row r="35" spans="1:30" s="118" customFormat="1" ht="24.95" customHeight="1">
      <c r="A35" s="111"/>
      <c r="B35" s="111"/>
      <c r="C35" s="111"/>
      <c r="D35" s="112"/>
      <c r="E35" s="123" t="s">
        <v>390</v>
      </c>
      <c r="F35" s="124" t="s">
        <v>272</v>
      </c>
      <c r="G35" s="125" t="s">
        <v>10</v>
      </c>
      <c r="H35" s="126"/>
      <c r="I35" s="229">
        <f>I36+I37</f>
        <v>363.29606643715704</v>
      </c>
      <c r="J35" s="127"/>
      <c r="K35" s="120"/>
      <c r="L35" s="113"/>
      <c r="M35" s="113"/>
      <c r="N35" s="113"/>
      <c r="O35" s="113"/>
      <c r="P35" s="113"/>
      <c r="Q35" s="113"/>
      <c r="R35" s="113"/>
      <c r="S35" s="113">
        <f>IF(C26="confinamento",IF(C23="Zebuíno",IF(S67&lt;=350,C192,C193),IF(S67&lt;=350,D192,D193)),IF(S67&lt;=350,F192,F193))*100</f>
        <v>58.647472885581401</v>
      </c>
      <c r="T35" s="113"/>
      <c r="U35" s="113"/>
      <c r="V35" s="113"/>
      <c r="W35" s="113"/>
      <c r="X35" s="113"/>
      <c r="Y35" s="113"/>
      <c r="Z35" s="117"/>
      <c r="AA35" s="117"/>
      <c r="AB35" s="117"/>
      <c r="AC35" s="117"/>
      <c r="AD35" s="117"/>
    </row>
    <row r="36" spans="1:30" s="118" customFormat="1" ht="24.95" customHeight="1" thickBot="1">
      <c r="A36" s="111"/>
      <c r="B36" s="2032" t="s">
        <v>515</v>
      </c>
      <c r="C36" s="2036"/>
      <c r="D36" s="112"/>
      <c r="E36" s="128" t="s">
        <v>391</v>
      </c>
      <c r="F36" s="129" t="s">
        <v>392</v>
      </c>
      <c r="G36" s="130" t="s">
        <v>10</v>
      </c>
      <c r="H36" s="131"/>
      <c r="I36" s="229">
        <f>IF(C26="pasto",G125,C125)</f>
        <v>221.77649401404111</v>
      </c>
      <c r="J36" s="127"/>
      <c r="K36" s="120"/>
      <c r="L36" s="113"/>
      <c r="M36" s="113"/>
      <c r="N36" s="113"/>
      <c r="O36" s="113"/>
      <c r="P36" s="113"/>
      <c r="Q36" s="113"/>
      <c r="R36" s="113"/>
      <c r="S36" s="113">
        <f>IF(C26="confinamento",IF(C23="Zebuíno",C213,IF(C23="Cruzado",D213)),IF(C26="pasto",IF(C23="Zebuíno",IF(C25="Macho não castrado",F213,G213),IF(C23="Cruzado",H213))))</f>
        <v>17.050647377829797</v>
      </c>
      <c r="T36" s="113"/>
      <c r="U36" s="113"/>
      <c r="V36" s="113"/>
      <c r="W36" s="113"/>
      <c r="X36" s="113"/>
      <c r="Y36" s="113"/>
      <c r="Z36" s="117"/>
      <c r="AA36" s="117"/>
      <c r="AB36" s="117"/>
      <c r="AC36" s="117"/>
      <c r="AD36" s="117"/>
    </row>
    <row r="37" spans="1:30" s="118" customFormat="1" ht="24.95" customHeight="1">
      <c r="A37" s="111"/>
      <c r="B37" s="173" t="s">
        <v>516</v>
      </c>
      <c r="C37" s="174"/>
      <c r="D37" s="112"/>
      <c r="E37" s="123" t="s">
        <v>393</v>
      </c>
      <c r="F37" s="124" t="s">
        <v>394</v>
      </c>
      <c r="G37" s="125" t="s">
        <v>10</v>
      </c>
      <c r="H37" s="126"/>
      <c r="I37" s="229">
        <f>I38/IF(I9&lt;=340,84.665-0.1179*I12,47.4)*100</f>
        <v>141.5195724231159</v>
      </c>
      <c r="J37" s="127"/>
      <c r="K37" s="120"/>
      <c r="L37" s="113"/>
      <c r="M37" s="113"/>
      <c r="N37" s="113"/>
      <c r="O37" s="113"/>
      <c r="P37" s="113"/>
      <c r="Q37" s="113"/>
      <c r="R37" s="113"/>
      <c r="S37" s="113">
        <f>IF(C26="confinamento",IF(C23="Zebuíno",C212,IF(C23="Cruzado",D212)),IF(C26="pasto",IF(C23="Zebuíno",IF(C25="Macho não castrado",F212,G212),IF(C23="Cruzado",H212))))</f>
        <v>7.0279999999999996</v>
      </c>
      <c r="T37" s="113"/>
      <c r="U37" s="113"/>
      <c r="V37" s="113"/>
      <c r="W37" s="113"/>
      <c r="X37" s="113"/>
      <c r="Y37" s="113"/>
      <c r="Z37" s="117"/>
      <c r="AA37" s="117"/>
      <c r="AB37" s="117"/>
      <c r="AC37" s="117"/>
      <c r="AD37" s="117"/>
    </row>
    <row r="38" spans="1:30" s="118" customFormat="1" ht="24.95" customHeight="1">
      <c r="A38" s="111"/>
      <c r="B38" s="175" t="s">
        <v>517</v>
      </c>
      <c r="C38" s="176"/>
      <c r="D38" s="112"/>
      <c r="E38" s="128" t="s">
        <v>395</v>
      </c>
      <c r="F38" s="129" t="s">
        <v>396</v>
      </c>
      <c r="G38" s="130" t="s">
        <v>10</v>
      </c>
      <c r="H38" s="131"/>
      <c r="I38" s="229">
        <f>IF(C26="pasto",G126,C130)</f>
        <v>84.309053583386117</v>
      </c>
      <c r="J38" s="127"/>
      <c r="K38" s="120"/>
      <c r="L38" s="113"/>
      <c r="M38" s="113"/>
      <c r="N38" s="113"/>
      <c r="O38" s="113"/>
      <c r="P38" s="113"/>
      <c r="Q38" s="113"/>
      <c r="R38" s="113"/>
      <c r="S38" s="113">
        <f>IF(C26="confinamento",IF(C23="Zebuíno",C211,IF(C23="Cruzado",D211)),IF(C26="pasto",IF(C23="Zebuíno",IF(C25="Macho não castrado",F211,G211),IF(C23="Cruzado",H211))))</f>
        <v>10.022647377829797</v>
      </c>
      <c r="T38" s="113"/>
      <c r="U38" s="113"/>
      <c r="V38" s="113"/>
      <c r="W38" s="113"/>
      <c r="X38" s="113"/>
      <c r="Y38" s="113"/>
      <c r="Z38" s="117"/>
      <c r="AA38" s="117"/>
      <c r="AB38" s="117"/>
      <c r="AC38" s="117"/>
      <c r="AD38" s="117"/>
    </row>
    <row r="39" spans="1:30" s="118" customFormat="1" ht="24.95" customHeight="1">
      <c r="A39" s="111"/>
      <c r="B39" s="175" t="s">
        <v>518</v>
      </c>
      <c r="C39" s="176"/>
      <c r="D39" s="112"/>
      <c r="E39" s="123" t="s">
        <v>397</v>
      </c>
      <c r="F39" s="124" t="s">
        <v>398</v>
      </c>
      <c r="G39" s="125" t="s">
        <v>322</v>
      </c>
      <c r="H39" s="151"/>
      <c r="I39" s="229">
        <f>IF(I9&lt;=340,84.665-0.1179*I12,47.4)</f>
        <v>59.574129669724059</v>
      </c>
      <c r="J39" s="127"/>
      <c r="K39" s="120"/>
      <c r="L39" s="113"/>
      <c r="M39" s="113"/>
      <c r="N39" s="113"/>
      <c r="O39" s="113"/>
      <c r="P39" s="113"/>
      <c r="Q39" s="113"/>
      <c r="R39" s="113"/>
      <c r="S39" s="113">
        <f>IF(C26="confinamento",IF(C23="Zebuíno",C216,IF(C23="Cruzado",D216)),IF(C26="pasto",IF(C23="Zebuíno",IF(C25="Macho não castrado",F216,G216),IF(C23="Cruzado",H216))))</f>
        <v>10.784572154461376</v>
      </c>
      <c r="T39" s="113"/>
      <c r="U39" s="113"/>
      <c r="V39" s="113"/>
      <c r="W39" s="113"/>
      <c r="X39" s="113"/>
      <c r="Y39" s="113"/>
      <c r="Z39" s="117"/>
      <c r="AA39" s="117"/>
      <c r="AB39" s="117"/>
      <c r="AC39" s="117"/>
      <c r="AD39" s="117"/>
    </row>
    <row r="40" spans="1:30" s="118" customFormat="1" ht="24.95" customHeight="1">
      <c r="A40" s="111"/>
      <c r="B40" s="175" t="s">
        <v>519</v>
      </c>
      <c r="C40" s="176"/>
      <c r="D40" s="112"/>
      <c r="E40" s="235" t="s">
        <v>399</v>
      </c>
      <c r="F40" s="236" t="s">
        <v>278</v>
      </c>
      <c r="G40" s="237" t="s">
        <v>10</v>
      </c>
      <c r="H40" s="238"/>
      <c r="I40" s="239">
        <f>SUM(I41:I42)</f>
        <v>13.62340040220473</v>
      </c>
      <c r="J40" s="127">
        <f>I40/I$13/1000</f>
        <v>2.7742566370082631E-3</v>
      </c>
      <c r="K40" s="120"/>
      <c r="L40" s="113"/>
      <c r="M40" s="113"/>
      <c r="N40" s="113"/>
      <c r="O40" s="113"/>
      <c r="P40" s="113"/>
      <c r="Q40" s="113"/>
      <c r="R40" s="113"/>
      <c r="S40" s="113">
        <f>IF(C26="confinamento",IF(C23="Zebuíno",C215,IF(C23="Cruzado",D215)),IF(C26="pasto",IF(C23="Zebuíno",IF(C25="Macho não castrado",F215,G215),IF(C23="Cruzado",H215))))</f>
        <v>6.4964705882352938</v>
      </c>
      <c r="T40" s="113"/>
      <c r="U40" s="113"/>
      <c r="V40" s="113"/>
      <c r="W40" s="113"/>
      <c r="X40" s="113"/>
      <c r="Y40" s="113"/>
      <c r="Z40" s="117"/>
      <c r="AA40" s="117"/>
      <c r="AB40" s="117"/>
      <c r="AC40" s="117"/>
      <c r="AD40" s="117"/>
    </row>
    <row r="41" spans="1:30" s="118" customFormat="1" ht="24.95" customHeight="1">
      <c r="A41" s="111"/>
      <c r="B41" s="175" t="s">
        <v>520</v>
      </c>
      <c r="C41" s="176"/>
      <c r="D41" s="112"/>
      <c r="E41" s="123" t="s">
        <v>400</v>
      </c>
      <c r="F41" s="124" t="s">
        <v>401</v>
      </c>
      <c r="G41" s="125" t="s">
        <v>10</v>
      </c>
      <c r="H41" s="151"/>
      <c r="I41" s="229">
        <f>(11.7*PC/1000)/0.568</f>
        <v>5.1702464788732394</v>
      </c>
      <c r="J41" s="127">
        <f t="shared" ref="J41:J55" si="2">I41/I$13/1000</f>
        <v>1.0528642031736369E-3</v>
      </c>
      <c r="K41" s="120"/>
      <c r="L41" s="113"/>
      <c r="M41" s="113"/>
      <c r="N41" s="113"/>
      <c r="O41" s="113"/>
      <c r="P41" s="113"/>
      <c r="Q41" s="113"/>
      <c r="R41" s="113"/>
      <c r="S41" s="113">
        <f>IF(C26="confinamento",IF(C23="Zebuíno",C214,IF(C23="Cruzado",D214)),IF(C26="pasto",IF(C23="Zebuíno",IF(C25="Macho não castrado",F214,G214),IF(C23="Cruzado",H214))))</f>
        <v>4.2881015662260822</v>
      </c>
      <c r="T41" s="113"/>
      <c r="U41" s="113"/>
      <c r="V41" s="113"/>
      <c r="W41" s="113"/>
      <c r="X41" s="113"/>
      <c r="Y41" s="113"/>
      <c r="Z41" s="117"/>
      <c r="AA41" s="117"/>
      <c r="AB41" s="117"/>
      <c r="AC41" s="117"/>
      <c r="AD41" s="117"/>
    </row>
    <row r="42" spans="1:30" s="118" customFormat="1" ht="24.95" customHeight="1">
      <c r="A42" s="111"/>
      <c r="B42" s="175" t="s">
        <v>521</v>
      </c>
      <c r="C42" s="176"/>
      <c r="D42" s="112"/>
      <c r="E42" s="128" t="s">
        <v>402</v>
      </c>
      <c r="F42" s="129" t="s">
        <v>403</v>
      </c>
      <c r="G42" s="130" t="s">
        <v>10</v>
      </c>
      <c r="H42" s="146"/>
      <c r="I42" s="229">
        <f>IF(C23="Zebuíno",C136,D136)</f>
        <v>8.4531539233314916</v>
      </c>
      <c r="J42" s="127">
        <f t="shared" si="2"/>
        <v>1.7213924338346264E-3</v>
      </c>
      <c r="K42" s="120"/>
      <c r="L42" s="113"/>
      <c r="M42" s="113"/>
      <c r="N42" s="113"/>
      <c r="O42" s="113"/>
      <c r="P42" s="113"/>
      <c r="Q42" s="113"/>
      <c r="R42" s="113"/>
      <c r="S42" s="113">
        <f>IF(C26="confinamento",IF(C23="Zebuíno",C219,IF(C23="Cruzado",D219)),IF(C26="pasto",IF(C23="Zebuíno",IF(C25="Macho não castrado",F219,G219),IF(C23="Cruzado",H219))))</f>
        <v>5.4228734999999997</v>
      </c>
      <c r="T42" s="113"/>
      <c r="U42" s="113"/>
      <c r="V42" s="113"/>
      <c r="W42" s="113"/>
      <c r="X42" s="113"/>
      <c r="Y42" s="113"/>
      <c r="Z42" s="117"/>
      <c r="AA42" s="117"/>
      <c r="AB42" s="117"/>
      <c r="AC42" s="117"/>
      <c r="AD42" s="117"/>
    </row>
    <row r="43" spans="1:30" s="118" customFormat="1" ht="24.95" customHeight="1">
      <c r="A43" s="111"/>
      <c r="B43" s="177"/>
      <c r="C43" s="178"/>
      <c r="D43" s="112"/>
      <c r="E43" s="240" t="s">
        <v>404</v>
      </c>
      <c r="F43" s="241" t="s">
        <v>280</v>
      </c>
      <c r="G43" s="242" t="s">
        <v>10</v>
      </c>
      <c r="H43" s="243"/>
      <c r="I43" s="239">
        <f>SUM(I44:I45)</f>
        <v>8.936258663315602</v>
      </c>
      <c r="J43" s="127">
        <f t="shared" si="2"/>
        <v>1.819771435530427E-3</v>
      </c>
      <c r="K43" s="120"/>
      <c r="L43" s="113"/>
      <c r="M43" s="113"/>
      <c r="N43" s="113"/>
      <c r="O43" s="113"/>
      <c r="P43" s="113"/>
      <c r="Q43" s="113"/>
      <c r="R43" s="113"/>
      <c r="S43" s="113">
        <f>IF(C26="confinamento",IF(C23="Zebuíno",C218,IF(C23="Cruzado",D218)),IF(C26="pasto",IF(C23="Zebuíno",IF(C25="Macho não castrado",F218,G218),IF(C23="Cruzado",H218))))</f>
        <v>4.4479709999999999</v>
      </c>
      <c r="T43" s="113"/>
      <c r="U43" s="113"/>
      <c r="V43" s="113"/>
      <c r="W43" s="113"/>
      <c r="X43" s="113"/>
      <c r="Y43" s="113"/>
      <c r="Z43" s="117"/>
      <c r="AA43" s="117"/>
      <c r="AB43" s="117"/>
      <c r="AC43" s="117"/>
      <c r="AD43" s="117"/>
    </row>
    <row r="44" spans="1:30" s="118" customFormat="1" ht="24.95" customHeight="1">
      <c r="A44" s="111"/>
      <c r="B44" s="179" t="s">
        <v>522</v>
      </c>
      <c r="C44" s="176"/>
      <c r="D44" s="112"/>
      <c r="E44" s="128" t="s">
        <v>405</v>
      </c>
      <c r="F44" s="129" t="s">
        <v>406</v>
      </c>
      <c r="G44" s="130" t="s">
        <v>10</v>
      </c>
      <c r="H44" s="146"/>
      <c r="I44" s="229">
        <f>13.5*PC/1000/0.678</f>
        <v>4.9977876106194685</v>
      </c>
      <c r="J44" s="127">
        <f t="shared" si="2"/>
        <v>1.0177448390105953E-3</v>
      </c>
      <c r="K44" s="120"/>
      <c r="L44" s="113"/>
      <c r="M44" s="113"/>
      <c r="N44" s="113"/>
      <c r="O44" s="113"/>
      <c r="P44" s="113"/>
      <c r="Q44" s="113"/>
      <c r="R44" s="113"/>
      <c r="S44" s="113">
        <f>IF(C26="confinamento",IF(C23="Zebuíno",C217,IF(C23="Cruzado",D217)),IF(C26="pasto",IF(C23="Zebuíno",IF(C25="Macho não castrado",F217,G217),IF(C23="Cruzado",H217))))</f>
        <v>0.97490250000000012</v>
      </c>
      <c r="T44" s="113"/>
      <c r="U44" s="113"/>
      <c r="V44" s="113"/>
      <c r="W44" s="113"/>
      <c r="X44" s="113"/>
      <c r="Y44" s="113"/>
      <c r="Z44" s="117"/>
      <c r="AA44" s="117"/>
      <c r="AB44" s="117"/>
      <c r="AC44" s="117"/>
      <c r="AD44" s="117"/>
    </row>
    <row r="45" spans="1:30" s="118" customFormat="1" ht="24.95" customHeight="1">
      <c r="A45" s="111"/>
      <c r="B45" s="2037" t="s">
        <v>523</v>
      </c>
      <c r="C45" s="2038"/>
      <c r="D45" s="112"/>
      <c r="E45" s="123" t="s">
        <v>407</v>
      </c>
      <c r="F45" s="124" t="s">
        <v>408</v>
      </c>
      <c r="G45" s="125" t="s">
        <v>10</v>
      </c>
      <c r="H45" s="132"/>
      <c r="I45" s="229">
        <f>IF(C23="Zebuíno",C137,D137)</f>
        <v>3.9384710526961331</v>
      </c>
      <c r="J45" s="127">
        <f t="shared" si="2"/>
        <v>8.0202659651983186E-4</v>
      </c>
      <c r="K45" s="120"/>
      <c r="L45" s="113"/>
      <c r="M45" s="113"/>
      <c r="N45" s="113"/>
      <c r="O45" s="113"/>
      <c r="P45" s="113"/>
      <c r="Q45" s="113"/>
      <c r="R45" s="113"/>
      <c r="S45" s="113">
        <f>IF(C26="confinamento",IF(C23="Zebuíno",C229,IF(C23="Cruzado",D229)),IF(C26="pasto",IF(C23="Zebuíno",IF(C25="Macho não castrado",F229,G229),IF(C23="Cruzado",H229))))</f>
        <v>26.057433654062336</v>
      </c>
      <c r="T45" s="113"/>
      <c r="U45" s="113"/>
      <c r="V45" s="113"/>
      <c r="W45" s="113"/>
      <c r="X45" s="113"/>
      <c r="Y45" s="113"/>
      <c r="Z45" s="117"/>
      <c r="AA45" s="117"/>
      <c r="AB45" s="117"/>
      <c r="AC45" s="117"/>
      <c r="AD45" s="117"/>
    </row>
    <row r="46" spans="1:30" s="118" customFormat="1" ht="24.95" customHeight="1">
      <c r="A46" s="111"/>
      <c r="B46" s="2037"/>
      <c r="C46" s="2038"/>
      <c r="D46" s="112"/>
      <c r="E46" s="235" t="s">
        <v>409</v>
      </c>
      <c r="F46" s="236" t="s">
        <v>282</v>
      </c>
      <c r="G46" s="237" t="s">
        <v>10</v>
      </c>
      <c r="H46" s="244"/>
      <c r="I46" s="239">
        <f>SUM(I47:I48)</f>
        <v>4.6658114589413344</v>
      </c>
      <c r="J46" s="127">
        <f t="shared" si="2"/>
        <v>9.5014152302991825E-4</v>
      </c>
      <c r="K46" s="120"/>
      <c r="L46" s="113"/>
      <c r="M46" s="113"/>
      <c r="N46" s="113"/>
      <c r="O46" s="113"/>
      <c r="P46" s="113"/>
      <c r="Q46" s="113"/>
      <c r="R46" s="113"/>
      <c r="S46" s="113">
        <f>IF(C26="confinamento",IF(C23="Zebuíno",C230,IF(C23="Cruzado",D230)),IF(C26="pasto",IF(C23="Zebuíno",IF(C25="Macho não castrado",F230,G230),IF(C23="Cruzado",H230))))</f>
        <v>25.002391794192235</v>
      </c>
      <c r="T46" s="113"/>
      <c r="U46" s="113"/>
      <c r="V46" s="113"/>
      <c r="W46" s="113"/>
      <c r="X46" s="113"/>
      <c r="Y46" s="113"/>
      <c r="Z46" s="117"/>
      <c r="AA46" s="117"/>
      <c r="AB46" s="117"/>
      <c r="AC46" s="117"/>
      <c r="AD46" s="117"/>
    </row>
    <row r="47" spans="1:30" s="118" customFormat="1" ht="24.95" customHeight="1">
      <c r="A47" s="111"/>
      <c r="B47" s="2037"/>
      <c r="C47" s="2038"/>
      <c r="D47" s="112"/>
      <c r="E47" s="123" t="s">
        <v>410</v>
      </c>
      <c r="F47" s="124" t="s">
        <v>411</v>
      </c>
      <c r="G47" s="125" t="s">
        <v>10</v>
      </c>
      <c r="H47" s="132"/>
      <c r="I47" s="229">
        <f>5.9*PC/1000/0.355</f>
        <v>4.1715492957746481</v>
      </c>
      <c r="J47" s="127">
        <f t="shared" si="2"/>
        <v>8.4949043401360105E-4</v>
      </c>
      <c r="K47" s="120"/>
      <c r="L47" s="113"/>
      <c r="M47" s="113"/>
      <c r="N47" s="113"/>
      <c r="O47" s="180"/>
      <c r="P47" s="180"/>
      <c r="Q47" s="180"/>
      <c r="R47" s="180"/>
      <c r="S47" s="113">
        <f>IF(C26="confinamento",IF(C23="Zebuíno",C224,IF(C23="Cruzado",D224)),IF(C26="pasto",IF(C23="Zebuíno",IF(C25="Macho não castrado",F224,G224),IF(C23="Cruzado",H224))))</f>
        <v>1.055041859870107</v>
      </c>
      <c r="T47" s="113"/>
      <c r="U47" s="113"/>
      <c r="V47" s="113"/>
      <c r="W47" s="113"/>
      <c r="X47" s="113"/>
      <c r="Y47" s="113"/>
      <c r="Z47" s="117"/>
      <c r="AA47" s="117"/>
      <c r="AB47" s="117"/>
      <c r="AC47" s="117"/>
      <c r="AD47" s="117"/>
    </row>
    <row r="48" spans="1:30" s="118" customFormat="1" ht="24.95" customHeight="1">
      <c r="A48" s="111"/>
      <c r="B48" s="181"/>
      <c r="C48" s="182"/>
      <c r="D48" s="112"/>
      <c r="E48" s="128" t="s">
        <v>412</v>
      </c>
      <c r="F48" s="129" t="s">
        <v>413</v>
      </c>
      <c r="G48" s="130" t="s">
        <v>10</v>
      </c>
      <c r="H48" s="142"/>
      <c r="I48" s="229">
        <f>IF(C23="Zebuíno",C138,D138)</f>
        <v>0.4942621631666867</v>
      </c>
      <c r="J48" s="127">
        <f t="shared" si="2"/>
        <v>1.0065108901631733E-4</v>
      </c>
      <c r="K48" s="120"/>
      <c r="L48" s="113"/>
      <c r="M48" s="113"/>
      <c r="N48" s="113"/>
      <c r="O48" s="180"/>
      <c r="P48" s="180"/>
      <c r="Q48" s="180"/>
      <c r="R48" s="113"/>
      <c r="S48" s="113">
        <f>IF(C26="confinamento",IF(C23="Zebuíno",C223,IF(C23="Cruzado",D223)),IF(C26="pasto",IF(C23="Zebuíno",IF(C25="Macho não castrado",F223,G223),IF(C23="Cruzado",H223))))</f>
        <v>2.4428426373626371</v>
      </c>
      <c r="T48" s="113"/>
      <c r="U48" s="113"/>
      <c r="V48" s="113"/>
      <c r="W48" s="113"/>
      <c r="X48" s="113"/>
      <c r="Y48" s="113"/>
      <c r="Z48" s="117"/>
      <c r="AA48" s="117"/>
      <c r="AB48" s="117"/>
      <c r="AC48" s="117"/>
      <c r="AD48" s="117"/>
    </row>
    <row r="49" spans="1:30" s="118" customFormat="1" ht="24.95" customHeight="1">
      <c r="A49" s="111"/>
      <c r="B49" s="179" t="s">
        <v>524</v>
      </c>
      <c r="C49" s="176"/>
      <c r="D49" s="112"/>
      <c r="E49" s="240" t="s">
        <v>414</v>
      </c>
      <c r="F49" s="241" t="s">
        <v>284</v>
      </c>
      <c r="G49" s="242" t="s">
        <v>10</v>
      </c>
      <c r="H49" s="243"/>
      <c r="I49" s="239">
        <f>SUM(I50:I51)</f>
        <v>13.974784778551339</v>
      </c>
      <c r="J49" s="127">
        <f>I49/I$13/1000</f>
        <v>2.8458122258803943E-3</v>
      </c>
      <c r="K49" s="120"/>
      <c r="L49" s="113"/>
      <c r="M49" s="113"/>
      <c r="N49" s="113"/>
      <c r="O49" s="180"/>
      <c r="P49" s="180"/>
      <c r="Q49" s="180"/>
      <c r="R49" s="113"/>
      <c r="S49" s="113">
        <f>IF(C26="confinamento",IF(C23="Zebuíno",C222,IF(C23="Cruzado",D222)),IF(C26="pasto",IF(C23="Zebuíno",IF(C25="Macho não castrado",F222,G222),IF(C23="Cruzado",H222))))</f>
        <v>1.658916923076923</v>
      </c>
      <c r="T49" s="113"/>
      <c r="U49" s="113"/>
      <c r="V49" s="113"/>
      <c r="W49" s="113"/>
      <c r="X49" s="113"/>
      <c r="Y49" s="113"/>
      <c r="Z49" s="117"/>
      <c r="AA49" s="117"/>
      <c r="AB49" s="117"/>
      <c r="AC49" s="117"/>
      <c r="AD49" s="117"/>
    </row>
    <row r="50" spans="1:30" s="118" customFormat="1" ht="24.95" customHeight="1">
      <c r="A50" s="111"/>
      <c r="B50" s="175" t="s">
        <v>525</v>
      </c>
      <c r="C50" s="176"/>
      <c r="D50" s="112"/>
      <c r="E50" s="128" t="s">
        <v>415</v>
      </c>
      <c r="F50" s="129" t="s">
        <v>416</v>
      </c>
      <c r="G50" s="130" t="s">
        <v>10</v>
      </c>
      <c r="H50" s="146"/>
      <c r="I50" s="229">
        <f>23.5*PC/1000/0.484</f>
        <v>12.186983471074381</v>
      </c>
      <c r="J50" s="127">
        <f t="shared" si="2"/>
        <v>2.4817460238683526E-3</v>
      </c>
      <c r="K50" s="120"/>
      <c r="L50" s="113"/>
      <c r="M50" s="113"/>
      <c r="N50" s="113"/>
      <c r="O50" s="113"/>
      <c r="P50" s="113"/>
      <c r="Q50" s="113"/>
      <c r="R50" s="113"/>
      <c r="S50" s="113">
        <f>IF(C26="confinamento",IF(C23="Zebuíno",IF(C25="fêmea",C221,C220),IF(C25="fêmea",D221,D220)),IF(C25="fêmea",F221,F220))</f>
        <v>0.78392571428571423</v>
      </c>
      <c r="T50" s="113"/>
      <c r="U50" s="113"/>
      <c r="V50" s="113"/>
      <c r="W50" s="113"/>
      <c r="X50" s="113"/>
      <c r="Y50" s="113"/>
      <c r="Z50" s="117"/>
      <c r="AA50" s="117"/>
      <c r="AB50" s="117"/>
      <c r="AC50" s="117"/>
      <c r="AD50" s="117"/>
    </row>
    <row r="51" spans="1:30" s="118" customFormat="1" ht="24.95" customHeight="1">
      <c r="A51" s="111"/>
      <c r="B51" s="175" t="s">
        <v>526</v>
      </c>
      <c r="C51" s="176"/>
      <c r="D51" s="112"/>
      <c r="E51" s="123" t="s">
        <v>417</v>
      </c>
      <c r="F51" s="124" t="s">
        <v>78</v>
      </c>
      <c r="G51" s="125" t="s">
        <v>10</v>
      </c>
      <c r="H51" s="132"/>
      <c r="I51" s="229">
        <f>IF(C23="Zebuíno",C140,D140)</f>
        <v>1.7878013074769585</v>
      </c>
      <c r="J51" s="127">
        <f t="shared" si="2"/>
        <v>3.640662020120421E-4</v>
      </c>
      <c r="K51" s="120"/>
      <c r="L51" s="113"/>
      <c r="M51" s="113"/>
      <c r="N51" s="113"/>
      <c r="O51" s="113"/>
      <c r="P51" s="113"/>
      <c r="Q51" s="113"/>
      <c r="R51" s="113"/>
      <c r="S51" s="113">
        <f>0.0015*S9*1000</f>
        <v>7.2870529581878278</v>
      </c>
      <c r="T51" s="113"/>
      <c r="U51" s="113"/>
      <c r="V51" s="113"/>
      <c r="W51" s="113"/>
      <c r="X51" s="113"/>
      <c r="Y51" s="113"/>
      <c r="Z51" s="117"/>
      <c r="AA51" s="117"/>
      <c r="AB51" s="117"/>
      <c r="AC51" s="117"/>
      <c r="AD51" s="117"/>
    </row>
    <row r="52" spans="1:30" s="118" customFormat="1" ht="24.95" customHeight="1">
      <c r="A52" s="111"/>
      <c r="B52" s="175" t="s">
        <v>527</v>
      </c>
      <c r="C52" s="176"/>
      <c r="D52" s="112"/>
      <c r="E52" s="235" t="s">
        <v>418</v>
      </c>
      <c r="F52" s="236" t="s">
        <v>286</v>
      </c>
      <c r="G52" s="237" t="s">
        <v>10</v>
      </c>
      <c r="H52" s="244"/>
      <c r="I52" s="239">
        <f>SUM(I53:I54)</f>
        <v>5.7026018072157338</v>
      </c>
      <c r="J52" s="127">
        <f t="shared" si="2"/>
        <v>1.1612725490563482E-3</v>
      </c>
      <c r="K52" s="120"/>
      <c r="L52" s="113"/>
      <c r="M52" s="113"/>
      <c r="N52" s="113"/>
      <c r="O52" s="113"/>
      <c r="P52" s="113"/>
      <c r="Q52" s="113"/>
      <c r="R52" s="113"/>
      <c r="S52" s="113">
        <f>$S$9*0.1</f>
        <v>0.48580353054585523</v>
      </c>
      <c r="T52" s="113"/>
      <c r="U52" s="113"/>
      <c r="V52" s="113"/>
      <c r="W52" s="113"/>
      <c r="X52" s="113"/>
      <c r="Y52" s="113"/>
      <c r="Z52" s="117"/>
      <c r="AA52" s="117"/>
      <c r="AB52" s="117"/>
      <c r="AC52" s="117"/>
      <c r="AD52" s="117"/>
    </row>
    <row r="53" spans="1:30" s="118" customFormat="1" ht="24.95" customHeight="1" thickBot="1">
      <c r="A53" s="111"/>
      <c r="B53" s="183" t="s">
        <v>528</v>
      </c>
      <c r="C53" s="184"/>
      <c r="D53" s="112"/>
      <c r="E53" s="123" t="s">
        <v>419</v>
      </c>
      <c r="F53" s="124" t="s">
        <v>420</v>
      </c>
      <c r="G53" s="125" t="s">
        <v>10</v>
      </c>
      <c r="H53" s="132"/>
      <c r="I53" s="229">
        <f>6.3*PC/1000/0.371</f>
        <v>4.2622641509433965</v>
      </c>
      <c r="J53" s="127">
        <f t="shared" si="2"/>
        <v>8.6796352308073413E-4</v>
      </c>
      <c r="K53" s="120"/>
      <c r="L53" s="113"/>
      <c r="M53" s="113"/>
      <c r="N53" s="113"/>
      <c r="O53" s="113"/>
      <c r="P53" s="113"/>
      <c r="Q53" s="113"/>
      <c r="R53" s="113"/>
      <c r="S53" s="113">
        <f>$S$9*10</f>
        <v>48.580353054585515</v>
      </c>
      <c r="T53" s="113"/>
      <c r="U53" s="113"/>
      <c r="V53" s="113"/>
      <c r="W53" s="113"/>
      <c r="X53" s="113"/>
      <c r="Y53" s="113"/>
      <c r="Z53" s="117"/>
      <c r="AA53" s="117"/>
      <c r="AB53" s="117"/>
      <c r="AC53" s="117"/>
      <c r="AD53" s="117"/>
    </row>
    <row r="54" spans="1:30" s="118" customFormat="1" ht="24.95" customHeight="1">
      <c r="A54" s="111"/>
      <c r="D54" s="112"/>
      <c r="E54" s="128" t="s">
        <v>421</v>
      </c>
      <c r="F54" s="129" t="s">
        <v>422</v>
      </c>
      <c r="G54" s="130" t="s">
        <v>10</v>
      </c>
      <c r="H54" s="142"/>
      <c r="I54" s="229">
        <f>IF(C23="Zebuíno",C139,D139)</f>
        <v>1.4403376562723371</v>
      </c>
      <c r="J54" s="127">
        <f t="shared" si="2"/>
        <v>2.9330902597561403E-4</v>
      </c>
      <c r="K54" s="120"/>
      <c r="L54" s="113"/>
      <c r="M54" s="113"/>
      <c r="N54" s="113"/>
      <c r="O54" s="113"/>
      <c r="P54" s="113"/>
      <c r="Q54" s="113"/>
      <c r="R54" s="113"/>
      <c r="S54" s="113">
        <f>$S$9*0.5</f>
        <v>2.4290176527292759</v>
      </c>
      <c r="T54" s="113"/>
      <c r="U54" s="113"/>
      <c r="V54" s="113"/>
      <c r="W54" s="113"/>
      <c r="X54" s="113"/>
      <c r="Y54" s="113"/>
      <c r="Z54" s="117"/>
      <c r="AA54" s="117"/>
      <c r="AB54" s="117"/>
      <c r="AC54" s="117"/>
      <c r="AD54" s="117"/>
    </row>
    <row r="55" spans="1:30" s="118" customFormat="1" ht="24.95" customHeight="1">
      <c r="A55" s="111"/>
      <c r="D55" s="112"/>
      <c r="E55" s="240" t="s">
        <v>287</v>
      </c>
      <c r="F55" s="241" t="s">
        <v>288</v>
      </c>
      <c r="G55" s="242" t="s">
        <v>10</v>
      </c>
      <c r="H55" s="243"/>
      <c r="I55" s="239">
        <f>(((10.4*PC)/1000)+(GPCVZ*(0.03*PCVZ^0.89)))/0.773</f>
        <v>5.5592716084106941</v>
      </c>
      <c r="J55" s="127">
        <f t="shared" si="2"/>
        <v>1.1320849201546647E-3</v>
      </c>
      <c r="K55" s="120"/>
      <c r="L55" s="113"/>
      <c r="M55" s="113"/>
      <c r="N55" s="113"/>
      <c r="O55" s="113"/>
      <c r="P55" s="113"/>
      <c r="Q55" s="113"/>
      <c r="R55" s="113"/>
      <c r="S55" s="113">
        <f>$S$9*50</f>
        <v>242.90176527292761</v>
      </c>
      <c r="T55" s="113"/>
      <c r="U55" s="113"/>
      <c r="V55" s="113"/>
      <c r="W55" s="113"/>
      <c r="X55" s="113"/>
      <c r="Y55" s="113"/>
      <c r="Z55" s="117"/>
      <c r="AA55" s="117"/>
      <c r="AB55" s="117"/>
      <c r="AC55" s="117"/>
      <c r="AD55" s="117"/>
    </row>
    <row r="56" spans="1:30" s="118" customFormat="1" ht="24.95" customHeight="1">
      <c r="A56" s="111"/>
      <c r="D56" s="112"/>
      <c r="E56" s="222" t="s">
        <v>635</v>
      </c>
      <c r="F56" s="223" t="s">
        <v>633</v>
      </c>
      <c r="G56" s="223" t="s">
        <v>21</v>
      </c>
      <c r="H56" s="224"/>
      <c r="I56" s="229">
        <f>(((10.4*PC)/1000))/0.773</f>
        <v>3.3769728331177236</v>
      </c>
      <c r="J56" s="127"/>
      <c r="K56" s="120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7"/>
      <c r="AA56" s="117"/>
      <c r="AB56" s="117"/>
      <c r="AC56" s="117"/>
      <c r="AD56" s="117"/>
    </row>
    <row r="57" spans="1:30" s="118" customFormat="1" ht="24.95" customHeight="1">
      <c r="A57" s="111"/>
      <c r="D57" s="112"/>
      <c r="E57" s="222" t="s">
        <v>636</v>
      </c>
      <c r="F57" s="223" t="s">
        <v>634</v>
      </c>
      <c r="G57" s="223" t="s">
        <v>21</v>
      </c>
      <c r="H57" s="224"/>
      <c r="I57" s="229">
        <f>GPCVZ*(0.03*PCVZ^0.89)/0.773</f>
        <v>2.1822987752929701</v>
      </c>
      <c r="J57" s="127"/>
      <c r="K57" s="120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7"/>
      <c r="AA57" s="117"/>
      <c r="AB57" s="117"/>
      <c r="AC57" s="117"/>
      <c r="AD57" s="117"/>
    </row>
    <row r="58" spans="1:30" s="118" customFormat="1" ht="24.95" customHeight="1">
      <c r="A58" s="111"/>
      <c r="D58" s="112"/>
      <c r="E58" s="235" t="s">
        <v>291</v>
      </c>
      <c r="F58" s="236" t="s">
        <v>292</v>
      </c>
      <c r="G58" s="237" t="s">
        <v>21</v>
      </c>
      <c r="H58" s="244"/>
      <c r="I58" s="239">
        <f>(((13.5*PC)/1000)+(GPCVZ*(0.045*PCVZ^-0.023)))/0.868</f>
        <v>3.9256391705952089</v>
      </c>
      <c r="J58" s="185">
        <f>I58/I$13/1000000</f>
        <v>7.9941352393642336E-7</v>
      </c>
      <c r="K58" s="120"/>
      <c r="L58" s="113"/>
      <c r="M58" s="113"/>
      <c r="N58" s="113"/>
      <c r="O58" s="113"/>
      <c r="P58" s="113"/>
      <c r="Q58" s="113"/>
      <c r="R58" s="113"/>
      <c r="S58" s="113">
        <f>$S$9*20</f>
        <v>97.160706109171031</v>
      </c>
      <c r="T58" s="113"/>
      <c r="U58" s="113"/>
      <c r="V58" s="113"/>
      <c r="W58" s="113"/>
      <c r="X58" s="113"/>
      <c r="Y58" s="113"/>
      <c r="Z58" s="117"/>
      <c r="AA58" s="117"/>
      <c r="AB58" s="117"/>
      <c r="AC58" s="117"/>
      <c r="AD58" s="117"/>
    </row>
    <row r="59" spans="1:30" s="118" customFormat="1" ht="24.95" customHeight="1">
      <c r="A59" s="111"/>
      <c r="D59" s="112"/>
      <c r="E59" s="222" t="s">
        <v>629</v>
      </c>
      <c r="F59" s="223" t="s">
        <v>631</v>
      </c>
      <c r="G59" s="223" t="s">
        <v>21</v>
      </c>
      <c r="H59" s="224"/>
      <c r="I59" s="229">
        <f>(((13.5*PC)/1000))/0.868</f>
        <v>3.9038018433179724</v>
      </c>
      <c r="J59" s="185"/>
      <c r="K59" s="120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7"/>
      <c r="AA59" s="117"/>
      <c r="AB59" s="117"/>
      <c r="AC59" s="117"/>
      <c r="AD59" s="117"/>
    </row>
    <row r="60" spans="1:30" s="118" customFormat="1" ht="24.95" customHeight="1">
      <c r="A60" s="111"/>
      <c r="D60" s="112"/>
      <c r="E60" s="222" t="s">
        <v>630</v>
      </c>
      <c r="F60" s="223" t="s">
        <v>632</v>
      </c>
      <c r="G60" s="223" t="s">
        <v>21</v>
      </c>
      <c r="H60" s="224"/>
      <c r="I60" s="229">
        <f>(GPCVZ*(0.045*PCVZ^-0.023))/0.868</f>
        <v>2.1837327277236758E-2</v>
      </c>
      <c r="J60" s="185"/>
      <c r="K60" s="120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7"/>
      <c r="AA60" s="117"/>
      <c r="AB60" s="117"/>
      <c r="AC60" s="117"/>
      <c r="AD60" s="117"/>
    </row>
    <row r="61" spans="1:30" s="118" customFormat="1" ht="24.95" customHeight="1">
      <c r="A61" s="111"/>
      <c r="D61" s="112"/>
      <c r="E61" s="240" t="s">
        <v>293</v>
      </c>
      <c r="F61" s="241" t="s">
        <v>294</v>
      </c>
      <c r="G61" s="242" t="s">
        <v>21</v>
      </c>
      <c r="H61" s="243"/>
      <c r="I61" s="239">
        <f>(((95.6*PC)/1000)+(GPCVZ*(1.25*PCVZ^0.33)))/0.735</f>
        <v>37.399486419919235</v>
      </c>
      <c r="J61" s="185">
        <f t="shared" ref="J61:J80" si="3">I61/I$13/1000000</f>
        <v>7.6159967671779017E-6</v>
      </c>
      <c r="K61" s="120"/>
      <c r="L61" s="113"/>
      <c r="M61" s="113"/>
      <c r="N61" s="113"/>
      <c r="O61" s="113"/>
      <c r="P61" s="113"/>
      <c r="Q61" s="113"/>
      <c r="R61" s="113"/>
      <c r="S61" s="113">
        <f>$S$9*0.1</f>
        <v>0.48580353054585523</v>
      </c>
      <c r="T61" s="113"/>
      <c r="U61" s="113"/>
      <c r="V61" s="113"/>
      <c r="W61" s="113"/>
      <c r="X61" s="113"/>
      <c r="Y61" s="113"/>
      <c r="Z61" s="117"/>
      <c r="AA61" s="117"/>
      <c r="AB61" s="117"/>
      <c r="AC61" s="117"/>
      <c r="AD61" s="117"/>
    </row>
    <row r="62" spans="1:30" s="118" customFormat="1" ht="24.95" customHeight="1">
      <c r="A62" s="111"/>
      <c r="D62" s="112"/>
      <c r="E62" s="222" t="s">
        <v>627</v>
      </c>
      <c r="F62" s="223" t="s">
        <v>625</v>
      </c>
      <c r="G62" s="223" t="s">
        <v>21</v>
      </c>
      <c r="H62" s="224"/>
      <c r="I62" s="229">
        <f>(((95.6*$C$29)/1000))/0.735</f>
        <v>32.647074829931974</v>
      </c>
      <c r="J62" s="185"/>
      <c r="K62" s="120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7"/>
      <c r="AA62" s="117"/>
      <c r="AB62" s="117"/>
      <c r="AC62" s="117"/>
      <c r="AD62" s="117"/>
    </row>
    <row r="63" spans="1:30" s="118" customFormat="1" ht="24.95" customHeight="1">
      <c r="A63" s="111"/>
      <c r="D63" s="112"/>
      <c r="E63" s="222" t="s">
        <v>628</v>
      </c>
      <c r="F63" s="223" t="s">
        <v>626</v>
      </c>
      <c r="G63" s="223" t="s">
        <v>21</v>
      </c>
      <c r="H63" s="224"/>
      <c r="I63" s="229">
        <f>$I$11*(1.25*$I$10^0.33)/0.735</f>
        <v>4.7524115899872612</v>
      </c>
      <c r="J63" s="185"/>
      <c r="K63" s="120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7"/>
      <c r="AA63" s="117"/>
      <c r="AB63" s="117"/>
      <c r="AC63" s="117"/>
      <c r="AD63" s="117"/>
    </row>
    <row r="64" spans="1:30" s="118" customFormat="1" ht="24.95" customHeight="1">
      <c r="A64" s="111"/>
      <c r="D64" s="112"/>
      <c r="E64" s="235" t="s">
        <v>423</v>
      </c>
      <c r="F64" s="236" t="s">
        <v>424</v>
      </c>
      <c r="G64" s="237" t="s">
        <v>21</v>
      </c>
      <c r="H64" s="245"/>
      <c r="I64" s="239">
        <f>((22.9*PC/1000)+(GPCVZ*(0.23*PCVZ^0.61)))/0.784</f>
        <v>11.008928911772918</v>
      </c>
      <c r="J64" s="185">
        <f t="shared" si="3"/>
        <v>2.2418480847773884E-6</v>
      </c>
      <c r="K64" s="120"/>
      <c r="L64" s="113"/>
      <c r="M64" s="113"/>
      <c r="N64" s="113"/>
      <c r="O64" s="113"/>
      <c r="P64" s="113"/>
      <c r="Q64" s="113"/>
      <c r="R64" s="113"/>
      <c r="S64" s="113">
        <f>$S$9*30</f>
        <v>145.74105916375655</v>
      </c>
      <c r="T64" s="113"/>
      <c r="U64" s="113"/>
      <c r="V64" s="113"/>
      <c r="W64" s="113"/>
      <c r="X64" s="113"/>
      <c r="Y64" s="113"/>
      <c r="Z64" s="117"/>
      <c r="AA64" s="117"/>
      <c r="AB64" s="117"/>
      <c r="AC64" s="117"/>
      <c r="AD64" s="117"/>
    </row>
    <row r="65" spans="1:30" s="118" customFormat="1" ht="24.95" customHeight="1">
      <c r="A65" s="111"/>
      <c r="D65" s="112"/>
      <c r="E65" s="222" t="s">
        <v>623</v>
      </c>
      <c r="F65" s="223" t="s">
        <v>621</v>
      </c>
      <c r="G65" s="223" t="s">
        <v>21</v>
      </c>
      <c r="H65" s="224"/>
      <c r="I65" s="229">
        <f>((22.9*PC/1000))/0.784</f>
        <v>7.3315051020408157</v>
      </c>
      <c r="J65" s="185"/>
      <c r="K65" s="120"/>
      <c r="L65" s="113"/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7"/>
      <c r="AA65" s="117"/>
      <c r="AB65" s="117"/>
      <c r="AC65" s="117"/>
      <c r="AD65" s="117"/>
    </row>
    <row r="66" spans="1:30" s="118" customFormat="1" ht="24.95" customHeight="1">
      <c r="A66" s="111"/>
      <c r="D66" s="112"/>
      <c r="E66" s="222" t="s">
        <v>624</v>
      </c>
      <c r="F66" s="223" t="s">
        <v>622</v>
      </c>
      <c r="G66" s="223" t="s">
        <v>21</v>
      </c>
      <c r="H66" s="224"/>
      <c r="I66" s="229">
        <f>(GPCVZ*(0.23*PCVZ^0.61))/0.784</f>
        <v>3.6774238097321033</v>
      </c>
      <c r="J66" s="185"/>
      <c r="K66" s="120"/>
      <c r="L66" s="113"/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7"/>
      <c r="AA66" s="117"/>
      <c r="AB66" s="117"/>
      <c r="AC66" s="117"/>
      <c r="AD66" s="117"/>
    </row>
    <row r="67" spans="1:30" s="118" customFormat="1" ht="24.95" customHeight="1">
      <c r="A67" s="111"/>
      <c r="D67" s="112"/>
      <c r="E67" s="240" t="s">
        <v>307</v>
      </c>
      <c r="F67" s="241" t="s">
        <v>308</v>
      </c>
      <c r="G67" s="242" t="s">
        <v>21</v>
      </c>
      <c r="H67" s="246"/>
      <c r="I67" s="239">
        <f>(((2.942*PC))+(GPCVZ*(10.4*PCVZ^0.24)))/0.734</f>
        <v>1030.492180655147</v>
      </c>
      <c r="J67" s="185">
        <f t="shared" si="3"/>
        <v>2.0984847300715029E-4</v>
      </c>
      <c r="K67" s="120"/>
      <c r="L67" s="113"/>
      <c r="M67" s="113"/>
      <c r="N67" s="113"/>
      <c r="O67" s="113"/>
      <c r="P67" s="113"/>
      <c r="Q67" s="113"/>
      <c r="R67" s="113"/>
      <c r="S67" s="113">
        <f>0.96*C29</f>
        <v>240.95999999999998</v>
      </c>
      <c r="T67" s="113"/>
      <c r="U67" s="113"/>
      <c r="V67" s="113"/>
      <c r="W67" s="113"/>
      <c r="X67" s="113"/>
      <c r="Y67" s="113"/>
      <c r="Z67" s="117"/>
      <c r="AA67" s="117"/>
      <c r="AB67" s="117"/>
      <c r="AC67" s="117"/>
      <c r="AD67" s="117"/>
    </row>
    <row r="68" spans="1:30" s="118" customFormat="1" ht="24.95" customHeight="1">
      <c r="A68" s="111"/>
      <c r="D68" s="112"/>
      <c r="E68" s="222" t="s">
        <v>617</v>
      </c>
      <c r="F68" s="223" t="s">
        <v>619</v>
      </c>
      <c r="G68" s="223" t="s">
        <v>21</v>
      </c>
      <c r="H68" s="224"/>
      <c r="I68" s="229">
        <f>(((2.942*PC)))/0.734</f>
        <v>1006.0517711171663</v>
      </c>
      <c r="J68" s="185"/>
      <c r="K68" s="120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7"/>
      <c r="AA68" s="117"/>
      <c r="AB68" s="117"/>
      <c r="AC68" s="117"/>
      <c r="AD68" s="117"/>
    </row>
    <row r="69" spans="1:30" s="118" customFormat="1" ht="24.95" customHeight="1">
      <c r="A69" s="111"/>
      <c r="D69" s="112"/>
      <c r="E69" s="222" t="s">
        <v>618</v>
      </c>
      <c r="F69" s="223" t="s">
        <v>620</v>
      </c>
      <c r="G69" s="223" t="s">
        <v>21</v>
      </c>
      <c r="H69" s="224"/>
      <c r="I69" s="229">
        <f>GPCVZ*(10.4*PCVZ^0.24)/0.734</f>
        <v>24.440409537980766</v>
      </c>
      <c r="J69" s="185"/>
      <c r="K69" s="120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7"/>
      <c r="AA69" s="117"/>
      <c r="AB69" s="117"/>
      <c r="AC69" s="117"/>
      <c r="AD69" s="117"/>
    </row>
    <row r="70" spans="1:30" s="118" customFormat="1" ht="24.95" customHeight="1">
      <c r="A70" s="111"/>
      <c r="B70" s="186"/>
      <c r="C70" s="187"/>
      <c r="D70" s="112"/>
      <c r="E70" s="235" t="s">
        <v>295</v>
      </c>
      <c r="F70" s="236" t="s">
        <v>296</v>
      </c>
      <c r="G70" s="237" t="s">
        <v>21</v>
      </c>
      <c r="H70" s="244"/>
      <c r="I70" s="239">
        <f>S54</f>
        <v>2.4290176527292759</v>
      </c>
      <c r="J70" s="185">
        <f t="shared" si="3"/>
        <v>4.946429045279967E-7</v>
      </c>
      <c r="K70" s="120"/>
      <c r="L70" s="113"/>
      <c r="M70" s="113"/>
      <c r="N70" s="113"/>
      <c r="O70" s="113"/>
      <c r="P70" s="113"/>
      <c r="Q70" s="113"/>
      <c r="R70" s="113"/>
      <c r="S70" s="113">
        <f>IF(C26="confinamento",IF(C23="Zebuíno",C161,D161),F161)</f>
        <v>215.6592</v>
      </c>
      <c r="T70" s="113"/>
      <c r="U70" s="113"/>
      <c r="V70" s="113"/>
      <c r="W70" s="113"/>
      <c r="X70" s="113"/>
      <c r="Y70" s="113"/>
      <c r="Z70" s="117"/>
      <c r="AA70" s="117"/>
      <c r="AB70" s="117"/>
      <c r="AC70" s="117"/>
      <c r="AD70" s="117"/>
    </row>
    <row r="71" spans="1:30" s="118" customFormat="1" ht="24.95" customHeight="1">
      <c r="A71" s="111"/>
      <c r="B71" s="186"/>
      <c r="C71" s="187"/>
      <c r="D71" s="112"/>
      <c r="E71" s="240" t="s">
        <v>297</v>
      </c>
      <c r="F71" s="241" t="s">
        <v>298</v>
      </c>
      <c r="G71" s="242" t="s">
        <v>21</v>
      </c>
      <c r="H71" s="246"/>
      <c r="I71" s="239">
        <f>(((184.9*PC)/1000)+(GPCVZ*(0.07*PCVZ^0.8)))/0.439</f>
        <v>111.25190641809967</v>
      </c>
      <c r="J71" s="185">
        <f t="shared" si="3"/>
        <v>2.2655235157757422E-5</v>
      </c>
      <c r="K71" s="120"/>
      <c r="L71" s="113"/>
      <c r="M71" s="113"/>
      <c r="N71" s="113"/>
      <c r="O71" s="113"/>
      <c r="P71" s="113"/>
      <c r="Q71" s="113"/>
      <c r="R71" s="113"/>
      <c r="S71" s="113">
        <f>IF(C26="confinamento",IF(C23="Zebuíno",C162,D162),F162)</f>
        <v>0.46750000000000003</v>
      </c>
      <c r="T71" s="113"/>
      <c r="U71" s="113"/>
      <c r="V71" s="113"/>
      <c r="W71" s="113"/>
      <c r="X71" s="113"/>
      <c r="Y71" s="113"/>
      <c r="Z71" s="117"/>
      <c r="AA71" s="117"/>
      <c r="AB71" s="117"/>
      <c r="AC71" s="117"/>
      <c r="AD71" s="117"/>
    </row>
    <row r="72" spans="1:30" s="118" customFormat="1" ht="24.95" customHeight="1">
      <c r="A72" s="111"/>
      <c r="B72" s="186"/>
      <c r="C72" s="187"/>
      <c r="D72" s="112"/>
      <c r="E72" s="222" t="s">
        <v>615</v>
      </c>
      <c r="F72" s="223" t="s">
        <v>613</v>
      </c>
      <c r="G72" s="223" t="s">
        <v>21</v>
      </c>
      <c r="H72" s="224"/>
      <c r="I72" s="229">
        <f>(((184.9*PC)/1000))/0.439</f>
        <v>105.71731207289294</v>
      </c>
      <c r="J72" s="185"/>
      <c r="K72" s="120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13"/>
      <c r="X72" s="113"/>
      <c r="Y72" s="113"/>
      <c r="Z72" s="117"/>
      <c r="AA72" s="117"/>
      <c r="AB72" s="117"/>
      <c r="AC72" s="117"/>
      <c r="AD72" s="117"/>
    </row>
    <row r="73" spans="1:30" s="118" customFormat="1" ht="24.95" customHeight="1">
      <c r="A73" s="111"/>
      <c r="B73" s="186"/>
      <c r="C73" s="187"/>
      <c r="D73" s="112"/>
      <c r="E73" s="222" t="s">
        <v>616</v>
      </c>
      <c r="F73" s="223" t="s">
        <v>614</v>
      </c>
      <c r="G73" s="223" t="s">
        <v>21</v>
      </c>
      <c r="H73" s="224"/>
      <c r="I73" s="229">
        <f>(GPCVZ*(0.07*PCVZ^0.8))/0.439</f>
        <v>5.534594345206731</v>
      </c>
      <c r="J73" s="185"/>
      <c r="K73" s="120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13"/>
      <c r="X73" s="113"/>
      <c r="Y73" s="113"/>
      <c r="Z73" s="117"/>
      <c r="AA73" s="117"/>
      <c r="AB73" s="117"/>
      <c r="AC73" s="117"/>
      <c r="AD73" s="117"/>
    </row>
    <row r="74" spans="1:30" s="118" customFormat="1" ht="24.95" customHeight="1">
      <c r="A74" s="111"/>
      <c r="B74" s="186"/>
      <c r="C74" s="187"/>
      <c r="D74" s="112"/>
      <c r="E74" s="235" t="s">
        <v>425</v>
      </c>
      <c r="F74" s="236" t="s">
        <v>426</v>
      </c>
      <c r="G74" s="237" t="s">
        <v>21</v>
      </c>
      <c r="H74" s="245"/>
      <c r="I74" s="239">
        <f>((3.27*C29/1000)+(I11*(0.0035*(I10^0.4063))))/0.497</f>
        <v>1.6810717287158745</v>
      </c>
      <c r="J74" s="185">
        <f t="shared" si="3"/>
        <v>3.4233188946881573E-7</v>
      </c>
      <c r="K74" s="120"/>
      <c r="L74" s="113"/>
      <c r="M74" s="113"/>
      <c r="N74" s="113"/>
      <c r="O74" s="113"/>
      <c r="P74" s="113"/>
      <c r="Q74" s="113"/>
      <c r="R74" s="113"/>
      <c r="S74" s="113">
        <f>IF(C26="confinamento",IF(C23="Zebuíno",C163,D163),F163)</f>
        <v>220.67453023255814</v>
      </c>
      <c r="T74" s="113"/>
      <c r="U74" s="113"/>
      <c r="V74" s="113"/>
      <c r="W74" s="113"/>
      <c r="X74" s="113"/>
      <c r="Y74" s="113"/>
      <c r="Z74" s="117"/>
      <c r="AA74" s="117"/>
      <c r="AB74" s="117"/>
      <c r="AC74" s="117"/>
      <c r="AD74" s="117"/>
    </row>
    <row r="75" spans="1:30" s="118" customFormat="1" ht="24.95" customHeight="1">
      <c r="A75" s="111"/>
      <c r="B75" s="186"/>
      <c r="C75" s="187"/>
      <c r="D75" s="112"/>
      <c r="E75" s="222" t="s">
        <v>609</v>
      </c>
      <c r="F75" s="223" t="s">
        <v>611</v>
      </c>
      <c r="G75" s="223" t="s">
        <v>21</v>
      </c>
      <c r="H75" s="224"/>
      <c r="I75" s="229">
        <f>(3.27*PC/1000)/0.497</f>
        <v>1.6514486921529175</v>
      </c>
      <c r="J75" s="185"/>
      <c r="K75" s="120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7"/>
      <c r="AA75" s="117"/>
      <c r="AB75" s="117"/>
      <c r="AC75" s="117"/>
      <c r="AD75" s="117"/>
    </row>
    <row r="76" spans="1:30" s="118" customFormat="1" ht="24.95" customHeight="1">
      <c r="A76" s="111"/>
      <c r="B76" s="186"/>
      <c r="C76" s="187"/>
      <c r="D76" s="112"/>
      <c r="E76" s="222" t="s">
        <v>610</v>
      </c>
      <c r="F76" s="223" t="s">
        <v>612</v>
      </c>
      <c r="G76" s="223" t="s">
        <v>21</v>
      </c>
      <c r="H76" s="224"/>
      <c r="I76" s="229">
        <f>GPCVZ * (0.0035 * PCVZ^0.4063)/0.497</f>
        <v>2.9623036562957103E-2</v>
      </c>
      <c r="J76" s="185"/>
      <c r="K76" s="120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7"/>
      <c r="AA76" s="117"/>
      <c r="AB76" s="117"/>
      <c r="AC76" s="117"/>
      <c r="AD76" s="117"/>
    </row>
    <row r="77" spans="1:30" ht="26.1" customHeight="1">
      <c r="A77" s="111"/>
      <c r="B77" s="186"/>
      <c r="C77" s="187"/>
      <c r="D77" s="112"/>
      <c r="E77" s="240" t="s">
        <v>299</v>
      </c>
      <c r="F77" s="241" t="s">
        <v>300</v>
      </c>
      <c r="G77" s="242" t="s">
        <v>21</v>
      </c>
      <c r="H77" s="247"/>
      <c r="I77" s="239">
        <f>(((3.72*PC)/1000)+($I$11*(1.07*$I$10^-0.07)))/0.487</f>
        <v>2.63664809547027</v>
      </c>
      <c r="J77" s="185">
        <f t="shared" si="3"/>
        <v>5.3692457553620901E-7</v>
      </c>
      <c r="K77" s="120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</row>
    <row r="78" spans="1:30" ht="26.1" customHeight="1">
      <c r="A78" s="111"/>
      <c r="B78" s="186"/>
      <c r="C78" s="187"/>
      <c r="D78" s="112"/>
      <c r="E78" s="222" t="s">
        <v>605</v>
      </c>
      <c r="F78" s="223" t="s">
        <v>607</v>
      </c>
      <c r="G78" s="223" t="s">
        <v>21</v>
      </c>
      <c r="H78" s="224"/>
      <c r="I78" s="229">
        <f>3.72*PC/1000/0.487</f>
        <v>1.9172895277207394</v>
      </c>
      <c r="J78" s="185"/>
      <c r="K78" s="120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</row>
    <row r="79" spans="1:30" ht="26.1" customHeight="1">
      <c r="A79" s="111"/>
      <c r="B79" s="186"/>
      <c r="C79" s="187"/>
      <c r="D79" s="112"/>
      <c r="E79" s="222" t="s">
        <v>606</v>
      </c>
      <c r="F79" s="223" t="s">
        <v>608</v>
      </c>
      <c r="G79" s="223" t="s">
        <v>21</v>
      </c>
      <c r="H79" s="224"/>
      <c r="I79" s="229">
        <f>GPCVZ * (1.07 * PCVZ^-0.07)/0.487</f>
        <v>0.71935856774953066</v>
      </c>
      <c r="J79" s="185"/>
      <c r="K79" s="120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</row>
    <row r="80" spans="1:30" s="192" customFormat="1" ht="23.25">
      <c r="A80" s="188"/>
      <c r="B80" s="189"/>
      <c r="C80" s="188"/>
      <c r="D80" s="112"/>
      <c r="E80" s="235" t="s">
        <v>301</v>
      </c>
      <c r="F80" s="236" t="s">
        <v>302</v>
      </c>
      <c r="G80" s="237" t="s">
        <v>21</v>
      </c>
      <c r="H80" s="248"/>
      <c r="I80" s="239">
        <f>(((334.4*PC)/1000)+(GPCVZ*(1.16*PCVZ^0.86)))/0.668</f>
        <v>208.79104545140953</v>
      </c>
      <c r="J80" s="185">
        <f t="shared" si="3"/>
        <v>4.2518015068963698E-5</v>
      </c>
      <c r="K80" s="120"/>
      <c r="L80" s="113"/>
      <c r="M80" s="113"/>
      <c r="N80" s="113"/>
      <c r="O80" s="190"/>
      <c r="P80" s="190"/>
      <c r="Q80" s="190"/>
      <c r="R80" s="190"/>
      <c r="S80" s="190"/>
      <c r="T80" s="190"/>
      <c r="U80" s="190"/>
      <c r="V80" s="190"/>
      <c r="W80" s="190"/>
      <c r="X80" s="190"/>
      <c r="Y80" s="190"/>
      <c r="Z80" s="191"/>
      <c r="AA80" s="191"/>
      <c r="AB80" s="191"/>
      <c r="AC80" s="191"/>
      <c r="AD80" s="191"/>
    </row>
    <row r="81" spans="1:30" s="195" customFormat="1" ht="23.25">
      <c r="A81" s="193"/>
      <c r="B81" s="194"/>
      <c r="C81" s="193"/>
      <c r="D81" s="193"/>
      <c r="E81" s="222" t="s">
        <v>529</v>
      </c>
      <c r="F81" s="223" t="s">
        <v>530</v>
      </c>
      <c r="G81" s="223" t="s">
        <v>21</v>
      </c>
      <c r="H81" s="225"/>
      <c r="I81" s="229">
        <f>334.4*PC/1000/0.668</f>
        <v>125.65029940119759</v>
      </c>
      <c r="J81" s="190"/>
      <c r="K81" s="120"/>
      <c r="L81" s="113"/>
      <c r="M81" s="113"/>
      <c r="N81" s="113"/>
      <c r="O81" s="190"/>
      <c r="P81" s="190"/>
      <c r="Q81" s="190"/>
      <c r="R81" s="190"/>
      <c r="S81" s="190"/>
      <c r="T81" s="190"/>
      <c r="U81" s="190"/>
      <c r="V81" s="190"/>
      <c r="W81" s="190"/>
      <c r="X81" s="190"/>
      <c r="Y81" s="190"/>
      <c r="Z81" s="191"/>
      <c r="AA81" s="191"/>
      <c r="AB81" s="191"/>
      <c r="AC81" s="191"/>
      <c r="AD81" s="191"/>
    </row>
    <row r="82" spans="1:30" s="195" customFormat="1" ht="23.25">
      <c r="A82" s="193"/>
      <c r="B82" s="194"/>
      <c r="C82" s="193"/>
      <c r="D82" s="193"/>
      <c r="E82" s="222" t="s">
        <v>531</v>
      </c>
      <c r="F82" s="223" t="s">
        <v>532</v>
      </c>
      <c r="G82" s="223" t="s">
        <v>21</v>
      </c>
      <c r="H82" s="225"/>
      <c r="I82" s="229">
        <f>GPCVZ*(1.16*PCVZ^0.86)/0.668</f>
        <v>83.140746050211931</v>
      </c>
      <c r="J82" s="190"/>
      <c r="K82" s="120"/>
      <c r="L82" s="113"/>
      <c r="M82" s="113"/>
      <c r="N82" s="113"/>
      <c r="O82" s="190"/>
      <c r="P82" s="190"/>
      <c r="Q82" s="190"/>
      <c r="R82" s="190"/>
      <c r="S82" s="190"/>
      <c r="T82" s="190"/>
      <c r="U82" s="190"/>
      <c r="V82" s="190"/>
      <c r="W82" s="190"/>
      <c r="X82" s="190"/>
      <c r="Y82" s="190"/>
      <c r="Z82" s="191"/>
      <c r="AA82" s="191"/>
      <c r="AB82" s="191"/>
      <c r="AC82" s="191"/>
      <c r="AD82" s="191"/>
    </row>
    <row r="83" spans="1:30" s="195" customFormat="1" ht="23.25">
      <c r="A83" s="193"/>
      <c r="B83" s="194"/>
      <c r="C83" s="193"/>
      <c r="D83" s="193"/>
      <c r="J83" s="190"/>
      <c r="K83" s="190"/>
      <c r="L83" s="190"/>
      <c r="M83" s="190"/>
      <c r="N83" s="190"/>
      <c r="O83" s="190"/>
      <c r="P83" s="190"/>
      <c r="Q83" s="190"/>
      <c r="R83" s="190"/>
      <c r="S83" s="190"/>
      <c r="T83" s="190"/>
      <c r="U83" s="190"/>
      <c r="V83" s="190"/>
      <c r="W83" s="190"/>
      <c r="X83" s="190"/>
      <c r="Y83" s="190"/>
      <c r="Z83" s="191"/>
      <c r="AA83" s="191"/>
      <c r="AB83" s="191"/>
      <c r="AC83" s="191"/>
      <c r="AD83" s="191"/>
    </row>
    <row r="84" spans="1:30" s="195" customFormat="1" ht="23.25">
      <c r="A84" s="193"/>
      <c r="B84" s="194"/>
      <c r="C84" s="193"/>
      <c r="D84" s="193"/>
      <c r="E84" s="193"/>
      <c r="F84" s="193"/>
      <c r="G84" s="193"/>
      <c r="H84" s="193"/>
      <c r="I84" s="196"/>
      <c r="J84" s="190"/>
      <c r="K84" s="190"/>
      <c r="L84" s="190"/>
      <c r="M84" s="190"/>
      <c r="N84" s="190"/>
      <c r="O84" s="190"/>
      <c r="P84" s="190"/>
      <c r="Q84" s="190"/>
      <c r="R84" s="190"/>
      <c r="S84" s="190"/>
      <c r="T84" s="190"/>
      <c r="U84" s="190"/>
      <c r="V84" s="190"/>
      <c r="W84" s="190"/>
      <c r="X84" s="190"/>
      <c r="Y84" s="190"/>
      <c r="Z84" s="191"/>
      <c r="AA84" s="191"/>
      <c r="AB84" s="191"/>
      <c r="AC84" s="191"/>
      <c r="AD84" s="191"/>
    </row>
    <row r="85" spans="1:30" s="195" customFormat="1" ht="23.25">
      <c r="A85" s="193"/>
      <c r="B85" s="194"/>
      <c r="C85" s="193"/>
      <c r="D85" s="193"/>
      <c r="E85" s="193"/>
      <c r="F85" s="193"/>
      <c r="G85" s="193"/>
      <c r="H85" s="193"/>
      <c r="I85" s="196"/>
      <c r="J85" s="190"/>
      <c r="K85" s="190"/>
      <c r="L85" s="190"/>
      <c r="M85" s="190"/>
      <c r="N85" s="190"/>
      <c r="O85" s="190"/>
      <c r="P85" s="190"/>
      <c r="Q85" s="190"/>
      <c r="R85" s="190"/>
      <c r="S85" s="190"/>
      <c r="T85" s="190"/>
      <c r="U85" s="190"/>
      <c r="V85" s="190"/>
      <c r="W85" s="190"/>
      <c r="X85" s="190"/>
      <c r="Y85" s="190"/>
      <c r="Z85" s="191"/>
      <c r="AA85" s="191"/>
      <c r="AB85" s="191"/>
      <c r="AC85" s="191"/>
      <c r="AD85" s="191"/>
    </row>
    <row r="86" spans="1:30" s="191" customFormat="1" ht="23.25">
      <c r="A86" s="190"/>
      <c r="B86" s="2027" t="s">
        <v>533</v>
      </c>
      <c r="C86" s="2028"/>
      <c r="D86" s="2028"/>
      <c r="E86" s="2028"/>
      <c r="F86" s="2028"/>
      <c r="G86" s="2028"/>
      <c r="H86" s="2028"/>
      <c r="I86" s="197"/>
      <c r="J86" s="190"/>
      <c r="K86" s="190"/>
      <c r="L86" s="2039"/>
      <c r="M86" s="2040"/>
      <c r="N86" s="2040"/>
      <c r="O86" s="190"/>
      <c r="P86" s="190"/>
      <c r="Q86" s="190"/>
      <c r="R86" s="190"/>
      <c r="S86" s="190"/>
      <c r="T86" s="190"/>
      <c r="U86" s="190"/>
      <c r="V86" s="190"/>
      <c r="W86" s="190"/>
      <c r="X86" s="190"/>
      <c r="Y86" s="190"/>
    </row>
    <row r="87" spans="1:30" s="191" customFormat="1" ht="23.25">
      <c r="A87" s="190"/>
      <c r="B87" s="198"/>
      <c r="C87" s="190"/>
      <c r="D87" s="190"/>
      <c r="E87" s="199"/>
      <c r="F87" s="190"/>
      <c r="G87" s="190"/>
      <c r="H87" s="190"/>
      <c r="I87" s="197"/>
      <c r="J87" s="190"/>
      <c r="K87" s="190"/>
      <c r="L87" s="190"/>
      <c r="M87" s="190"/>
      <c r="N87" s="190"/>
      <c r="O87" s="190"/>
      <c r="P87" s="190"/>
      <c r="Q87" s="190"/>
      <c r="R87" s="190"/>
      <c r="S87" s="190"/>
      <c r="T87" s="190"/>
      <c r="U87" s="190"/>
      <c r="V87" s="190"/>
      <c r="W87" s="190"/>
      <c r="X87" s="190"/>
      <c r="Y87" s="190"/>
    </row>
    <row r="88" spans="1:30" s="191" customFormat="1" ht="23.25">
      <c r="A88" s="190"/>
      <c r="B88" s="198" t="s">
        <v>506</v>
      </c>
      <c r="C88" s="190" t="s">
        <v>534</v>
      </c>
      <c r="D88" s="190"/>
      <c r="E88" s="199"/>
      <c r="F88" s="190"/>
      <c r="G88" s="190"/>
      <c r="H88" s="190"/>
      <c r="I88" s="197"/>
      <c r="J88" s="190"/>
      <c r="K88" s="190"/>
      <c r="L88" s="190"/>
      <c r="M88" s="190"/>
      <c r="N88" s="190"/>
      <c r="O88" s="190"/>
      <c r="P88" s="190"/>
      <c r="Q88" s="190"/>
      <c r="R88" s="190"/>
      <c r="S88" s="190"/>
      <c r="T88" s="190"/>
      <c r="U88" s="190"/>
      <c r="V88" s="190"/>
      <c r="W88" s="190"/>
      <c r="X88" s="190"/>
      <c r="Y88" s="190"/>
    </row>
    <row r="89" spans="1:30" s="191" customFormat="1" ht="23.25">
      <c r="A89" s="190"/>
      <c r="B89" s="197"/>
      <c r="C89" s="2039" t="s">
        <v>535</v>
      </c>
      <c r="D89" s="2040"/>
      <c r="E89" s="190"/>
      <c r="F89" s="199"/>
      <c r="G89" s="190" t="s">
        <v>536</v>
      </c>
      <c r="H89" s="190"/>
      <c r="I89" s="197"/>
      <c r="J89" s="190"/>
      <c r="K89" s="190"/>
      <c r="L89" s="199"/>
      <c r="M89" s="190"/>
      <c r="N89" s="190"/>
      <c r="O89" s="190"/>
      <c r="P89" s="190"/>
      <c r="Q89" s="190"/>
      <c r="R89" s="190"/>
      <c r="S89" s="190"/>
      <c r="T89" s="190"/>
      <c r="U89" s="190"/>
      <c r="V89" s="190"/>
      <c r="W89" s="190"/>
      <c r="X89" s="190"/>
      <c r="Y89" s="190"/>
    </row>
    <row r="90" spans="1:30" s="191" customFormat="1" ht="23.25">
      <c r="A90" s="190"/>
      <c r="B90" s="190"/>
      <c r="C90" s="197" t="s">
        <v>505</v>
      </c>
      <c r="D90" s="197" t="s">
        <v>537</v>
      </c>
      <c r="E90" s="190"/>
      <c r="F90" s="199"/>
      <c r="G90" s="190"/>
      <c r="H90" s="190"/>
      <c r="I90" s="197"/>
      <c r="J90" s="190"/>
      <c r="K90" s="190"/>
      <c r="L90" s="199"/>
      <c r="M90" s="190"/>
      <c r="N90" s="190"/>
      <c r="O90" s="190"/>
      <c r="P90" s="190"/>
      <c r="Q90" s="190"/>
      <c r="R90" s="190"/>
      <c r="S90" s="190"/>
      <c r="T90" s="190"/>
      <c r="U90" s="190"/>
      <c r="V90" s="190"/>
      <c r="W90" s="190"/>
      <c r="X90" s="190"/>
      <c r="Y90" s="190"/>
    </row>
    <row r="91" spans="1:30" s="191" customFormat="1" ht="23.25">
      <c r="A91" s="190"/>
      <c r="B91" s="199" t="s">
        <v>352</v>
      </c>
      <c r="C91" s="200">
        <f>0.88*C29^1.0175</f>
        <v>243.3048038276406</v>
      </c>
      <c r="D91" s="200">
        <f>0.9664*C29^1.0017</f>
        <v>244.85562651647604</v>
      </c>
      <c r="E91" s="190"/>
      <c r="F91" s="199" t="s">
        <v>352</v>
      </c>
      <c r="G91" s="201">
        <f>0.88*C29^1.0175</f>
        <v>243.3048038276406</v>
      </c>
      <c r="H91" s="190"/>
      <c r="I91" s="197"/>
      <c r="J91" s="190"/>
      <c r="K91" s="190"/>
      <c r="L91" s="199"/>
      <c r="M91" s="190"/>
      <c r="N91" s="190"/>
      <c r="O91" s="190"/>
      <c r="P91" s="190"/>
      <c r="Q91" s="190"/>
      <c r="R91" s="190"/>
      <c r="S91" s="190"/>
      <c r="T91" s="190"/>
      <c r="U91" s="190"/>
      <c r="V91" s="190"/>
      <c r="W91" s="190"/>
      <c r="X91" s="190"/>
      <c r="Y91" s="190"/>
    </row>
    <row r="92" spans="1:30" s="191" customFormat="1" ht="23.25">
      <c r="A92" s="190"/>
      <c r="B92" s="202" t="s">
        <v>538</v>
      </c>
      <c r="C92" s="200">
        <f>0.8126*C91^1.0134</f>
        <v>212.81484588868489</v>
      </c>
      <c r="D92" s="200">
        <f>0.7248*D91^1.0314</f>
        <v>210.930824141871</v>
      </c>
      <c r="E92" s="190"/>
      <c r="F92" s="199" t="s">
        <v>354</v>
      </c>
      <c r="G92" s="201">
        <f>0.8507*G91^1.0002</f>
        <v>207.20696362621618</v>
      </c>
      <c r="H92" s="190"/>
      <c r="I92" s="197"/>
      <c r="J92" s="190"/>
      <c r="K92" s="190"/>
      <c r="L92" s="199"/>
      <c r="M92" s="190"/>
      <c r="N92" s="190"/>
      <c r="O92" s="190"/>
      <c r="P92" s="190"/>
      <c r="Q92" s="190"/>
      <c r="R92" s="190"/>
      <c r="S92" s="190"/>
      <c r="T92" s="190"/>
      <c r="U92" s="190"/>
      <c r="V92" s="190"/>
      <c r="W92" s="190"/>
      <c r="X92" s="190"/>
      <c r="Y92" s="190"/>
    </row>
    <row r="93" spans="1:30" s="191" customFormat="1" ht="23.25">
      <c r="A93" s="190"/>
      <c r="B93" s="202" t="s">
        <v>539</v>
      </c>
      <c r="C93" s="200">
        <f>0.6241*C91^1.0608</f>
        <v>212.07175378421289</v>
      </c>
      <c r="D93" s="200">
        <f>0.6586*D91^1.0499</f>
        <v>212.19660336248884</v>
      </c>
      <c r="E93" s="199"/>
      <c r="F93" s="203"/>
      <c r="G93" s="190"/>
      <c r="H93" s="190"/>
      <c r="I93" s="197"/>
      <c r="J93" s="190"/>
      <c r="K93" s="190"/>
      <c r="L93" s="203"/>
      <c r="M93" s="190"/>
      <c r="N93" s="190"/>
      <c r="O93" s="190"/>
      <c r="P93" s="190"/>
      <c r="Q93" s="190"/>
      <c r="R93" s="190"/>
      <c r="S93" s="190"/>
      <c r="T93" s="190"/>
      <c r="U93" s="190"/>
      <c r="V93" s="190"/>
      <c r="W93" s="190"/>
      <c r="X93" s="190"/>
      <c r="Y93" s="190"/>
    </row>
    <row r="94" spans="1:30" s="191" customFormat="1" ht="23.25">
      <c r="A94" s="190"/>
      <c r="B94" s="202" t="s">
        <v>540</v>
      </c>
      <c r="C94" s="200">
        <f>0.611*C91^1.0667</f>
        <v>214.46091007532524</v>
      </c>
      <c r="D94" s="200">
        <f>0.6314*D91^1.0602</f>
        <v>215.2915839344665</v>
      </c>
      <c r="E94" s="199"/>
      <c r="F94" s="190"/>
      <c r="G94" s="190"/>
      <c r="H94" s="190"/>
      <c r="I94" s="197"/>
      <c r="J94" s="190"/>
      <c r="K94" s="190"/>
      <c r="L94" s="190"/>
      <c r="M94" s="190"/>
      <c r="N94" s="190"/>
      <c r="O94" s="190"/>
      <c r="P94" s="190"/>
      <c r="Q94" s="190"/>
      <c r="R94" s="190"/>
      <c r="S94" s="190"/>
      <c r="T94" s="190"/>
      <c r="U94" s="190"/>
      <c r="V94" s="190"/>
      <c r="W94" s="190"/>
      <c r="X94" s="190"/>
      <c r="Y94" s="190"/>
    </row>
    <row r="95" spans="1:30" s="191" customFormat="1" ht="23.25">
      <c r="A95" s="190"/>
      <c r="B95" s="202" t="s">
        <v>541</v>
      </c>
      <c r="C95" s="200">
        <f>IF(C25="Macho não castrado",C92,IF(C25="macho castrado",C93,C94))</f>
        <v>212.81484588868489</v>
      </c>
      <c r="D95" s="200">
        <f>IF(C25="Macho não castrado",D92,IF(C25="macho castrado",D93,D94))</f>
        <v>210.930824141871</v>
      </c>
      <c r="E95" s="233"/>
      <c r="F95" s="190"/>
      <c r="G95" s="190"/>
      <c r="H95" s="190"/>
      <c r="I95" s="197"/>
      <c r="J95" s="190"/>
      <c r="K95" s="190"/>
      <c r="L95" s="190"/>
      <c r="M95" s="190"/>
      <c r="N95" s="190"/>
      <c r="O95" s="190"/>
      <c r="P95" s="190"/>
      <c r="Q95" s="190"/>
      <c r="R95" s="190"/>
      <c r="S95" s="190"/>
      <c r="T95" s="190"/>
      <c r="U95" s="190"/>
      <c r="V95" s="190"/>
      <c r="W95" s="190"/>
      <c r="X95" s="190"/>
      <c r="Y95" s="190"/>
    </row>
    <row r="96" spans="1:30" s="191" customFormat="1" ht="23.25">
      <c r="A96" s="190"/>
      <c r="B96" s="202" t="s">
        <v>360</v>
      </c>
      <c r="C96" s="204">
        <f>-1.7824+0.07765*C29^0.75+4.0415*C30-0.8973*C30^2</f>
        <v>4.9106489358158658</v>
      </c>
      <c r="D96" s="197" t="s">
        <v>542</v>
      </c>
      <c r="E96" s="205" t="s">
        <v>534</v>
      </c>
      <c r="F96" s="190"/>
      <c r="G96" s="190"/>
      <c r="H96" s="190"/>
      <c r="I96" s="197"/>
      <c r="J96" s="190"/>
      <c r="K96" s="190"/>
      <c r="L96" s="190"/>
      <c r="M96" s="190"/>
      <c r="N96" s="190"/>
      <c r="O96" s="190"/>
      <c r="P96" s="190"/>
      <c r="Q96" s="190"/>
      <c r="R96" s="190"/>
      <c r="S96" s="190"/>
      <c r="T96" s="190"/>
      <c r="U96" s="190"/>
      <c r="V96" s="190"/>
      <c r="W96" s="190"/>
      <c r="X96" s="190"/>
      <c r="Y96" s="190"/>
    </row>
    <row r="97" spans="1:25" s="191" customFormat="1" ht="23.25">
      <c r="A97" s="190"/>
      <c r="B97" s="202" t="s">
        <v>360</v>
      </c>
      <c r="C97" s="197"/>
      <c r="D97" s="204">
        <f>-0.6273+0.06453*C29^0.75+3.871*C30-0.614*C30^2</f>
        <v>5.2239742122111767</v>
      </c>
      <c r="E97" s="206">
        <f>-2.8836+0.08435*C29^0.75+4.5145*C30-0.9631*C30^2</f>
        <v>4.4520022245469191</v>
      </c>
      <c r="F97" s="190"/>
      <c r="G97" s="190"/>
      <c r="H97" s="190"/>
      <c r="I97" s="197"/>
      <c r="J97" s="190"/>
      <c r="K97" s="190"/>
      <c r="L97" s="190"/>
      <c r="M97" s="190"/>
      <c r="N97" s="190"/>
      <c r="O97" s="190"/>
      <c r="P97" s="190"/>
      <c r="Q97" s="190"/>
      <c r="R97" s="190"/>
      <c r="S97" s="190"/>
      <c r="T97" s="190"/>
      <c r="U97" s="190"/>
      <c r="V97" s="190"/>
      <c r="W97" s="190"/>
      <c r="X97" s="190"/>
      <c r="Y97" s="190"/>
    </row>
    <row r="98" spans="1:25" s="191" customFormat="1" ht="23.25">
      <c r="A98" s="190"/>
      <c r="B98" s="202"/>
      <c r="C98" s="190"/>
      <c r="D98" s="190"/>
      <c r="E98" s="199"/>
      <c r="F98" s="190"/>
      <c r="G98" s="190"/>
      <c r="H98" s="190"/>
      <c r="I98" s="197"/>
      <c r="J98" s="190"/>
      <c r="K98" s="190"/>
      <c r="L98" s="190"/>
      <c r="M98" s="190"/>
      <c r="N98" s="190"/>
      <c r="O98" s="190"/>
      <c r="P98" s="190"/>
      <c r="Q98" s="190"/>
      <c r="R98" s="190"/>
      <c r="S98" s="190"/>
      <c r="T98" s="190"/>
      <c r="U98" s="190"/>
      <c r="V98" s="190"/>
      <c r="W98" s="190"/>
      <c r="X98" s="190"/>
      <c r="Y98" s="190"/>
    </row>
    <row r="99" spans="1:25" s="191" customFormat="1" ht="23.25">
      <c r="A99" s="190"/>
      <c r="B99" s="202"/>
      <c r="C99" s="252">
        <f>-2.1948+0.08338*C29^0.75+3.9328*C30-0.903*C30^2</f>
        <v>4.8038088379694397</v>
      </c>
      <c r="D99" s="209">
        <f xml:space="preserve"> -0.6273 + 0.06453 * PC ^0.75 + 3.871 * GMD - 0.614 * GMD^2</f>
        <v>5.2239742122111767</v>
      </c>
      <c r="E99" s="253">
        <f xml:space="preserve"> -2.8836 + 0.08435 * PC^0.75 + 4.5145 * GMD - 0.9631 *
GMD^2</f>
        <v>4.4520022245469191</v>
      </c>
      <c r="F99" s="190"/>
      <c r="G99" s="190"/>
      <c r="H99" s="190"/>
      <c r="I99" s="197"/>
      <c r="J99" s="190"/>
      <c r="K99" s="190"/>
      <c r="L99" s="190"/>
      <c r="M99" s="190"/>
      <c r="N99" s="190"/>
      <c r="O99" s="190"/>
      <c r="P99" s="190"/>
      <c r="Q99" s="190"/>
      <c r="R99" s="190"/>
      <c r="S99" s="190"/>
      <c r="T99" s="190"/>
      <c r="U99" s="190"/>
      <c r="V99" s="190"/>
      <c r="W99" s="190"/>
      <c r="X99" s="190"/>
      <c r="Y99" s="190"/>
    </row>
    <row r="100" spans="1:25" s="191" customFormat="1" ht="23.25">
      <c r="A100" s="190"/>
      <c r="B100" s="2027" t="s">
        <v>543</v>
      </c>
      <c r="C100" s="2028"/>
      <c r="D100" s="2028"/>
      <c r="E100" s="2028"/>
      <c r="F100" s="2028"/>
      <c r="G100" s="2028"/>
      <c r="H100" s="2028"/>
      <c r="I100" s="197"/>
      <c r="J100" s="190"/>
      <c r="K100" s="190"/>
      <c r="L100" s="190"/>
      <c r="M100" s="190"/>
      <c r="N100" s="190"/>
      <c r="O100" s="190"/>
      <c r="P100" s="190"/>
      <c r="Q100" s="190"/>
      <c r="R100" s="190"/>
      <c r="S100" s="190"/>
      <c r="T100" s="190"/>
      <c r="U100" s="190"/>
      <c r="V100" s="190"/>
      <c r="W100" s="190"/>
      <c r="X100" s="190"/>
      <c r="Y100" s="190"/>
    </row>
    <row r="101" spans="1:25" s="191" customFormat="1" ht="23.25">
      <c r="A101" s="190"/>
      <c r="B101" s="197"/>
      <c r="C101" s="2039" t="s">
        <v>535</v>
      </c>
      <c r="D101" s="2040"/>
      <c r="E101" s="190"/>
      <c r="F101" s="190"/>
      <c r="G101" s="190" t="s">
        <v>536</v>
      </c>
      <c r="H101" s="190"/>
      <c r="I101" s="197"/>
      <c r="J101" s="190"/>
      <c r="K101" s="190"/>
      <c r="L101" s="190"/>
      <c r="M101" s="190"/>
      <c r="N101" s="190"/>
      <c r="O101" s="190"/>
      <c r="P101" s="190"/>
      <c r="Q101" s="190"/>
      <c r="R101" s="190"/>
      <c r="S101" s="190"/>
      <c r="T101" s="190"/>
      <c r="U101" s="190"/>
      <c r="V101" s="190"/>
      <c r="W101" s="190"/>
      <c r="X101" s="190"/>
      <c r="Y101" s="190"/>
    </row>
    <row r="102" spans="1:25" s="191" customFormat="1" ht="23.25">
      <c r="A102" s="190"/>
      <c r="B102" s="190"/>
      <c r="C102" s="197" t="s">
        <v>505</v>
      </c>
      <c r="D102" s="197" t="s">
        <v>537</v>
      </c>
      <c r="E102" s="190"/>
      <c r="F102" s="190"/>
      <c r="G102" s="197" t="s">
        <v>505</v>
      </c>
      <c r="H102" s="197" t="s">
        <v>537</v>
      </c>
      <c r="I102" s="190"/>
      <c r="J102" s="190"/>
      <c r="K102" s="190"/>
      <c r="L102" s="190"/>
      <c r="M102" s="190"/>
      <c r="N102" s="190"/>
      <c r="O102" s="190"/>
      <c r="P102" s="190"/>
      <c r="Q102" s="190"/>
      <c r="R102" s="190"/>
      <c r="S102" s="190"/>
      <c r="T102" s="190"/>
      <c r="U102" s="190"/>
      <c r="V102" s="190"/>
      <c r="W102" s="190"/>
      <c r="X102" s="190"/>
      <c r="Y102" s="190"/>
    </row>
    <row r="103" spans="1:25" s="191" customFormat="1" ht="23.25">
      <c r="A103" s="190"/>
      <c r="B103" s="199" t="s">
        <v>358</v>
      </c>
      <c r="C103" s="197"/>
      <c r="D103" s="197" t="s">
        <v>542</v>
      </c>
      <c r="E103" s="205" t="s">
        <v>534</v>
      </c>
      <c r="F103" s="190"/>
      <c r="G103" s="197"/>
      <c r="H103" s="197" t="s">
        <v>542</v>
      </c>
      <c r="I103" s="205" t="s">
        <v>534</v>
      </c>
      <c r="J103" s="190"/>
      <c r="K103" s="190"/>
      <c r="L103" s="190"/>
      <c r="M103" s="190"/>
      <c r="N103" s="190"/>
      <c r="O103" s="190"/>
      <c r="P103" s="190"/>
      <c r="Q103" s="190"/>
      <c r="R103" s="190"/>
      <c r="S103" s="190"/>
      <c r="T103" s="190"/>
      <c r="U103" s="190"/>
      <c r="V103" s="190"/>
      <c r="W103" s="190"/>
      <c r="X103" s="190"/>
      <c r="Y103" s="190"/>
    </row>
    <row r="104" spans="1:25" s="191" customFormat="1" ht="23.25">
      <c r="A104" s="190"/>
      <c r="B104" s="202" t="s">
        <v>544</v>
      </c>
      <c r="C104" s="200">
        <f>(C92/517)*517</f>
        <v>212.81484588868489</v>
      </c>
      <c r="D104" s="200">
        <f>(D92/560)*517</f>
        <v>194.73435014526305</v>
      </c>
      <c r="E104" s="207">
        <f>(D92/616)*517</f>
        <v>177.03122740478457</v>
      </c>
      <c r="F104" s="199" t="s">
        <v>545</v>
      </c>
      <c r="G104" s="204">
        <f>0.052*C107^0.75*$I$11^1.062</f>
        <v>1.3185441268836509</v>
      </c>
      <c r="H104" s="204">
        <f>0.052*D107^0.75*$I$11^1.062</f>
        <v>1.2336022480849218</v>
      </c>
      <c r="I104" s="206">
        <f>0.052*E107^0.75*$I$11^1.062</f>
        <v>1.1484990446810124</v>
      </c>
      <c r="J104" s="190"/>
      <c r="K104" s="190"/>
      <c r="L104" s="190"/>
      <c r="M104" s="190"/>
      <c r="N104" s="190"/>
      <c r="O104" s="190"/>
      <c r="P104" s="190"/>
      <c r="Q104" s="190"/>
      <c r="R104" s="190"/>
      <c r="S104" s="190"/>
      <c r="T104" s="190"/>
      <c r="U104" s="190"/>
      <c r="V104" s="190"/>
      <c r="W104" s="190"/>
      <c r="X104" s="190"/>
      <c r="Y104" s="190"/>
    </row>
    <row r="105" spans="1:25" s="191" customFormat="1" ht="23.25">
      <c r="A105" s="190"/>
      <c r="B105" s="202" t="s">
        <v>546</v>
      </c>
      <c r="C105" s="200">
        <f>(C93/433)*517</f>
        <v>253.21269447214334</v>
      </c>
      <c r="D105" s="200">
        <f>(D93/482)*517</f>
        <v>227.60507041163223</v>
      </c>
      <c r="E105" s="207">
        <f>(D93/532)*517</f>
        <v>206.21361642557659</v>
      </c>
      <c r="F105" s="199" t="s">
        <v>547</v>
      </c>
      <c r="G105" s="204">
        <f>IF(C23="Zebuíno",G104,IF(C24="corte",H104,I104))</f>
        <v>1.3185441268836509</v>
      </c>
      <c r="H105" s="190"/>
      <c r="I105" s="197"/>
      <c r="J105" s="190"/>
      <c r="K105" s="190"/>
      <c r="L105" s="190"/>
      <c r="M105" s="190"/>
      <c r="N105" s="190"/>
      <c r="O105" s="190"/>
      <c r="P105" s="190"/>
      <c r="Q105" s="190"/>
      <c r="R105" s="190"/>
      <c r="S105" s="190"/>
      <c r="T105" s="190"/>
      <c r="U105" s="190"/>
      <c r="V105" s="190"/>
      <c r="W105" s="190"/>
      <c r="X105" s="190"/>
      <c r="Y105" s="190"/>
    </row>
    <row r="106" spans="1:25" s="191" customFormat="1" ht="23.25">
      <c r="A106" s="190"/>
      <c r="B106" s="202" t="s">
        <v>548</v>
      </c>
      <c r="C106" s="200">
        <f>(C94/402)*517</f>
        <v>275.81166793269438</v>
      </c>
      <c r="D106" s="200">
        <f>(D94/417)*517</f>
        <v>266.92026113697648</v>
      </c>
      <c r="E106" s="207">
        <f>(D94/493)*517</f>
        <v>225.7723101300592</v>
      </c>
      <c r="F106" s="199" t="s">
        <v>549</v>
      </c>
      <c r="G106" s="204">
        <f>1.14*(G105/I11)^-1.137</f>
        <v>0.35834463173603037</v>
      </c>
      <c r="H106" s="190"/>
      <c r="I106" s="197"/>
      <c r="J106" s="190"/>
      <c r="K106" s="190"/>
      <c r="L106" s="190"/>
      <c r="M106" s="190"/>
      <c r="N106" s="190"/>
      <c r="O106" s="190"/>
      <c r="P106" s="190"/>
      <c r="Q106" s="190"/>
      <c r="R106" s="190"/>
      <c r="S106" s="190"/>
      <c r="T106" s="190"/>
      <c r="U106" s="190"/>
      <c r="V106" s="190"/>
      <c r="W106" s="190"/>
      <c r="X106" s="190"/>
      <c r="Y106" s="190"/>
    </row>
    <row r="107" spans="1:25" s="191" customFormat="1" ht="23.25">
      <c r="A107" s="190"/>
      <c r="B107" s="202" t="s">
        <v>550</v>
      </c>
      <c r="C107" s="200">
        <f>IF(C25="Macho não castrado",C104,IF(C25="macho castrado",C105,C106))</f>
        <v>212.81484588868489</v>
      </c>
      <c r="D107" s="200">
        <f>IF(C25="Macho não castrado",D104,IF(C25="macho castrado",D105,D106))</f>
        <v>194.73435014526305</v>
      </c>
      <c r="E107" s="207">
        <f>IF(C25="Macho não castrado",E104,IF(C25="macho castrado",E105,E106))</f>
        <v>177.03122740478457</v>
      </c>
      <c r="F107" s="199" t="s">
        <v>7</v>
      </c>
      <c r="G107" s="204">
        <f>0.327/(0.539+(1.14*(G105/I11)^-1.137))</f>
        <v>0.3644084874808643</v>
      </c>
      <c r="H107" s="190"/>
      <c r="I107" s="197"/>
      <c r="J107" s="190"/>
      <c r="K107" s="190"/>
      <c r="L107" s="190"/>
      <c r="M107" s="190"/>
      <c r="N107" s="190"/>
      <c r="O107" s="190"/>
      <c r="P107" s="190"/>
      <c r="Q107" s="190"/>
      <c r="R107" s="190"/>
      <c r="S107" s="190"/>
      <c r="T107" s="190"/>
      <c r="U107" s="190"/>
      <c r="V107" s="190"/>
      <c r="W107" s="190"/>
      <c r="X107" s="190"/>
      <c r="Y107" s="190"/>
    </row>
    <row r="108" spans="1:25" s="191" customFormat="1" ht="23.25">
      <c r="A108" s="190"/>
      <c r="B108" s="199" t="s">
        <v>378</v>
      </c>
      <c r="C108" s="204">
        <f t="shared" ref="C108:D108" si="4">0.075*C95^0.75</f>
        <v>4.1789069796287457</v>
      </c>
      <c r="D108" s="204">
        <f t="shared" si="4"/>
        <v>4.1511296772868631</v>
      </c>
      <c r="E108" s="206"/>
      <c r="F108" s="199" t="s">
        <v>382</v>
      </c>
      <c r="G108" s="204">
        <f>(0.513+0.173*G107+0.1*I11)*0.92</f>
        <v>0.57379602679453856</v>
      </c>
      <c r="H108" s="190"/>
      <c r="I108" s="197"/>
      <c r="J108" s="190"/>
      <c r="K108" s="190"/>
      <c r="L108" s="190"/>
      <c r="M108" s="190"/>
      <c r="N108" s="190"/>
      <c r="O108" s="190"/>
      <c r="P108" s="190"/>
      <c r="Q108" s="190"/>
      <c r="R108" s="190"/>
      <c r="S108" s="190"/>
      <c r="T108" s="190"/>
      <c r="U108" s="190"/>
      <c r="V108" s="190"/>
      <c r="W108" s="190"/>
      <c r="X108" s="190"/>
      <c r="Y108" s="190"/>
    </row>
    <row r="109" spans="1:25" s="191" customFormat="1" ht="23.25">
      <c r="A109" s="190"/>
      <c r="B109" s="199" t="s">
        <v>545</v>
      </c>
      <c r="C109" s="204">
        <f>0.061*C107^0.75*$I$11^1.035</f>
        <v>1.5780246758563259</v>
      </c>
      <c r="D109" s="204">
        <f>0.061*D107^0.75*$I$11^1.035</f>
        <v>1.476366810924044</v>
      </c>
      <c r="E109" s="206">
        <f>0.061*E107^0.75*$I$11^1.035</f>
        <v>1.3745158737975087</v>
      </c>
      <c r="F109" s="199" t="s">
        <v>373</v>
      </c>
      <c r="G109" s="204">
        <f t="shared" ref="G109:H109" si="5">C108/$G$108</f>
        <v>7.2829137611388575</v>
      </c>
      <c r="H109" s="204">
        <f t="shared" si="5"/>
        <v>7.2345040457613257</v>
      </c>
      <c r="I109" s="197"/>
      <c r="J109" s="190"/>
      <c r="K109" s="190"/>
      <c r="L109" s="190"/>
      <c r="M109" s="190"/>
      <c r="N109" s="190"/>
      <c r="O109" s="190"/>
      <c r="P109" s="190"/>
      <c r="Q109" s="190"/>
      <c r="R109" s="190"/>
      <c r="S109" s="190"/>
      <c r="T109" s="190"/>
      <c r="U109" s="190"/>
      <c r="V109" s="190"/>
      <c r="W109" s="190"/>
      <c r="X109" s="190"/>
      <c r="Y109" s="190"/>
    </row>
    <row r="110" spans="1:25" s="191" customFormat="1" ht="23.25">
      <c r="A110" s="190"/>
      <c r="B110" s="199" t="s">
        <v>551</v>
      </c>
      <c r="C110" s="204">
        <f>IF(C23="Zebuíno",C109,IF(C24="corte",D109,E109))</f>
        <v>1.5780246758563259</v>
      </c>
      <c r="D110" s="204"/>
      <c r="E110" s="199"/>
      <c r="F110" s="199" t="s">
        <v>552</v>
      </c>
      <c r="G110" s="204">
        <f>IF(C23="Cruzado",H109,G109)</f>
        <v>7.2829137611388575</v>
      </c>
      <c r="H110" s="190"/>
      <c r="I110" s="197"/>
      <c r="J110" s="190"/>
      <c r="K110" s="190"/>
      <c r="L110" s="190"/>
      <c r="M110" s="190"/>
      <c r="N110" s="190"/>
      <c r="O110" s="190"/>
      <c r="P110" s="190"/>
      <c r="Q110" s="190"/>
      <c r="R110" s="190"/>
      <c r="S110" s="190"/>
      <c r="T110" s="190"/>
      <c r="U110" s="190"/>
      <c r="V110" s="190"/>
      <c r="W110" s="190"/>
      <c r="X110" s="190"/>
      <c r="Y110" s="190"/>
    </row>
    <row r="111" spans="1:25" s="191" customFormat="1" ht="23.25">
      <c r="A111" s="190"/>
      <c r="B111" s="199" t="s">
        <v>549</v>
      </c>
      <c r="C111" s="204">
        <f>1.14*(C110/I11)^-1.137</f>
        <v>0.29214143738299697</v>
      </c>
      <c r="D111" s="204"/>
      <c r="E111" s="199"/>
      <c r="F111" s="199" t="s">
        <v>375</v>
      </c>
      <c r="G111" s="204">
        <f>G105/$G$107</f>
        <v>3.6183134372052459</v>
      </c>
      <c r="H111" s="190"/>
      <c r="I111" s="197"/>
      <c r="J111" s="190"/>
      <c r="K111" s="190"/>
      <c r="L111" s="190"/>
      <c r="M111" s="190"/>
      <c r="N111" s="190"/>
      <c r="O111" s="190"/>
      <c r="P111" s="190"/>
      <c r="Q111" s="190"/>
      <c r="R111" s="190"/>
      <c r="S111" s="190"/>
      <c r="T111" s="190"/>
      <c r="U111" s="190"/>
      <c r="V111" s="190"/>
      <c r="W111" s="190"/>
      <c r="X111" s="190"/>
      <c r="Y111" s="190"/>
    </row>
    <row r="112" spans="1:25" s="191" customFormat="1" ht="23.25">
      <c r="A112" s="190"/>
      <c r="B112" s="199" t="s">
        <v>7</v>
      </c>
      <c r="C112" s="204">
        <f>0.327/(0.539+(1.14*(C110/I11)^-1.137))</f>
        <v>0.39343484188397604</v>
      </c>
      <c r="D112" s="197"/>
      <c r="E112" s="199"/>
      <c r="F112" s="190"/>
      <c r="G112" s="190"/>
      <c r="H112" s="190"/>
      <c r="I112" s="197"/>
      <c r="J112" s="190"/>
      <c r="K112" s="190"/>
      <c r="L112" s="190"/>
      <c r="M112" s="190"/>
      <c r="N112" s="190"/>
      <c r="O112" s="190"/>
      <c r="P112" s="190"/>
      <c r="Q112" s="190"/>
      <c r="R112" s="190"/>
      <c r="S112" s="190"/>
      <c r="T112" s="190"/>
      <c r="U112" s="190"/>
      <c r="V112" s="190"/>
      <c r="W112" s="190"/>
      <c r="X112" s="190"/>
      <c r="Y112" s="190"/>
    </row>
    <row r="113" spans="1:25" s="191" customFormat="1" ht="23.25">
      <c r="A113" s="190"/>
      <c r="B113" s="199" t="s">
        <v>382</v>
      </c>
      <c r="C113" s="204">
        <f>0.513+0.173*C112+0.1*I11</f>
        <v>0.62871289278406295</v>
      </c>
      <c r="D113" s="204">
        <f>0.513+0.173*C112+0.073*I11</f>
        <v>0.61584775319676655</v>
      </c>
      <c r="E113" s="206">
        <f>0.513+0.173*C112+0.01*I11</f>
        <v>0.58582909415974138</v>
      </c>
      <c r="F113" s="190"/>
      <c r="G113" s="190"/>
      <c r="H113" s="190"/>
      <c r="I113" s="197"/>
      <c r="J113" s="190"/>
      <c r="K113" s="190"/>
      <c r="L113" s="190"/>
      <c r="M113" s="190"/>
      <c r="N113" s="190"/>
      <c r="O113" s="190"/>
      <c r="P113" s="190"/>
      <c r="Q113" s="190"/>
      <c r="R113" s="190"/>
      <c r="S113" s="190"/>
      <c r="T113" s="190"/>
      <c r="U113" s="190"/>
      <c r="V113" s="190"/>
      <c r="W113" s="190"/>
      <c r="X113" s="190"/>
      <c r="Y113" s="190"/>
    </row>
    <row r="114" spans="1:25" s="191" customFormat="1" ht="23.25">
      <c r="A114" s="190"/>
      <c r="B114" s="199" t="s">
        <v>553</v>
      </c>
      <c r="C114" s="204">
        <f>IF(C23="Cruzado",IF(C24="corte",D113,E113),C113)</f>
        <v>0.62871289278406295</v>
      </c>
      <c r="D114" s="197"/>
      <c r="E114" s="199"/>
      <c r="F114" s="190"/>
      <c r="G114" s="190"/>
      <c r="H114" s="190"/>
      <c r="I114" s="197"/>
      <c r="J114" s="190"/>
      <c r="K114" s="190"/>
      <c r="L114" s="190"/>
      <c r="M114" s="190"/>
      <c r="N114" s="190"/>
      <c r="O114" s="190"/>
      <c r="P114" s="190"/>
      <c r="Q114" s="190"/>
      <c r="R114" s="190"/>
      <c r="S114" s="190"/>
      <c r="T114" s="190"/>
      <c r="U114" s="190"/>
      <c r="V114" s="190"/>
      <c r="W114" s="190"/>
      <c r="X114" s="190"/>
      <c r="Y114" s="190"/>
    </row>
    <row r="115" spans="1:25" s="191" customFormat="1" ht="23.25">
      <c r="A115" s="190"/>
      <c r="B115" s="199" t="s">
        <v>373</v>
      </c>
      <c r="C115" s="204">
        <f t="shared" ref="C115:D115" si="6">C108/$C$114</f>
        <v>6.6467652048993822</v>
      </c>
      <c r="D115" s="204">
        <f t="shared" si="6"/>
        <v>6.6025839853623065</v>
      </c>
      <c r="E115" s="199"/>
      <c r="F115" s="190"/>
      <c r="G115" s="190"/>
      <c r="H115" s="190"/>
      <c r="I115" s="197"/>
      <c r="J115" s="190"/>
      <c r="K115" s="190"/>
      <c r="L115" s="190"/>
      <c r="M115" s="190"/>
      <c r="N115" s="190"/>
      <c r="O115" s="190"/>
      <c r="P115" s="190"/>
      <c r="Q115" s="190"/>
      <c r="R115" s="190"/>
      <c r="S115" s="190"/>
      <c r="T115" s="190"/>
      <c r="U115" s="190"/>
      <c r="V115" s="190"/>
      <c r="W115" s="190"/>
      <c r="X115" s="190"/>
      <c r="Y115" s="190"/>
    </row>
    <row r="116" spans="1:25" s="191" customFormat="1" ht="23.25">
      <c r="A116" s="190"/>
      <c r="B116" s="199" t="s">
        <v>552</v>
      </c>
      <c r="C116" s="204">
        <f>IF(C23="Cruzado",D115,C115)</f>
        <v>6.6467652048993822</v>
      </c>
      <c r="D116" s="204"/>
      <c r="E116" s="199"/>
      <c r="F116" s="190"/>
      <c r="G116" s="190"/>
      <c r="H116" s="190"/>
      <c r="I116" s="197"/>
      <c r="J116" s="190"/>
      <c r="K116" s="190"/>
      <c r="L116" s="190"/>
      <c r="M116" s="190"/>
      <c r="N116" s="190"/>
      <c r="O116" s="190"/>
      <c r="P116" s="190"/>
      <c r="Q116" s="190"/>
      <c r="R116" s="190"/>
      <c r="S116" s="190"/>
      <c r="T116" s="190"/>
      <c r="U116" s="190"/>
      <c r="V116" s="190"/>
      <c r="W116" s="190"/>
      <c r="X116" s="190"/>
      <c r="Y116" s="190"/>
    </row>
    <row r="117" spans="1:25" s="191" customFormat="1" ht="23.25">
      <c r="A117" s="190"/>
      <c r="B117" s="199" t="s">
        <v>375</v>
      </c>
      <c r="C117" s="204">
        <f>C110/$C$112</f>
        <v>4.0108920407249684</v>
      </c>
      <c r="D117" s="197"/>
      <c r="E117" s="199"/>
      <c r="F117" s="190"/>
      <c r="G117" s="190"/>
      <c r="H117" s="190"/>
      <c r="I117" s="197"/>
      <c r="J117" s="190"/>
      <c r="K117" s="190"/>
      <c r="L117" s="190"/>
      <c r="M117" s="190"/>
      <c r="N117" s="190"/>
      <c r="O117" s="190"/>
      <c r="P117" s="190"/>
      <c r="Q117" s="190"/>
      <c r="R117" s="190"/>
      <c r="S117" s="190"/>
      <c r="T117" s="190"/>
      <c r="U117" s="190"/>
      <c r="V117" s="190"/>
      <c r="W117" s="190"/>
      <c r="X117" s="190"/>
      <c r="Y117" s="190"/>
    </row>
    <row r="118" spans="1:25" s="191" customFormat="1" ht="23.25">
      <c r="A118" s="190"/>
      <c r="B118" s="199"/>
      <c r="C118" s="197"/>
      <c r="D118" s="197"/>
      <c r="E118" s="199"/>
      <c r="F118" s="190"/>
      <c r="G118" s="190"/>
      <c r="H118" s="190"/>
      <c r="I118" s="197"/>
      <c r="J118" s="190"/>
      <c r="K118" s="190"/>
      <c r="L118" s="190"/>
      <c r="M118" s="190"/>
      <c r="N118" s="190"/>
      <c r="O118" s="190"/>
      <c r="P118" s="190"/>
      <c r="Q118" s="190"/>
      <c r="R118" s="190"/>
      <c r="S118" s="190"/>
      <c r="T118" s="190"/>
      <c r="U118" s="190"/>
      <c r="V118" s="190"/>
      <c r="W118" s="190"/>
      <c r="X118" s="190"/>
      <c r="Y118" s="190"/>
    </row>
    <row r="119" spans="1:25" s="191" customFormat="1" ht="23.25">
      <c r="A119" s="190"/>
      <c r="B119" s="199"/>
      <c r="C119" s="197"/>
      <c r="D119" s="197"/>
      <c r="E119" s="197"/>
      <c r="F119" s="190"/>
      <c r="G119" s="190"/>
      <c r="H119" s="190"/>
      <c r="I119" s="197"/>
      <c r="J119" s="190"/>
      <c r="K119" s="190"/>
      <c r="L119" s="190"/>
      <c r="M119" s="190"/>
      <c r="N119" s="190"/>
      <c r="O119" s="190"/>
      <c r="P119" s="190"/>
      <c r="Q119" s="190"/>
      <c r="R119" s="190"/>
      <c r="S119" s="190"/>
      <c r="T119" s="190"/>
      <c r="U119" s="190"/>
      <c r="V119" s="190"/>
      <c r="W119" s="190"/>
      <c r="X119" s="190"/>
      <c r="Y119" s="190"/>
    </row>
    <row r="120" spans="1:25" s="191" customFormat="1" ht="23.25">
      <c r="A120" s="190"/>
      <c r="B120" s="202"/>
      <c r="C120" s="197"/>
      <c r="D120" s="197"/>
      <c r="E120" s="190"/>
      <c r="F120" s="190"/>
      <c r="G120" s="190"/>
      <c r="H120" s="190"/>
      <c r="I120" s="197"/>
      <c r="J120" s="190"/>
      <c r="K120" s="190"/>
      <c r="L120" s="190"/>
      <c r="M120" s="190"/>
      <c r="N120" s="190"/>
      <c r="O120" s="190"/>
      <c r="P120" s="190"/>
      <c r="Q120" s="190"/>
      <c r="R120" s="190"/>
      <c r="S120" s="190"/>
      <c r="T120" s="190"/>
      <c r="U120" s="190"/>
      <c r="V120" s="190"/>
      <c r="W120" s="190"/>
      <c r="X120" s="190"/>
      <c r="Y120" s="190"/>
    </row>
    <row r="121" spans="1:25" s="191" customFormat="1" ht="23.25">
      <c r="A121" s="190"/>
      <c r="B121" s="2027" t="s">
        <v>554</v>
      </c>
      <c r="C121" s="2028"/>
      <c r="D121" s="2028"/>
      <c r="E121" s="2028"/>
      <c r="F121" s="2028"/>
      <c r="G121" s="2028"/>
      <c r="H121" s="2028"/>
      <c r="I121" s="197"/>
      <c r="J121" s="190"/>
      <c r="K121" s="190"/>
      <c r="L121" s="190"/>
      <c r="M121" s="190"/>
      <c r="N121" s="190"/>
      <c r="O121" s="190"/>
      <c r="P121" s="190"/>
      <c r="Q121" s="190"/>
      <c r="R121" s="190"/>
      <c r="S121" s="190"/>
      <c r="T121" s="190"/>
      <c r="U121" s="190"/>
      <c r="V121" s="190"/>
      <c r="W121" s="190"/>
      <c r="X121" s="190"/>
      <c r="Y121" s="190"/>
    </row>
    <row r="122" spans="1:25" s="191" customFormat="1" ht="23.25">
      <c r="A122" s="190"/>
      <c r="B122" s="197"/>
      <c r="C122" s="2039" t="s">
        <v>535</v>
      </c>
      <c r="D122" s="2040"/>
      <c r="E122" s="190"/>
      <c r="F122" s="190"/>
      <c r="G122" s="190" t="s">
        <v>536</v>
      </c>
      <c r="H122" s="190"/>
      <c r="I122" s="197"/>
      <c r="J122" s="190"/>
      <c r="K122" s="190"/>
      <c r="L122" s="190"/>
      <c r="M122" s="190"/>
      <c r="N122" s="190"/>
      <c r="O122" s="190"/>
      <c r="P122" s="190"/>
      <c r="Q122" s="190"/>
      <c r="R122" s="190"/>
      <c r="S122" s="190"/>
      <c r="T122" s="190"/>
      <c r="U122" s="190"/>
      <c r="V122" s="190"/>
      <c r="W122" s="190"/>
      <c r="X122" s="190"/>
      <c r="Y122" s="190"/>
    </row>
    <row r="123" spans="1:25" s="191" customFormat="1" ht="23.25">
      <c r="A123" s="190"/>
      <c r="B123" s="190"/>
      <c r="C123" s="197" t="s">
        <v>505</v>
      </c>
      <c r="D123" s="197" t="s">
        <v>537</v>
      </c>
      <c r="E123" s="190"/>
      <c r="F123" s="190"/>
      <c r="G123" s="197" t="s">
        <v>505</v>
      </c>
      <c r="H123" s="197" t="s">
        <v>537</v>
      </c>
      <c r="I123" s="197"/>
      <c r="J123" s="190"/>
      <c r="K123" s="190"/>
      <c r="L123" s="190"/>
      <c r="M123" s="190"/>
      <c r="N123" s="190"/>
      <c r="O123" s="190"/>
      <c r="P123" s="190"/>
      <c r="Q123" s="190"/>
      <c r="R123" s="190"/>
      <c r="S123" s="190"/>
      <c r="T123" s="190"/>
      <c r="U123" s="190"/>
      <c r="V123" s="190"/>
      <c r="W123" s="190"/>
      <c r="X123" s="190"/>
      <c r="Y123" s="190"/>
    </row>
    <row r="124" spans="1:25" s="191" customFormat="1" ht="23.25">
      <c r="A124" s="190"/>
      <c r="B124" s="190"/>
      <c r="C124" s="190"/>
      <c r="D124" s="197" t="s">
        <v>542</v>
      </c>
      <c r="E124" s="205" t="s">
        <v>534</v>
      </c>
      <c r="F124" s="190"/>
      <c r="G124" s="197"/>
      <c r="H124" s="197" t="s">
        <v>542</v>
      </c>
      <c r="I124" s="205" t="s">
        <v>534</v>
      </c>
      <c r="J124" s="190"/>
      <c r="K124" s="190"/>
      <c r="L124" s="190"/>
      <c r="M124" s="190"/>
      <c r="N124" s="190"/>
      <c r="O124" s="190"/>
      <c r="P124" s="190"/>
      <c r="Q124" s="190"/>
      <c r="R124" s="190"/>
      <c r="S124" s="190"/>
      <c r="T124" s="190"/>
      <c r="U124" s="190"/>
      <c r="V124" s="190"/>
      <c r="W124" s="190"/>
      <c r="X124" s="190"/>
      <c r="Y124" s="190"/>
    </row>
    <row r="125" spans="1:25" s="191" customFormat="1" ht="23.25">
      <c r="A125" s="190"/>
      <c r="B125" s="202" t="s">
        <v>392</v>
      </c>
      <c r="C125" s="200">
        <f>3.6*I9^0.75</f>
        <v>221.77649401404111</v>
      </c>
      <c r="D125" s="190"/>
      <c r="E125" s="190"/>
      <c r="F125" s="202" t="s">
        <v>392</v>
      </c>
      <c r="G125" s="200">
        <f>3.9*I9^0.75</f>
        <v>240.25786851521119</v>
      </c>
      <c r="H125" s="190"/>
      <c r="I125" s="197"/>
      <c r="J125" s="190"/>
      <c r="K125" s="190"/>
      <c r="L125" s="190"/>
      <c r="M125" s="190"/>
      <c r="N125" s="190"/>
      <c r="O125" s="190"/>
      <c r="P125" s="190"/>
      <c r="Q125" s="190"/>
      <c r="R125" s="190"/>
      <c r="S125" s="190"/>
      <c r="T125" s="190"/>
      <c r="U125" s="190"/>
      <c r="V125" s="190"/>
      <c r="W125" s="190"/>
      <c r="X125" s="190"/>
      <c r="Y125" s="190"/>
    </row>
    <row r="126" spans="1:25" s="191" customFormat="1" ht="23.25">
      <c r="A126" s="190"/>
      <c r="B126" s="202" t="s">
        <v>555</v>
      </c>
      <c r="C126" s="200">
        <f>210.09*I11-10.01*I25</f>
        <v>84.309053583386117</v>
      </c>
      <c r="D126" s="200">
        <f>281.77*I11-27.66*I25</f>
        <v>90.611481225537162</v>
      </c>
      <c r="E126" s="207">
        <f>171.43*I11-3.08*I25</f>
        <v>76.82379064466744</v>
      </c>
      <c r="F126" s="202" t="s">
        <v>396</v>
      </c>
      <c r="G126" s="200">
        <f>181.43*I11-2.88*I25</f>
        <v>81.904262093652207</v>
      </c>
      <c r="H126" s="190"/>
      <c r="I126" s="197"/>
      <c r="J126" s="190"/>
      <c r="K126" s="190"/>
      <c r="L126" s="190"/>
      <c r="M126" s="190"/>
      <c r="N126" s="190"/>
      <c r="O126" s="190"/>
      <c r="P126" s="190"/>
      <c r="Q126" s="190"/>
      <c r="R126" s="190"/>
      <c r="S126" s="190"/>
      <c r="T126" s="190"/>
      <c r="U126" s="190"/>
      <c r="V126" s="190"/>
      <c r="W126" s="190"/>
      <c r="X126" s="190"/>
      <c r="Y126" s="190"/>
    </row>
    <row r="127" spans="1:25" s="191" customFormat="1" ht="23.25">
      <c r="A127" s="190"/>
      <c r="B127" s="202" t="s">
        <v>556</v>
      </c>
      <c r="C127" s="200">
        <f>153.13*I11-2.53*I25</f>
        <v>68.971998496109691</v>
      </c>
      <c r="D127" s="200">
        <f>219.94*I11-12.04*I25</f>
        <v>85.799057007504075</v>
      </c>
      <c r="E127" s="207">
        <f>236.36*I11-19.84*I25</f>
        <v>81.314375351506513</v>
      </c>
      <c r="F127" s="190"/>
      <c r="G127" s="190"/>
      <c r="H127" s="190"/>
      <c r="I127" s="197"/>
      <c r="J127" s="190"/>
      <c r="K127" s="190"/>
      <c r="L127" s="190"/>
      <c r="M127" s="190"/>
      <c r="N127" s="190"/>
      <c r="O127" s="190"/>
      <c r="P127" s="190"/>
      <c r="Q127" s="190"/>
      <c r="R127" s="190"/>
      <c r="S127" s="190"/>
      <c r="T127" s="190"/>
      <c r="U127" s="190"/>
      <c r="V127" s="190"/>
      <c r="W127" s="190"/>
      <c r="X127" s="190"/>
      <c r="Y127" s="190"/>
    </row>
    <row r="128" spans="1:25" s="191" customFormat="1" ht="23.25">
      <c r="A128" s="190"/>
      <c r="B128" s="202" t="s">
        <v>557</v>
      </c>
      <c r="C128" s="200">
        <f>193.9*I11-12.16*I25</f>
        <v>73.201981644430958</v>
      </c>
      <c r="D128" s="200">
        <f>174.65*I11-3.14*I25</f>
        <v>78.263396181564019</v>
      </c>
      <c r="E128" s="207">
        <f>206.58*I11-15.39*I25</f>
        <v>74.146812680930537</v>
      </c>
      <c r="F128" s="190"/>
      <c r="G128" s="190"/>
      <c r="H128" s="190"/>
      <c r="I128" s="197"/>
      <c r="J128" s="190"/>
      <c r="K128" s="190"/>
      <c r="L128" s="190"/>
      <c r="M128" s="190"/>
      <c r="N128" s="190"/>
      <c r="O128" s="190"/>
      <c r="P128" s="190"/>
      <c r="Q128" s="190"/>
      <c r="R128" s="190"/>
      <c r="S128" s="190"/>
      <c r="T128" s="190"/>
      <c r="U128" s="190"/>
      <c r="V128" s="190"/>
      <c r="W128" s="190"/>
      <c r="X128" s="190"/>
      <c r="Y128" s="190"/>
    </row>
    <row r="129" spans="1:25" s="191" customFormat="1" ht="23.25">
      <c r="A129" s="190"/>
      <c r="B129" s="202" t="s">
        <v>558</v>
      </c>
      <c r="C129" s="200">
        <f>IF(C25="Macho não castrado",C126,IF(C25="macho castrado",C127,C128))</f>
        <v>84.309053583386117</v>
      </c>
      <c r="D129" s="200">
        <f>IF(C25="Macho não castrado",D126,IF(C25="macho castrado",D127,D128))</f>
        <v>90.611481225537162</v>
      </c>
      <c r="E129" s="207">
        <f>IF(C25="Macho não castrado",E126,IF(C25="macho castrado",E127,E128))</f>
        <v>76.82379064466744</v>
      </c>
      <c r="F129" s="190"/>
      <c r="G129" s="190"/>
      <c r="H129" s="190"/>
      <c r="I129" s="197"/>
      <c r="J129" s="190"/>
      <c r="K129" s="190"/>
      <c r="L129" s="190"/>
      <c r="M129" s="190"/>
      <c r="N129" s="190"/>
      <c r="O129" s="190"/>
      <c r="P129" s="190"/>
      <c r="Q129" s="190"/>
      <c r="R129" s="190"/>
      <c r="S129" s="190"/>
      <c r="T129" s="190"/>
      <c r="U129" s="190"/>
      <c r="V129" s="190"/>
      <c r="W129" s="190"/>
      <c r="X129" s="190"/>
      <c r="Y129" s="190"/>
    </row>
    <row r="130" spans="1:25" s="191" customFormat="1" ht="23.25">
      <c r="A130" s="190"/>
      <c r="B130" s="199" t="s">
        <v>559</v>
      </c>
      <c r="C130" s="200">
        <f>IF(C23="Zebuíno",C129,IF(C24="corte",D129,E129))</f>
        <v>84.309053583386117</v>
      </c>
      <c r="D130" s="197"/>
      <c r="E130" s="190"/>
      <c r="F130" s="190"/>
      <c r="G130" s="190"/>
      <c r="H130" s="190"/>
      <c r="I130" s="197"/>
      <c r="J130" s="190"/>
      <c r="K130" s="190"/>
      <c r="L130" s="190"/>
      <c r="M130" s="190"/>
      <c r="N130" s="190"/>
      <c r="O130" s="190"/>
      <c r="P130" s="190"/>
      <c r="Q130" s="190"/>
      <c r="R130" s="190"/>
      <c r="S130" s="190"/>
      <c r="T130" s="190"/>
      <c r="U130" s="190"/>
      <c r="V130" s="190"/>
      <c r="W130" s="190"/>
      <c r="X130" s="190"/>
      <c r="Y130" s="190"/>
    </row>
    <row r="131" spans="1:25" s="191" customFormat="1" ht="23.25">
      <c r="A131" s="190"/>
      <c r="B131" s="190"/>
      <c r="C131" s="190"/>
      <c r="D131" s="197"/>
      <c r="E131" s="190"/>
      <c r="F131" s="190"/>
      <c r="G131" s="190"/>
      <c r="H131" s="190"/>
      <c r="I131" s="197"/>
      <c r="J131" s="190"/>
      <c r="K131" s="190"/>
      <c r="L131" s="190"/>
      <c r="M131" s="190"/>
      <c r="N131" s="190"/>
      <c r="O131" s="190"/>
      <c r="P131" s="190"/>
      <c r="Q131" s="190"/>
      <c r="R131" s="190"/>
      <c r="S131" s="190"/>
      <c r="T131" s="190"/>
      <c r="U131" s="190"/>
      <c r="V131" s="190"/>
      <c r="W131" s="190"/>
      <c r="X131" s="190"/>
      <c r="Y131" s="190"/>
    </row>
    <row r="132" spans="1:25" s="191" customFormat="1" ht="23.25">
      <c r="A132" s="190"/>
      <c r="B132" s="190"/>
      <c r="C132" s="190"/>
      <c r="D132" s="197"/>
      <c r="E132" s="190"/>
      <c r="F132" s="190"/>
      <c r="G132" s="190"/>
      <c r="H132" s="190"/>
      <c r="I132" s="197"/>
      <c r="J132" s="190"/>
      <c r="K132" s="190"/>
      <c r="L132" s="190"/>
      <c r="M132" s="190"/>
      <c r="N132" s="190"/>
      <c r="O132" s="190"/>
      <c r="P132" s="190"/>
      <c r="Q132" s="190"/>
      <c r="R132" s="190"/>
      <c r="S132" s="190"/>
      <c r="T132" s="190"/>
      <c r="U132" s="190"/>
      <c r="V132" s="190"/>
      <c r="W132" s="190"/>
      <c r="X132" s="190"/>
      <c r="Y132" s="190"/>
    </row>
    <row r="133" spans="1:25" s="191" customFormat="1" ht="23.25">
      <c r="A133" s="190"/>
      <c r="B133" s="2027" t="s">
        <v>560</v>
      </c>
      <c r="C133" s="2028"/>
      <c r="D133" s="2028"/>
      <c r="E133" s="2028"/>
      <c r="F133" s="2028"/>
      <c r="G133" s="2028"/>
      <c r="H133" s="2028"/>
      <c r="I133" s="197"/>
      <c r="J133" s="190"/>
      <c r="K133" s="190"/>
      <c r="L133" s="190"/>
      <c r="M133" s="190"/>
      <c r="N133" s="190"/>
      <c r="O133" s="190"/>
      <c r="P133" s="190"/>
      <c r="Q133" s="190"/>
      <c r="R133" s="190"/>
      <c r="S133" s="190"/>
      <c r="T133" s="190"/>
      <c r="U133" s="190"/>
      <c r="V133" s="190"/>
      <c r="W133" s="190"/>
      <c r="X133" s="190"/>
      <c r="Y133" s="190"/>
    </row>
    <row r="134" spans="1:25" s="191" customFormat="1" ht="23.25">
      <c r="A134" s="190"/>
      <c r="B134" s="197"/>
      <c r="C134" s="2039"/>
      <c r="D134" s="2040"/>
      <c r="E134" s="190"/>
      <c r="F134" s="190"/>
      <c r="G134" s="190"/>
      <c r="H134" s="190"/>
      <c r="I134" s="197"/>
      <c r="J134" s="190"/>
      <c r="K134" s="190"/>
      <c r="L134" s="190"/>
      <c r="M134" s="190"/>
      <c r="N134" s="190"/>
      <c r="O134" s="190"/>
      <c r="P134" s="190"/>
      <c r="Q134" s="190"/>
      <c r="R134" s="190"/>
      <c r="S134" s="190"/>
      <c r="T134" s="190"/>
      <c r="U134" s="190"/>
      <c r="V134" s="190"/>
      <c r="W134" s="190"/>
      <c r="X134" s="190"/>
      <c r="Y134" s="190"/>
    </row>
    <row r="135" spans="1:25" s="191" customFormat="1" ht="23.25">
      <c r="A135" s="190"/>
      <c r="B135" s="190"/>
      <c r="C135" s="197" t="s">
        <v>505</v>
      </c>
      <c r="D135" s="205" t="s">
        <v>537</v>
      </c>
      <c r="E135" s="190"/>
      <c r="F135" s="190"/>
      <c r="G135" s="197"/>
      <c r="H135" s="197"/>
      <c r="I135" s="197"/>
      <c r="J135" s="190"/>
      <c r="K135" s="190"/>
      <c r="L135" s="190"/>
      <c r="M135" s="190"/>
      <c r="N135" s="190"/>
      <c r="O135" s="190"/>
      <c r="P135" s="190"/>
      <c r="Q135" s="190"/>
      <c r="R135" s="190"/>
      <c r="S135" s="190"/>
      <c r="T135" s="190"/>
      <c r="U135" s="190"/>
      <c r="V135" s="190"/>
      <c r="W135" s="190"/>
      <c r="X135" s="190"/>
      <c r="Y135" s="190"/>
    </row>
    <row r="136" spans="1:25" s="191" customFormat="1" ht="23.25">
      <c r="A136" s="190"/>
      <c r="B136" s="202" t="s">
        <v>403</v>
      </c>
      <c r="C136" s="234">
        <f>($I$11*(147*$I$10^-0.5))/0.568</f>
        <v>8.4531539233314916</v>
      </c>
      <c r="D136" s="234">
        <f>($I$11*(66*$I$10^-0.32))/0.568</f>
        <v>9.9606051308609054</v>
      </c>
      <c r="E136" s="190"/>
      <c r="F136" s="190"/>
      <c r="G136" s="190"/>
      <c r="H136" s="190"/>
      <c r="I136" s="197"/>
      <c r="J136" s="190"/>
      <c r="K136" s="190"/>
      <c r="L136" s="190"/>
      <c r="M136" s="190"/>
      <c r="N136" s="190"/>
      <c r="O136" s="190"/>
      <c r="P136" s="190"/>
      <c r="Q136" s="190"/>
      <c r="R136" s="190"/>
      <c r="S136" s="190"/>
      <c r="T136" s="190"/>
      <c r="U136" s="190"/>
      <c r="V136" s="190"/>
      <c r="W136" s="190"/>
      <c r="X136" s="190"/>
      <c r="Y136" s="190"/>
    </row>
    <row r="137" spans="1:25" s="191" customFormat="1" ht="23.25">
      <c r="A137" s="190"/>
      <c r="B137" s="202" t="s">
        <v>408</v>
      </c>
      <c r="C137" s="234">
        <f>(GPCVZ*(38.6*PCVZ^-0.36))/0.678</f>
        <v>3.9384710526961331</v>
      </c>
      <c r="D137" s="234">
        <f>($I$11*(25.4*$I$10^-0.25))/0.678</f>
        <v>4.6736295015263858</v>
      </c>
      <c r="E137" s="190"/>
      <c r="F137" s="190"/>
      <c r="G137" s="190"/>
      <c r="H137" s="190"/>
      <c r="I137" s="197"/>
      <c r="J137" s="190"/>
      <c r="K137" s="190"/>
      <c r="L137" s="190"/>
      <c r="M137" s="190"/>
      <c r="N137" s="190"/>
      <c r="O137" s="190"/>
      <c r="P137" s="190"/>
      <c r="Q137" s="190"/>
      <c r="R137" s="190"/>
      <c r="S137" s="190"/>
      <c r="T137" s="190"/>
      <c r="U137" s="190"/>
      <c r="V137" s="190"/>
      <c r="W137" s="190"/>
      <c r="X137" s="190"/>
      <c r="Y137" s="190"/>
    </row>
    <row r="138" spans="1:25" s="191" customFormat="1" ht="23.25">
      <c r="A138" s="190"/>
      <c r="B138" s="202" t="s">
        <v>413</v>
      </c>
      <c r="C138" s="234">
        <f>(GPCVZ*(0.3466*PCVZ^0.0113))/0.355</f>
        <v>0.4942621631666867</v>
      </c>
      <c r="D138" s="234">
        <f>($I$11*(1.0597*$I$10^-0.2386))/0.355</f>
        <v>0.39586222511956848</v>
      </c>
      <c r="E138" s="190"/>
      <c r="F138" s="190"/>
      <c r="G138" s="190"/>
      <c r="H138" s="190"/>
      <c r="I138" s="208"/>
      <c r="J138" s="190"/>
      <c r="K138" s="190"/>
      <c r="L138" s="190"/>
      <c r="M138" s="190"/>
      <c r="N138" s="190"/>
      <c r="O138" s="190"/>
      <c r="P138" s="190"/>
      <c r="Q138" s="190"/>
      <c r="R138" s="190"/>
      <c r="S138" s="190"/>
      <c r="T138" s="190"/>
      <c r="U138" s="190"/>
      <c r="V138" s="190"/>
      <c r="W138" s="190"/>
      <c r="X138" s="190"/>
      <c r="Y138" s="190"/>
    </row>
    <row r="139" spans="1:25" s="191" customFormat="1" ht="23.25">
      <c r="A139" s="190"/>
      <c r="B139" s="202" t="s">
        <v>422</v>
      </c>
      <c r="C139" s="234">
        <f>(GPCVZ*(5.594*PCVZ^-0.2998))/0.371</f>
        <v>1.4403376562723371</v>
      </c>
      <c r="D139" s="234">
        <f>($I$11*(1.977*$I$10^-0.058))/0.371</f>
        <v>1.8606272913072335</v>
      </c>
      <c r="E139" s="190"/>
      <c r="F139" s="190"/>
      <c r="G139" s="190"/>
      <c r="H139" s="190"/>
      <c r="I139" s="208"/>
      <c r="J139" s="190"/>
      <c r="K139" s="190"/>
      <c r="L139" s="190"/>
      <c r="M139" s="190"/>
      <c r="N139" s="190"/>
      <c r="O139" s="190"/>
      <c r="P139" s="190"/>
      <c r="Q139" s="190"/>
      <c r="R139" s="190"/>
      <c r="S139" s="190"/>
      <c r="T139" s="190"/>
      <c r="U139" s="190"/>
      <c r="V139" s="190"/>
      <c r="W139" s="190"/>
      <c r="X139" s="190"/>
      <c r="Y139" s="190"/>
    </row>
    <row r="140" spans="1:25" s="191" customFormat="1" ht="23.25">
      <c r="A140" s="190"/>
      <c r="B140" s="202" t="s">
        <v>78</v>
      </c>
      <c r="C140" s="234">
        <f>(GPCVZ*(0.9463*PCVZ^0.1216))/0.484</f>
        <v>1.7878013074769585</v>
      </c>
      <c r="D140" s="234">
        <f>($I$11*(0.3418*$I$10^0.32))/0.484</f>
        <v>1.8704153154858036</v>
      </c>
      <c r="E140" s="190"/>
      <c r="F140" s="190"/>
      <c r="G140" s="190"/>
      <c r="H140" s="190"/>
      <c r="I140" s="208"/>
      <c r="J140" s="190"/>
      <c r="K140" s="190"/>
      <c r="L140" s="190"/>
      <c r="M140" s="190"/>
      <c r="N140" s="190"/>
      <c r="O140" s="190"/>
      <c r="P140" s="190"/>
      <c r="Q140" s="190"/>
      <c r="R140" s="190"/>
      <c r="S140" s="190"/>
      <c r="T140" s="190"/>
      <c r="U140" s="190"/>
      <c r="V140" s="190"/>
      <c r="W140" s="190"/>
      <c r="X140" s="190"/>
      <c r="Y140" s="190"/>
    </row>
    <row r="141" spans="1:25" s="191" customFormat="1" ht="23.25">
      <c r="A141" s="190"/>
      <c r="B141" s="198"/>
      <c r="C141" s="190"/>
      <c r="D141" s="190"/>
      <c r="E141" s="190"/>
      <c r="F141" s="190"/>
      <c r="G141" s="190"/>
      <c r="H141" s="190"/>
      <c r="I141" s="208"/>
      <c r="J141" s="190"/>
      <c r="K141" s="190"/>
      <c r="L141" s="190"/>
      <c r="M141" s="190"/>
      <c r="N141" s="190"/>
      <c r="O141" s="190"/>
      <c r="P141" s="190"/>
      <c r="Q141" s="190"/>
      <c r="R141" s="190"/>
      <c r="S141" s="190"/>
      <c r="T141" s="190"/>
      <c r="U141" s="190"/>
      <c r="V141" s="190"/>
      <c r="W141" s="190"/>
      <c r="X141" s="190"/>
      <c r="Y141" s="190"/>
    </row>
    <row r="142" spans="1:25" s="191" customFormat="1" ht="23.25">
      <c r="A142" s="190"/>
      <c r="B142" s="198"/>
      <c r="C142" s="190"/>
      <c r="D142" s="190"/>
      <c r="E142" s="190"/>
      <c r="F142" s="190"/>
      <c r="G142" s="190"/>
      <c r="H142" s="190"/>
      <c r="I142" s="208"/>
      <c r="J142" s="190"/>
      <c r="K142" s="190"/>
      <c r="L142" s="190"/>
      <c r="M142" s="190"/>
      <c r="N142" s="190"/>
      <c r="O142" s="190"/>
      <c r="P142" s="190"/>
      <c r="Q142" s="190"/>
      <c r="R142" s="190"/>
      <c r="S142" s="190"/>
      <c r="T142" s="190"/>
      <c r="U142" s="190"/>
      <c r="V142" s="190"/>
      <c r="W142" s="190"/>
      <c r="X142" s="190"/>
      <c r="Y142" s="190"/>
    </row>
    <row r="143" spans="1:25" s="191" customFormat="1" ht="23.25">
      <c r="A143" s="190"/>
      <c r="B143" s="198"/>
      <c r="C143" s="190"/>
      <c r="D143" s="190"/>
      <c r="E143" s="190"/>
      <c r="F143" s="190"/>
      <c r="G143" s="190"/>
      <c r="H143" s="190"/>
      <c r="I143" s="208"/>
      <c r="J143" s="190"/>
      <c r="K143" s="190"/>
      <c r="L143" s="190"/>
      <c r="M143" s="190"/>
      <c r="N143" s="190"/>
      <c r="O143" s="190"/>
      <c r="P143" s="190"/>
      <c r="Q143" s="190"/>
      <c r="R143" s="190"/>
      <c r="S143" s="190"/>
      <c r="T143" s="190"/>
      <c r="U143" s="190"/>
      <c r="V143" s="190"/>
      <c r="W143" s="190"/>
      <c r="X143" s="190"/>
      <c r="Y143" s="190"/>
    </row>
    <row r="144" spans="1:25" s="191" customFormat="1" ht="23.25">
      <c r="A144" s="190"/>
      <c r="B144" s="198"/>
      <c r="C144" s="190"/>
      <c r="D144" s="190"/>
      <c r="E144" s="190"/>
      <c r="F144" s="190"/>
      <c r="G144" s="190"/>
      <c r="H144" s="190"/>
      <c r="I144" s="208"/>
      <c r="J144" s="190"/>
      <c r="K144" s="190"/>
      <c r="L144" s="190"/>
      <c r="M144" s="190"/>
      <c r="N144" s="190"/>
      <c r="O144" s="190"/>
      <c r="P144" s="190"/>
      <c r="Q144" s="190"/>
      <c r="R144" s="190"/>
      <c r="S144" s="190"/>
      <c r="T144" s="190"/>
      <c r="U144" s="190"/>
      <c r="V144" s="190"/>
      <c r="W144" s="190"/>
      <c r="X144" s="190"/>
      <c r="Y144" s="190"/>
    </row>
    <row r="145" spans="1:25" s="191" customFormat="1" ht="23.25">
      <c r="A145" s="190"/>
      <c r="B145" s="198"/>
      <c r="C145" s="190"/>
      <c r="D145" s="190"/>
      <c r="E145" s="190"/>
      <c r="F145" s="190"/>
      <c r="G145" s="190"/>
      <c r="H145" s="190"/>
      <c r="I145" s="208"/>
      <c r="J145" s="190"/>
      <c r="K145" s="190"/>
      <c r="L145" s="190"/>
      <c r="M145" s="190"/>
      <c r="N145" s="190"/>
      <c r="O145" s="190"/>
      <c r="P145" s="190"/>
      <c r="Q145" s="190"/>
      <c r="R145" s="190"/>
      <c r="S145" s="190"/>
      <c r="T145" s="190"/>
      <c r="U145" s="190"/>
      <c r="V145" s="190"/>
      <c r="W145" s="190"/>
      <c r="X145" s="190"/>
      <c r="Y145" s="190"/>
    </row>
    <row r="146" spans="1:25" s="191" customFormat="1" ht="23.25">
      <c r="A146" s="190"/>
      <c r="B146" s="198"/>
      <c r="C146" s="190"/>
      <c r="D146" s="190"/>
      <c r="E146" s="190"/>
      <c r="F146" s="190"/>
      <c r="G146" s="190"/>
      <c r="H146" s="190"/>
      <c r="I146" s="208"/>
      <c r="J146" s="190"/>
      <c r="K146" s="190"/>
      <c r="L146" s="190"/>
      <c r="M146" s="190"/>
      <c r="N146" s="190"/>
      <c r="O146" s="190"/>
      <c r="P146" s="190"/>
      <c r="Q146" s="190"/>
      <c r="R146" s="190"/>
      <c r="S146" s="190"/>
      <c r="T146" s="190"/>
      <c r="U146" s="190"/>
      <c r="V146" s="190"/>
      <c r="W146" s="190"/>
      <c r="X146" s="190"/>
      <c r="Y146" s="190"/>
    </row>
    <row r="147" spans="1:25" s="191" customFormat="1" ht="23.25">
      <c r="A147" s="190"/>
      <c r="B147" s="198"/>
      <c r="C147" s="190"/>
      <c r="D147" s="190"/>
      <c r="E147" s="190"/>
      <c r="F147" s="190"/>
      <c r="G147" s="190"/>
      <c r="H147" s="190"/>
      <c r="I147" s="208"/>
      <c r="J147" s="190"/>
      <c r="K147" s="190"/>
      <c r="L147" s="190"/>
      <c r="M147" s="190"/>
      <c r="N147" s="190"/>
      <c r="O147" s="190"/>
      <c r="P147" s="190"/>
      <c r="Q147" s="190"/>
      <c r="R147" s="190"/>
      <c r="S147" s="190"/>
      <c r="T147" s="190"/>
      <c r="U147" s="190"/>
      <c r="V147" s="190"/>
      <c r="W147" s="190"/>
      <c r="X147" s="190"/>
      <c r="Y147" s="190"/>
    </row>
    <row r="148" spans="1:25" s="191" customFormat="1" ht="23.25">
      <c r="A148" s="190"/>
      <c r="B148" s="198"/>
      <c r="C148" s="190"/>
      <c r="D148" s="190"/>
      <c r="E148" s="190"/>
      <c r="F148" s="190"/>
      <c r="G148" s="197"/>
      <c r="H148" s="190"/>
      <c r="I148" s="197"/>
      <c r="J148" s="190"/>
      <c r="K148" s="190"/>
      <c r="L148" s="190"/>
      <c r="M148" s="190"/>
      <c r="N148" s="190"/>
      <c r="O148" s="190"/>
      <c r="P148" s="190"/>
      <c r="Q148" s="190"/>
      <c r="R148" s="190"/>
      <c r="S148" s="190"/>
      <c r="T148" s="190"/>
      <c r="U148" s="190"/>
      <c r="V148" s="190"/>
      <c r="W148" s="190"/>
      <c r="X148" s="190"/>
      <c r="Y148" s="190"/>
    </row>
    <row r="149" spans="1:25" s="191" customFormat="1" ht="23.25">
      <c r="A149" s="190"/>
      <c r="B149" s="190"/>
      <c r="C149" s="190"/>
      <c r="D149" s="190"/>
      <c r="E149" s="198"/>
      <c r="F149" s="198"/>
      <c r="G149" s="197"/>
      <c r="H149" s="190"/>
      <c r="I149" s="197"/>
      <c r="J149" s="190"/>
      <c r="K149" s="190"/>
      <c r="L149" s="190"/>
      <c r="M149" s="190"/>
      <c r="N149" s="190"/>
      <c r="O149" s="190"/>
      <c r="P149" s="190"/>
      <c r="Q149" s="190"/>
      <c r="R149" s="190"/>
      <c r="S149" s="190"/>
      <c r="T149" s="190"/>
      <c r="U149" s="190"/>
      <c r="V149" s="190"/>
      <c r="W149" s="190"/>
      <c r="X149" s="190"/>
      <c r="Y149" s="190"/>
    </row>
    <row r="150" spans="1:25" s="191" customFormat="1" ht="23.25">
      <c r="A150" s="190"/>
      <c r="B150" s="190"/>
      <c r="C150" s="190"/>
      <c r="D150" s="190"/>
      <c r="E150" s="190"/>
      <c r="F150" s="190"/>
      <c r="G150" s="197"/>
      <c r="H150" s="190"/>
      <c r="I150" s="197"/>
      <c r="J150" s="190"/>
      <c r="K150" s="190"/>
      <c r="L150" s="190"/>
      <c r="M150" s="190"/>
      <c r="N150" s="190"/>
      <c r="O150" s="190"/>
      <c r="P150" s="190"/>
      <c r="Q150" s="190"/>
      <c r="R150" s="190"/>
      <c r="S150" s="190"/>
      <c r="T150" s="190"/>
      <c r="U150" s="190"/>
      <c r="V150" s="190"/>
      <c r="W150" s="190"/>
      <c r="X150" s="190"/>
      <c r="Y150" s="190"/>
    </row>
    <row r="151" spans="1:25" s="191" customFormat="1" ht="23.25">
      <c r="A151" s="190"/>
      <c r="B151" s="190"/>
      <c r="C151" s="190"/>
      <c r="D151" s="190"/>
      <c r="E151" s="190"/>
      <c r="F151" s="190"/>
      <c r="G151" s="197"/>
      <c r="H151" s="190"/>
      <c r="I151" s="197"/>
      <c r="J151" s="190"/>
      <c r="K151" s="190"/>
      <c r="L151" s="190"/>
      <c r="M151" s="190"/>
      <c r="N151" s="190"/>
      <c r="O151" s="190"/>
      <c r="P151" s="190"/>
      <c r="Q151" s="190"/>
      <c r="R151" s="190"/>
      <c r="S151" s="190"/>
      <c r="T151" s="190"/>
      <c r="U151" s="190"/>
      <c r="V151" s="190"/>
      <c r="W151" s="190"/>
      <c r="X151" s="190"/>
      <c r="Y151" s="190"/>
    </row>
    <row r="152" spans="1:25" s="191" customFormat="1" ht="23.25">
      <c r="A152" s="209"/>
      <c r="B152" s="2041" t="s">
        <v>561</v>
      </c>
      <c r="C152" s="2042"/>
      <c r="D152" s="2042"/>
      <c r="E152" s="2042"/>
      <c r="F152" s="2042"/>
      <c r="G152" s="2042"/>
      <c r="H152" s="2042"/>
      <c r="I152" s="210"/>
      <c r="J152" s="209"/>
      <c r="K152" s="209"/>
      <c r="L152" s="209"/>
      <c r="M152" s="209"/>
      <c r="N152" s="209"/>
      <c r="O152" s="209"/>
      <c r="P152" s="209"/>
      <c r="Q152" s="209"/>
      <c r="R152" s="209"/>
      <c r="S152" s="209"/>
      <c r="T152" s="209"/>
      <c r="U152" s="209"/>
      <c r="V152" s="190"/>
      <c r="W152" s="190"/>
      <c r="X152" s="190"/>
      <c r="Y152" s="190"/>
    </row>
    <row r="153" spans="1:25" s="191" customFormat="1" ht="23.25">
      <c r="A153" s="190"/>
      <c r="B153" s="190"/>
      <c r="C153" s="190"/>
      <c r="D153" s="190"/>
      <c r="E153" s="190"/>
      <c r="F153" s="190"/>
      <c r="G153" s="197"/>
      <c r="H153" s="190"/>
      <c r="I153" s="197"/>
      <c r="J153" s="190"/>
      <c r="K153" s="190"/>
      <c r="L153" s="190"/>
      <c r="M153" s="190"/>
      <c r="N153" s="190"/>
      <c r="O153" s="190"/>
      <c r="P153" s="190"/>
      <c r="Q153" s="190"/>
      <c r="R153" s="190"/>
      <c r="S153" s="190"/>
      <c r="T153" s="190"/>
      <c r="U153" s="190"/>
      <c r="V153" s="190"/>
      <c r="W153" s="190"/>
      <c r="X153" s="190"/>
      <c r="Y153" s="190"/>
    </row>
    <row r="154" spans="1:25" s="191" customFormat="1" ht="23.25">
      <c r="A154" s="190"/>
      <c r="B154" s="190" t="s">
        <v>505</v>
      </c>
      <c r="C154" s="190" t="s">
        <v>537</v>
      </c>
      <c r="D154" s="190"/>
      <c r="E154" s="190"/>
      <c r="F154" s="190"/>
      <c r="G154" s="197"/>
      <c r="H154" s="190"/>
      <c r="I154" s="197"/>
      <c r="J154" s="190"/>
      <c r="K154" s="190"/>
      <c r="L154" s="190"/>
      <c r="M154" s="190"/>
      <c r="N154" s="190"/>
      <c r="O154" s="190"/>
      <c r="P154" s="190"/>
      <c r="Q154" s="190"/>
      <c r="R154" s="190"/>
      <c r="S154" s="190"/>
      <c r="T154" s="190"/>
      <c r="U154" s="190"/>
      <c r="V154" s="190"/>
      <c r="W154" s="190"/>
      <c r="X154" s="190"/>
      <c r="Y154" s="190"/>
    </row>
    <row r="155" spans="1:25" s="191" customFormat="1" ht="23.25">
      <c r="A155" s="190"/>
      <c r="B155" s="190" t="s">
        <v>508</v>
      </c>
      <c r="C155" s="190" t="s">
        <v>562</v>
      </c>
      <c r="D155" s="190" t="s">
        <v>563</v>
      </c>
      <c r="E155" s="190"/>
      <c r="F155" s="190"/>
      <c r="G155" s="197"/>
      <c r="H155" s="190"/>
      <c r="I155" s="197"/>
      <c r="J155" s="190"/>
      <c r="K155" s="190"/>
      <c r="L155" s="190"/>
      <c r="M155" s="190"/>
      <c r="N155" s="190"/>
      <c r="O155" s="190"/>
      <c r="P155" s="190"/>
      <c r="Q155" s="190"/>
      <c r="R155" s="190"/>
      <c r="S155" s="190"/>
      <c r="T155" s="190"/>
      <c r="U155" s="190"/>
      <c r="V155" s="190"/>
      <c r="W155" s="190"/>
      <c r="X155" s="190"/>
      <c r="Y155" s="190"/>
    </row>
    <row r="156" spans="1:25" s="191" customFormat="1" ht="23.25">
      <c r="A156" s="190"/>
      <c r="B156" s="190" t="s">
        <v>510</v>
      </c>
      <c r="C156" s="190" t="s">
        <v>564</v>
      </c>
      <c r="D156" s="190"/>
      <c r="E156" s="190"/>
      <c r="F156" s="190"/>
      <c r="G156" s="197"/>
      <c r="H156" s="190"/>
      <c r="I156" s="197"/>
      <c r="J156" s="190"/>
      <c r="K156" s="190"/>
      <c r="L156" s="190"/>
      <c r="M156" s="190"/>
      <c r="N156" s="190"/>
      <c r="O156" s="190"/>
      <c r="P156" s="190"/>
      <c r="Q156" s="190"/>
      <c r="R156" s="190"/>
      <c r="S156" s="190"/>
      <c r="T156" s="190"/>
      <c r="U156" s="190"/>
      <c r="V156" s="190"/>
      <c r="W156" s="190"/>
      <c r="X156" s="190"/>
      <c r="Y156" s="190"/>
    </row>
    <row r="157" spans="1:25" s="191" customFormat="1" ht="23.25">
      <c r="A157" s="190"/>
      <c r="B157" s="190"/>
      <c r="C157" s="190"/>
      <c r="D157" s="190"/>
      <c r="E157" s="190"/>
      <c r="F157" s="190"/>
      <c r="G157" s="197"/>
      <c r="H157" s="190"/>
      <c r="I157" s="197"/>
      <c r="J157" s="190"/>
      <c r="K157" s="190"/>
      <c r="L157" s="190"/>
      <c r="M157" s="190"/>
      <c r="N157" s="190"/>
      <c r="O157" s="190"/>
      <c r="P157" s="190"/>
      <c r="Q157" s="190"/>
      <c r="R157" s="190"/>
      <c r="S157" s="190"/>
      <c r="T157" s="190"/>
      <c r="U157" s="190"/>
      <c r="V157" s="190"/>
      <c r="W157" s="190"/>
      <c r="X157" s="190"/>
      <c r="Y157" s="190"/>
    </row>
    <row r="158" spans="1:25" s="191" customFormat="1" ht="23.25">
      <c r="A158" s="190"/>
      <c r="B158" s="2039" t="s">
        <v>543</v>
      </c>
      <c r="C158" s="2040"/>
      <c r="D158" s="2040"/>
      <c r="E158" s="2040"/>
      <c r="F158" s="2040"/>
      <c r="G158" s="197"/>
      <c r="H158" s="190"/>
      <c r="I158" s="197"/>
      <c r="J158" s="190"/>
      <c r="K158" s="190"/>
      <c r="L158" s="190"/>
      <c r="M158" s="190"/>
      <c r="N158" s="190"/>
      <c r="O158" s="190"/>
      <c r="P158" s="190"/>
      <c r="Q158" s="190"/>
      <c r="R158" s="190"/>
      <c r="S158" s="190"/>
      <c r="T158" s="190"/>
      <c r="U158" s="190"/>
      <c r="V158" s="190"/>
      <c r="W158" s="190"/>
      <c r="X158" s="190"/>
      <c r="Y158" s="190"/>
    </row>
    <row r="159" spans="1:25" s="191" customFormat="1" ht="23.25">
      <c r="A159" s="190"/>
      <c r="B159" s="197"/>
      <c r="C159" s="2039" t="s">
        <v>535</v>
      </c>
      <c r="D159" s="2040"/>
      <c r="E159" s="190"/>
      <c r="F159" s="190" t="s">
        <v>536</v>
      </c>
      <c r="G159" s="197"/>
      <c r="H159" s="190"/>
      <c r="I159" s="197"/>
      <c r="J159" s="190"/>
      <c r="K159" s="190"/>
      <c r="L159" s="211"/>
      <c r="M159" s="190"/>
      <c r="N159" s="190"/>
      <c r="O159" s="190"/>
      <c r="P159" s="190"/>
      <c r="Q159" s="190"/>
      <c r="R159" s="190"/>
      <c r="S159" s="190"/>
      <c r="T159" s="190"/>
      <c r="U159" s="190"/>
      <c r="V159" s="190"/>
      <c r="W159" s="190"/>
      <c r="X159" s="190"/>
      <c r="Y159" s="190"/>
    </row>
    <row r="160" spans="1:25" s="191" customFormat="1" ht="23.25">
      <c r="A160" s="190"/>
      <c r="B160" s="190"/>
      <c r="C160" s="197" t="s">
        <v>505</v>
      </c>
      <c r="D160" s="205" t="s">
        <v>537</v>
      </c>
      <c r="E160" s="190"/>
      <c r="F160" s="190" t="s">
        <v>565</v>
      </c>
      <c r="G160" s="197"/>
      <c r="H160" s="190"/>
      <c r="I160" s="197"/>
      <c r="J160" s="190"/>
      <c r="K160" s="190"/>
      <c r="L160" s="211"/>
      <c r="M160" s="190"/>
      <c r="N160" s="190"/>
      <c r="O160" s="190"/>
      <c r="P160" s="190"/>
      <c r="Q160" s="190"/>
      <c r="R160" s="190"/>
      <c r="S160" s="190"/>
      <c r="T160" s="190"/>
      <c r="U160" s="190"/>
      <c r="V160" s="190"/>
      <c r="W160" s="190"/>
      <c r="X160" s="190"/>
      <c r="Y160" s="190"/>
    </row>
    <row r="161" spans="1:25" s="191" customFormat="1" ht="23.25">
      <c r="A161" s="190"/>
      <c r="B161" s="199" t="s">
        <v>354</v>
      </c>
      <c r="C161" s="212">
        <f>S67*0.895</f>
        <v>215.6592</v>
      </c>
      <c r="D161" s="197">
        <f>S67*0.895</f>
        <v>215.6592</v>
      </c>
      <c r="E161" s="199" t="s">
        <v>354</v>
      </c>
      <c r="F161" s="190">
        <f>0.863*S67</f>
        <v>207.94847999999999</v>
      </c>
      <c r="G161" s="197"/>
      <c r="H161" s="190"/>
      <c r="I161" s="197"/>
      <c r="J161" s="190"/>
      <c r="K161" s="190"/>
      <c r="L161" s="211"/>
      <c r="M161" s="190"/>
      <c r="N161" s="190"/>
      <c r="O161" s="190"/>
      <c r="P161" s="190"/>
      <c r="Q161" s="190"/>
      <c r="R161" s="190"/>
      <c r="S161" s="190"/>
      <c r="T161" s="190"/>
      <c r="U161" s="190"/>
      <c r="V161" s="190"/>
      <c r="W161" s="190"/>
      <c r="X161" s="190"/>
      <c r="Y161" s="190"/>
    </row>
    <row r="162" spans="1:25" s="191" customFormat="1" ht="23.25">
      <c r="A162" s="190"/>
      <c r="B162" s="199" t="s">
        <v>356</v>
      </c>
      <c r="C162" s="212">
        <f>0.935*$C$30</f>
        <v>0.46750000000000003</v>
      </c>
      <c r="D162" s="197">
        <f>0.966*$C$30</f>
        <v>0.48299999999999998</v>
      </c>
      <c r="E162" s="199" t="s">
        <v>356</v>
      </c>
      <c r="F162" s="190">
        <f>0.955*$C$30</f>
        <v>0.47749999999999998</v>
      </c>
      <c r="G162" s="197"/>
      <c r="H162" s="190"/>
      <c r="I162" s="197"/>
      <c r="J162" s="190"/>
      <c r="K162" s="190"/>
      <c r="L162" s="190"/>
      <c r="M162" s="190"/>
      <c r="N162" s="190"/>
      <c r="O162" s="190"/>
      <c r="P162" s="190"/>
      <c r="Q162" s="190"/>
      <c r="R162" s="190"/>
      <c r="S162" s="190"/>
      <c r="T162" s="190"/>
      <c r="U162" s="190"/>
      <c r="V162" s="190"/>
      <c r="W162" s="190"/>
      <c r="X162" s="190"/>
      <c r="Y162" s="190"/>
    </row>
    <row r="163" spans="1:25" s="191" customFormat="1" ht="23.25">
      <c r="A163" s="190"/>
      <c r="B163" s="199" t="s">
        <v>358</v>
      </c>
      <c r="C163" s="212">
        <f>($C$161/430)*440</f>
        <v>220.67453023255814</v>
      </c>
      <c r="D163" s="197">
        <f>($D$161/455)*440</f>
        <v>208.54955604395604</v>
      </c>
      <c r="E163" s="199" t="s">
        <v>358</v>
      </c>
      <c r="F163" s="190">
        <f>($F$161/430)*440</f>
        <v>212.78449116279069</v>
      </c>
      <c r="G163" s="197"/>
      <c r="H163" s="190"/>
      <c r="I163" s="197"/>
      <c r="J163" s="190"/>
      <c r="K163" s="190"/>
      <c r="L163" s="190"/>
      <c r="M163" s="190"/>
      <c r="N163" s="190"/>
      <c r="O163" s="190"/>
      <c r="P163" s="190"/>
      <c r="Q163" s="190"/>
      <c r="R163" s="190"/>
      <c r="S163" s="190"/>
      <c r="T163" s="190"/>
      <c r="U163" s="190"/>
      <c r="V163" s="190"/>
      <c r="W163" s="190"/>
      <c r="X163" s="190"/>
      <c r="Y163" s="190"/>
    </row>
    <row r="164" spans="1:25" s="191" customFormat="1" ht="23.25">
      <c r="A164" s="190"/>
      <c r="B164" s="199" t="s">
        <v>378</v>
      </c>
      <c r="C164" s="212">
        <f t="shared" ref="C164:D164" si="7">0.0742*C161^0.75</f>
        <v>4.1757058468194677</v>
      </c>
      <c r="D164" s="197">
        <f t="shared" si="7"/>
        <v>4.1757058468194677</v>
      </c>
      <c r="E164" s="199" t="s">
        <v>378</v>
      </c>
      <c r="F164" s="190">
        <f>0.0717*(F161^0.75)</f>
        <v>3.9263224960774328</v>
      </c>
      <c r="G164" s="197"/>
      <c r="H164" s="190"/>
      <c r="I164" s="197"/>
      <c r="J164" s="190"/>
      <c r="K164" s="190"/>
      <c r="L164" s="190"/>
      <c r="M164" s="190"/>
      <c r="N164" s="190"/>
      <c r="O164" s="190"/>
      <c r="P164" s="190"/>
      <c r="Q164" s="190"/>
      <c r="R164" s="190"/>
      <c r="S164" s="190"/>
      <c r="T164" s="190"/>
      <c r="U164" s="190"/>
      <c r="V164" s="190"/>
      <c r="W164" s="190"/>
      <c r="X164" s="190"/>
      <c r="Y164" s="190"/>
    </row>
    <row r="165" spans="1:25" s="191" customFormat="1" ht="23.25">
      <c r="A165" s="190"/>
      <c r="B165" s="199" t="s">
        <v>566</v>
      </c>
      <c r="C165" s="212">
        <f>0.053*($C$163^0.75)*($C$162^1.095)</f>
        <v>1.3197780355063526</v>
      </c>
      <c r="D165" s="197">
        <f>0.053*($D$163^0.75)*($D$162^1.095)</f>
        <v>1.3110067568481583</v>
      </c>
      <c r="E165" s="199" t="s">
        <v>567</v>
      </c>
      <c r="F165" s="190">
        <f>0.052*(F163^0.75)*(F162^1.062)</f>
        <v>1.3213809676767323</v>
      </c>
      <c r="G165" s="197"/>
      <c r="H165" s="190"/>
      <c r="I165" s="197"/>
      <c r="J165" s="190"/>
      <c r="K165" s="190"/>
      <c r="L165" s="190"/>
      <c r="M165" s="190"/>
      <c r="N165" s="190"/>
      <c r="O165" s="190"/>
      <c r="P165" s="190"/>
      <c r="Q165" s="190"/>
      <c r="R165" s="190"/>
      <c r="S165" s="190"/>
      <c r="T165" s="190"/>
      <c r="U165" s="190"/>
      <c r="V165" s="190"/>
      <c r="W165" s="190"/>
      <c r="X165" s="190"/>
      <c r="Y165" s="190"/>
    </row>
    <row r="166" spans="1:25" s="191" customFormat="1" ht="23.25">
      <c r="A166" s="190"/>
      <c r="B166" s="199" t="s">
        <v>568</v>
      </c>
      <c r="C166" s="212">
        <f>0.064*($C$163^0.75)*($C$162^1.095)</f>
        <v>1.593694231554841</v>
      </c>
      <c r="D166" s="197">
        <f>0.064*($D$163^0.75)*($D$162^1.095)</f>
        <v>1.583102498835512</v>
      </c>
      <c r="E166" s="199"/>
      <c r="F166" s="190"/>
      <c r="G166" s="197"/>
      <c r="H166" s="190"/>
      <c r="I166" s="197"/>
      <c r="J166" s="190"/>
      <c r="K166" s="190"/>
      <c r="L166" s="190"/>
      <c r="M166" s="190"/>
      <c r="N166" s="190"/>
      <c r="O166" s="190"/>
      <c r="P166" s="190"/>
      <c r="Q166" s="190"/>
      <c r="R166" s="190"/>
      <c r="S166" s="190"/>
      <c r="T166" s="190"/>
      <c r="U166" s="190"/>
      <c r="V166" s="190"/>
      <c r="W166" s="190"/>
      <c r="X166" s="190"/>
      <c r="Y166" s="190"/>
    </row>
    <row r="167" spans="1:25" s="191" customFormat="1" ht="23.25">
      <c r="A167" s="190"/>
      <c r="B167" s="199" t="s">
        <v>569</v>
      </c>
      <c r="C167" s="212">
        <f>0.072*($C$163^0.75)*($C$162^1.095)</f>
        <v>1.7929060104991958</v>
      </c>
      <c r="D167" s="197">
        <f>0.072*($D$163^0.75)*($D$162^1.095)</f>
        <v>1.780990311189951</v>
      </c>
      <c r="E167" s="199"/>
      <c r="F167" s="190"/>
      <c r="G167" s="197"/>
      <c r="H167" s="190"/>
      <c r="I167" s="197"/>
      <c r="J167" s="190"/>
      <c r="K167" s="190"/>
      <c r="L167" s="190"/>
      <c r="M167" s="190"/>
      <c r="N167" s="190"/>
      <c r="O167" s="190"/>
      <c r="P167" s="190"/>
      <c r="Q167" s="190"/>
      <c r="R167" s="190"/>
      <c r="S167" s="190"/>
      <c r="T167" s="190"/>
      <c r="U167" s="190"/>
      <c r="V167" s="190"/>
      <c r="W167" s="190"/>
      <c r="X167" s="190"/>
      <c r="Y167" s="190"/>
    </row>
    <row r="168" spans="1:25" s="191" customFormat="1" ht="23.25">
      <c r="A168" s="190"/>
      <c r="B168" s="199" t="s">
        <v>549</v>
      </c>
      <c r="C168" s="212">
        <f>1.14*(((IF(C25="Macho não castrado",C165,IF(C25="macho castrado",C166,IF(C25="fêmea",C167))))/C162)^-1.137)</f>
        <v>0.35029749262984339</v>
      </c>
      <c r="D168" s="197">
        <f>1.14*(((IF(C25="Macho não castrado",D165,IF(C25="macho castrado",D166,IF(C25="fêmea",D167))))/D162)^-1.137)</f>
        <v>0.36629916913154598</v>
      </c>
      <c r="E168" s="199" t="s">
        <v>549</v>
      </c>
      <c r="F168" s="190">
        <f>1.14*((F165/F162)^-1.137)</f>
        <v>0.35833455491691046</v>
      </c>
      <c r="G168" s="197"/>
      <c r="H168" s="190"/>
      <c r="I168" s="197"/>
      <c r="J168" s="190"/>
      <c r="K168" s="190"/>
      <c r="L168" s="190"/>
      <c r="M168" s="190"/>
      <c r="N168" s="190"/>
      <c r="O168" s="190"/>
      <c r="P168" s="190"/>
      <c r="Q168" s="190"/>
      <c r="R168" s="190"/>
      <c r="S168" s="190"/>
      <c r="T168" s="190"/>
      <c r="U168" s="190"/>
      <c r="V168" s="190"/>
      <c r="W168" s="190"/>
      <c r="X168" s="190"/>
      <c r="Y168" s="190"/>
    </row>
    <row r="169" spans="1:25" s="191" customFormat="1" ht="23.25">
      <c r="A169" s="190"/>
      <c r="B169" s="199" t="s">
        <v>78</v>
      </c>
      <c r="C169" s="212">
        <f t="shared" ref="C169:D169" si="8">0.327/(0.539+C168)</f>
        <v>0.36770597320924736</v>
      </c>
      <c r="D169" s="197">
        <f t="shared" si="8"/>
        <v>0.3612065614880563</v>
      </c>
      <c r="E169" s="199" t="s">
        <v>78</v>
      </c>
      <c r="F169" s="190">
        <f>0.327/(0.539+F168)</f>
        <v>0.36441257968749335</v>
      </c>
      <c r="G169" s="197"/>
      <c r="H169" s="190"/>
      <c r="I169" s="197"/>
      <c r="J169" s="190"/>
      <c r="K169" s="190"/>
      <c r="L169" s="190"/>
      <c r="M169" s="190"/>
      <c r="N169" s="190"/>
      <c r="O169" s="190"/>
      <c r="P169" s="190"/>
      <c r="Q169" s="190"/>
      <c r="R169" s="190"/>
      <c r="S169" s="190"/>
      <c r="T169" s="190"/>
      <c r="U169" s="190"/>
      <c r="V169" s="190"/>
      <c r="W169" s="190"/>
      <c r="X169" s="190"/>
      <c r="Y169" s="190"/>
    </row>
    <row r="170" spans="1:25" s="191" customFormat="1" ht="23.25">
      <c r="A170" s="190"/>
      <c r="B170" s="199" t="s">
        <v>416</v>
      </c>
      <c r="C170" s="212">
        <f>0.513+0.173*C169+0.1*C162</f>
        <v>0.62336313336519977</v>
      </c>
      <c r="D170" s="197">
        <f>0.513+0.173*D169+0.073*D162</f>
        <v>0.61074773513743374</v>
      </c>
      <c r="E170" s="199" t="s">
        <v>416</v>
      </c>
      <c r="F170" s="190">
        <f>0.513+0.173*F169+0.1*F162</f>
        <v>0.62379337628593634</v>
      </c>
      <c r="G170" s="197" t="s">
        <v>570</v>
      </c>
      <c r="H170" s="190" t="s">
        <v>537</v>
      </c>
      <c r="I170" s="197"/>
      <c r="J170" s="190"/>
      <c r="K170" s="190"/>
      <c r="L170" s="190"/>
      <c r="M170" s="190"/>
      <c r="N170" s="190"/>
      <c r="O170" s="190"/>
      <c r="P170" s="190"/>
      <c r="Q170" s="190"/>
      <c r="R170" s="190"/>
      <c r="S170" s="190"/>
      <c r="T170" s="190"/>
      <c r="U170" s="190"/>
      <c r="V170" s="190"/>
      <c r="W170" s="190"/>
      <c r="X170" s="190"/>
      <c r="Y170" s="190"/>
    </row>
    <row r="171" spans="1:25" s="191" customFormat="1" ht="23.25">
      <c r="A171" s="190"/>
      <c r="B171" s="199" t="s">
        <v>373</v>
      </c>
      <c r="C171" s="212">
        <f t="shared" ref="C171:D171" si="9">C164/C170</f>
        <v>6.6986730900768778</v>
      </c>
      <c r="D171" s="197">
        <f t="shared" si="9"/>
        <v>6.8370386111703354</v>
      </c>
      <c r="E171" s="199" t="s">
        <v>373</v>
      </c>
      <c r="F171" s="190">
        <f>1.11*F164/F170</f>
        <v>6.9866371403216334</v>
      </c>
      <c r="G171" s="197">
        <f t="shared" ref="G171:H171" si="10">C171*1.11</f>
        <v>7.4355271299853349</v>
      </c>
      <c r="H171" s="190">
        <f t="shared" si="10"/>
        <v>7.5891128583990728</v>
      </c>
      <c r="I171" s="197"/>
      <c r="J171" s="190"/>
      <c r="K171" s="190"/>
      <c r="L171" s="190"/>
      <c r="M171" s="190"/>
      <c r="N171" s="190"/>
      <c r="O171" s="190"/>
      <c r="P171" s="190"/>
      <c r="Q171" s="190"/>
      <c r="R171" s="190"/>
      <c r="S171" s="190"/>
      <c r="T171" s="190"/>
      <c r="U171" s="190"/>
      <c r="V171" s="190"/>
      <c r="W171" s="190"/>
      <c r="X171" s="190"/>
      <c r="Y171" s="190"/>
    </row>
    <row r="172" spans="1:25" s="191" customFormat="1" ht="23.25">
      <c r="A172" s="190"/>
      <c r="B172" s="199" t="s">
        <v>375</v>
      </c>
      <c r="C172" s="212">
        <f>(IF($C$25="Macho não castrado",$C$165,IF($C$25="macho castrado",$C$166,IF($C$25="fêmea",$C$167))))/$C$169</f>
        <v>3.5892210942010387</v>
      </c>
      <c r="D172" s="197">
        <f>(IF($C$25="Macho não castrado",$D$165,IF($C$25="macho castrado",$D$166,IF($C$25="fêmea",$D$167))))/$D$169</f>
        <v>3.6295208798179823</v>
      </c>
      <c r="E172" s="199" t="s">
        <v>375</v>
      </c>
      <c r="F172" s="190">
        <f>F165/F169</f>
        <v>3.6260575000179722</v>
      </c>
      <c r="G172" s="197">
        <f>(IF($C$25="Macho não castrado",$C$165,IF($C$25="macho castrado",$C$166,IF($C$25="fêmea",$C$167))))/$C$169</f>
        <v>3.5892210942010387</v>
      </c>
      <c r="H172" s="197">
        <f>(IF($C$25="Macho não castrado",$D$165,IF($C$25="macho castrado",$D$166,IF($C$25="fêmea",$D$167))))/$D$169</f>
        <v>3.6295208798179823</v>
      </c>
      <c r="I172" s="197"/>
      <c r="J172" s="190"/>
      <c r="K172" s="190"/>
      <c r="L172" s="190"/>
      <c r="M172" s="190"/>
      <c r="N172" s="190"/>
      <c r="O172" s="190"/>
      <c r="P172" s="190"/>
      <c r="Q172" s="190"/>
      <c r="R172" s="190"/>
      <c r="S172" s="190"/>
      <c r="T172" s="190"/>
      <c r="U172" s="190"/>
      <c r="V172" s="190"/>
      <c r="W172" s="190"/>
      <c r="X172" s="190"/>
      <c r="Y172" s="190"/>
    </row>
    <row r="173" spans="1:25" s="191" customFormat="1" ht="23.25">
      <c r="A173" s="190"/>
      <c r="B173" s="199" t="s">
        <v>571</v>
      </c>
      <c r="C173" s="212">
        <f t="shared" ref="C173:D173" si="11">C171+C172</f>
        <v>10.287894184277917</v>
      </c>
      <c r="D173" s="197">
        <f t="shared" si="11"/>
        <v>10.466559490988317</v>
      </c>
      <c r="E173" s="199" t="s">
        <v>571</v>
      </c>
      <c r="F173" s="190">
        <f>F171+F172</f>
        <v>10.612694640339605</v>
      </c>
      <c r="G173" s="197"/>
      <c r="H173" s="190"/>
      <c r="I173" s="197"/>
      <c r="J173" s="190"/>
      <c r="K173" s="190"/>
      <c r="L173" s="190"/>
      <c r="M173" s="190"/>
      <c r="N173" s="190"/>
      <c r="O173" s="190"/>
      <c r="P173" s="190"/>
      <c r="Q173" s="190"/>
      <c r="R173" s="190"/>
      <c r="S173" s="190"/>
      <c r="T173" s="190"/>
      <c r="U173" s="190"/>
      <c r="V173" s="190"/>
      <c r="W173" s="190"/>
      <c r="X173" s="190"/>
      <c r="Y173" s="190"/>
    </row>
    <row r="174" spans="1:25" s="191" customFormat="1" ht="23.25">
      <c r="A174" s="190"/>
      <c r="B174" s="199" t="s">
        <v>83</v>
      </c>
      <c r="C174" s="212">
        <f t="shared" ref="C174:D174" si="12">C173/0.82/4.409</f>
        <v>2.8455913857680017</v>
      </c>
      <c r="D174" s="197">
        <f t="shared" si="12"/>
        <v>2.8950095124131678</v>
      </c>
      <c r="E174" s="199" t="s">
        <v>83</v>
      </c>
      <c r="F174" s="190">
        <f>F173/0.82/4.409</f>
        <v>2.9354299244725608</v>
      </c>
      <c r="G174" s="197"/>
      <c r="H174" s="190"/>
      <c r="I174" s="197"/>
      <c r="J174" s="190"/>
      <c r="K174" s="190"/>
      <c r="L174" s="190"/>
      <c r="M174" s="190"/>
      <c r="N174" s="190"/>
      <c r="O174" s="190"/>
      <c r="P174" s="190"/>
      <c r="Q174" s="190"/>
      <c r="R174" s="190"/>
      <c r="S174" s="190"/>
      <c r="T174" s="190"/>
      <c r="U174" s="190"/>
      <c r="V174" s="190"/>
      <c r="W174" s="190"/>
      <c r="X174" s="190"/>
      <c r="Y174" s="190"/>
    </row>
    <row r="175" spans="1:25" s="191" customFormat="1" ht="23.25">
      <c r="A175" s="190"/>
      <c r="B175" s="199" t="s">
        <v>572</v>
      </c>
      <c r="C175" s="212">
        <f>IF(C25="Macho não castrado",C165,IF(C25="macho castrado",C166,C167))</f>
        <v>1.3197780355063526</v>
      </c>
      <c r="D175" s="197">
        <f>IF(C25="Macho não castrado",D165,IF(C25="macho castrado",D166,D167))</f>
        <v>1.3110067568481583</v>
      </c>
      <c r="E175" s="197"/>
      <c r="F175" s="190"/>
      <c r="G175" s="197"/>
      <c r="H175" s="190"/>
      <c r="I175" s="197"/>
      <c r="J175" s="190"/>
      <c r="K175" s="190"/>
      <c r="L175" s="190"/>
      <c r="M175" s="190"/>
      <c r="N175" s="190"/>
      <c r="O175" s="190"/>
      <c r="P175" s="190"/>
      <c r="Q175" s="190"/>
      <c r="R175" s="190"/>
      <c r="S175" s="190"/>
      <c r="T175" s="190"/>
      <c r="U175" s="190"/>
      <c r="V175" s="190"/>
      <c r="W175" s="190"/>
      <c r="X175" s="190"/>
      <c r="Y175" s="190"/>
    </row>
    <row r="176" spans="1:25" s="191" customFormat="1" ht="23.25">
      <c r="A176" s="190"/>
      <c r="B176" s="199"/>
      <c r="C176" s="197"/>
      <c r="D176" s="197"/>
      <c r="E176" s="197"/>
      <c r="F176" s="190"/>
      <c r="G176" s="197"/>
      <c r="H176" s="190"/>
      <c r="I176" s="197"/>
      <c r="J176" s="190"/>
      <c r="K176" s="190"/>
      <c r="L176" s="190"/>
      <c r="M176" s="190"/>
      <c r="N176" s="190"/>
      <c r="O176" s="190"/>
      <c r="P176" s="190"/>
      <c r="Q176" s="190"/>
      <c r="R176" s="190"/>
      <c r="S176" s="190"/>
      <c r="T176" s="190"/>
      <c r="U176" s="190"/>
      <c r="V176" s="190"/>
      <c r="W176" s="190"/>
      <c r="X176" s="190"/>
      <c r="Y176" s="190"/>
    </row>
    <row r="177" spans="1:25" s="191" customFormat="1" ht="23.25">
      <c r="A177" s="190"/>
      <c r="B177" s="199"/>
      <c r="C177" s="190"/>
      <c r="D177" s="190"/>
      <c r="E177" s="190"/>
      <c r="F177" s="190"/>
      <c r="G177" s="197"/>
      <c r="H177" s="190"/>
      <c r="I177" s="197"/>
      <c r="J177" s="190"/>
      <c r="K177" s="190"/>
      <c r="L177" s="190"/>
      <c r="M177" s="190"/>
      <c r="N177" s="190"/>
      <c r="O177" s="190"/>
      <c r="P177" s="190"/>
      <c r="Q177" s="190"/>
      <c r="R177" s="190"/>
      <c r="S177" s="190"/>
      <c r="T177" s="190"/>
      <c r="U177" s="190"/>
      <c r="V177" s="190"/>
      <c r="W177" s="190"/>
      <c r="X177" s="190"/>
      <c r="Y177" s="190"/>
    </row>
    <row r="178" spans="1:25" s="191" customFormat="1" ht="23.25">
      <c r="A178" s="190"/>
      <c r="B178" s="2039" t="s">
        <v>573</v>
      </c>
      <c r="C178" s="2040"/>
      <c r="D178" s="2040"/>
      <c r="E178" s="2040"/>
      <c r="F178" s="2040"/>
      <c r="G178" s="197"/>
      <c r="H178" s="190"/>
      <c r="I178" s="197"/>
      <c r="J178" s="190"/>
      <c r="K178" s="190"/>
      <c r="L178" s="190"/>
      <c r="M178" s="190"/>
      <c r="N178" s="190"/>
      <c r="O178" s="190"/>
      <c r="P178" s="190"/>
      <c r="Q178" s="190"/>
      <c r="R178" s="190"/>
      <c r="S178" s="190"/>
      <c r="T178" s="190"/>
      <c r="U178" s="190"/>
      <c r="V178" s="190"/>
      <c r="W178" s="190"/>
      <c r="X178" s="190"/>
      <c r="Y178" s="190"/>
    </row>
    <row r="179" spans="1:25" s="191" customFormat="1" ht="23.25">
      <c r="A179" s="190"/>
      <c r="B179" s="190"/>
      <c r="C179" s="2039" t="s">
        <v>535</v>
      </c>
      <c r="D179" s="2040"/>
      <c r="E179" s="190"/>
      <c r="F179" s="190" t="s">
        <v>536</v>
      </c>
      <c r="G179" s="197"/>
      <c r="H179" s="190"/>
      <c r="I179" s="197"/>
      <c r="J179" s="190"/>
      <c r="K179" s="190"/>
      <c r="L179" s="190"/>
      <c r="M179" s="190"/>
      <c r="N179" s="190"/>
      <c r="O179" s="190"/>
      <c r="P179" s="190"/>
      <c r="Q179" s="190"/>
      <c r="R179" s="190"/>
      <c r="S179" s="190"/>
      <c r="T179" s="190"/>
      <c r="U179" s="190"/>
      <c r="V179" s="190"/>
      <c r="W179" s="190"/>
      <c r="X179" s="190"/>
      <c r="Y179" s="190"/>
    </row>
    <row r="180" spans="1:25" s="191" customFormat="1" ht="23.25">
      <c r="A180" s="190"/>
      <c r="B180" s="199"/>
      <c r="C180" s="190" t="s">
        <v>505</v>
      </c>
      <c r="D180" s="190" t="s">
        <v>537</v>
      </c>
      <c r="E180" s="190"/>
      <c r="F180" s="190" t="s">
        <v>565</v>
      </c>
      <c r="G180" s="197"/>
      <c r="H180" s="190"/>
      <c r="I180" s="197"/>
      <c r="J180" s="190"/>
      <c r="K180" s="190"/>
      <c r="L180" s="190"/>
      <c r="M180" s="190"/>
      <c r="N180" s="190"/>
      <c r="O180" s="190"/>
      <c r="P180" s="190"/>
      <c r="Q180" s="190"/>
      <c r="R180" s="190"/>
      <c r="S180" s="190"/>
      <c r="T180" s="190"/>
      <c r="U180" s="190"/>
      <c r="V180" s="190"/>
      <c r="W180" s="190"/>
      <c r="X180" s="190"/>
      <c r="Y180" s="190"/>
    </row>
    <row r="181" spans="1:25" s="191" customFormat="1" ht="23.25">
      <c r="A181" s="190"/>
      <c r="B181" s="199" t="s">
        <v>354</v>
      </c>
      <c r="C181" s="197">
        <f t="shared" ref="C181:D181" si="13">$C$29*0.895</f>
        <v>224.64500000000001</v>
      </c>
      <c r="D181" s="197">
        <f t="shared" si="13"/>
        <v>224.64500000000001</v>
      </c>
      <c r="E181" s="199" t="s">
        <v>354</v>
      </c>
      <c r="F181" s="190">
        <f>0.863*$C$29</f>
        <v>216.613</v>
      </c>
      <c r="G181" s="197"/>
      <c r="H181" s="190"/>
      <c r="I181" s="197"/>
      <c r="J181" s="190"/>
      <c r="K181" s="190"/>
      <c r="L181" s="190"/>
      <c r="M181" s="190"/>
      <c r="N181" s="190"/>
      <c r="O181" s="190"/>
      <c r="P181" s="190"/>
      <c r="Q181" s="190"/>
      <c r="R181" s="190"/>
      <c r="S181" s="190"/>
      <c r="T181" s="190"/>
      <c r="U181" s="190"/>
      <c r="V181" s="190"/>
      <c r="W181" s="190"/>
      <c r="X181" s="190"/>
      <c r="Y181" s="190"/>
    </row>
    <row r="182" spans="1:25" s="191" customFormat="1" ht="23.25">
      <c r="A182" s="190"/>
      <c r="B182" s="199" t="s">
        <v>356</v>
      </c>
      <c r="C182" s="197">
        <f>0.935*$C$30</f>
        <v>0.46750000000000003</v>
      </c>
      <c r="D182" s="197">
        <f>0.966*$C$30</f>
        <v>0.48299999999999998</v>
      </c>
      <c r="E182" s="199" t="s">
        <v>356</v>
      </c>
      <c r="F182" s="190">
        <f>0.955*$C$30</f>
        <v>0.47749999999999998</v>
      </c>
      <c r="G182" s="197"/>
      <c r="H182" s="190"/>
      <c r="I182" s="197"/>
      <c r="J182" s="190"/>
      <c r="K182" s="190"/>
      <c r="L182" s="190"/>
      <c r="M182" s="190"/>
      <c r="N182" s="190"/>
      <c r="O182" s="190"/>
      <c r="P182" s="190"/>
      <c r="Q182" s="190"/>
      <c r="R182" s="190"/>
      <c r="S182" s="190"/>
      <c r="T182" s="190"/>
      <c r="U182" s="190"/>
      <c r="V182" s="190"/>
      <c r="W182" s="190"/>
      <c r="X182" s="190"/>
      <c r="Y182" s="190"/>
    </row>
    <row r="183" spans="1:25" s="191" customFormat="1" ht="23.25">
      <c r="A183" s="190"/>
      <c r="B183" s="199" t="s">
        <v>358</v>
      </c>
      <c r="C183" s="197">
        <f>($C$161/430)*440</f>
        <v>220.67453023255814</v>
      </c>
      <c r="D183" s="197">
        <f>($D$161/455)*440</f>
        <v>208.54955604395604</v>
      </c>
      <c r="E183" s="199" t="s">
        <v>358</v>
      </c>
      <c r="F183" s="190">
        <f>(F181/430)*440</f>
        <v>221.65051162790695</v>
      </c>
      <c r="G183" s="197"/>
      <c r="H183" s="190"/>
      <c r="I183" s="197"/>
      <c r="J183" s="190"/>
      <c r="K183" s="190"/>
      <c r="L183" s="190"/>
      <c r="M183" s="190"/>
      <c r="N183" s="190"/>
      <c r="O183" s="190"/>
      <c r="P183" s="190"/>
      <c r="Q183" s="190"/>
      <c r="R183" s="190"/>
      <c r="S183" s="190"/>
      <c r="T183" s="190"/>
      <c r="U183" s="190"/>
      <c r="V183" s="190"/>
      <c r="W183" s="190"/>
      <c r="X183" s="190"/>
      <c r="Y183" s="190"/>
    </row>
    <row r="184" spans="1:25" s="191" customFormat="1" ht="23.25">
      <c r="A184" s="190"/>
      <c r="B184" s="199" t="s">
        <v>574</v>
      </c>
      <c r="C184" s="197">
        <f t="shared" ref="C184:D184" si="14">0.053*C183^0.75*C182^1.095</f>
        <v>1.3197780355063526</v>
      </c>
      <c r="D184" s="197">
        <f t="shared" si="14"/>
        <v>1.3110067568481583</v>
      </c>
      <c r="E184" s="199" t="s">
        <v>575</v>
      </c>
      <c r="F184" s="190">
        <f>0.052*(F183^0.75)*(F182^1.062)</f>
        <v>1.3624627030188421</v>
      </c>
      <c r="G184" s="197"/>
      <c r="H184" s="190"/>
      <c r="I184" s="197"/>
      <c r="J184" s="190"/>
      <c r="K184" s="190"/>
      <c r="L184" s="190"/>
      <c r="M184" s="190"/>
      <c r="N184" s="190"/>
      <c r="O184" s="190"/>
      <c r="P184" s="190"/>
      <c r="Q184" s="190"/>
      <c r="R184" s="190"/>
      <c r="S184" s="190"/>
      <c r="T184" s="190"/>
      <c r="U184" s="190"/>
      <c r="V184" s="190"/>
      <c r="W184" s="190"/>
      <c r="X184" s="190"/>
      <c r="Y184" s="190"/>
    </row>
    <row r="185" spans="1:25" s="191" customFormat="1" ht="23.25">
      <c r="A185" s="190"/>
      <c r="B185" s="199" t="s">
        <v>576</v>
      </c>
      <c r="C185" s="197">
        <f t="shared" ref="C185:D185" si="15">0.064*C183^0.75*C182^1.095</f>
        <v>1.593694231554841</v>
      </c>
      <c r="D185" s="197">
        <f t="shared" si="15"/>
        <v>1.583102498835512</v>
      </c>
      <c r="E185" s="199"/>
      <c r="F185" s="190"/>
      <c r="G185" s="197"/>
      <c r="H185" s="190"/>
      <c r="I185" s="197"/>
      <c r="J185" s="190"/>
      <c r="K185" s="190"/>
      <c r="L185" s="190"/>
      <c r="M185" s="190"/>
      <c r="N185" s="190"/>
      <c r="O185" s="190"/>
      <c r="P185" s="190"/>
      <c r="Q185" s="190"/>
      <c r="R185" s="190"/>
      <c r="S185" s="190"/>
      <c r="T185" s="190"/>
      <c r="U185" s="190"/>
      <c r="V185" s="190"/>
      <c r="W185" s="190"/>
      <c r="X185" s="190"/>
      <c r="Y185" s="190"/>
    </row>
    <row r="186" spans="1:25" s="191" customFormat="1" ht="23.25">
      <c r="A186" s="190"/>
      <c r="B186" s="199" t="s">
        <v>577</v>
      </c>
      <c r="C186" s="197">
        <f t="shared" ref="C186:D186" si="16">0.072*C183^0.75*C182^1.095</f>
        <v>1.7929060104991958</v>
      </c>
      <c r="D186" s="197">
        <f t="shared" si="16"/>
        <v>1.780990311189951</v>
      </c>
      <c r="E186" s="199"/>
      <c r="F186" s="190"/>
      <c r="G186" s="197"/>
      <c r="H186" s="190"/>
      <c r="I186" s="197"/>
      <c r="J186" s="190"/>
      <c r="K186" s="190"/>
      <c r="L186" s="190"/>
      <c r="M186" s="190"/>
      <c r="N186" s="190"/>
      <c r="O186" s="190"/>
      <c r="P186" s="190"/>
      <c r="Q186" s="190"/>
      <c r="R186" s="190"/>
      <c r="S186" s="190"/>
      <c r="T186" s="190"/>
      <c r="U186" s="190"/>
      <c r="V186" s="190"/>
      <c r="W186" s="190"/>
      <c r="X186" s="190"/>
      <c r="Y186" s="190"/>
    </row>
    <row r="187" spans="1:25" s="191" customFormat="1" ht="23.25">
      <c r="A187" s="190"/>
      <c r="B187" s="199" t="s">
        <v>578</v>
      </c>
      <c r="C187" s="197">
        <f>IF(C23="Zebuíno",IF(C25="Macho não castrado",C184,IF(C25="macho castrado",C185,C186)),0)</f>
        <v>1.3197780355063526</v>
      </c>
      <c r="D187" s="197">
        <f>IF(C23="Cruzado",IF(C25="Macho não castrado",D184,IF(C25="macho castrado",D185,D186)),0)</f>
        <v>0</v>
      </c>
      <c r="E187" s="199"/>
      <c r="F187" s="190"/>
      <c r="G187" s="197"/>
      <c r="H187" s="190"/>
      <c r="I187" s="197"/>
      <c r="J187" s="190"/>
      <c r="K187" s="190"/>
      <c r="L187" s="190"/>
      <c r="M187" s="190"/>
      <c r="N187" s="190"/>
      <c r="O187" s="190"/>
      <c r="P187" s="190"/>
      <c r="Q187" s="190"/>
      <c r="R187" s="190"/>
      <c r="S187" s="190"/>
      <c r="T187" s="190"/>
      <c r="U187" s="190"/>
      <c r="V187" s="190"/>
      <c r="W187" s="190"/>
      <c r="X187" s="190"/>
      <c r="Y187" s="190"/>
    </row>
    <row r="188" spans="1:25" s="191" customFormat="1" ht="23.25">
      <c r="A188" s="190"/>
      <c r="B188" s="199" t="s">
        <v>579</v>
      </c>
      <c r="C188" s="197">
        <f>238.79*C182-15.68*C184</f>
        <v>90.940205403260393</v>
      </c>
      <c r="D188" s="197">
        <f>219.43*D182-15.01*D184</f>
        <v>86.30647857970915</v>
      </c>
      <c r="E188" s="199" t="s">
        <v>396</v>
      </c>
      <c r="F188" s="190">
        <f>(221.39*F182)-(6.61*F184)</f>
        <v>96.707846533045441</v>
      </c>
      <c r="G188" s="197"/>
      <c r="H188" s="190"/>
      <c r="I188" s="197"/>
      <c r="J188" s="190"/>
      <c r="K188" s="190"/>
      <c r="L188" s="190"/>
      <c r="M188" s="190"/>
      <c r="N188" s="190"/>
      <c r="O188" s="190"/>
      <c r="P188" s="190"/>
      <c r="Q188" s="190"/>
      <c r="R188" s="190"/>
      <c r="S188" s="190"/>
      <c r="T188" s="190"/>
      <c r="U188" s="190"/>
      <c r="V188" s="190"/>
      <c r="W188" s="190"/>
      <c r="X188" s="190"/>
      <c r="Y188" s="190"/>
    </row>
    <row r="189" spans="1:25" s="191" customFormat="1" ht="23.25">
      <c r="A189" s="190"/>
      <c r="B189" s="199" t="s">
        <v>580</v>
      </c>
      <c r="C189" s="197">
        <f>163.73*C182-4.65*C185</f>
        <v>69.13309682326998</v>
      </c>
      <c r="D189" s="197">
        <f>188.71*D182-7.67*D185</f>
        <v>79.004533833931617</v>
      </c>
      <c r="E189" s="199"/>
      <c r="F189" s="190"/>
      <c r="G189" s="197"/>
      <c r="H189" s="190"/>
      <c r="I189" s="197"/>
      <c r="J189" s="190"/>
      <c r="K189" s="190"/>
      <c r="L189" s="190"/>
      <c r="M189" s="190"/>
      <c r="N189" s="190"/>
      <c r="O189" s="190"/>
      <c r="P189" s="190"/>
      <c r="Q189" s="190"/>
      <c r="R189" s="190"/>
      <c r="S189" s="190"/>
      <c r="T189" s="190"/>
      <c r="U189" s="190"/>
      <c r="V189" s="190"/>
      <c r="W189" s="190"/>
      <c r="X189" s="190"/>
      <c r="Y189" s="190"/>
    </row>
    <row r="190" spans="1:25" s="191" customFormat="1" ht="23.25">
      <c r="A190" s="190"/>
      <c r="B190" s="199" t="s">
        <v>581</v>
      </c>
      <c r="C190" s="197">
        <f>163.73*C182-4.65*C186</f>
        <v>68.206762051178742</v>
      </c>
      <c r="D190" s="197">
        <f>188.71*D182-7.67*D186</f>
        <v>77.486734313173073</v>
      </c>
      <c r="E190" s="199"/>
      <c r="F190" s="190"/>
      <c r="G190" s="197"/>
      <c r="H190" s="190"/>
      <c r="I190" s="197"/>
      <c r="J190" s="190"/>
      <c r="K190" s="190"/>
      <c r="L190" s="190"/>
      <c r="M190" s="190"/>
      <c r="N190" s="190"/>
      <c r="O190" s="190"/>
      <c r="P190" s="190"/>
      <c r="Q190" s="190"/>
      <c r="R190" s="190"/>
      <c r="S190" s="190"/>
      <c r="T190" s="190"/>
      <c r="U190" s="190"/>
      <c r="V190" s="190"/>
      <c r="W190" s="190"/>
      <c r="X190" s="190"/>
      <c r="Y190" s="190"/>
    </row>
    <row r="191" spans="1:25" s="191" customFormat="1" ht="23.25">
      <c r="A191" s="190"/>
      <c r="B191" s="199" t="s">
        <v>558</v>
      </c>
      <c r="C191" s="197">
        <f>IF(C26="confinamento",IF(C23="Zebuíno",IF(C25="Macho não castrado",C188,IF(C25="macho castrado",C189,C190)),0))</f>
        <v>90.940205403260393</v>
      </c>
      <c r="D191" s="197">
        <f>IF(C26="confinamento",IF(C23="Cruzado",IF(C25="Macho não castrado",D188,IF(C25="macho castrado",D189,D190)),0))</f>
        <v>0</v>
      </c>
      <c r="E191" s="199"/>
      <c r="F191" s="190"/>
      <c r="G191" s="197"/>
      <c r="H191" s="190"/>
      <c r="I191" s="197"/>
      <c r="J191" s="190"/>
      <c r="K191" s="190"/>
      <c r="L191" s="190"/>
      <c r="M191" s="190"/>
      <c r="N191" s="190"/>
      <c r="O191" s="190"/>
      <c r="P191" s="190"/>
      <c r="Q191" s="190"/>
      <c r="R191" s="190"/>
      <c r="S191" s="190"/>
      <c r="T191" s="190"/>
      <c r="U191" s="190"/>
      <c r="V191" s="190"/>
      <c r="W191" s="190"/>
      <c r="X191" s="190"/>
      <c r="Y191" s="190"/>
    </row>
    <row r="192" spans="1:25" s="191" customFormat="1" ht="23.25">
      <c r="A192" s="190"/>
      <c r="B192" s="199" t="s">
        <v>582</v>
      </c>
      <c r="C192" s="197">
        <f t="shared" ref="C192:D192" si="17">(84.665-0.1179*C183)/100</f>
        <v>0.58647472885581398</v>
      </c>
      <c r="D192" s="197">
        <f t="shared" si="17"/>
        <v>0.60077007342417588</v>
      </c>
      <c r="E192" s="199" t="s">
        <v>582</v>
      </c>
      <c r="F192" s="190">
        <f>(84.665-(0.1179*F183))/100</f>
        <v>0.58532404679069772</v>
      </c>
      <c r="G192" s="197"/>
      <c r="H192" s="190"/>
      <c r="I192" s="197"/>
      <c r="J192" s="190"/>
      <c r="K192" s="190"/>
      <c r="L192" s="190"/>
      <c r="M192" s="190"/>
      <c r="N192" s="190"/>
      <c r="O192" s="190"/>
      <c r="P192" s="190"/>
      <c r="Q192" s="190"/>
      <c r="R192" s="190"/>
      <c r="S192" s="190"/>
      <c r="T192" s="190"/>
      <c r="U192" s="190"/>
      <c r="V192" s="190"/>
      <c r="W192" s="190"/>
      <c r="X192" s="190"/>
      <c r="Y192" s="190"/>
    </row>
    <row r="193" spans="1:25" s="191" customFormat="1" ht="23.25">
      <c r="A193" s="190"/>
      <c r="B193" s="199" t="s">
        <v>583</v>
      </c>
      <c r="C193" s="197">
        <f t="shared" ref="C193:D193" si="18">46.9/100</f>
        <v>0.46899999999999997</v>
      </c>
      <c r="D193" s="197">
        <f t="shared" si="18"/>
        <v>0.46899999999999997</v>
      </c>
      <c r="E193" s="199" t="s">
        <v>583</v>
      </c>
      <c r="F193" s="190">
        <f>46.9/100</f>
        <v>0.46899999999999997</v>
      </c>
      <c r="G193" s="197"/>
      <c r="H193" s="190"/>
      <c r="I193" s="197"/>
      <c r="J193" s="190"/>
      <c r="K193" s="190"/>
      <c r="L193" s="190"/>
      <c r="M193" s="190"/>
      <c r="N193" s="190"/>
      <c r="O193" s="190"/>
      <c r="P193" s="190"/>
      <c r="Q193" s="190"/>
      <c r="R193" s="190"/>
      <c r="S193" s="190"/>
      <c r="T193" s="190"/>
      <c r="U193" s="190"/>
      <c r="V193" s="190"/>
      <c r="W193" s="190"/>
      <c r="X193" s="190"/>
      <c r="Y193" s="190"/>
    </row>
    <row r="194" spans="1:25" s="191" customFormat="1" ht="23.25">
      <c r="A194" s="190"/>
      <c r="B194" s="199" t="s">
        <v>394</v>
      </c>
      <c r="C194" s="197">
        <f>(IF(C25="Macho não castrado",C188,IF(C25="macho castrado",C189,IF(C25="fêmea",C190))))/(IF(S67&lt;=350,C192,IF(S67&gt;350,C193)))</f>
        <v>155.06244502756439</v>
      </c>
      <c r="D194" s="197">
        <f>(IF(C25="Macho não castrado",D188,IF(C25="macho castrado",D189,IF(C25="fêmea",D190))))/(IF(S67&lt;=350,D192,IF(S67&gt;350,D193)))</f>
        <v>143.65975004013248</v>
      </c>
      <c r="E194" s="199" t="s">
        <v>394</v>
      </c>
      <c r="F194" s="190">
        <f>IF(S67&lt;=350,(F188/F192),IF(S67&gt;350,(F188/F193)))</f>
        <v>165.22103792470119</v>
      </c>
      <c r="G194" s="197"/>
      <c r="H194" s="190"/>
      <c r="I194" s="197"/>
      <c r="J194" s="190"/>
      <c r="K194" s="190"/>
      <c r="L194" s="190"/>
      <c r="M194" s="190"/>
      <c r="N194" s="190"/>
      <c r="O194" s="190"/>
      <c r="P194" s="190"/>
      <c r="Q194" s="190"/>
      <c r="R194" s="190"/>
      <c r="S194" s="190"/>
      <c r="T194" s="190"/>
      <c r="U194" s="190"/>
      <c r="V194" s="190"/>
      <c r="W194" s="190"/>
      <c r="X194" s="190"/>
      <c r="Y194" s="190"/>
    </row>
    <row r="195" spans="1:25" s="191" customFormat="1" ht="23.25">
      <c r="A195" s="190"/>
      <c r="B195" s="199" t="s">
        <v>392</v>
      </c>
      <c r="C195" s="197">
        <f>4*C29^0.75</f>
        <v>252.24076939167375</v>
      </c>
      <c r="D195" s="197">
        <f>4*C29^0.75</f>
        <v>252.24076939167375</v>
      </c>
      <c r="E195" s="199" t="s">
        <v>392</v>
      </c>
      <c r="F195" s="190">
        <f>4.5*(C29^0.75)</f>
        <v>283.77086556563296</v>
      </c>
      <c r="G195" s="197">
        <f t="shared" ref="G195:H195" si="19">C195*1.11</f>
        <v>279.98725402475787</v>
      </c>
      <c r="H195" s="190">
        <f t="shared" si="19"/>
        <v>279.98725402475787</v>
      </c>
      <c r="I195" s="197"/>
      <c r="J195" s="190"/>
      <c r="K195" s="190"/>
      <c r="L195" s="190"/>
      <c r="M195" s="190"/>
      <c r="N195" s="190"/>
      <c r="O195" s="190"/>
      <c r="P195" s="190"/>
      <c r="Q195" s="190"/>
      <c r="R195" s="190"/>
      <c r="S195" s="190"/>
      <c r="T195" s="190"/>
      <c r="U195" s="190"/>
      <c r="V195" s="190"/>
      <c r="W195" s="190"/>
      <c r="X195" s="190"/>
      <c r="Y195" s="190"/>
    </row>
    <row r="196" spans="1:25" s="191" customFormat="1" ht="23.25">
      <c r="A196" s="190"/>
      <c r="B196" s="199" t="s">
        <v>584</v>
      </c>
      <c r="C196" s="197">
        <f t="shared" ref="C196:D196" si="20">C194+C195</f>
        <v>407.30321441923815</v>
      </c>
      <c r="D196" s="197">
        <f t="shared" si="20"/>
        <v>395.90051943180623</v>
      </c>
      <c r="E196" s="199" t="s">
        <v>584</v>
      </c>
      <c r="F196" s="190">
        <f t="shared" ref="F196:H196" si="21">$F$194+F195</f>
        <v>448.99190349033415</v>
      </c>
      <c r="G196" s="197">
        <f t="shared" si="21"/>
        <v>445.20829194945907</v>
      </c>
      <c r="H196" s="190">
        <f t="shared" si="21"/>
        <v>445.20829194945907</v>
      </c>
      <c r="I196" s="197"/>
      <c r="J196" s="190"/>
      <c r="K196" s="190"/>
      <c r="L196" s="190"/>
      <c r="M196" s="190"/>
      <c r="N196" s="190"/>
      <c r="O196" s="190"/>
      <c r="P196" s="190"/>
      <c r="Q196" s="190"/>
      <c r="R196" s="190"/>
      <c r="S196" s="190"/>
      <c r="T196" s="190"/>
      <c r="U196" s="190"/>
      <c r="V196" s="190"/>
      <c r="W196" s="190"/>
      <c r="X196" s="190"/>
      <c r="Y196" s="190"/>
    </row>
    <row r="197" spans="1:25" s="191" customFormat="1" ht="23.25">
      <c r="A197" s="190"/>
      <c r="B197" s="199" t="s">
        <v>386</v>
      </c>
      <c r="C197" s="197">
        <f t="shared" ref="C197:D197" si="22">120*C174</f>
        <v>341.4709662921602</v>
      </c>
      <c r="D197" s="197">
        <f t="shared" si="22"/>
        <v>347.40114148958014</v>
      </c>
      <c r="E197" s="199" t="s">
        <v>386</v>
      </c>
      <c r="F197" s="190">
        <f>120*F174</f>
        <v>352.25159093670732</v>
      </c>
      <c r="G197" s="197"/>
      <c r="H197" s="190"/>
      <c r="I197" s="197"/>
      <c r="J197" s="190"/>
      <c r="K197" s="190"/>
      <c r="L197" s="190"/>
      <c r="M197" s="190"/>
      <c r="N197" s="190"/>
      <c r="O197" s="190"/>
      <c r="P197" s="190"/>
      <c r="Q197" s="190"/>
      <c r="R197" s="190"/>
      <c r="S197" s="190"/>
      <c r="T197" s="190"/>
      <c r="U197" s="190"/>
      <c r="V197" s="190"/>
      <c r="W197" s="190"/>
      <c r="X197" s="190"/>
      <c r="Y197" s="190"/>
    </row>
    <row r="198" spans="1:25" s="191" customFormat="1" ht="23.25">
      <c r="A198" s="190"/>
      <c r="B198" s="199" t="s">
        <v>274</v>
      </c>
      <c r="C198" s="197">
        <f t="shared" ref="C198:D198" si="23">1.11*C197</f>
        <v>379.03277258429785</v>
      </c>
      <c r="D198" s="197">
        <f t="shared" si="23"/>
        <v>385.61526705343397</v>
      </c>
      <c r="E198" s="199" t="s">
        <v>274</v>
      </c>
      <c r="F198" s="190">
        <f>1.11*F197</f>
        <v>390.99926593974516</v>
      </c>
      <c r="G198" s="197"/>
      <c r="H198" s="190"/>
      <c r="I198" s="197"/>
      <c r="J198" s="190"/>
      <c r="K198" s="190"/>
      <c r="L198" s="190"/>
      <c r="M198" s="190"/>
      <c r="N198" s="190"/>
      <c r="O198" s="190"/>
      <c r="P198" s="190"/>
      <c r="Q198" s="190"/>
      <c r="R198" s="190"/>
      <c r="S198" s="190"/>
      <c r="T198" s="190"/>
      <c r="U198" s="190"/>
      <c r="V198" s="190"/>
      <c r="W198" s="190"/>
      <c r="X198" s="190"/>
      <c r="Y198" s="190"/>
    </row>
    <row r="199" spans="1:25" s="191" customFormat="1" ht="23.25">
      <c r="A199" s="190"/>
      <c r="B199" s="199" t="s">
        <v>276</v>
      </c>
      <c r="C199" s="197">
        <f t="shared" ref="C199:D199" si="24">((C196-(C197*0.64))/0.8)</f>
        <v>235.95224499031949</v>
      </c>
      <c r="D199" s="197">
        <f t="shared" si="24"/>
        <v>216.95473609809363</v>
      </c>
      <c r="E199" s="199" t="s">
        <v>276</v>
      </c>
      <c r="F199" s="190">
        <f t="shared" ref="F199:H199" si="25">((F196-($F$197*0.64))/0.8)</f>
        <v>279.43860661355183</v>
      </c>
      <c r="G199" s="197">
        <f t="shared" si="25"/>
        <v>274.709092187458</v>
      </c>
      <c r="H199" s="190">
        <f t="shared" si="25"/>
        <v>274.709092187458</v>
      </c>
      <c r="I199" s="197"/>
      <c r="J199" s="190"/>
      <c r="K199" s="190"/>
      <c r="L199" s="190"/>
      <c r="M199" s="190"/>
      <c r="N199" s="190"/>
      <c r="O199" s="190"/>
      <c r="P199" s="190"/>
      <c r="Q199" s="190"/>
      <c r="R199" s="190"/>
      <c r="S199" s="190"/>
      <c r="T199" s="190"/>
      <c r="U199" s="190"/>
      <c r="V199" s="190"/>
      <c r="W199" s="190"/>
      <c r="X199" s="190"/>
      <c r="Y199" s="190"/>
    </row>
    <row r="200" spans="1:25" s="191" customFormat="1" ht="23.25">
      <c r="A200" s="190"/>
      <c r="B200" s="199" t="s">
        <v>270</v>
      </c>
      <c r="C200" s="197">
        <f t="shared" ref="C200:D200" si="26">C198+C199</f>
        <v>614.98501757461736</v>
      </c>
      <c r="D200" s="197">
        <f t="shared" si="26"/>
        <v>602.57000315152754</v>
      </c>
      <c r="E200" s="199" t="s">
        <v>270</v>
      </c>
      <c r="F200" s="190">
        <f>$F$198+F199</f>
        <v>670.43787255329698</v>
      </c>
      <c r="G200" s="197">
        <f>$C$198+G199</f>
        <v>653.7418647717559</v>
      </c>
      <c r="H200" s="190">
        <f>$D$198+H199</f>
        <v>660.32435924089191</v>
      </c>
      <c r="I200" s="197"/>
      <c r="J200" s="190"/>
      <c r="K200" s="190"/>
      <c r="L200" s="190"/>
      <c r="M200" s="190"/>
      <c r="N200" s="190"/>
      <c r="O200" s="190"/>
      <c r="P200" s="190"/>
      <c r="Q200" s="190"/>
      <c r="R200" s="190"/>
      <c r="S200" s="190"/>
      <c r="T200" s="190"/>
      <c r="U200" s="190"/>
      <c r="V200" s="190"/>
      <c r="W200" s="190"/>
      <c r="X200" s="190"/>
      <c r="Y200" s="190"/>
    </row>
    <row r="201" spans="1:25" s="191" customFormat="1" ht="23.25">
      <c r="A201" s="190"/>
      <c r="B201" s="199"/>
      <c r="C201" s="197"/>
      <c r="D201" s="197"/>
      <c r="E201" s="190"/>
      <c r="F201" s="190"/>
      <c r="G201" s="197"/>
      <c r="H201" s="190"/>
      <c r="I201" s="197"/>
      <c r="J201" s="190"/>
      <c r="K201" s="190"/>
      <c r="L201" s="190"/>
      <c r="M201" s="190"/>
      <c r="N201" s="190"/>
      <c r="O201" s="190"/>
      <c r="P201" s="190"/>
      <c r="Q201" s="190"/>
      <c r="R201" s="190"/>
      <c r="S201" s="190"/>
      <c r="T201" s="190"/>
      <c r="U201" s="190"/>
      <c r="V201" s="190"/>
      <c r="W201" s="190"/>
      <c r="X201" s="190"/>
      <c r="Y201" s="190"/>
    </row>
    <row r="202" spans="1:25" s="191" customFormat="1" ht="23.25">
      <c r="A202" s="190"/>
      <c r="B202" s="199"/>
      <c r="C202" s="197"/>
      <c r="D202" s="197"/>
      <c r="E202" s="190"/>
      <c r="F202" s="190"/>
      <c r="G202" s="197"/>
      <c r="H202" s="190"/>
      <c r="I202" s="197"/>
      <c r="J202" s="190"/>
      <c r="K202" s="190"/>
      <c r="L202" s="190"/>
      <c r="M202" s="190"/>
      <c r="N202" s="190"/>
      <c r="O202" s="190"/>
      <c r="P202" s="190"/>
      <c r="Q202" s="190"/>
      <c r="R202" s="190"/>
      <c r="S202" s="190"/>
      <c r="T202" s="190"/>
      <c r="U202" s="190"/>
      <c r="V202" s="190"/>
      <c r="W202" s="190"/>
      <c r="X202" s="190"/>
      <c r="Y202" s="190"/>
    </row>
    <row r="203" spans="1:25" s="191" customFormat="1" ht="23.25">
      <c r="A203" s="190"/>
      <c r="B203" s="199"/>
      <c r="C203" s="197"/>
      <c r="D203" s="197"/>
      <c r="E203" s="190"/>
      <c r="F203" s="190"/>
      <c r="G203" s="197"/>
      <c r="H203" s="190"/>
      <c r="I203" s="197"/>
      <c r="J203" s="190"/>
      <c r="K203" s="190"/>
      <c r="L203" s="190"/>
      <c r="M203" s="190"/>
      <c r="N203" s="190"/>
      <c r="O203" s="190"/>
      <c r="P203" s="190"/>
      <c r="Q203" s="190"/>
      <c r="R203" s="190"/>
      <c r="S203" s="190"/>
      <c r="T203" s="190"/>
      <c r="U203" s="190"/>
      <c r="V203" s="190"/>
      <c r="W203" s="190"/>
      <c r="X203" s="190"/>
      <c r="Y203" s="190"/>
    </row>
    <row r="204" spans="1:25" s="191" customFormat="1" ht="23.25">
      <c r="A204" s="190"/>
      <c r="B204" s="199"/>
      <c r="C204" s="2039" t="s">
        <v>585</v>
      </c>
      <c r="D204" s="2040"/>
      <c r="E204" s="2040"/>
      <c r="F204" s="2040"/>
      <c r="G204" s="197"/>
      <c r="H204" s="190"/>
      <c r="I204" s="197"/>
      <c r="J204" s="190"/>
      <c r="K204" s="190"/>
      <c r="L204" s="190"/>
      <c r="M204" s="190"/>
      <c r="N204" s="190"/>
      <c r="O204" s="190"/>
      <c r="P204" s="190"/>
      <c r="Q204" s="190"/>
      <c r="R204" s="190"/>
      <c r="S204" s="190"/>
      <c r="T204" s="190"/>
      <c r="U204" s="190"/>
      <c r="V204" s="190"/>
      <c r="W204" s="190"/>
      <c r="X204" s="190"/>
      <c r="Y204" s="190"/>
    </row>
    <row r="205" spans="1:25" s="191" customFormat="1" ht="23.25">
      <c r="A205" s="190"/>
      <c r="B205" s="213"/>
      <c r="C205" s="2043" t="s">
        <v>535</v>
      </c>
      <c r="D205" s="2044"/>
      <c r="E205" s="215"/>
      <c r="F205" s="215" t="s">
        <v>536</v>
      </c>
      <c r="G205" s="216"/>
      <c r="H205" s="215"/>
      <c r="I205" s="197"/>
      <c r="J205" s="190"/>
      <c r="K205" s="190"/>
      <c r="L205" s="190"/>
      <c r="M205" s="190"/>
      <c r="N205" s="190"/>
      <c r="O205" s="190"/>
      <c r="P205" s="190"/>
      <c r="Q205" s="190"/>
      <c r="R205" s="190"/>
      <c r="S205" s="190"/>
      <c r="T205" s="190"/>
      <c r="U205" s="190"/>
      <c r="V205" s="190"/>
      <c r="W205" s="190"/>
      <c r="X205" s="190"/>
      <c r="Y205" s="190"/>
    </row>
    <row r="206" spans="1:25" s="191" customFormat="1" ht="23.25">
      <c r="A206" s="190"/>
      <c r="B206" s="213"/>
      <c r="C206" s="214" t="s">
        <v>505</v>
      </c>
      <c r="D206" s="214" t="s">
        <v>537</v>
      </c>
      <c r="E206" s="215"/>
      <c r="F206" s="216" t="s">
        <v>565</v>
      </c>
      <c r="G206" s="216"/>
      <c r="H206" s="215"/>
      <c r="I206" s="197"/>
      <c r="J206" s="190"/>
      <c r="K206" s="190"/>
      <c r="L206" s="190"/>
      <c r="M206" s="190"/>
      <c r="N206" s="190"/>
      <c r="O206" s="190"/>
      <c r="P206" s="190"/>
      <c r="Q206" s="190"/>
      <c r="R206" s="190"/>
      <c r="S206" s="190"/>
      <c r="T206" s="190"/>
      <c r="U206" s="190"/>
      <c r="V206" s="190"/>
      <c r="W206" s="190"/>
      <c r="X206" s="190"/>
      <c r="Y206" s="190"/>
    </row>
    <row r="207" spans="1:25" s="191" customFormat="1" ht="23.25">
      <c r="A207" s="190"/>
      <c r="B207" s="213" t="s">
        <v>352</v>
      </c>
      <c r="C207" s="214">
        <f t="shared" ref="C207:D207" si="27">0.96*$C$29</f>
        <v>240.95999999999998</v>
      </c>
      <c r="D207" s="214">
        <f t="shared" si="27"/>
        <v>240.95999999999998</v>
      </c>
      <c r="E207" s="217" t="s">
        <v>352</v>
      </c>
      <c r="F207" s="216">
        <f>0.96*$C$29</f>
        <v>240.95999999999998</v>
      </c>
      <c r="G207" s="216"/>
      <c r="H207" s="215"/>
      <c r="I207" s="197"/>
      <c r="J207" s="190"/>
      <c r="K207" s="190"/>
      <c r="L207" s="190"/>
      <c r="M207" s="190"/>
      <c r="N207" s="190"/>
      <c r="O207" s="190"/>
      <c r="P207" s="190"/>
      <c r="Q207" s="190"/>
      <c r="R207" s="190"/>
      <c r="S207" s="190"/>
      <c r="T207" s="190"/>
      <c r="U207" s="190"/>
      <c r="V207" s="190"/>
      <c r="W207" s="190"/>
      <c r="X207" s="190"/>
      <c r="Y207" s="190"/>
    </row>
    <row r="208" spans="1:25" s="191" customFormat="1" ht="23.25">
      <c r="A208" s="190"/>
      <c r="B208" s="213" t="s">
        <v>354</v>
      </c>
      <c r="C208" s="214">
        <f t="shared" ref="C208:D208" si="28">0.895*C207</f>
        <v>215.6592</v>
      </c>
      <c r="D208" s="214">
        <f t="shared" si="28"/>
        <v>215.6592</v>
      </c>
      <c r="E208" s="217" t="s">
        <v>354</v>
      </c>
      <c r="F208" s="216">
        <f>0.863*F207</f>
        <v>207.94847999999999</v>
      </c>
      <c r="G208" s="216"/>
      <c r="H208" s="215"/>
      <c r="I208" s="197"/>
      <c r="J208" s="190"/>
      <c r="K208" s="190"/>
      <c r="L208" s="190"/>
      <c r="M208" s="190"/>
      <c r="N208" s="190"/>
      <c r="O208" s="190"/>
      <c r="P208" s="190"/>
      <c r="Q208" s="190"/>
      <c r="R208" s="190"/>
      <c r="S208" s="190"/>
      <c r="T208" s="190"/>
      <c r="U208" s="190"/>
      <c r="V208" s="190"/>
      <c r="W208" s="190"/>
      <c r="X208" s="190"/>
      <c r="Y208" s="190"/>
    </row>
    <row r="209" spans="1:25" s="191" customFormat="1" ht="23.25">
      <c r="A209" s="190"/>
      <c r="B209" s="213" t="s">
        <v>358</v>
      </c>
      <c r="C209" s="214">
        <f>((C208/430)*440)</f>
        <v>220.67453023255814</v>
      </c>
      <c r="D209" s="214">
        <f>((D208/455)*440)</f>
        <v>208.54955604395604</v>
      </c>
      <c r="E209" s="217" t="s">
        <v>358</v>
      </c>
      <c r="F209" s="216">
        <f>((F208/430)*440)</f>
        <v>212.78449116279069</v>
      </c>
      <c r="G209" s="216"/>
      <c r="H209" s="215"/>
      <c r="I209" s="197"/>
      <c r="J209" s="190"/>
      <c r="K209" s="190"/>
      <c r="L209" s="190"/>
      <c r="M209" s="190"/>
      <c r="N209" s="190"/>
      <c r="O209" s="190"/>
      <c r="P209" s="190"/>
      <c r="Q209" s="190"/>
      <c r="R209" s="190"/>
      <c r="S209" s="190"/>
      <c r="T209" s="190"/>
      <c r="U209" s="190"/>
      <c r="V209" s="190"/>
      <c r="W209" s="190"/>
      <c r="X209" s="190"/>
      <c r="Y209" s="190"/>
    </row>
    <row r="210" spans="1:25" s="191" customFormat="1" ht="23.25">
      <c r="A210" s="190"/>
      <c r="B210" s="213" t="s">
        <v>356</v>
      </c>
      <c r="C210" s="214">
        <f>0.936*C30</f>
        <v>0.46800000000000003</v>
      </c>
      <c r="D210" s="214">
        <f>0.966*C30</f>
        <v>0.48299999999999998</v>
      </c>
      <c r="E210" s="217" t="s">
        <v>356</v>
      </c>
      <c r="F210" s="216">
        <f>0.955*C30</f>
        <v>0.47749999999999998</v>
      </c>
      <c r="G210" s="216"/>
      <c r="H210" s="215"/>
      <c r="I210" s="197"/>
      <c r="J210" s="190"/>
      <c r="K210" s="190"/>
      <c r="L210" s="190"/>
      <c r="M210" s="190"/>
      <c r="N210" s="190"/>
      <c r="O210" s="190"/>
      <c r="P210" s="190"/>
      <c r="Q210" s="190"/>
      <c r="R210" s="190"/>
      <c r="S210" s="190"/>
      <c r="T210" s="190"/>
      <c r="U210" s="190"/>
      <c r="V210" s="190"/>
      <c r="W210" s="190"/>
      <c r="X210" s="190"/>
      <c r="Y210" s="190"/>
    </row>
    <row r="211" spans="1:25" s="191" customFormat="1" ht="23.25">
      <c r="A211" s="190"/>
      <c r="B211" s="213" t="s">
        <v>586</v>
      </c>
      <c r="C211" s="214">
        <f t="shared" ref="C211:D211" si="29">C210*(102*C209^-0.4)/0.55</f>
        <v>10.022647377829797</v>
      </c>
      <c r="D211" s="214">
        <f t="shared" si="29"/>
        <v>10.580371211461042</v>
      </c>
      <c r="E211" s="217" t="s">
        <v>586</v>
      </c>
      <c r="F211" s="216">
        <f>F210*(102*F209^-0.4)/0.55</f>
        <v>10.376117228600128</v>
      </c>
      <c r="G211" s="216">
        <f t="shared" ref="G211:H212" si="30">C211</f>
        <v>10.022647377829797</v>
      </c>
      <c r="H211" s="215">
        <f t="shared" si="30"/>
        <v>10.580371211461042</v>
      </c>
      <c r="I211" s="197"/>
      <c r="J211" s="190"/>
      <c r="K211" s="190"/>
      <c r="L211" s="190"/>
      <c r="M211" s="190"/>
      <c r="N211" s="190"/>
      <c r="O211" s="190"/>
      <c r="P211" s="190"/>
      <c r="Q211" s="190"/>
      <c r="R211" s="190"/>
      <c r="S211" s="190"/>
      <c r="T211" s="190"/>
      <c r="U211" s="190"/>
      <c r="V211" s="190"/>
      <c r="W211" s="190"/>
      <c r="X211" s="190"/>
      <c r="Y211" s="190"/>
    </row>
    <row r="212" spans="1:25" s="191" customFormat="1" ht="23.25">
      <c r="A212" s="190"/>
      <c r="B212" s="213" t="s">
        <v>587</v>
      </c>
      <c r="C212" s="214">
        <f>(15.4*C29)/1000/0.55</f>
        <v>7.0279999999999996</v>
      </c>
      <c r="D212" s="214">
        <f>(15.4*C29)/1000/0.55</f>
        <v>7.0279999999999996</v>
      </c>
      <c r="E212" s="217" t="s">
        <v>587</v>
      </c>
      <c r="F212" s="216">
        <f>(15.4*C29)/1000/0.55</f>
        <v>7.0279999999999996</v>
      </c>
      <c r="G212" s="216">
        <f t="shared" si="30"/>
        <v>7.0279999999999996</v>
      </c>
      <c r="H212" s="215">
        <f t="shared" si="30"/>
        <v>7.0279999999999996</v>
      </c>
      <c r="I212" s="197"/>
      <c r="J212" s="190"/>
      <c r="K212" s="190"/>
      <c r="L212" s="190"/>
      <c r="M212" s="190"/>
      <c r="N212" s="190"/>
      <c r="O212" s="190"/>
      <c r="P212" s="190"/>
      <c r="Q212" s="190"/>
      <c r="R212" s="190"/>
      <c r="S212" s="190"/>
      <c r="T212" s="190"/>
      <c r="U212" s="190"/>
      <c r="V212" s="190"/>
      <c r="W212" s="190"/>
      <c r="X212" s="190"/>
      <c r="Y212" s="190"/>
    </row>
    <row r="213" spans="1:25" s="191" customFormat="1" ht="23.25">
      <c r="A213" s="190"/>
      <c r="B213" s="218" t="s">
        <v>588</v>
      </c>
      <c r="C213" s="214">
        <f t="shared" ref="C213:D213" si="31">(SUM(C211:C212))</f>
        <v>17.050647377829797</v>
      </c>
      <c r="D213" s="214">
        <f t="shared" si="31"/>
        <v>17.608371211461041</v>
      </c>
      <c r="E213" s="219" t="s">
        <v>588</v>
      </c>
      <c r="F213" s="216">
        <f t="shared" ref="F213:H213" si="32">(SUM(F211:F212))</f>
        <v>17.404117228600128</v>
      </c>
      <c r="G213" s="216">
        <f t="shared" si="32"/>
        <v>17.050647377829797</v>
      </c>
      <c r="H213" s="216">
        <f t="shared" si="32"/>
        <v>17.608371211461041</v>
      </c>
      <c r="I213" s="197"/>
      <c r="J213" s="190"/>
      <c r="K213" s="190"/>
      <c r="L213" s="190"/>
      <c r="M213" s="190"/>
      <c r="N213" s="190"/>
      <c r="O213" s="190"/>
      <c r="P213" s="190"/>
      <c r="Q213" s="190"/>
      <c r="R213" s="190"/>
      <c r="S213" s="190"/>
      <c r="T213" s="190"/>
      <c r="U213" s="190"/>
      <c r="V213" s="190"/>
      <c r="W213" s="190"/>
      <c r="X213" s="190"/>
      <c r="Y213" s="190"/>
    </row>
    <row r="214" spans="1:25" s="191" customFormat="1" ht="23.25">
      <c r="A214" s="190"/>
      <c r="B214" s="213" t="s">
        <v>589</v>
      </c>
      <c r="C214" s="214">
        <f t="shared" ref="C214:D214" si="33">C210*(29.8*C209^-0.29)/0.68</f>
        <v>4.2881015662260822</v>
      </c>
      <c r="D214" s="214">
        <f t="shared" si="33"/>
        <v>4.4986664497283542</v>
      </c>
      <c r="E214" s="217" t="s">
        <v>589</v>
      </c>
      <c r="F214" s="216">
        <f>F210*(29.8*F209^-0.29)/0.68</f>
        <v>4.4215866025422077</v>
      </c>
      <c r="G214" s="216">
        <f>C214</f>
        <v>4.2881015662260822</v>
      </c>
      <c r="H214" s="215">
        <f t="shared" ref="H214" si="34">D214</f>
        <v>4.4986664497283542</v>
      </c>
      <c r="I214" s="197"/>
      <c r="J214" s="190"/>
      <c r="K214" s="190"/>
      <c r="L214" s="190"/>
      <c r="M214" s="190"/>
      <c r="N214" s="190"/>
      <c r="O214" s="190"/>
      <c r="P214" s="190"/>
      <c r="Q214" s="190"/>
      <c r="R214" s="190"/>
      <c r="S214" s="190"/>
      <c r="T214" s="190"/>
      <c r="U214" s="190"/>
      <c r="V214" s="190"/>
      <c r="W214" s="190"/>
      <c r="X214" s="190"/>
      <c r="Y214" s="190"/>
    </row>
    <row r="215" spans="1:25" s="191" customFormat="1" ht="23.25">
      <c r="A215" s="190"/>
      <c r="B215" s="213" t="s">
        <v>590</v>
      </c>
      <c r="C215" s="214">
        <f t="shared" ref="C215:D215" si="35">(17.6*$C$29)/1000/0.68</f>
        <v>6.4964705882352938</v>
      </c>
      <c r="D215" s="214">
        <f t="shared" si="35"/>
        <v>6.4964705882352938</v>
      </c>
      <c r="E215" s="217" t="s">
        <v>590</v>
      </c>
      <c r="F215" s="216">
        <f>(17.6*$C$29)/1000/0.68</f>
        <v>6.4964705882352938</v>
      </c>
      <c r="G215" s="216">
        <f>(17.6*$C$29)/1000</f>
        <v>4.4176000000000002</v>
      </c>
      <c r="H215" s="216">
        <f t="shared" ref="H215" si="36">(17.6*$C$29)/1000</f>
        <v>4.4176000000000002</v>
      </c>
      <c r="I215" s="197"/>
      <c r="J215" s="190"/>
      <c r="K215" s="190"/>
      <c r="L215" s="190"/>
      <c r="M215" s="190"/>
      <c r="N215" s="190"/>
      <c r="O215" s="190"/>
      <c r="P215" s="190"/>
      <c r="Q215" s="190"/>
      <c r="R215" s="190"/>
      <c r="S215" s="190"/>
      <c r="T215" s="190"/>
      <c r="U215" s="190"/>
      <c r="V215" s="190"/>
      <c r="W215" s="190"/>
      <c r="X215" s="190"/>
      <c r="Y215" s="190"/>
    </row>
    <row r="216" spans="1:25" s="191" customFormat="1" ht="23.25">
      <c r="A216" s="190"/>
      <c r="B216" s="218" t="s">
        <v>591</v>
      </c>
      <c r="C216" s="214">
        <f t="shared" ref="C216:D216" si="37">(SUM(C214:C215))</f>
        <v>10.784572154461376</v>
      </c>
      <c r="D216" s="214">
        <f t="shared" si="37"/>
        <v>10.995137037963648</v>
      </c>
      <c r="E216" s="219" t="s">
        <v>591</v>
      </c>
      <c r="F216" s="216">
        <f t="shared" ref="F216:H216" si="38">(SUM(F214:F215))</f>
        <v>10.918057190777501</v>
      </c>
      <c r="G216" s="216">
        <f t="shared" si="38"/>
        <v>8.7057015662260824</v>
      </c>
      <c r="H216" s="216">
        <f t="shared" si="38"/>
        <v>8.9162664497283544</v>
      </c>
      <c r="I216" s="197"/>
      <c r="J216" s="190"/>
      <c r="K216" s="190"/>
      <c r="L216" s="190"/>
      <c r="M216" s="190"/>
      <c r="N216" s="190"/>
      <c r="O216" s="190"/>
      <c r="P216" s="190"/>
      <c r="Q216" s="190"/>
      <c r="R216" s="190"/>
      <c r="S216" s="190"/>
      <c r="T216" s="190"/>
      <c r="U216" s="190"/>
      <c r="V216" s="190"/>
      <c r="W216" s="190"/>
      <c r="X216" s="190"/>
      <c r="Y216" s="190"/>
    </row>
    <row r="217" spans="1:25" s="191" customFormat="1" ht="23.25">
      <c r="A217" s="190"/>
      <c r="B217" s="213" t="s">
        <v>592</v>
      </c>
      <c r="C217" s="214">
        <f>(333.3*C210)/1000/0.16</f>
        <v>0.97490250000000012</v>
      </c>
      <c r="D217" s="214">
        <f>(339.6*D210)/1000/0.16</f>
        <v>1.0251675</v>
      </c>
      <c r="E217" s="217" t="s">
        <v>592</v>
      </c>
      <c r="F217" s="216">
        <f>(333.3*F210)/1000/0.16</f>
        <v>0.99469218749999988</v>
      </c>
      <c r="G217" s="216">
        <f t="shared" ref="G217:H218" si="39">C217</f>
        <v>0.97490250000000012</v>
      </c>
      <c r="H217" s="215">
        <f t="shared" si="39"/>
        <v>1.0251675</v>
      </c>
      <c r="I217" s="197"/>
      <c r="J217" s="190"/>
      <c r="K217" s="190"/>
      <c r="L217" s="190"/>
      <c r="M217" s="190"/>
      <c r="N217" s="190"/>
      <c r="O217" s="190"/>
      <c r="P217" s="190"/>
      <c r="Q217" s="190"/>
      <c r="R217" s="190"/>
      <c r="S217" s="190"/>
      <c r="T217" s="190"/>
      <c r="U217" s="190"/>
      <c r="V217" s="190"/>
      <c r="W217" s="190"/>
      <c r="X217" s="190"/>
      <c r="Y217" s="190"/>
    </row>
    <row r="218" spans="1:25" s="191" customFormat="1" ht="23.25">
      <c r="A218" s="190"/>
      <c r="B218" s="213" t="s">
        <v>593</v>
      </c>
      <c r="C218" s="214">
        <f t="shared" ref="C218:D218" si="40">(3.3*C208)/1000/0.16</f>
        <v>4.4479709999999999</v>
      </c>
      <c r="D218" s="214">
        <f t="shared" si="40"/>
        <v>4.4479709999999999</v>
      </c>
      <c r="E218" s="217" t="s">
        <v>593</v>
      </c>
      <c r="F218" s="216">
        <f>(3.3*F208)/1000/0.16</f>
        <v>4.2889373999999991</v>
      </c>
      <c r="G218" s="216">
        <f t="shared" si="39"/>
        <v>4.4479709999999999</v>
      </c>
      <c r="H218" s="215">
        <f t="shared" si="39"/>
        <v>4.4479709999999999</v>
      </c>
      <c r="I218" s="197"/>
      <c r="J218" s="190"/>
      <c r="K218" s="190"/>
      <c r="L218" s="190"/>
      <c r="M218" s="190"/>
      <c r="N218" s="190"/>
      <c r="O218" s="190"/>
      <c r="P218" s="190"/>
      <c r="Q218" s="190"/>
      <c r="R218" s="190"/>
      <c r="S218" s="190"/>
      <c r="T218" s="190"/>
      <c r="U218" s="190"/>
      <c r="V218" s="190"/>
      <c r="W218" s="190"/>
      <c r="X218" s="190"/>
      <c r="Y218" s="190"/>
    </row>
    <row r="219" spans="1:25" s="191" customFormat="1" ht="23.25">
      <c r="A219" s="190"/>
      <c r="B219" s="218" t="s">
        <v>594</v>
      </c>
      <c r="C219" s="214">
        <f t="shared" ref="C219:D219" si="41">(SUM(C217:C218))</f>
        <v>5.4228734999999997</v>
      </c>
      <c r="D219" s="214">
        <f t="shared" si="41"/>
        <v>5.4731385000000001</v>
      </c>
      <c r="E219" s="219" t="s">
        <v>594</v>
      </c>
      <c r="F219" s="216">
        <f t="shared" ref="F219:H219" si="42">(SUM(F217:F218))</f>
        <v>5.2836295874999992</v>
      </c>
      <c r="G219" s="216">
        <f t="shared" si="42"/>
        <v>5.4228734999999997</v>
      </c>
      <c r="H219" s="216">
        <f t="shared" si="42"/>
        <v>5.4731385000000001</v>
      </c>
      <c r="I219" s="197"/>
      <c r="J219" s="190"/>
      <c r="K219" s="190"/>
      <c r="L219" s="190"/>
      <c r="M219" s="190"/>
      <c r="N219" s="190"/>
      <c r="O219" s="190"/>
      <c r="P219" s="190"/>
      <c r="Q219" s="190"/>
      <c r="R219" s="190"/>
      <c r="S219" s="190"/>
      <c r="T219" s="190"/>
      <c r="U219" s="190"/>
      <c r="V219" s="190"/>
      <c r="W219" s="190"/>
      <c r="X219" s="190"/>
      <c r="Y219" s="190"/>
    </row>
    <row r="220" spans="1:25" s="191" customFormat="1" ht="23.25">
      <c r="A220" s="190"/>
      <c r="B220" s="213" t="s">
        <v>595</v>
      </c>
      <c r="C220" s="214">
        <f>1.5243*C210/0.91</f>
        <v>0.78392571428571423</v>
      </c>
      <c r="D220" s="214">
        <f>1.4388*D210/0.91</f>
        <v>0.76367076923076926</v>
      </c>
      <c r="E220" s="217" t="s">
        <v>595</v>
      </c>
      <c r="F220" s="216">
        <f>1.5243*F210/0.91</f>
        <v>0.79983873626373625</v>
      </c>
      <c r="G220" s="216">
        <f t="shared" ref="G220:H221" si="43">C220</f>
        <v>0.78392571428571423</v>
      </c>
      <c r="H220" s="215">
        <f t="shared" si="43"/>
        <v>0.76367076923076926</v>
      </c>
      <c r="I220" s="197"/>
      <c r="J220" s="190"/>
      <c r="K220" s="190"/>
      <c r="L220" s="190"/>
      <c r="M220" s="190"/>
      <c r="N220" s="190"/>
      <c r="O220" s="190"/>
      <c r="P220" s="190"/>
      <c r="Q220" s="190"/>
      <c r="R220" s="190"/>
      <c r="S220" s="190"/>
      <c r="T220" s="190"/>
      <c r="U220" s="190"/>
      <c r="V220" s="190"/>
      <c r="W220" s="190"/>
      <c r="X220" s="190"/>
      <c r="Y220" s="190"/>
    </row>
    <row r="221" spans="1:25" s="191" customFormat="1" ht="23.25">
      <c r="A221" s="190"/>
      <c r="B221" s="213" t="s">
        <v>596</v>
      </c>
      <c r="C221" s="214">
        <f>1.3503*C210/0.91</f>
        <v>0.69444000000000006</v>
      </c>
      <c r="D221" s="214">
        <f>1.2511*D210/0.91</f>
        <v>0.66404538461538465</v>
      </c>
      <c r="E221" s="217" t="s">
        <v>596</v>
      </c>
      <c r="F221" s="216">
        <f>1.3503*F210/0.91</f>
        <v>0.70853653846153852</v>
      </c>
      <c r="G221" s="216">
        <f t="shared" si="43"/>
        <v>0.69444000000000006</v>
      </c>
      <c r="H221" s="215">
        <f t="shared" si="43"/>
        <v>0.66404538461538465</v>
      </c>
      <c r="I221" s="197"/>
      <c r="J221" s="190"/>
      <c r="K221" s="190"/>
      <c r="L221" s="190"/>
      <c r="M221" s="190"/>
      <c r="N221" s="190"/>
      <c r="O221" s="190"/>
      <c r="P221" s="190"/>
      <c r="Q221" s="190"/>
      <c r="R221" s="190"/>
      <c r="S221" s="190"/>
      <c r="T221" s="190"/>
      <c r="U221" s="190"/>
      <c r="V221" s="190"/>
      <c r="W221" s="190"/>
      <c r="X221" s="190"/>
      <c r="Y221" s="190"/>
    </row>
    <row r="222" spans="1:25" s="191" customFormat="1" ht="23.25">
      <c r="A222" s="190"/>
      <c r="B222" s="213" t="s">
        <v>597</v>
      </c>
      <c r="C222" s="214">
        <f t="shared" ref="C222:D222" si="44">(7*C208)/1000/0.91</f>
        <v>1.658916923076923</v>
      </c>
      <c r="D222" s="214">
        <f t="shared" si="44"/>
        <v>1.658916923076923</v>
      </c>
      <c r="E222" s="217" t="s">
        <v>597</v>
      </c>
      <c r="F222" s="216">
        <f>(7*F208)/1000/0.91</f>
        <v>1.5996036923076922</v>
      </c>
      <c r="G222" s="216">
        <f>(7*F208)/1000</f>
        <v>1.4556393599999999</v>
      </c>
      <c r="H222" s="216">
        <f>(7*F208)/1000</f>
        <v>1.4556393599999999</v>
      </c>
      <c r="I222" s="197"/>
      <c r="J222" s="190"/>
      <c r="K222" s="190"/>
      <c r="L222" s="190"/>
      <c r="M222" s="190"/>
      <c r="N222" s="190"/>
      <c r="O222" s="190"/>
      <c r="P222" s="190"/>
      <c r="Q222" s="190"/>
      <c r="R222" s="190"/>
      <c r="S222" s="190"/>
      <c r="T222" s="190"/>
      <c r="U222" s="190"/>
      <c r="V222" s="190"/>
      <c r="W222" s="190"/>
      <c r="X222" s="190"/>
      <c r="Y222" s="190"/>
    </row>
    <row r="223" spans="1:25" s="191" customFormat="1" ht="23.25">
      <c r="A223" s="190"/>
      <c r="B223" s="218" t="s">
        <v>598</v>
      </c>
      <c r="C223" s="214">
        <f>(IF(C25="fêmea",(C221+C222),(C220+C222)))</f>
        <v>2.4428426373626371</v>
      </c>
      <c r="D223" s="214">
        <f>(IF(C25="fêmea",(D221+D222),(D220+D222)))</f>
        <v>2.4225876923076921</v>
      </c>
      <c r="E223" s="219" t="s">
        <v>598</v>
      </c>
      <c r="F223" s="216">
        <f t="shared" ref="F223:H223" si="45">(IF($C$25="fêmea",(F221+F222),(F220+F222)))</f>
        <v>2.3994424285714286</v>
      </c>
      <c r="G223" s="216">
        <f t="shared" si="45"/>
        <v>2.2395650742857143</v>
      </c>
      <c r="H223" s="216">
        <f t="shared" si="45"/>
        <v>2.2193101292307693</v>
      </c>
      <c r="I223" s="197"/>
      <c r="J223" s="190"/>
      <c r="K223" s="190"/>
      <c r="L223" s="190"/>
      <c r="M223" s="190"/>
      <c r="N223" s="190"/>
      <c r="O223" s="190"/>
      <c r="P223" s="190"/>
      <c r="Q223" s="190"/>
      <c r="R223" s="190"/>
      <c r="S223" s="190"/>
      <c r="T223" s="190"/>
      <c r="U223" s="190"/>
      <c r="V223" s="190"/>
      <c r="W223" s="190"/>
      <c r="X223" s="190"/>
      <c r="Y223" s="190"/>
    </row>
    <row r="224" spans="1:25" s="191" customFormat="1" ht="23.25">
      <c r="A224" s="190"/>
      <c r="B224" s="213" t="s">
        <v>599</v>
      </c>
      <c r="C224" s="214">
        <f t="shared" ref="C224:D224" si="46">C210*(0.29*C209^0.38)</f>
        <v>1.055041859870107</v>
      </c>
      <c r="D224" s="214">
        <f t="shared" si="46"/>
        <v>1.0657237667955655</v>
      </c>
      <c r="E224" s="217" t="s">
        <v>599</v>
      </c>
      <c r="F224" s="216">
        <f>F210*(0.29*F209^0.38)</f>
        <v>1.0616675978095436</v>
      </c>
      <c r="G224" s="216">
        <f t="shared" ref="G224:H228" si="47">C224</f>
        <v>1.055041859870107</v>
      </c>
      <c r="H224" s="215">
        <f t="shared" si="47"/>
        <v>1.0657237667955655</v>
      </c>
      <c r="I224" s="197"/>
      <c r="J224" s="190"/>
      <c r="K224" s="190"/>
      <c r="L224" s="190"/>
      <c r="M224" s="190"/>
      <c r="N224" s="190"/>
      <c r="O224" s="190"/>
      <c r="P224" s="190"/>
      <c r="Q224" s="190"/>
      <c r="R224" s="190"/>
      <c r="S224" s="190"/>
      <c r="T224" s="190"/>
      <c r="U224" s="190"/>
      <c r="V224" s="190"/>
      <c r="W224" s="190"/>
      <c r="X224" s="190"/>
      <c r="Y224" s="190"/>
    </row>
    <row r="225" spans="1:25" s="191" customFormat="1" ht="23.25">
      <c r="A225" s="190"/>
      <c r="B225" s="213" t="s">
        <v>600</v>
      </c>
      <c r="C225" s="214">
        <f>2.6*S9</f>
        <v>12.630891794192236</v>
      </c>
      <c r="D225" s="214">
        <f>2.6*S9</f>
        <v>12.630891794192236</v>
      </c>
      <c r="E225" s="217" t="s">
        <v>600</v>
      </c>
      <c r="F225" s="216">
        <f>2.6*S9</f>
        <v>12.630891794192236</v>
      </c>
      <c r="G225" s="216">
        <f t="shared" si="47"/>
        <v>12.630891794192236</v>
      </c>
      <c r="H225" s="215">
        <f t="shared" si="47"/>
        <v>12.630891794192236</v>
      </c>
      <c r="I225" s="197"/>
      <c r="J225" s="190"/>
      <c r="K225" s="190"/>
      <c r="L225" s="190"/>
      <c r="M225" s="190"/>
      <c r="N225" s="190"/>
      <c r="O225" s="190"/>
      <c r="P225" s="190"/>
      <c r="Q225" s="190"/>
      <c r="R225" s="190"/>
      <c r="S225" s="190"/>
      <c r="T225" s="190"/>
      <c r="U225" s="190"/>
      <c r="V225" s="190"/>
      <c r="W225" s="190"/>
      <c r="X225" s="190"/>
      <c r="Y225" s="190"/>
    </row>
    <row r="226" spans="1:25" s="191" customFormat="1" ht="23.25">
      <c r="A226" s="190"/>
      <c r="B226" s="213" t="s">
        <v>601</v>
      </c>
      <c r="C226" s="214">
        <f t="shared" ref="C226:D226" si="48">(37.5*$C$29)/1000</f>
        <v>9.4124999999999996</v>
      </c>
      <c r="D226" s="214">
        <f t="shared" si="48"/>
        <v>9.4124999999999996</v>
      </c>
      <c r="E226" s="217" t="s">
        <v>601</v>
      </c>
      <c r="F226" s="216">
        <f>(37.5*$C$29)/1000</f>
        <v>9.4124999999999996</v>
      </c>
      <c r="G226" s="216">
        <f t="shared" si="47"/>
        <v>9.4124999999999996</v>
      </c>
      <c r="H226" s="215">
        <f t="shared" si="47"/>
        <v>9.4124999999999996</v>
      </c>
      <c r="I226" s="197"/>
      <c r="J226" s="190"/>
      <c r="K226" s="190"/>
      <c r="L226" s="190"/>
      <c r="M226" s="190"/>
      <c r="N226" s="190"/>
      <c r="O226" s="190"/>
      <c r="P226" s="190"/>
      <c r="Q226" s="190"/>
      <c r="R226" s="190"/>
      <c r="S226" s="190"/>
      <c r="T226" s="190"/>
      <c r="U226" s="190"/>
      <c r="V226" s="190"/>
      <c r="W226" s="190"/>
      <c r="X226" s="190"/>
      <c r="Y226" s="190"/>
    </row>
    <row r="227" spans="1:25" s="191" customFormat="1" ht="23.25">
      <c r="A227" s="190"/>
      <c r="B227" s="213" t="s">
        <v>602</v>
      </c>
      <c r="C227" s="214">
        <f>0.7*(C29/100)</f>
        <v>1.7569999999999997</v>
      </c>
      <c r="D227" s="214">
        <f>0.7*($C$29/100)</f>
        <v>1.7569999999999997</v>
      </c>
      <c r="E227" s="217" t="s">
        <v>602</v>
      </c>
      <c r="F227" s="216">
        <f>0.7*($C$29/100)</f>
        <v>1.7569999999999997</v>
      </c>
      <c r="G227" s="216">
        <f t="shared" si="47"/>
        <v>1.7569999999999997</v>
      </c>
      <c r="H227" s="215">
        <f t="shared" si="47"/>
        <v>1.7569999999999997</v>
      </c>
      <c r="I227" s="197"/>
      <c r="J227" s="190"/>
      <c r="K227" s="190"/>
      <c r="L227" s="190"/>
      <c r="M227" s="190"/>
      <c r="N227" s="190"/>
      <c r="O227" s="190"/>
      <c r="P227" s="190"/>
      <c r="Q227" s="190"/>
      <c r="R227" s="190"/>
      <c r="S227" s="190"/>
      <c r="T227" s="190"/>
      <c r="U227" s="190"/>
      <c r="V227" s="190"/>
      <c r="W227" s="190"/>
      <c r="X227" s="190"/>
      <c r="Y227" s="190"/>
    </row>
    <row r="228" spans="1:25" s="191" customFormat="1" ht="23.25">
      <c r="A228" s="190"/>
      <c r="B228" s="213" t="s">
        <v>603</v>
      </c>
      <c r="C228" s="214">
        <f>0.7+(0.002*C29)</f>
        <v>1.202</v>
      </c>
      <c r="D228" s="214">
        <f>0.7+(0.002*$C$29)</f>
        <v>1.202</v>
      </c>
      <c r="E228" s="217" t="s">
        <v>603</v>
      </c>
      <c r="F228" s="216">
        <f>0.7+(0.002*$C$29)</f>
        <v>1.202</v>
      </c>
      <c r="G228" s="216">
        <f t="shared" si="47"/>
        <v>1.202</v>
      </c>
      <c r="H228" s="215">
        <f t="shared" si="47"/>
        <v>1.202</v>
      </c>
      <c r="I228" s="197"/>
      <c r="J228" s="190"/>
      <c r="K228" s="190"/>
      <c r="L228" s="190"/>
      <c r="M228" s="190"/>
      <c r="N228" s="190"/>
      <c r="O228" s="190"/>
      <c r="P228" s="190"/>
      <c r="Q228" s="190"/>
      <c r="R228" s="190"/>
      <c r="S228" s="190"/>
      <c r="T228" s="190"/>
      <c r="U228" s="190"/>
      <c r="V228" s="190"/>
      <c r="W228" s="190"/>
      <c r="X228" s="190"/>
      <c r="Y228" s="190"/>
    </row>
    <row r="229" spans="1:25" s="191" customFormat="1" ht="23.25">
      <c r="A229" s="190"/>
      <c r="B229" s="218" t="s">
        <v>604</v>
      </c>
      <c r="C229" s="214">
        <f t="shared" ref="C229:D229" si="49">SUM(C224:C228)</f>
        <v>26.057433654062336</v>
      </c>
      <c r="D229" s="214">
        <f t="shared" si="49"/>
        <v>26.068115560987799</v>
      </c>
      <c r="E229" s="219" t="s">
        <v>604</v>
      </c>
      <c r="F229" s="216">
        <f t="shared" ref="F229:H229" si="50">SUM(F224:F228)</f>
        <v>26.064059392001774</v>
      </c>
      <c r="G229" s="216">
        <f t="shared" si="50"/>
        <v>26.057433654062336</v>
      </c>
      <c r="H229" s="216">
        <f t="shared" si="50"/>
        <v>26.068115560987799</v>
      </c>
      <c r="I229" s="197"/>
      <c r="J229" s="190"/>
      <c r="K229" s="190"/>
      <c r="L229" s="190"/>
      <c r="M229" s="190"/>
      <c r="N229" s="190"/>
      <c r="O229" s="190"/>
      <c r="P229" s="190"/>
      <c r="Q229" s="190"/>
      <c r="R229" s="190"/>
      <c r="S229" s="190"/>
      <c r="T229" s="190"/>
      <c r="U229" s="190"/>
      <c r="V229" s="190"/>
      <c r="W229" s="190"/>
      <c r="X229" s="190"/>
      <c r="Y229" s="190"/>
    </row>
    <row r="230" spans="1:25" s="191" customFormat="1" ht="23.25">
      <c r="A230" s="190"/>
      <c r="B230" s="213" t="s">
        <v>416</v>
      </c>
      <c r="C230" s="214">
        <f t="shared" ref="C230:D230" si="51">SUM(C225:C228)</f>
        <v>25.002391794192235</v>
      </c>
      <c r="D230" s="214">
        <f t="shared" si="51"/>
        <v>25.002391794192235</v>
      </c>
      <c r="E230" s="217" t="s">
        <v>416</v>
      </c>
      <c r="F230" s="216">
        <f t="shared" ref="F230:H230" si="52">SUM(F225:F228)</f>
        <v>25.002391794192235</v>
      </c>
      <c r="G230" s="216">
        <f t="shared" si="52"/>
        <v>25.002391794192235</v>
      </c>
      <c r="H230" s="216">
        <f t="shared" si="52"/>
        <v>25.002391794192235</v>
      </c>
      <c r="I230" s="197"/>
      <c r="J230" s="190"/>
      <c r="K230" s="190"/>
      <c r="L230" s="190"/>
      <c r="M230" s="190"/>
      <c r="N230" s="190"/>
      <c r="O230" s="190"/>
      <c r="P230" s="190"/>
      <c r="Q230" s="190"/>
      <c r="R230" s="190"/>
      <c r="S230" s="190"/>
      <c r="T230" s="190"/>
      <c r="U230" s="190"/>
      <c r="V230" s="190"/>
      <c r="W230" s="190"/>
      <c r="X230" s="190"/>
      <c r="Y230" s="190"/>
    </row>
    <row r="231" spans="1:25" s="191" customFormat="1" ht="23.25">
      <c r="A231" s="190"/>
      <c r="B231" s="190"/>
      <c r="C231" s="197"/>
      <c r="D231" s="197"/>
      <c r="E231" s="199"/>
      <c r="F231" s="197"/>
      <c r="G231" s="197"/>
      <c r="H231" s="190"/>
      <c r="I231" s="197"/>
      <c r="J231" s="190"/>
      <c r="K231" s="190"/>
      <c r="L231" s="190"/>
      <c r="M231" s="190"/>
      <c r="N231" s="190"/>
      <c r="O231" s="190"/>
      <c r="P231" s="190"/>
      <c r="Q231" s="190"/>
      <c r="R231" s="190"/>
      <c r="S231" s="190"/>
      <c r="T231" s="190"/>
      <c r="U231" s="190"/>
      <c r="V231" s="190"/>
      <c r="W231" s="190"/>
      <c r="X231" s="190"/>
      <c r="Y231" s="190"/>
    </row>
    <row r="232" spans="1:25" s="191" customFormat="1" ht="23.25">
      <c r="A232" s="190"/>
      <c r="B232" s="199"/>
      <c r="C232" s="2039"/>
      <c r="D232" s="2040"/>
      <c r="E232" s="2040"/>
      <c r="F232" s="2040"/>
      <c r="G232" s="197"/>
      <c r="H232" s="190"/>
      <c r="I232" s="197"/>
      <c r="J232" s="190"/>
      <c r="K232" s="190"/>
      <c r="L232" s="190"/>
      <c r="M232" s="190"/>
      <c r="N232" s="190"/>
      <c r="O232" s="190"/>
      <c r="P232" s="190"/>
      <c r="Q232" s="190"/>
      <c r="R232" s="190"/>
      <c r="S232" s="190"/>
      <c r="T232" s="190"/>
      <c r="U232" s="190"/>
      <c r="V232" s="190"/>
      <c r="W232" s="190"/>
      <c r="X232" s="190"/>
      <c r="Y232" s="190"/>
    </row>
    <row r="233" spans="1:25" s="191" customFormat="1" ht="23.25">
      <c r="A233" s="190"/>
      <c r="B233" s="199"/>
      <c r="C233" s="2039"/>
      <c r="D233" s="2040"/>
      <c r="E233" s="190"/>
      <c r="F233" s="190"/>
      <c r="G233" s="197"/>
      <c r="H233" s="190"/>
      <c r="I233" s="197"/>
      <c r="J233" s="190"/>
      <c r="K233" s="190"/>
      <c r="L233" s="190"/>
      <c r="M233" s="190"/>
      <c r="N233" s="190"/>
      <c r="O233" s="190"/>
      <c r="P233" s="190"/>
      <c r="Q233" s="190"/>
      <c r="R233" s="190"/>
      <c r="S233" s="190"/>
      <c r="T233" s="190"/>
      <c r="U233" s="190"/>
      <c r="V233" s="190"/>
      <c r="W233" s="190"/>
      <c r="X233" s="190"/>
      <c r="Y233" s="190"/>
    </row>
    <row r="234" spans="1:25" s="191" customFormat="1" ht="23.25">
      <c r="A234" s="190"/>
      <c r="B234" s="190"/>
      <c r="C234" s="190"/>
      <c r="D234" s="190"/>
      <c r="E234" s="199"/>
      <c r="F234" s="190"/>
      <c r="G234" s="197"/>
      <c r="H234" s="190"/>
      <c r="I234" s="197"/>
      <c r="J234" s="190"/>
      <c r="K234" s="190"/>
      <c r="L234" s="190"/>
      <c r="M234" s="190"/>
      <c r="N234" s="190"/>
      <c r="O234" s="190"/>
      <c r="P234" s="190"/>
      <c r="Q234" s="190"/>
      <c r="R234" s="190"/>
      <c r="S234" s="190"/>
      <c r="T234" s="190"/>
      <c r="U234" s="190"/>
      <c r="V234" s="190"/>
      <c r="W234" s="190"/>
      <c r="X234" s="190"/>
      <c r="Y234" s="190"/>
    </row>
    <row r="235" spans="1:25" s="191" customFormat="1" ht="23.25">
      <c r="A235" s="190"/>
      <c r="B235" s="190"/>
      <c r="C235" s="190"/>
      <c r="D235" s="190"/>
      <c r="E235" s="199"/>
      <c r="F235" s="190"/>
      <c r="G235" s="197"/>
      <c r="H235" s="190"/>
      <c r="I235" s="197"/>
      <c r="J235" s="190"/>
      <c r="K235" s="190"/>
      <c r="L235" s="190"/>
      <c r="M235" s="190"/>
      <c r="N235" s="190"/>
      <c r="O235" s="190"/>
      <c r="P235" s="190"/>
      <c r="Q235" s="190"/>
      <c r="R235" s="190"/>
      <c r="S235" s="190"/>
      <c r="T235" s="190"/>
      <c r="U235" s="190"/>
      <c r="V235" s="190"/>
      <c r="W235" s="190"/>
      <c r="X235" s="190"/>
      <c r="Y235" s="190"/>
    </row>
    <row r="236" spans="1:25" s="191" customFormat="1" ht="23.25">
      <c r="A236" s="190"/>
      <c r="B236" s="190"/>
      <c r="C236" s="190"/>
      <c r="D236" s="190"/>
      <c r="E236" s="199"/>
      <c r="F236" s="190"/>
      <c r="G236" s="197"/>
      <c r="H236" s="190"/>
      <c r="I236" s="197"/>
      <c r="J236" s="190"/>
      <c r="K236" s="190"/>
      <c r="L236" s="190"/>
      <c r="M236" s="190"/>
      <c r="N236" s="190"/>
      <c r="O236" s="190"/>
      <c r="P236" s="190"/>
      <c r="Q236" s="190"/>
      <c r="R236" s="190"/>
      <c r="S236" s="190"/>
      <c r="T236" s="190"/>
      <c r="U236" s="190"/>
      <c r="V236" s="190"/>
      <c r="W236" s="190"/>
      <c r="X236" s="190"/>
      <c r="Y236" s="190"/>
    </row>
    <row r="237" spans="1:25" s="191" customFormat="1" ht="23.25">
      <c r="A237" s="190"/>
      <c r="B237" s="190"/>
      <c r="C237" s="190"/>
      <c r="D237" s="190"/>
      <c r="E237" s="190"/>
      <c r="F237" s="190"/>
      <c r="G237" s="197"/>
      <c r="H237" s="190"/>
      <c r="I237" s="197"/>
      <c r="J237" s="190"/>
      <c r="K237" s="190"/>
      <c r="L237" s="190"/>
      <c r="M237" s="190"/>
      <c r="N237" s="190"/>
      <c r="O237" s="190"/>
      <c r="P237" s="190"/>
      <c r="Q237" s="190"/>
      <c r="R237" s="190"/>
      <c r="S237" s="190"/>
      <c r="T237" s="190"/>
      <c r="U237" s="190"/>
      <c r="V237" s="190"/>
      <c r="W237" s="190"/>
      <c r="X237" s="190"/>
      <c r="Y237" s="190"/>
    </row>
    <row r="238" spans="1:25" s="191" customFormat="1" ht="23.25">
      <c r="A238" s="190"/>
      <c r="B238" s="190"/>
      <c r="C238" s="190"/>
      <c r="D238" s="190"/>
      <c r="E238" s="190"/>
      <c r="F238" s="190"/>
      <c r="G238" s="190"/>
      <c r="H238" s="190"/>
      <c r="I238" s="190"/>
      <c r="J238" s="190"/>
      <c r="K238" s="190"/>
      <c r="L238" s="190"/>
      <c r="M238" s="190"/>
      <c r="N238" s="190"/>
      <c r="O238" s="190"/>
      <c r="P238" s="190"/>
      <c r="Q238" s="190"/>
      <c r="R238" s="190"/>
      <c r="S238" s="190"/>
      <c r="T238" s="190"/>
      <c r="U238" s="190"/>
      <c r="V238" s="190"/>
      <c r="W238" s="190"/>
      <c r="X238" s="190"/>
      <c r="Y238" s="190"/>
    </row>
    <row r="239" spans="1:25" s="191" customFormat="1" ht="23.25">
      <c r="A239" s="190"/>
      <c r="B239" s="190"/>
      <c r="C239" s="190"/>
      <c r="D239" s="190"/>
      <c r="E239" s="190"/>
      <c r="F239" s="190"/>
      <c r="G239" s="190"/>
      <c r="H239" s="190"/>
      <c r="I239" s="190"/>
      <c r="J239" s="190"/>
      <c r="K239" s="190"/>
      <c r="L239" s="190"/>
      <c r="M239" s="190"/>
      <c r="N239" s="190"/>
      <c r="O239" s="190"/>
      <c r="P239" s="190"/>
      <c r="Q239" s="190"/>
      <c r="R239" s="190"/>
      <c r="S239" s="190"/>
      <c r="T239" s="190"/>
      <c r="U239" s="190"/>
      <c r="V239" s="190"/>
      <c r="W239" s="190"/>
      <c r="X239" s="190"/>
      <c r="Y239" s="190"/>
    </row>
    <row r="240" spans="1:25" s="191" customFormat="1" ht="23.25">
      <c r="A240" s="190"/>
      <c r="B240" s="190"/>
      <c r="C240" s="190"/>
      <c r="D240" s="190"/>
      <c r="E240" s="190"/>
      <c r="F240" s="190"/>
      <c r="G240" s="190"/>
      <c r="H240" s="190"/>
      <c r="I240" s="190"/>
      <c r="J240" s="190"/>
      <c r="K240" s="190"/>
      <c r="L240" s="190"/>
      <c r="M240" s="190"/>
      <c r="N240" s="190"/>
      <c r="O240" s="190"/>
      <c r="P240" s="190"/>
      <c r="Q240" s="190"/>
      <c r="R240" s="190"/>
      <c r="S240" s="190"/>
      <c r="T240" s="190"/>
      <c r="U240" s="190"/>
      <c r="V240" s="190"/>
      <c r="W240" s="190"/>
      <c r="X240" s="190"/>
      <c r="Y240" s="190"/>
    </row>
    <row r="241" spans="1:25" s="191" customFormat="1" ht="23.25">
      <c r="A241" s="190"/>
      <c r="B241" s="190"/>
      <c r="C241" s="190"/>
      <c r="D241" s="190"/>
      <c r="E241" s="190"/>
      <c r="F241" s="190"/>
      <c r="G241" s="190"/>
      <c r="H241" s="190"/>
      <c r="I241" s="190"/>
      <c r="J241" s="190"/>
      <c r="K241" s="190"/>
      <c r="L241" s="190"/>
      <c r="M241" s="190"/>
      <c r="N241" s="190"/>
      <c r="O241" s="190"/>
      <c r="P241" s="190"/>
      <c r="Q241" s="190"/>
      <c r="R241" s="190"/>
      <c r="S241" s="190"/>
      <c r="T241" s="190"/>
      <c r="U241" s="190"/>
      <c r="V241" s="190"/>
      <c r="W241" s="190"/>
      <c r="X241" s="190"/>
      <c r="Y241" s="190"/>
    </row>
    <row r="242" spans="1:25" s="191" customFormat="1" ht="23.25">
      <c r="A242" s="190"/>
      <c r="B242" s="190"/>
      <c r="C242" s="190"/>
      <c r="D242" s="190"/>
      <c r="E242" s="190"/>
      <c r="F242" s="190"/>
      <c r="G242" s="190"/>
      <c r="H242" s="190"/>
      <c r="I242" s="190"/>
      <c r="J242" s="190"/>
      <c r="K242" s="190"/>
      <c r="L242" s="190"/>
      <c r="M242" s="190"/>
      <c r="N242" s="190"/>
      <c r="O242" s="190"/>
      <c r="P242" s="190"/>
      <c r="Q242" s="190"/>
      <c r="R242" s="190"/>
      <c r="S242" s="190"/>
      <c r="T242" s="190"/>
      <c r="U242" s="190"/>
      <c r="V242" s="190"/>
      <c r="W242" s="190"/>
      <c r="X242" s="190"/>
      <c r="Y242" s="190"/>
    </row>
    <row r="243" spans="1:25" s="191" customFormat="1" ht="23.25">
      <c r="A243" s="190"/>
      <c r="B243" s="190"/>
      <c r="C243" s="190"/>
      <c r="D243" s="190"/>
      <c r="E243" s="190"/>
      <c r="F243" s="190"/>
      <c r="G243" s="190"/>
      <c r="H243" s="190"/>
      <c r="I243" s="190"/>
      <c r="J243" s="190"/>
      <c r="K243" s="190"/>
      <c r="L243" s="190"/>
      <c r="M243" s="190"/>
      <c r="N243" s="190"/>
      <c r="O243" s="190"/>
      <c r="P243" s="190"/>
      <c r="Q243" s="190"/>
      <c r="R243" s="190"/>
      <c r="S243" s="190"/>
      <c r="T243" s="190"/>
      <c r="U243" s="190"/>
      <c r="V243" s="190"/>
      <c r="W243" s="190"/>
      <c r="X243" s="190"/>
      <c r="Y243" s="190"/>
    </row>
    <row r="244" spans="1:25" s="191" customFormat="1" ht="23.25">
      <c r="A244" s="190"/>
      <c r="B244" s="190"/>
      <c r="C244" s="190"/>
      <c r="D244" s="190"/>
      <c r="E244" s="190"/>
      <c r="F244" s="190"/>
      <c r="G244" s="190"/>
      <c r="H244" s="190"/>
      <c r="I244" s="190"/>
      <c r="J244" s="190"/>
      <c r="K244" s="190"/>
      <c r="L244" s="190"/>
      <c r="M244" s="190"/>
      <c r="N244" s="190"/>
      <c r="O244" s="190"/>
      <c r="P244" s="190"/>
      <c r="Q244" s="190"/>
      <c r="R244" s="190"/>
      <c r="S244" s="190"/>
      <c r="T244" s="190"/>
      <c r="U244" s="190"/>
      <c r="V244" s="190"/>
      <c r="W244" s="190"/>
      <c r="X244" s="190"/>
      <c r="Y244" s="190"/>
    </row>
    <row r="245" spans="1:25" s="191" customFormat="1" ht="23.25">
      <c r="A245" s="190"/>
      <c r="B245" s="190"/>
      <c r="C245" s="190"/>
      <c r="D245" s="190"/>
      <c r="E245" s="190"/>
      <c r="F245" s="190"/>
      <c r="G245" s="190"/>
      <c r="H245" s="190"/>
      <c r="I245" s="190"/>
      <c r="J245" s="190"/>
      <c r="K245" s="190"/>
      <c r="L245" s="190"/>
      <c r="M245" s="190"/>
      <c r="N245" s="190"/>
      <c r="O245" s="190"/>
      <c r="P245" s="190"/>
      <c r="Q245" s="190"/>
      <c r="R245" s="190"/>
      <c r="S245" s="190"/>
      <c r="T245" s="190"/>
      <c r="U245" s="190"/>
      <c r="V245" s="190"/>
      <c r="W245" s="190"/>
      <c r="X245" s="190"/>
      <c r="Y245" s="190"/>
    </row>
    <row r="246" spans="1:25" s="191" customFormat="1" ht="23.25">
      <c r="A246" s="190"/>
      <c r="B246" s="190"/>
      <c r="C246" s="190"/>
      <c r="D246" s="190"/>
      <c r="E246" s="190"/>
      <c r="F246" s="190"/>
      <c r="G246" s="190"/>
      <c r="H246" s="190"/>
      <c r="I246" s="190"/>
      <c r="J246" s="190"/>
      <c r="K246" s="190"/>
      <c r="L246" s="190"/>
      <c r="M246" s="190"/>
      <c r="N246" s="190"/>
      <c r="O246" s="190"/>
      <c r="P246" s="190"/>
      <c r="Q246" s="190"/>
      <c r="R246" s="190"/>
      <c r="S246" s="190"/>
      <c r="T246" s="190"/>
      <c r="U246" s="190"/>
      <c r="V246" s="190"/>
      <c r="W246" s="190"/>
      <c r="X246" s="190"/>
      <c r="Y246" s="190"/>
    </row>
    <row r="247" spans="1:25" s="191" customFormat="1" ht="23.25">
      <c r="A247" s="190"/>
      <c r="B247" s="190"/>
      <c r="C247" s="190"/>
      <c r="D247" s="190"/>
      <c r="E247" s="190"/>
      <c r="F247" s="190"/>
      <c r="G247" s="190"/>
      <c r="H247" s="190"/>
      <c r="I247" s="190"/>
      <c r="J247" s="190"/>
      <c r="K247" s="190"/>
      <c r="L247" s="190"/>
      <c r="M247" s="190"/>
      <c r="N247" s="190"/>
      <c r="O247" s="190"/>
      <c r="P247" s="190"/>
      <c r="Q247" s="190"/>
      <c r="R247" s="190"/>
      <c r="S247" s="190"/>
      <c r="T247" s="190"/>
      <c r="U247" s="190"/>
      <c r="V247" s="190"/>
      <c r="W247" s="190"/>
      <c r="X247" s="190"/>
      <c r="Y247" s="190"/>
    </row>
    <row r="248" spans="1:25" s="191" customFormat="1" ht="23.25">
      <c r="A248" s="190"/>
      <c r="B248" s="190"/>
      <c r="C248" s="190"/>
      <c r="D248" s="190"/>
      <c r="E248" s="190"/>
      <c r="F248" s="190"/>
      <c r="G248" s="190"/>
      <c r="H248" s="190"/>
      <c r="I248" s="190"/>
      <c r="J248" s="190"/>
      <c r="K248" s="190"/>
      <c r="L248" s="190"/>
      <c r="M248" s="190"/>
      <c r="N248" s="190"/>
      <c r="O248" s="190"/>
      <c r="P248" s="190"/>
      <c r="Q248" s="190"/>
      <c r="R248" s="190"/>
      <c r="S248" s="190"/>
      <c r="T248" s="190"/>
      <c r="U248" s="190"/>
      <c r="V248" s="190"/>
      <c r="W248" s="190"/>
      <c r="X248" s="190"/>
      <c r="Y248" s="190"/>
    </row>
    <row r="249" spans="1:25" s="191" customFormat="1" ht="23.25">
      <c r="A249" s="190"/>
      <c r="B249" s="190"/>
      <c r="C249" s="190"/>
      <c r="D249" s="190"/>
      <c r="E249" s="190"/>
      <c r="F249" s="190"/>
      <c r="G249" s="190"/>
      <c r="H249" s="190"/>
      <c r="I249" s="190"/>
      <c r="J249" s="190"/>
      <c r="K249" s="190"/>
      <c r="L249" s="190"/>
      <c r="M249" s="190"/>
      <c r="N249" s="190"/>
      <c r="O249" s="190"/>
      <c r="P249" s="190"/>
      <c r="Q249" s="190"/>
      <c r="R249" s="190"/>
      <c r="S249" s="190"/>
      <c r="T249" s="190"/>
      <c r="U249" s="190"/>
      <c r="V249" s="190"/>
      <c r="W249" s="190"/>
      <c r="X249" s="190"/>
      <c r="Y249" s="190"/>
    </row>
    <row r="250" spans="1:25" s="191" customFormat="1" ht="23.25">
      <c r="A250" s="190"/>
      <c r="B250" s="190"/>
      <c r="C250" s="190"/>
      <c r="D250" s="190"/>
      <c r="E250" s="190"/>
      <c r="F250" s="190"/>
      <c r="G250" s="190"/>
      <c r="H250" s="190"/>
      <c r="I250" s="190"/>
      <c r="J250" s="190"/>
      <c r="K250" s="190"/>
      <c r="L250" s="190"/>
      <c r="M250" s="190"/>
      <c r="N250" s="190"/>
      <c r="O250" s="190"/>
      <c r="P250" s="190"/>
      <c r="Q250" s="190"/>
      <c r="R250" s="190"/>
      <c r="S250" s="190"/>
      <c r="T250" s="190"/>
      <c r="U250" s="190"/>
      <c r="V250" s="190"/>
      <c r="W250" s="190"/>
      <c r="X250" s="190"/>
      <c r="Y250" s="190"/>
    </row>
    <row r="251" spans="1:25" s="191" customFormat="1" ht="23.25">
      <c r="A251" s="190"/>
      <c r="B251" s="190"/>
      <c r="C251" s="190"/>
      <c r="D251" s="190"/>
      <c r="E251" s="190"/>
      <c r="F251" s="190"/>
      <c r="G251" s="197"/>
      <c r="H251" s="190"/>
      <c r="I251" s="197"/>
      <c r="J251" s="190"/>
      <c r="K251" s="190"/>
      <c r="L251" s="190"/>
      <c r="M251" s="190"/>
      <c r="N251" s="190"/>
      <c r="O251" s="190"/>
      <c r="P251" s="190"/>
      <c r="Q251" s="190"/>
      <c r="R251" s="190"/>
      <c r="S251" s="190"/>
      <c r="T251" s="190"/>
      <c r="U251" s="190"/>
      <c r="V251" s="190"/>
      <c r="W251" s="190"/>
      <c r="X251" s="190"/>
      <c r="Y251" s="190"/>
    </row>
    <row r="252" spans="1:25" s="191" customFormat="1" ht="23.25">
      <c r="A252" s="190"/>
      <c r="B252" s="190"/>
      <c r="C252" s="190"/>
      <c r="D252" s="190"/>
      <c r="E252" s="190"/>
      <c r="F252" s="190"/>
      <c r="G252" s="197"/>
      <c r="H252" s="190"/>
      <c r="I252" s="197"/>
      <c r="J252" s="190"/>
      <c r="K252" s="190"/>
      <c r="L252" s="190"/>
      <c r="M252" s="190"/>
      <c r="N252" s="190"/>
      <c r="O252" s="190"/>
      <c r="P252" s="190"/>
      <c r="Q252" s="190"/>
      <c r="R252" s="190"/>
      <c r="S252" s="190"/>
      <c r="T252" s="190"/>
      <c r="U252" s="190"/>
      <c r="V252" s="190"/>
      <c r="W252" s="190"/>
      <c r="X252" s="190"/>
      <c r="Y252" s="190"/>
    </row>
    <row r="253" spans="1:25" s="191" customFormat="1" ht="23.25">
      <c r="A253" s="190"/>
      <c r="B253" s="190"/>
      <c r="C253" s="190"/>
      <c r="D253" s="190"/>
      <c r="E253" s="190"/>
      <c r="F253" s="190"/>
      <c r="G253" s="197"/>
      <c r="H253" s="190"/>
      <c r="I253" s="197"/>
      <c r="J253" s="190"/>
      <c r="K253" s="190"/>
      <c r="L253" s="190"/>
      <c r="M253" s="190"/>
      <c r="N253" s="190"/>
      <c r="O253" s="190"/>
      <c r="P253" s="190"/>
      <c r="Q253" s="190"/>
      <c r="R253" s="190"/>
      <c r="S253" s="190"/>
      <c r="T253" s="190"/>
      <c r="U253" s="190"/>
      <c r="V253" s="190"/>
      <c r="W253" s="190"/>
      <c r="X253" s="190"/>
      <c r="Y253" s="190"/>
    </row>
    <row r="254" spans="1:25" s="191" customFormat="1" ht="23.25">
      <c r="A254" s="190"/>
      <c r="B254" s="190"/>
      <c r="C254" s="190"/>
      <c r="D254" s="190"/>
      <c r="E254" s="190"/>
      <c r="F254" s="190"/>
      <c r="G254" s="197"/>
      <c r="H254" s="190"/>
      <c r="I254" s="197"/>
      <c r="J254" s="190"/>
      <c r="K254" s="190"/>
      <c r="L254" s="190"/>
      <c r="M254" s="190"/>
      <c r="N254" s="190"/>
      <c r="O254" s="190"/>
      <c r="P254" s="190"/>
      <c r="Q254" s="190"/>
      <c r="R254" s="190"/>
      <c r="S254" s="190"/>
      <c r="T254" s="190"/>
      <c r="U254" s="190"/>
      <c r="V254" s="190"/>
      <c r="W254" s="190"/>
      <c r="X254" s="190"/>
      <c r="Y254" s="190"/>
    </row>
    <row r="255" spans="1:25" s="191" customFormat="1" ht="23.25">
      <c r="A255" s="190"/>
      <c r="B255" s="190"/>
      <c r="C255" s="190"/>
      <c r="D255" s="190"/>
      <c r="E255" s="190"/>
      <c r="F255" s="190"/>
      <c r="G255" s="197"/>
      <c r="H255" s="190"/>
      <c r="I255" s="197"/>
      <c r="J255" s="190"/>
      <c r="K255" s="190"/>
      <c r="L255" s="190"/>
      <c r="M255" s="190"/>
      <c r="N255" s="190"/>
      <c r="O255" s="190"/>
      <c r="P255" s="190"/>
      <c r="Q255" s="190"/>
      <c r="R255" s="190"/>
      <c r="S255" s="190"/>
      <c r="T255" s="190"/>
      <c r="U255" s="190"/>
      <c r="V255" s="190"/>
      <c r="W255" s="190"/>
      <c r="X255" s="190"/>
      <c r="Y255" s="190"/>
    </row>
    <row r="256" spans="1:25" s="191" customFormat="1" ht="23.25">
      <c r="A256" s="190"/>
      <c r="B256" s="190"/>
      <c r="C256" s="190"/>
      <c r="D256" s="190"/>
      <c r="E256" s="190"/>
      <c r="F256" s="190"/>
      <c r="G256" s="197"/>
      <c r="H256" s="190"/>
      <c r="I256" s="197"/>
      <c r="J256" s="190"/>
      <c r="K256" s="190"/>
      <c r="L256" s="190"/>
      <c r="M256" s="190"/>
      <c r="N256" s="190"/>
      <c r="O256" s="190"/>
      <c r="P256" s="190"/>
      <c r="Q256" s="190"/>
      <c r="R256" s="190"/>
      <c r="S256" s="190"/>
      <c r="T256" s="190"/>
      <c r="U256" s="190"/>
      <c r="V256" s="190"/>
      <c r="W256" s="190"/>
      <c r="X256" s="190"/>
      <c r="Y256" s="190"/>
    </row>
    <row r="257" spans="1:25" s="191" customFormat="1" ht="23.25">
      <c r="A257" s="190"/>
      <c r="B257" s="190"/>
      <c r="C257" s="190"/>
      <c r="D257" s="190"/>
      <c r="E257" s="190"/>
      <c r="F257" s="190"/>
      <c r="G257" s="197"/>
      <c r="H257" s="190"/>
      <c r="I257" s="197"/>
      <c r="J257" s="190"/>
      <c r="K257" s="190"/>
      <c r="L257" s="190"/>
      <c r="M257" s="190"/>
      <c r="N257" s="190"/>
      <c r="O257" s="190"/>
      <c r="P257" s="190"/>
      <c r="Q257" s="190"/>
      <c r="R257" s="190"/>
      <c r="S257" s="190"/>
      <c r="T257" s="190"/>
      <c r="U257" s="190"/>
      <c r="V257" s="190"/>
      <c r="W257" s="190"/>
      <c r="X257" s="190"/>
      <c r="Y257" s="190"/>
    </row>
    <row r="258" spans="1:25" s="191" customFormat="1" ht="23.25">
      <c r="A258" s="190"/>
      <c r="B258" s="190"/>
      <c r="C258" s="190"/>
      <c r="D258" s="190"/>
      <c r="E258" s="190"/>
      <c r="F258" s="190"/>
      <c r="G258" s="197"/>
      <c r="H258" s="190"/>
      <c r="I258" s="197"/>
      <c r="J258" s="190"/>
      <c r="K258" s="190"/>
      <c r="L258" s="190"/>
      <c r="M258" s="190"/>
      <c r="N258" s="190"/>
      <c r="O258" s="190"/>
      <c r="P258" s="190"/>
      <c r="Q258" s="190"/>
      <c r="R258" s="190"/>
      <c r="S258" s="190"/>
      <c r="T258" s="190"/>
      <c r="U258" s="190"/>
      <c r="V258" s="190"/>
      <c r="W258" s="190"/>
      <c r="X258" s="190"/>
      <c r="Y258" s="190"/>
    </row>
    <row r="259" spans="1:25" s="191" customFormat="1" ht="23.25">
      <c r="A259" s="190"/>
      <c r="B259" s="190"/>
      <c r="C259" s="190"/>
      <c r="D259" s="190"/>
      <c r="E259" s="190"/>
      <c r="F259" s="190"/>
      <c r="G259" s="197"/>
      <c r="H259" s="190"/>
      <c r="I259" s="197"/>
      <c r="J259" s="190"/>
      <c r="K259" s="190"/>
      <c r="L259" s="190"/>
      <c r="M259" s="190"/>
      <c r="N259" s="190"/>
      <c r="O259" s="190"/>
      <c r="P259" s="190"/>
      <c r="Q259" s="190"/>
      <c r="R259" s="190"/>
      <c r="S259" s="190"/>
      <c r="T259" s="190"/>
      <c r="U259" s="190"/>
      <c r="V259" s="190"/>
      <c r="W259" s="190"/>
      <c r="X259" s="190"/>
      <c r="Y259" s="190"/>
    </row>
    <row r="260" spans="1:25" s="191" customFormat="1" ht="23.25">
      <c r="A260" s="190"/>
      <c r="B260" s="190"/>
      <c r="C260" s="190"/>
      <c r="D260" s="190"/>
      <c r="E260" s="190"/>
      <c r="F260" s="190"/>
      <c r="G260" s="197"/>
      <c r="H260" s="190"/>
      <c r="I260" s="197"/>
      <c r="J260" s="190"/>
      <c r="K260" s="190"/>
      <c r="L260" s="190"/>
      <c r="M260" s="190"/>
      <c r="N260" s="190"/>
      <c r="O260" s="190"/>
      <c r="P260" s="190"/>
      <c r="Q260" s="190"/>
      <c r="R260" s="190"/>
      <c r="S260" s="190"/>
      <c r="T260" s="190"/>
      <c r="U260" s="190"/>
      <c r="V260" s="190"/>
      <c r="W260" s="190"/>
      <c r="X260" s="190"/>
      <c r="Y260" s="190"/>
    </row>
    <row r="261" spans="1:25" s="191" customFormat="1" ht="23.25">
      <c r="A261" s="190"/>
      <c r="B261" s="190"/>
      <c r="C261" s="190"/>
      <c r="D261" s="190"/>
      <c r="E261" s="190"/>
      <c r="F261" s="190"/>
      <c r="G261" s="197"/>
      <c r="H261" s="190"/>
      <c r="I261" s="197"/>
      <c r="J261" s="190"/>
      <c r="K261" s="190"/>
      <c r="L261" s="190"/>
      <c r="M261" s="190"/>
      <c r="N261" s="190"/>
      <c r="O261" s="190"/>
      <c r="P261" s="190"/>
      <c r="Q261" s="190"/>
      <c r="R261" s="190"/>
      <c r="S261" s="190"/>
      <c r="T261" s="190"/>
      <c r="U261" s="190"/>
      <c r="V261" s="190"/>
      <c r="W261" s="190"/>
      <c r="X261" s="190"/>
      <c r="Y261" s="190"/>
    </row>
    <row r="262" spans="1:25" s="191" customFormat="1" ht="23.25">
      <c r="A262" s="190"/>
      <c r="B262" s="190"/>
      <c r="C262" s="190"/>
      <c r="D262" s="190"/>
      <c r="E262" s="190"/>
      <c r="F262" s="190"/>
      <c r="G262" s="197"/>
      <c r="H262" s="190"/>
      <c r="I262" s="197"/>
      <c r="J262" s="190"/>
      <c r="K262" s="190"/>
      <c r="L262" s="190"/>
      <c r="M262" s="190"/>
      <c r="N262" s="190"/>
      <c r="O262" s="190"/>
      <c r="P262" s="190"/>
      <c r="Q262" s="190"/>
      <c r="R262" s="190"/>
      <c r="S262" s="190"/>
      <c r="T262" s="190"/>
      <c r="U262" s="190"/>
      <c r="V262" s="190"/>
      <c r="W262" s="190"/>
      <c r="X262" s="190"/>
      <c r="Y262" s="190"/>
    </row>
    <row r="263" spans="1:25" s="191" customFormat="1" ht="23.25">
      <c r="A263" s="190"/>
      <c r="B263" s="190"/>
      <c r="C263" s="190"/>
      <c r="D263" s="190"/>
      <c r="E263" s="190"/>
      <c r="F263" s="190"/>
      <c r="G263" s="197"/>
      <c r="H263" s="190"/>
      <c r="I263" s="197"/>
      <c r="J263" s="190"/>
      <c r="K263" s="190"/>
      <c r="L263" s="190"/>
      <c r="M263" s="190"/>
      <c r="N263" s="190"/>
      <c r="O263" s="190"/>
      <c r="P263" s="190"/>
      <c r="Q263" s="190"/>
      <c r="R263" s="190"/>
      <c r="S263" s="190"/>
      <c r="T263" s="190"/>
      <c r="U263" s="190"/>
      <c r="V263" s="190"/>
      <c r="W263" s="190"/>
      <c r="X263" s="190"/>
      <c r="Y263" s="190"/>
    </row>
    <row r="264" spans="1:25" s="191" customFormat="1" ht="23.25">
      <c r="A264" s="190"/>
      <c r="B264" s="190"/>
      <c r="C264" s="190"/>
      <c r="D264" s="190"/>
      <c r="E264" s="190"/>
      <c r="F264" s="190"/>
      <c r="G264" s="197"/>
      <c r="H264" s="190"/>
      <c r="I264" s="197"/>
      <c r="J264" s="190"/>
      <c r="K264" s="190"/>
      <c r="L264" s="190"/>
      <c r="M264" s="190"/>
      <c r="N264" s="190"/>
      <c r="O264" s="190"/>
      <c r="P264" s="190"/>
      <c r="Q264" s="190"/>
      <c r="R264" s="190"/>
      <c r="S264" s="190"/>
      <c r="T264" s="190"/>
      <c r="U264" s="190"/>
      <c r="V264" s="190"/>
      <c r="W264" s="190"/>
      <c r="X264" s="190"/>
      <c r="Y264" s="190"/>
    </row>
    <row r="265" spans="1:25" s="191" customFormat="1" ht="23.25">
      <c r="A265" s="190"/>
      <c r="B265" s="190"/>
      <c r="C265" s="190"/>
      <c r="D265" s="190"/>
      <c r="E265" s="190"/>
      <c r="F265" s="190"/>
      <c r="G265" s="197"/>
      <c r="H265" s="190"/>
      <c r="I265" s="197"/>
      <c r="J265" s="190"/>
      <c r="K265" s="190"/>
      <c r="L265" s="190"/>
      <c r="M265" s="190"/>
      <c r="N265" s="190"/>
      <c r="O265" s="190"/>
      <c r="P265" s="190"/>
      <c r="Q265" s="190"/>
      <c r="R265" s="190"/>
      <c r="S265" s="190"/>
      <c r="T265" s="190"/>
      <c r="U265" s="190"/>
      <c r="V265" s="190"/>
      <c r="W265" s="190"/>
      <c r="X265" s="190"/>
      <c r="Y265" s="190"/>
    </row>
    <row r="266" spans="1:25" s="191" customFormat="1" ht="23.25">
      <c r="A266" s="190"/>
      <c r="B266" s="190"/>
      <c r="C266" s="190"/>
      <c r="D266" s="190"/>
      <c r="E266" s="190"/>
      <c r="F266" s="190"/>
      <c r="G266" s="197"/>
      <c r="H266" s="190"/>
      <c r="I266" s="197"/>
      <c r="J266" s="190"/>
      <c r="K266" s="190"/>
      <c r="L266" s="190"/>
      <c r="M266" s="190"/>
      <c r="N266" s="190"/>
      <c r="O266" s="190"/>
      <c r="P266" s="190"/>
      <c r="Q266" s="190"/>
      <c r="R266" s="190"/>
      <c r="S266" s="190"/>
      <c r="T266" s="190"/>
      <c r="U266" s="190"/>
      <c r="V266" s="190"/>
      <c r="W266" s="190"/>
      <c r="X266" s="190"/>
      <c r="Y266" s="190"/>
    </row>
    <row r="267" spans="1:25" s="191" customFormat="1" ht="23.25">
      <c r="A267" s="190"/>
      <c r="B267" s="190"/>
      <c r="C267" s="190"/>
      <c r="D267" s="190"/>
      <c r="E267" s="190"/>
      <c r="F267" s="190"/>
      <c r="G267" s="197"/>
      <c r="H267" s="190"/>
      <c r="I267" s="197"/>
      <c r="J267" s="190"/>
      <c r="K267" s="190"/>
      <c r="L267" s="190"/>
      <c r="M267" s="190"/>
      <c r="N267" s="190"/>
      <c r="O267" s="190"/>
      <c r="P267" s="190"/>
      <c r="Q267" s="190"/>
      <c r="R267" s="190"/>
      <c r="S267" s="190"/>
      <c r="T267" s="190"/>
      <c r="U267" s="190"/>
      <c r="V267" s="190"/>
      <c r="W267" s="190"/>
      <c r="X267" s="190"/>
      <c r="Y267" s="190"/>
    </row>
    <row r="268" spans="1:25" s="191" customFormat="1" ht="23.25">
      <c r="A268" s="190"/>
      <c r="B268" s="190"/>
      <c r="C268" s="190"/>
      <c r="D268" s="190"/>
      <c r="E268" s="190"/>
      <c r="F268" s="190"/>
      <c r="G268" s="197"/>
      <c r="H268" s="190"/>
      <c r="I268" s="197"/>
      <c r="J268" s="190"/>
      <c r="K268" s="190"/>
      <c r="L268" s="190"/>
      <c r="M268" s="190"/>
      <c r="N268" s="190"/>
      <c r="O268" s="190"/>
      <c r="P268" s="190"/>
      <c r="Q268" s="190"/>
      <c r="R268" s="190"/>
      <c r="S268" s="190"/>
      <c r="T268" s="190"/>
      <c r="U268" s="190"/>
      <c r="V268" s="190"/>
      <c r="W268" s="190"/>
      <c r="X268" s="190"/>
      <c r="Y268" s="190"/>
    </row>
    <row r="269" spans="1:25" s="191" customFormat="1" ht="23.25">
      <c r="A269" s="190"/>
      <c r="B269" s="190"/>
      <c r="C269" s="190"/>
      <c r="D269" s="190"/>
      <c r="E269" s="190"/>
      <c r="F269" s="190"/>
      <c r="G269" s="197"/>
      <c r="H269" s="190"/>
      <c r="I269" s="197"/>
      <c r="J269" s="190"/>
      <c r="K269" s="190"/>
      <c r="L269" s="190"/>
      <c r="M269" s="190"/>
      <c r="N269" s="190"/>
      <c r="O269" s="190"/>
      <c r="P269" s="190"/>
      <c r="Q269" s="190"/>
      <c r="R269" s="190"/>
      <c r="S269" s="190"/>
      <c r="T269" s="190"/>
      <c r="U269" s="190"/>
      <c r="V269" s="190"/>
      <c r="W269" s="190"/>
      <c r="X269" s="190"/>
      <c r="Y269" s="190"/>
    </row>
    <row r="270" spans="1:25" s="191" customFormat="1" ht="23.25">
      <c r="A270" s="190"/>
      <c r="B270" s="190"/>
      <c r="C270" s="190"/>
      <c r="D270" s="190"/>
      <c r="E270" s="190"/>
      <c r="F270" s="190"/>
      <c r="G270" s="197"/>
      <c r="H270" s="190"/>
      <c r="I270" s="197"/>
      <c r="J270" s="190"/>
      <c r="K270" s="190"/>
      <c r="L270" s="190"/>
      <c r="M270" s="190"/>
      <c r="N270" s="190"/>
      <c r="O270" s="190"/>
      <c r="P270" s="190"/>
      <c r="Q270" s="190"/>
      <c r="R270" s="190"/>
      <c r="S270" s="190"/>
      <c r="T270" s="190"/>
      <c r="U270" s="190"/>
      <c r="V270" s="190"/>
      <c r="W270" s="190"/>
      <c r="X270" s="190"/>
      <c r="Y270" s="190"/>
    </row>
    <row r="271" spans="1:25" s="191" customFormat="1" ht="23.25">
      <c r="A271" s="190"/>
      <c r="B271" s="190"/>
      <c r="C271" s="190"/>
      <c r="D271" s="190"/>
      <c r="E271" s="190"/>
      <c r="F271" s="190"/>
      <c r="G271" s="197"/>
      <c r="H271" s="190"/>
      <c r="I271" s="197"/>
      <c r="J271" s="190"/>
      <c r="K271" s="190"/>
      <c r="L271" s="190"/>
      <c r="M271" s="190"/>
      <c r="N271" s="190"/>
      <c r="O271" s="190"/>
      <c r="P271" s="190"/>
      <c r="Q271" s="190"/>
      <c r="R271" s="190"/>
      <c r="S271" s="190"/>
      <c r="T271" s="190"/>
      <c r="U271" s="190"/>
      <c r="V271" s="190"/>
      <c r="W271" s="190"/>
      <c r="X271" s="190"/>
      <c r="Y271" s="190"/>
    </row>
    <row r="272" spans="1:25" s="191" customFormat="1" ht="23.25">
      <c r="A272" s="190"/>
      <c r="B272" s="190"/>
      <c r="C272" s="190"/>
      <c r="D272" s="190"/>
      <c r="E272" s="190"/>
      <c r="F272" s="190"/>
      <c r="G272" s="197"/>
      <c r="H272" s="190"/>
      <c r="I272" s="197"/>
      <c r="J272" s="190"/>
      <c r="K272" s="190"/>
      <c r="L272" s="190"/>
      <c r="M272" s="190"/>
      <c r="N272" s="190"/>
      <c r="O272" s="190"/>
      <c r="P272" s="190"/>
      <c r="Q272" s="190"/>
      <c r="R272" s="190"/>
      <c r="S272" s="190"/>
      <c r="T272" s="190"/>
      <c r="U272" s="190"/>
      <c r="V272" s="190"/>
      <c r="W272" s="190"/>
      <c r="X272" s="190"/>
      <c r="Y272" s="190"/>
    </row>
    <row r="273" spans="1:25" s="191" customFormat="1" ht="23.25">
      <c r="A273" s="190"/>
      <c r="B273" s="190"/>
      <c r="C273" s="190"/>
      <c r="D273" s="190"/>
      <c r="E273" s="190"/>
      <c r="F273" s="190"/>
      <c r="G273" s="197"/>
      <c r="H273" s="190"/>
      <c r="I273" s="197"/>
      <c r="J273" s="190"/>
      <c r="K273" s="190"/>
      <c r="L273" s="190"/>
      <c r="M273" s="190"/>
      <c r="N273" s="190"/>
      <c r="O273" s="190"/>
      <c r="P273" s="190"/>
      <c r="Q273" s="190"/>
      <c r="R273" s="190"/>
      <c r="S273" s="190"/>
      <c r="T273" s="190"/>
      <c r="U273" s="190"/>
      <c r="V273" s="190"/>
      <c r="W273" s="190"/>
      <c r="X273" s="190"/>
      <c r="Y273" s="190"/>
    </row>
    <row r="274" spans="1:25" s="191" customFormat="1" ht="23.25">
      <c r="A274" s="190"/>
      <c r="B274" s="190"/>
      <c r="C274" s="190"/>
      <c r="D274" s="190"/>
      <c r="E274" s="190"/>
      <c r="F274" s="190"/>
      <c r="G274" s="197"/>
      <c r="H274" s="190"/>
      <c r="I274" s="197"/>
      <c r="J274" s="190"/>
      <c r="K274" s="190"/>
      <c r="L274" s="190"/>
      <c r="M274" s="190"/>
      <c r="N274" s="190"/>
      <c r="O274" s="190"/>
      <c r="P274" s="190"/>
      <c r="Q274" s="190"/>
      <c r="R274" s="190"/>
      <c r="S274" s="190"/>
      <c r="T274" s="190"/>
      <c r="U274" s="190"/>
      <c r="V274" s="190"/>
      <c r="W274" s="190"/>
      <c r="X274" s="190"/>
      <c r="Y274" s="190"/>
    </row>
    <row r="275" spans="1:25" s="191" customFormat="1" ht="23.25">
      <c r="A275" s="190"/>
      <c r="B275" s="190"/>
      <c r="C275" s="190"/>
      <c r="D275" s="190"/>
      <c r="E275" s="190"/>
      <c r="F275" s="190"/>
      <c r="G275" s="197"/>
      <c r="H275" s="190"/>
      <c r="I275" s="197"/>
      <c r="J275" s="190"/>
      <c r="K275" s="190"/>
      <c r="L275" s="190"/>
      <c r="M275" s="190"/>
      <c r="N275" s="190"/>
      <c r="O275" s="190"/>
      <c r="P275" s="190"/>
      <c r="Q275" s="190"/>
      <c r="R275" s="190"/>
      <c r="S275" s="190"/>
      <c r="T275" s="190"/>
      <c r="U275" s="190"/>
      <c r="V275" s="190"/>
      <c r="W275" s="190"/>
      <c r="X275" s="190"/>
      <c r="Y275" s="190"/>
    </row>
    <row r="276" spans="1:25" s="191" customFormat="1" ht="23.25">
      <c r="A276" s="190"/>
      <c r="B276" s="190"/>
      <c r="C276" s="190"/>
      <c r="D276" s="190"/>
      <c r="E276" s="190"/>
      <c r="F276" s="190"/>
      <c r="G276" s="197"/>
      <c r="H276" s="190"/>
      <c r="I276" s="197"/>
      <c r="J276" s="190"/>
      <c r="K276" s="190"/>
      <c r="L276" s="190"/>
      <c r="M276" s="190"/>
      <c r="N276" s="190"/>
      <c r="O276" s="190"/>
      <c r="P276" s="190"/>
      <c r="Q276" s="190"/>
      <c r="R276" s="190"/>
      <c r="S276" s="190"/>
      <c r="T276" s="190"/>
      <c r="U276" s="190"/>
      <c r="V276" s="190"/>
      <c r="W276" s="190"/>
      <c r="X276" s="190"/>
      <c r="Y276" s="190"/>
    </row>
    <row r="277" spans="1:25" s="191" customFormat="1" ht="23.25">
      <c r="A277" s="190"/>
      <c r="B277" s="190"/>
      <c r="C277" s="190"/>
      <c r="D277" s="190"/>
      <c r="E277" s="190"/>
      <c r="F277" s="190"/>
      <c r="G277" s="197"/>
      <c r="H277" s="190"/>
      <c r="I277" s="197"/>
      <c r="J277" s="190"/>
      <c r="K277" s="190"/>
      <c r="L277" s="190"/>
      <c r="M277" s="190"/>
      <c r="N277" s="190"/>
      <c r="O277" s="190"/>
      <c r="P277" s="190"/>
      <c r="Q277" s="190"/>
      <c r="R277" s="190"/>
      <c r="S277" s="190"/>
      <c r="T277" s="190"/>
      <c r="U277" s="190"/>
      <c r="V277" s="190"/>
      <c r="W277" s="190"/>
      <c r="X277" s="190"/>
      <c r="Y277" s="190"/>
    </row>
    <row r="278" spans="1:25" s="191" customFormat="1" ht="23.25">
      <c r="A278" s="190"/>
      <c r="B278" s="190"/>
      <c r="C278" s="190"/>
      <c r="D278" s="190"/>
      <c r="E278" s="190"/>
      <c r="F278" s="190"/>
      <c r="G278" s="197"/>
      <c r="H278" s="190"/>
      <c r="I278" s="197"/>
      <c r="J278" s="190"/>
      <c r="K278" s="190"/>
      <c r="L278" s="190"/>
      <c r="M278" s="190"/>
      <c r="N278" s="190"/>
      <c r="O278" s="190"/>
      <c r="P278" s="190"/>
      <c r="Q278" s="190"/>
      <c r="R278" s="190"/>
      <c r="S278" s="190"/>
      <c r="T278" s="190"/>
      <c r="U278" s="190"/>
      <c r="V278" s="190"/>
      <c r="W278" s="190"/>
      <c r="X278" s="190"/>
      <c r="Y278" s="190"/>
    </row>
    <row r="279" spans="1:25" s="191" customFormat="1" ht="23.25">
      <c r="A279" s="190"/>
      <c r="B279" s="190"/>
      <c r="C279" s="190"/>
      <c r="D279" s="190"/>
      <c r="E279" s="190"/>
      <c r="F279" s="190"/>
      <c r="G279" s="197"/>
      <c r="H279" s="190"/>
      <c r="I279" s="197"/>
      <c r="J279" s="190"/>
      <c r="K279" s="190"/>
      <c r="L279" s="190"/>
      <c r="M279" s="190"/>
      <c r="N279" s="190"/>
      <c r="O279" s="190"/>
      <c r="P279" s="190"/>
      <c r="Q279" s="190"/>
      <c r="R279" s="190"/>
      <c r="S279" s="190"/>
      <c r="T279" s="190"/>
      <c r="U279" s="190"/>
      <c r="V279" s="190"/>
      <c r="W279" s="190"/>
      <c r="X279" s="190"/>
      <c r="Y279" s="190"/>
    </row>
    <row r="280" spans="1:25" s="191" customFormat="1" ht="23.25">
      <c r="A280" s="190"/>
      <c r="B280" s="190"/>
      <c r="C280" s="190"/>
      <c r="D280" s="190"/>
      <c r="E280" s="190"/>
      <c r="F280" s="190"/>
      <c r="G280" s="197"/>
      <c r="H280" s="190"/>
      <c r="I280" s="197"/>
      <c r="J280" s="190"/>
      <c r="K280" s="190"/>
      <c r="L280" s="190"/>
      <c r="M280" s="190"/>
      <c r="N280" s="190"/>
      <c r="O280" s="190"/>
      <c r="P280" s="190"/>
      <c r="Q280" s="190"/>
      <c r="R280" s="190"/>
      <c r="S280" s="190"/>
      <c r="T280" s="190"/>
      <c r="U280" s="190"/>
      <c r="V280" s="190"/>
      <c r="W280" s="190"/>
      <c r="X280" s="190"/>
      <c r="Y280" s="190"/>
    </row>
    <row r="281" spans="1:25" s="191" customFormat="1" ht="23.25">
      <c r="A281" s="190"/>
      <c r="B281" s="190"/>
      <c r="C281" s="190"/>
      <c r="D281" s="190"/>
      <c r="E281" s="190"/>
      <c r="F281" s="190"/>
      <c r="G281" s="197"/>
      <c r="H281" s="190"/>
      <c r="I281" s="197"/>
      <c r="J281" s="190"/>
      <c r="K281" s="190"/>
      <c r="L281" s="190"/>
      <c r="M281" s="190"/>
      <c r="N281" s="190"/>
      <c r="O281" s="190"/>
      <c r="P281" s="190"/>
      <c r="Q281" s="190"/>
      <c r="R281" s="190"/>
      <c r="S281" s="190"/>
      <c r="T281" s="190"/>
      <c r="U281" s="190"/>
      <c r="V281" s="190"/>
      <c r="W281" s="190"/>
      <c r="X281" s="190"/>
      <c r="Y281" s="190"/>
    </row>
    <row r="282" spans="1:25" s="191" customFormat="1" ht="23.25">
      <c r="A282" s="190"/>
      <c r="B282" s="190"/>
      <c r="C282" s="190"/>
      <c r="D282" s="190"/>
      <c r="E282" s="190"/>
      <c r="F282" s="190"/>
      <c r="G282" s="197"/>
      <c r="H282" s="190"/>
      <c r="I282" s="197"/>
      <c r="J282" s="190"/>
      <c r="K282" s="190"/>
      <c r="L282" s="190"/>
      <c r="M282" s="190"/>
      <c r="N282" s="190"/>
      <c r="O282" s="190"/>
      <c r="P282" s="190"/>
      <c r="Q282" s="190"/>
      <c r="R282" s="190"/>
      <c r="S282" s="190"/>
      <c r="T282" s="190"/>
      <c r="U282" s="190"/>
      <c r="V282" s="190"/>
      <c r="W282" s="190"/>
      <c r="X282" s="190"/>
      <c r="Y282" s="190"/>
    </row>
    <row r="283" spans="1:25" s="191" customFormat="1" ht="23.25">
      <c r="A283" s="190"/>
      <c r="B283" s="190"/>
      <c r="C283" s="190"/>
      <c r="D283" s="190"/>
      <c r="E283" s="190"/>
      <c r="F283" s="190"/>
      <c r="G283" s="197"/>
      <c r="H283" s="190"/>
      <c r="I283" s="197"/>
      <c r="J283" s="190"/>
      <c r="K283" s="190"/>
      <c r="L283" s="190"/>
      <c r="M283" s="190"/>
      <c r="N283" s="190"/>
      <c r="O283" s="190"/>
      <c r="P283" s="190"/>
      <c r="Q283" s="190"/>
      <c r="R283" s="190"/>
      <c r="S283" s="190"/>
      <c r="T283" s="190"/>
      <c r="U283" s="190"/>
      <c r="V283" s="190"/>
      <c r="W283" s="190"/>
      <c r="X283" s="190"/>
      <c r="Y283" s="190"/>
    </row>
    <row r="284" spans="1:25" s="191" customFormat="1" ht="23.25">
      <c r="A284" s="190"/>
      <c r="B284" s="190"/>
      <c r="C284" s="190"/>
      <c r="D284" s="190"/>
      <c r="E284" s="190"/>
      <c r="F284" s="190"/>
      <c r="G284" s="197"/>
      <c r="H284" s="190"/>
      <c r="I284" s="197"/>
      <c r="J284" s="190"/>
      <c r="K284" s="190"/>
      <c r="L284" s="190"/>
      <c r="M284" s="190"/>
      <c r="N284" s="190"/>
      <c r="O284" s="190"/>
      <c r="P284" s="190"/>
      <c r="Q284" s="190"/>
      <c r="R284" s="190"/>
      <c r="S284" s="190"/>
      <c r="T284" s="190"/>
      <c r="U284" s="190"/>
      <c r="V284" s="190"/>
      <c r="W284" s="190"/>
      <c r="X284" s="190"/>
      <c r="Y284" s="190"/>
    </row>
    <row r="285" spans="1:25" s="191" customFormat="1" ht="23.25">
      <c r="A285" s="190"/>
      <c r="B285" s="190"/>
      <c r="C285" s="190"/>
      <c r="D285" s="190"/>
      <c r="E285" s="190"/>
      <c r="F285" s="190"/>
      <c r="G285" s="197"/>
      <c r="H285" s="190"/>
      <c r="I285" s="197"/>
      <c r="J285" s="190"/>
      <c r="K285" s="190"/>
      <c r="L285" s="190"/>
      <c r="M285" s="190"/>
      <c r="N285" s="190"/>
      <c r="O285" s="190"/>
      <c r="P285" s="190"/>
      <c r="Q285" s="190"/>
      <c r="R285" s="190"/>
      <c r="S285" s="190"/>
      <c r="T285" s="190"/>
      <c r="U285" s="190"/>
      <c r="V285" s="190"/>
      <c r="W285" s="190"/>
      <c r="X285" s="190"/>
      <c r="Y285" s="190"/>
    </row>
    <row r="286" spans="1:25" s="191" customFormat="1" ht="23.25">
      <c r="A286" s="190"/>
      <c r="B286" s="190"/>
      <c r="C286" s="190"/>
      <c r="D286" s="190"/>
      <c r="E286" s="190"/>
      <c r="F286" s="190"/>
      <c r="G286" s="197"/>
      <c r="H286" s="190"/>
      <c r="I286" s="197"/>
      <c r="J286" s="190"/>
      <c r="K286" s="190"/>
      <c r="L286" s="190"/>
      <c r="M286" s="190"/>
      <c r="N286" s="190"/>
      <c r="O286" s="190"/>
      <c r="P286" s="190"/>
      <c r="Q286" s="190"/>
      <c r="R286" s="190"/>
      <c r="S286" s="190"/>
      <c r="T286" s="190"/>
      <c r="U286" s="190"/>
      <c r="V286" s="190"/>
      <c r="W286" s="190"/>
      <c r="X286" s="190"/>
      <c r="Y286" s="190"/>
    </row>
    <row r="287" spans="1:25" s="191" customFormat="1" ht="23.25">
      <c r="A287" s="190"/>
      <c r="B287" s="190"/>
      <c r="C287" s="190"/>
      <c r="D287" s="190"/>
      <c r="E287" s="190"/>
      <c r="F287" s="190"/>
      <c r="G287" s="197"/>
      <c r="H287" s="190"/>
      <c r="I287" s="197"/>
      <c r="J287" s="190"/>
      <c r="K287" s="190"/>
      <c r="L287" s="190"/>
      <c r="M287" s="190"/>
      <c r="N287" s="190"/>
      <c r="O287" s="190"/>
      <c r="P287" s="190"/>
      <c r="Q287" s="190"/>
      <c r="R287" s="190"/>
      <c r="S287" s="190"/>
      <c r="T287" s="190"/>
      <c r="U287" s="190"/>
      <c r="V287" s="190"/>
      <c r="W287" s="190"/>
      <c r="X287" s="190"/>
      <c r="Y287" s="190"/>
    </row>
    <row r="288" spans="1:25" s="191" customFormat="1" ht="23.25">
      <c r="A288" s="190"/>
      <c r="B288" s="190"/>
      <c r="C288" s="190"/>
      <c r="D288" s="190"/>
      <c r="E288" s="190"/>
      <c r="F288" s="190"/>
      <c r="G288" s="197"/>
      <c r="H288" s="190"/>
      <c r="I288" s="197"/>
      <c r="J288" s="190"/>
      <c r="K288" s="190"/>
      <c r="L288" s="190"/>
      <c r="M288" s="190"/>
      <c r="N288" s="190"/>
      <c r="O288" s="190"/>
      <c r="P288" s="190"/>
      <c r="Q288" s="190"/>
      <c r="R288" s="190"/>
      <c r="S288" s="190"/>
      <c r="T288" s="190"/>
      <c r="U288" s="190"/>
      <c r="V288" s="190"/>
      <c r="W288" s="190"/>
      <c r="X288" s="190"/>
      <c r="Y288" s="190"/>
    </row>
    <row r="289" spans="1:25" s="191" customFormat="1" ht="23.25">
      <c r="A289" s="190"/>
      <c r="B289" s="190"/>
      <c r="C289" s="190"/>
      <c r="D289" s="190"/>
      <c r="E289" s="190"/>
      <c r="F289" s="190"/>
      <c r="G289" s="197"/>
      <c r="H289" s="190"/>
      <c r="I289" s="197"/>
      <c r="J289" s="190"/>
      <c r="K289" s="190"/>
      <c r="L289" s="190"/>
      <c r="M289" s="190"/>
      <c r="N289" s="190"/>
      <c r="O289" s="190"/>
      <c r="P289" s="190"/>
      <c r="Q289" s="190"/>
      <c r="R289" s="190"/>
      <c r="S289" s="190"/>
      <c r="T289" s="190"/>
      <c r="U289" s="190"/>
      <c r="V289" s="190"/>
      <c r="W289" s="190"/>
      <c r="X289" s="190"/>
      <c r="Y289" s="190"/>
    </row>
    <row r="290" spans="1:25" s="191" customFormat="1" ht="23.25">
      <c r="A290" s="190"/>
      <c r="B290" s="190"/>
      <c r="C290" s="190"/>
      <c r="D290" s="190"/>
      <c r="E290" s="190"/>
      <c r="F290" s="190"/>
      <c r="G290" s="197"/>
      <c r="H290" s="190"/>
      <c r="I290" s="197"/>
      <c r="J290" s="190"/>
      <c r="K290" s="190"/>
      <c r="L290" s="190"/>
      <c r="M290" s="190"/>
      <c r="N290" s="190"/>
      <c r="O290" s="190"/>
      <c r="P290" s="190"/>
      <c r="Q290" s="190"/>
      <c r="R290" s="190"/>
      <c r="S290" s="190"/>
      <c r="T290" s="190"/>
      <c r="U290" s="190"/>
      <c r="V290" s="190"/>
      <c r="W290" s="190"/>
      <c r="X290" s="190"/>
      <c r="Y290" s="190"/>
    </row>
    <row r="291" spans="1:25" s="191" customFormat="1" ht="23.25">
      <c r="A291" s="190"/>
      <c r="B291" s="190"/>
      <c r="C291" s="190"/>
      <c r="D291" s="190"/>
      <c r="E291" s="190"/>
      <c r="F291" s="190"/>
      <c r="G291" s="197"/>
      <c r="H291" s="190"/>
      <c r="I291" s="197"/>
      <c r="J291" s="190"/>
      <c r="K291" s="190"/>
      <c r="L291" s="190"/>
      <c r="M291" s="190"/>
      <c r="N291" s="190"/>
      <c r="O291" s="190"/>
      <c r="P291" s="190"/>
      <c r="Q291" s="190"/>
      <c r="R291" s="190"/>
      <c r="S291" s="190"/>
      <c r="T291" s="190"/>
      <c r="U291" s="190"/>
      <c r="V291" s="190"/>
      <c r="W291" s="190"/>
      <c r="X291" s="190"/>
      <c r="Y291" s="190"/>
    </row>
    <row r="292" spans="1:25" s="191" customFormat="1" ht="23.25">
      <c r="A292" s="190"/>
      <c r="B292" s="190"/>
      <c r="C292" s="190"/>
      <c r="D292" s="190"/>
      <c r="E292" s="190"/>
      <c r="F292" s="190"/>
      <c r="G292" s="197"/>
      <c r="H292" s="190"/>
      <c r="I292" s="197"/>
      <c r="J292" s="190"/>
      <c r="K292" s="190"/>
      <c r="L292" s="190"/>
      <c r="M292" s="190"/>
      <c r="N292" s="190"/>
      <c r="O292" s="190"/>
      <c r="P292" s="190"/>
      <c r="Q292" s="190"/>
      <c r="R292" s="190"/>
      <c r="S292" s="190"/>
      <c r="T292" s="190"/>
      <c r="U292" s="190"/>
      <c r="V292" s="190"/>
      <c r="W292" s="190"/>
      <c r="X292" s="190"/>
      <c r="Y292" s="190"/>
    </row>
    <row r="293" spans="1:25" s="191" customFormat="1" ht="23.25">
      <c r="A293" s="190"/>
      <c r="B293" s="190"/>
      <c r="C293" s="190"/>
      <c r="D293" s="190"/>
      <c r="E293" s="190"/>
      <c r="F293" s="190"/>
      <c r="G293" s="197"/>
      <c r="H293" s="190"/>
      <c r="I293" s="197"/>
      <c r="J293" s="190"/>
      <c r="K293" s="190"/>
      <c r="L293" s="190"/>
      <c r="M293" s="190"/>
      <c r="N293" s="190"/>
      <c r="O293" s="190"/>
      <c r="P293" s="190"/>
      <c r="Q293" s="190"/>
      <c r="R293" s="190"/>
      <c r="S293" s="190"/>
      <c r="T293" s="190"/>
      <c r="U293" s="190"/>
      <c r="V293" s="190"/>
      <c r="W293" s="190"/>
      <c r="X293" s="190"/>
      <c r="Y293" s="190"/>
    </row>
    <row r="294" spans="1:25" s="191" customFormat="1" ht="23.25">
      <c r="A294" s="190"/>
      <c r="B294" s="190"/>
      <c r="C294" s="190"/>
      <c r="D294" s="190"/>
      <c r="E294" s="190"/>
      <c r="F294" s="190"/>
      <c r="G294" s="197"/>
      <c r="H294" s="190"/>
      <c r="I294" s="197"/>
      <c r="J294" s="190"/>
      <c r="K294" s="190"/>
      <c r="L294" s="190"/>
      <c r="M294" s="190"/>
      <c r="N294" s="190"/>
      <c r="O294" s="190"/>
      <c r="P294" s="190"/>
      <c r="Q294" s="190"/>
      <c r="R294" s="190"/>
      <c r="S294" s="190"/>
      <c r="T294" s="190"/>
      <c r="U294" s="190"/>
      <c r="V294" s="190"/>
      <c r="W294" s="190"/>
      <c r="X294" s="190"/>
      <c r="Y294" s="190"/>
    </row>
    <row r="295" spans="1:25" s="191" customFormat="1" ht="23.25">
      <c r="A295" s="190"/>
      <c r="B295" s="190"/>
      <c r="C295" s="190"/>
      <c r="D295" s="190"/>
      <c r="E295" s="190"/>
      <c r="F295" s="190"/>
      <c r="G295" s="197"/>
      <c r="H295" s="190"/>
      <c r="I295" s="197"/>
      <c r="J295" s="190"/>
      <c r="K295" s="190"/>
      <c r="L295" s="190"/>
      <c r="M295" s="190"/>
      <c r="N295" s="190"/>
      <c r="O295" s="190"/>
      <c r="P295" s="190"/>
      <c r="Q295" s="190"/>
      <c r="R295" s="190"/>
      <c r="S295" s="190"/>
      <c r="T295" s="190"/>
      <c r="U295" s="190"/>
      <c r="V295" s="190"/>
      <c r="W295" s="190"/>
      <c r="X295" s="190"/>
      <c r="Y295" s="190"/>
    </row>
    <row r="296" spans="1:25" s="191" customFormat="1" ht="23.25">
      <c r="A296" s="190"/>
      <c r="B296" s="190"/>
      <c r="C296" s="190"/>
      <c r="D296" s="190"/>
      <c r="E296" s="190"/>
      <c r="F296" s="190"/>
      <c r="G296" s="197"/>
      <c r="H296" s="190"/>
      <c r="I296" s="197"/>
      <c r="J296" s="190"/>
      <c r="K296" s="190"/>
      <c r="L296" s="190"/>
      <c r="M296" s="190"/>
      <c r="N296" s="190"/>
      <c r="O296" s="190"/>
      <c r="P296" s="190"/>
      <c r="Q296" s="190"/>
      <c r="R296" s="190"/>
      <c r="S296" s="190"/>
      <c r="T296" s="190"/>
      <c r="U296" s="190"/>
      <c r="V296" s="190"/>
      <c r="W296" s="190"/>
      <c r="X296" s="190"/>
      <c r="Y296" s="190"/>
    </row>
    <row r="297" spans="1:25" s="191" customFormat="1" ht="23.25">
      <c r="A297" s="190"/>
      <c r="B297" s="190"/>
      <c r="C297" s="190"/>
      <c r="D297" s="190"/>
      <c r="E297" s="190"/>
      <c r="F297" s="190"/>
      <c r="G297" s="197"/>
      <c r="H297" s="190"/>
      <c r="I297" s="197"/>
      <c r="J297" s="190"/>
      <c r="K297" s="190"/>
      <c r="L297" s="190"/>
      <c r="M297" s="190"/>
      <c r="N297" s="190"/>
      <c r="O297" s="190"/>
      <c r="P297" s="190"/>
      <c r="Q297" s="190"/>
      <c r="R297" s="190"/>
      <c r="S297" s="190"/>
      <c r="T297" s="190"/>
      <c r="U297" s="190"/>
      <c r="V297" s="190"/>
      <c r="W297" s="190"/>
      <c r="X297" s="190"/>
      <c r="Y297" s="190"/>
    </row>
    <row r="298" spans="1:25" s="191" customFormat="1" ht="23.25">
      <c r="A298" s="190"/>
      <c r="B298" s="190"/>
      <c r="C298" s="190"/>
      <c r="D298" s="190"/>
      <c r="E298" s="190"/>
      <c r="F298" s="190"/>
      <c r="G298" s="197"/>
      <c r="H298" s="190"/>
      <c r="I298" s="197"/>
      <c r="J298" s="190"/>
      <c r="K298" s="190"/>
      <c r="L298" s="190"/>
      <c r="M298" s="190"/>
      <c r="N298" s="190"/>
      <c r="O298" s="190"/>
      <c r="P298" s="190"/>
      <c r="Q298" s="190"/>
      <c r="R298" s="190"/>
      <c r="S298" s="190"/>
      <c r="T298" s="190"/>
      <c r="U298" s="190"/>
      <c r="V298" s="190"/>
      <c r="W298" s="190"/>
      <c r="X298" s="190"/>
      <c r="Y298" s="190"/>
    </row>
    <row r="299" spans="1:25" s="191" customFormat="1" ht="23.25">
      <c r="A299" s="190"/>
      <c r="B299" s="190"/>
      <c r="C299" s="190"/>
      <c r="D299" s="190"/>
      <c r="E299" s="190"/>
      <c r="F299" s="190"/>
      <c r="G299" s="197"/>
      <c r="H299" s="190"/>
      <c r="I299" s="197"/>
      <c r="J299" s="190"/>
      <c r="K299" s="190"/>
      <c r="L299" s="190"/>
      <c r="M299" s="190"/>
      <c r="N299" s="190"/>
      <c r="O299" s="190"/>
      <c r="P299" s="190"/>
      <c r="Q299" s="190"/>
      <c r="R299" s="190"/>
      <c r="S299" s="190"/>
      <c r="T299" s="190"/>
      <c r="U299" s="190"/>
      <c r="V299" s="190"/>
      <c r="W299" s="190"/>
      <c r="X299" s="190"/>
      <c r="Y299" s="190"/>
    </row>
    <row r="300" spans="1:25" s="191" customFormat="1" ht="23.25">
      <c r="A300" s="190"/>
      <c r="B300" s="190"/>
      <c r="C300" s="190"/>
      <c r="D300" s="190"/>
      <c r="E300" s="190"/>
      <c r="F300" s="190"/>
      <c r="G300" s="197"/>
      <c r="H300" s="190"/>
      <c r="I300" s="197"/>
      <c r="J300" s="190"/>
      <c r="K300" s="190"/>
      <c r="L300" s="190"/>
      <c r="M300" s="190"/>
      <c r="N300" s="190"/>
      <c r="O300" s="190"/>
      <c r="P300" s="190"/>
      <c r="Q300" s="190"/>
      <c r="R300" s="190"/>
      <c r="S300" s="190"/>
      <c r="T300" s="190"/>
      <c r="U300" s="190"/>
      <c r="V300" s="190"/>
      <c r="W300" s="190"/>
      <c r="X300" s="190"/>
      <c r="Y300" s="190"/>
    </row>
    <row r="301" spans="1:25" s="191" customFormat="1" ht="23.25">
      <c r="A301" s="190"/>
      <c r="B301" s="190"/>
      <c r="C301" s="190"/>
      <c r="D301" s="190"/>
      <c r="E301" s="190"/>
      <c r="F301" s="190"/>
      <c r="G301" s="197"/>
      <c r="H301" s="190"/>
      <c r="I301" s="197"/>
      <c r="J301" s="190"/>
      <c r="K301" s="190"/>
      <c r="L301" s="190"/>
      <c r="M301" s="190"/>
      <c r="N301" s="190"/>
      <c r="O301" s="190"/>
      <c r="P301" s="190"/>
      <c r="Q301" s="190"/>
      <c r="R301" s="190"/>
      <c r="S301" s="190"/>
      <c r="T301" s="190"/>
      <c r="U301" s="190"/>
      <c r="V301" s="190"/>
      <c r="W301" s="190"/>
      <c r="X301" s="190"/>
      <c r="Y301" s="190"/>
    </row>
    <row r="302" spans="1:25" s="191" customFormat="1" ht="23.25">
      <c r="A302" s="190"/>
      <c r="B302" s="190"/>
      <c r="C302" s="190"/>
      <c r="D302" s="190"/>
      <c r="E302" s="190"/>
      <c r="F302" s="190"/>
      <c r="G302" s="197"/>
      <c r="H302" s="190"/>
      <c r="I302" s="197"/>
      <c r="J302" s="190"/>
      <c r="K302" s="190"/>
      <c r="L302" s="190"/>
      <c r="M302" s="190"/>
      <c r="N302" s="190"/>
      <c r="O302" s="190"/>
      <c r="P302" s="190"/>
      <c r="Q302" s="190"/>
      <c r="R302" s="190"/>
      <c r="S302" s="190"/>
      <c r="T302" s="190"/>
      <c r="U302" s="190"/>
      <c r="V302" s="190"/>
      <c r="W302" s="190"/>
      <c r="X302" s="190"/>
      <c r="Y302" s="190"/>
    </row>
    <row r="303" spans="1:25" s="191" customFormat="1" ht="23.25">
      <c r="A303" s="190"/>
      <c r="B303" s="190"/>
      <c r="C303" s="190"/>
      <c r="D303" s="190"/>
      <c r="E303" s="190"/>
      <c r="F303" s="190"/>
      <c r="G303" s="197"/>
      <c r="H303" s="190"/>
      <c r="I303" s="197"/>
      <c r="J303" s="190"/>
      <c r="K303" s="190"/>
      <c r="L303" s="190"/>
      <c r="M303" s="190"/>
      <c r="N303" s="190"/>
      <c r="O303" s="190"/>
      <c r="P303" s="190"/>
      <c r="Q303" s="190"/>
      <c r="R303" s="190"/>
      <c r="S303" s="190"/>
      <c r="T303" s="190"/>
      <c r="U303" s="190"/>
      <c r="V303" s="190"/>
      <c r="W303" s="190"/>
      <c r="X303" s="190"/>
      <c r="Y303" s="190"/>
    </row>
    <row r="304" spans="1:25" s="191" customFormat="1" ht="23.25">
      <c r="A304" s="190"/>
      <c r="B304" s="190"/>
      <c r="C304" s="190"/>
      <c r="D304" s="190"/>
      <c r="E304" s="190"/>
      <c r="F304" s="190"/>
      <c r="G304" s="197"/>
      <c r="H304" s="190"/>
      <c r="I304" s="197"/>
      <c r="J304" s="190"/>
      <c r="K304" s="190"/>
      <c r="L304" s="190"/>
      <c r="M304" s="190"/>
      <c r="N304" s="190"/>
      <c r="O304" s="190"/>
      <c r="P304" s="190"/>
      <c r="Q304" s="190"/>
      <c r="R304" s="190"/>
      <c r="S304" s="190"/>
      <c r="T304" s="190"/>
      <c r="U304" s="190"/>
      <c r="V304" s="190"/>
      <c r="W304" s="190"/>
      <c r="X304" s="190"/>
      <c r="Y304" s="190"/>
    </row>
    <row r="305" spans="1:30" s="191" customFormat="1" ht="23.25">
      <c r="A305" s="190"/>
      <c r="B305" s="190"/>
      <c r="C305" s="190"/>
      <c r="D305" s="190"/>
      <c r="E305" s="190"/>
      <c r="F305" s="190"/>
      <c r="G305" s="197"/>
      <c r="H305" s="190"/>
      <c r="I305" s="197"/>
      <c r="J305" s="190"/>
      <c r="K305" s="190"/>
      <c r="L305" s="190"/>
      <c r="M305" s="190"/>
      <c r="N305" s="190"/>
      <c r="O305" s="190"/>
      <c r="P305" s="190"/>
      <c r="Q305" s="190"/>
      <c r="R305" s="190"/>
      <c r="S305" s="190"/>
      <c r="T305" s="190"/>
      <c r="U305" s="190"/>
      <c r="V305" s="190"/>
      <c r="W305" s="190"/>
      <c r="X305" s="190"/>
      <c r="Y305" s="190"/>
    </row>
    <row r="306" spans="1:30" s="191" customFormat="1" ht="23.25">
      <c r="A306" s="190"/>
      <c r="B306" s="190"/>
      <c r="C306" s="190"/>
      <c r="D306" s="190"/>
      <c r="E306" s="190"/>
      <c r="F306" s="190"/>
      <c r="G306" s="197"/>
      <c r="H306" s="190"/>
      <c r="I306" s="197"/>
      <c r="J306" s="190"/>
      <c r="K306" s="190"/>
      <c r="L306" s="190"/>
      <c r="M306" s="190"/>
      <c r="N306" s="190"/>
      <c r="O306" s="190"/>
      <c r="P306" s="190"/>
      <c r="Q306" s="190"/>
      <c r="R306" s="190"/>
      <c r="S306" s="190"/>
      <c r="T306" s="190"/>
      <c r="U306" s="190"/>
      <c r="V306" s="190"/>
      <c r="W306" s="190"/>
      <c r="X306" s="190"/>
      <c r="Y306" s="190"/>
    </row>
    <row r="307" spans="1:30" s="191" customFormat="1" ht="23.25">
      <c r="A307" s="190"/>
      <c r="B307" s="190"/>
      <c r="C307" s="190"/>
      <c r="D307" s="190"/>
      <c r="E307" s="190"/>
      <c r="F307" s="190"/>
      <c r="G307" s="197"/>
      <c r="H307" s="190"/>
      <c r="I307" s="197"/>
      <c r="J307" s="190"/>
      <c r="K307" s="190"/>
      <c r="L307" s="190"/>
      <c r="M307" s="190"/>
      <c r="N307" s="190"/>
      <c r="O307" s="190"/>
      <c r="P307" s="190"/>
      <c r="Q307" s="190"/>
      <c r="R307" s="190"/>
      <c r="S307" s="190"/>
      <c r="T307" s="190"/>
      <c r="U307" s="190"/>
      <c r="V307" s="190"/>
      <c r="W307" s="190"/>
      <c r="X307" s="190"/>
      <c r="Y307" s="190"/>
    </row>
    <row r="308" spans="1:30" s="191" customFormat="1" ht="23.25">
      <c r="A308" s="190"/>
      <c r="B308" s="190"/>
      <c r="C308" s="190"/>
      <c r="D308" s="190"/>
      <c r="E308" s="190"/>
      <c r="F308" s="190"/>
      <c r="G308" s="197"/>
      <c r="H308" s="190"/>
      <c r="I308" s="197"/>
      <c r="J308" s="190"/>
      <c r="K308" s="190"/>
      <c r="L308" s="190"/>
      <c r="M308" s="190"/>
      <c r="N308" s="190"/>
      <c r="O308" s="190"/>
      <c r="P308" s="190"/>
      <c r="Q308" s="190"/>
      <c r="R308" s="190"/>
      <c r="S308" s="190"/>
      <c r="T308" s="190"/>
      <c r="U308" s="190"/>
      <c r="V308" s="190"/>
      <c r="W308" s="190"/>
      <c r="X308" s="190"/>
      <c r="Y308" s="190"/>
    </row>
    <row r="309" spans="1:30" s="191" customFormat="1" ht="23.25">
      <c r="A309" s="190"/>
      <c r="B309" s="190"/>
      <c r="C309" s="190"/>
      <c r="D309" s="190"/>
      <c r="E309" s="190"/>
      <c r="F309" s="190"/>
      <c r="G309" s="197"/>
      <c r="H309" s="190"/>
      <c r="I309" s="197"/>
      <c r="J309" s="190"/>
      <c r="K309" s="190"/>
      <c r="L309" s="190"/>
      <c r="M309" s="190"/>
      <c r="N309" s="190"/>
      <c r="O309" s="190"/>
      <c r="P309" s="190"/>
      <c r="Q309" s="190"/>
      <c r="R309" s="190"/>
      <c r="S309" s="190"/>
      <c r="T309" s="190"/>
      <c r="U309" s="190"/>
      <c r="V309" s="190"/>
      <c r="W309" s="190"/>
      <c r="X309" s="190"/>
      <c r="Y309" s="190"/>
    </row>
    <row r="310" spans="1:30" s="191" customFormat="1" ht="23.25">
      <c r="A310" s="190"/>
      <c r="B310" s="190"/>
      <c r="C310" s="190"/>
      <c r="D310" s="190"/>
      <c r="E310" s="190"/>
      <c r="F310" s="190"/>
      <c r="G310" s="197"/>
      <c r="H310" s="190"/>
      <c r="I310" s="197"/>
      <c r="J310" s="190"/>
      <c r="K310" s="190"/>
      <c r="L310" s="190"/>
      <c r="M310" s="190"/>
      <c r="N310" s="190"/>
      <c r="O310" s="190"/>
      <c r="P310" s="190"/>
      <c r="Q310" s="190"/>
      <c r="R310" s="190"/>
      <c r="S310" s="190"/>
      <c r="T310" s="190"/>
      <c r="U310" s="190"/>
      <c r="V310" s="190"/>
      <c r="W310" s="190"/>
      <c r="X310" s="190"/>
      <c r="Y310" s="190"/>
    </row>
    <row r="311" spans="1:30" s="191" customFormat="1" ht="23.25">
      <c r="A311" s="190"/>
      <c r="B311" s="190"/>
      <c r="C311" s="190"/>
      <c r="D311" s="190"/>
      <c r="E311" s="190"/>
      <c r="F311" s="190"/>
      <c r="G311" s="197"/>
      <c r="H311" s="190"/>
      <c r="I311" s="197"/>
      <c r="J311" s="190"/>
      <c r="K311" s="190"/>
      <c r="L311" s="190"/>
      <c r="M311" s="190"/>
      <c r="N311" s="190"/>
      <c r="O311" s="190"/>
      <c r="P311" s="190"/>
      <c r="Q311" s="190"/>
      <c r="R311" s="190"/>
      <c r="S311" s="190"/>
      <c r="T311" s="190"/>
      <c r="U311" s="190"/>
      <c r="V311" s="190"/>
      <c r="W311" s="190"/>
      <c r="X311" s="190"/>
      <c r="Y311" s="190"/>
    </row>
    <row r="312" spans="1:30" s="191" customFormat="1" ht="23.25">
      <c r="A312" s="190"/>
      <c r="B312" s="190"/>
      <c r="C312" s="190"/>
      <c r="D312" s="190"/>
      <c r="E312" s="190"/>
      <c r="F312" s="190"/>
      <c r="G312" s="197"/>
      <c r="H312" s="190"/>
      <c r="I312" s="197"/>
      <c r="J312" s="190"/>
      <c r="K312" s="190"/>
      <c r="L312" s="190"/>
      <c r="M312" s="190"/>
      <c r="N312" s="190"/>
      <c r="O312" s="190"/>
      <c r="P312" s="190"/>
      <c r="Q312" s="190"/>
      <c r="R312" s="190"/>
      <c r="S312" s="190"/>
      <c r="T312" s="190"/>
      <c r="U312" s="190"/>
      <c r="V312" s="190"/>
      <c r="W312" s="190"/>
      <c r="X312" s="190"/>
      <c r="Y312" s="190"/>
    </row>
    <row r="313" spans="1:30" s="191" customFormat="1" ht="23.25">
      <c r="A313" s="190"/>
      <c r="B313" s="190"/>
      <c r="C313" s="190"/>
      <c r="D313" s="190"/>
      <c r="E313" s="190"/>
      <c r="F313" s="190"/>
      <c r="G313" s="197"/>
      <c r="H313" s="190"/>
      <c r="I313" s="197"/>
      <c r="J313" s="190"/>
      <c r="K313" s="190"/>
      <c r="L313" s="190"/>
      <c r="M313" s="190"/>
      <c r="N313" s="190"/>
      <c r="O313" s="190"/>
      <c r="P313" s="190"/>
      <c r="Q313" s="190"/>
      <c r="R313" s="190"/>
      <c r="S313" s="190"/>
      <c r="T313" s="190"/>
      <c r="U313" s="190"/>
      <c r="V313" s="190"/>
      <c r="W313" s="190"/>
      <c r="X313" s="190"/>
      <c r="Y313" s="190"/>
    </row>
    <row r="314" spans="1:30" s="191" customFormat="1" ht="23.25">
      <c r="A314" s="190"/>
      <c r="B314" s="190"/>
      <c r="C314" s="190"/>
      <c r="D314" s="190"/>
      <c r="E314" s="190"/>
      <c r="F314" s="190"/>
      <c r="G314" s="197"/>
      <c r="H314" s="190"/>
      <c r="I314" s="197"/>
      <c r="J314" s="190"/>
      <c r="K314" s="190"/>
      <c r="L314" s="190"/>
      <c r="M314" s="190"/>
      <c r="N314" s="190"/>
      <c r="O314" s="190"/>
      <c r="P314" s="190"/>
      <c r="Q314" s="190"/>
      <c r="R314" s="190"/>
      <c r="S314" s="190"/>
      <c r="T314" s="190"/>
      <c r="U314" s="190"/>
      <c r="V314" s="190"/>
      <c r="W314" s="190"/>
      <c r="X314" s="190"/>
      <c r="Y314" s="190"/>
    </row>
    <row r="315" spans="1:30" s="191" customFormat="1" ht="23.25">
      <c r="A315" s="190"/>
      <c r="B315" s="190"/>
      <c r="C315" s="190"/>
      <c r="D315" s="190"/>
      <c r="E315" s="190"/>
      <c r="F315" s="190"/>
      <c r="G315" s="197"/>
      <c r="H315" s="190"/>
      <c r="I315" s="197"/>
      <c r="J315" s="190"/>
      <c r="K315" s="190"/>
      <c r="L315" s="190"/>
      <c r="M315" s="190"/>
      <c r="N315" s="190"/>
      <c r="O315" s="190"/>
      <c r="P315" s="190"/>
      <c r="Q315" s="190"/>
      <c r="R315" s="190"/>
      <c r="S315" s="190"/>
      <c r="T315" s="190"/>
      <c r="U315" s="190"/>
      <c r="V315" s="190"/>
      <c r="W315" s="190"/>
      <c r="X315" s="190"/>
      <c r="Y315" s="190"/>
    </row>
    <row r="316" spans="1:30" s="191" customFormat="1" ht="23.25">
      <c r="A316" s="190"/>
      <c r="B316" s="190"/>
      <c r="C316" s="190"/>
      <c r="D316" s="190"/>
      <c r="E316" s="190"/>
      <c r="F316" s="190"/>
      <c r="G316" s="197"/>
      <c r="H316" s="190"/>
      <c r="I316" s="197"/>
      <c r="J316" s="190"/>
      <c r="K316" s="190"/>
      <c r="L316" s="190"/>
      <c r="M316" s="190"/>
      <c r="N316" s="190"/>
      <c r="O316" s="190"/>
      <c r="P316" s="190"/>
      <c r="Q316" s="190"/>
      <c r="R316" s="190"/>
      <c r="S316" s="190"/>
      <c r="T316" s="190"/>
      <c r="U316" s="190"/>
      <c r="V316" s="190"/>
      <c r="W316" s="190"/>
      <c r="X316" s="190"/>
      <c r="Y316" s="190"/>
    </row>
    <row r="317" spans="1:30" s="191" customFormat="1" ht="23.25">
      <c r="A317" s="190"/>
      <c r="B317" s="190"/>
      <c r="C317" s="190"/>
      <c r="D317" s="190"/>
      <c r="E317" s="190"/>
      <c r="F317" s="190"/>
      <c r="G317" s="197"/>
      <c r="H317" s="190"/>
      <c r="I317" s="197"/>
      <c r="J317" s="190"/>
      <c r="K317" s="190"/>
      <c r="L317" s="190"/>
      <c r="M317" s="190"/>
      <c r="N317" s="190"/>
      <c r="O317" s="190"/>
      <c r="P317" s="190"/>
      <c r="Q317" s="190"/>
      <c r="R317" s="190"/>
      <c r="S317" s="190"/>
      <c r="T317" s="190"/>
      <c r="U317" s="190"/>
      <c r="V317" s="190"/>
      <c r="W317" s="190"/>
      <c r="X317" s="190"/>
      <c r="Y317" s="190"/>
    </row>
    <row r="318" spans="1:30" s="195" customFormat="1" ht="23.25">
      <c r="A318" s="193"/>
      <c r="B318" s="193"/>
      <c r="C318" s="193"/>
      <c r="D318" s="193"/>
      <c r="E318" s="193"/>
      <c r="F318" s="193"/>
      <c r="G318" s="196"/>
      <c r="H318" s="193"/>
      <c r="I318" s="196"/>
      <c r="J318" s="190"/>
      <c r="K318" s="190"/>
      <c r="L318" s="190"/>
      <c r="M318" s="190"/>
      <c r="N318" s="190"/>
      <c r="O318" s="190"/>
      <c r="P318" s="190"/>
      <c r="Q318" s="190"/>
      <c r="R318" s="190"/>
      <c r="S318" s="190"/>
      <c r="T318" s="190"/>
      <c r="U318" s="190"/>
      <c r="V318" s="190"/>
      <c r="W318" s="190"/>
      <c r="X318" s="190"/>
      <c r="Y318" s="190"/>
      <c r="Z318" s="191"/>
      <c r="AA318" s="191"/>
      <c r="AB318" s="191"/>
      <c r="AC318" s="191"/>
      <c r="AD318" s="191"/>
    </row>
    <row r="319" spans="1:30" s="195" customFormat="1" ht="23.25">
      <c r="A319" s="193"/>
      <c r="B319" s="193"/>
      <c r="C319" s="193"/>
      <c r="D319" s="193"/>
      <c r="E319" s="193"/>
      <c r="F319" s="193"/>
      <c r="G319" s="196"/>
      <c r="H319" s="193"/>
      <c r="I319" s="196"/>
      <c r="J319" s="190"/>
      <c r="K319" s="190"/>
      <c r="L319" s="190"/>
      <c r="M319" s="190"/>
      <c r="N319" s="190"/>
      <c r="O319" s="190"/>
      <c r="P319" s="190"/>
      <c r="Q319" s="190"/>
      <c r="R319" s="190"/>
      <c r="S319" s="190"/>
      <c r="T319" s="190"/>
      <c r="U319" s="190"/>
      <c r="V319" s="190"/>
      <c r="W319" s="190"/>
      <c r="X319" s="190"/>
      <c r="Y319" s="190"/>
      <c r="Z319" s="191"/>
      <c r="AA319" s="191"/>
      <c r="AB319" s="191"/>
      <c r="AC319" s="191"/>
      <c r="AD319" s="191"/>
    </row>
    <row r="320" spans="1:30" s="195" customFormat="1" ht="23.25">
      <c r="A320" s="193"/>
      <c r="B320" s="193"/>
      <c r="C320" s="193"/>
      <c r="D320" s="193"/>
      <c r="E320" s="193"/>
      <c r="F320" s="193"/>
      <c r="G320" s="196"/>
      <c r="H320" s="193"/>
      <c r="I320" s="196"/>
      <c r="J320" s="190"/>
      <c r="K320" s="190"/>
      <c r="L320" s="190"/>
      <c r="M320" s="190"/>
      <c r="N320" s="190"/>
      <c r="O320" s="190"/>
      <c r="P320" s="190"/>
      <c r="Q320" s="190"/>
      <c r="R320" s="190"/>
      <c r="S320" s="190"/>
      <c r="T320" s="190"/>
      <c r="U320" s="190"/>
      <c r="V320" s="190"/>
      <c r="W320" s="190"/>
      <c r="X320" s="190"/>
      <c r="Y320" s="190"/>
      <c r="Z320" s="191"/>
      <c r="AA320" s="191"/>
      <c r="AB320" s="191"/>
      <c r="AC320" s="191"/>
      <c r="AD320" s="191"/>
    </row>
    <row r="321" spans="1:30" s="195" customFormat="1" ht="23.25">
      <c r="A321" s="193"/>
      <c r="B321" s="193"/>
      <c r="C321" s="193"/>
      <c r="D321" s="193"/>
      <c r="E321" s="193"/>
      <c r="F321" s="193"/>
      <c r="G321" s="196"/>
      <c r="H321" s="193"/>
      <c r="I321" s="196"/>
      <c r="J321" s="190"/>
      <c r="K321" s="190"/>
      <c r="L321" s="190"/>
      <c r="M321" s="190"/>
      <c r="N321" s="190"/>
      <c r="O321" s="190"/>
      <c r="P321" s="190"/>
      <c r="Q321" s="190"/>
      <c r="R321" s="190"/>
      <c r="S321" s="190"/>
      <c r="T321" s="190"/>
      <c r="U321" s="190"/>
      <c r="V321" s="190"/>
      <c r="W321" s="190"/>
      <c r="X321" s="190"/>
      <c r="Y321" s="190"/>
      <c r="Z321" s="191"/>
      <c r="AA321" s="191"/>
      <c r="AB321" s="191"/>
      <c r="AC321" s="191"/>
      <c r="AD321" s="191"/>
    </row>
    <row r="322" spans="1:30" s="195" customFormat="1" ht="23.25">
      <c r="A322" s="193"/>
      <c r="B322" s="193"/>
      <c r="C322" s="193"/>
      <c r="D322" s="193"/>
      <c r="E322" s="193"/>
      <c r="F322" s="193"/>
      <c r="G322" s="196"/>
      <c r="H322" s="193"/>
      <c r="I322" s="196"/>
      <c r="J322" s="190"/>
      <c r="K322" s="190"/>
      <c r="L322" s="190"/>
      <c r="M322" s="190"/>
      <c r="N322" s="190"/>
      <c r="O322" s="190"/>
      <c r="P322" s="190"/>
      <c r="Q322" s="190"/>
      <c r="R322" s="190"/>
      <c r="S322" s="190"/>
      <c r="T322" s="190"/>
      <c r="U322" s="190"/>
      <c r="V322" s="190"/>
      <c r="W322" s="190"/>
      <c r="X322" s="190"/>
      <c r="Y322" s="190"/>
      <c r="Z322" s="191"/>
      <c r="AA322" s="191"/>
      <c r="AB322" s="191"/>
      <c r="AC322" s="191"/>
      <c r="AD322" s="191"/>
    </row>
    <row r="323" spans="1:30" s="195" customFormat="1" ht="23.25">
      <c r="A323" s="193"/>
      <c r="B323" s="193"/>
      <c r="C323" s="193"/>
      <c r="D323" s="193"/>
      <c r="E323" s="193"/>
      <c r="F323" s="193"/>
      <c r="G323" s="196"/>
      <c r="H323" s="193"/>
      <c r="I323" s="196"/>
      <c r="J323" s="190"/>
      <c r="K323" s="190"/>
      <c r="L323" s="190"/>
      <c r="M323" s="190"/>
      <c r="N323" s="190"/>
      <c r="O323" s="190"/>
      <c r="P323" s="190"/>
      <c r="Q323" s="190"/>
      <c r="R323" s="190"/>
      <c r="S323" s="190"/>
      <c r="T323" s="190"/>
      <c r="U323" s="190"/>
      <c r="V323" s="190"/>
      <c r="W323" s="190"/>
      <c r="X323" s="190"/>
      <c r="Y323" s="190"/>
      <c r="Z323" s="191"/>
      <c r="AA323" s="191"/>
      <c r="AB323" s="191"/>
      <c r="AC323" s="191"/>
      <c r="AD323" s="191"/>
    </row>
    <row r="324" spans="1:30" s="195" customFormat="1" ht="23.25">
      <c r="A324" s="193"/>
      <c r="B324" s="193"/>
      <c r="C324" s="193"/>
      <c r="D324" s="193"/>
      <c r="E324" s="193"/>
      <c r="F324" s="193"/>
      <c r="G324" s="196"/>
      <c r="H324" s="193"/>
      <c r="I324" s="196"/>
      <c r="J324" s="190"/>
      <c r="K324" s="190"/>
      <c r="L324" s="190"/>
      <c r="M324" s="190"/>
      <c r="N324" s="190"/>
      <c r="O324" s="190"/>
      <c r="P324" s="190"/>
      <c r="Q324" s="190"/>
      <c r="R324" s="190"/>
      <c r="S324" s="190"/>
      <c r="T324" s="190"/>
      <c r="U324" s="190"/>
      <c r="V324" s="190"/>
      <c r="W324" s="190"/>
      <c r="X324" s="190"/>
      <c r="Y324" s="190"/>
      <c r="Z324" s="191"/>
      <c r="AA324" s="191"/>
      <c r="AB324" s="191"/>
      <c r="AC324" s="191"/>
      <c r="AD324" s="191"/>
    </row>
    <row r="325" spans="1:30" s="195" customFormat="1" ht="23.25">
      <c r="A325" s="193"/>
      <c r="B325" s="193"/>
      <c r="C325" s="193"/>
      <c r="D325" s="193"/>
      <c r="E325" s="193"/>
      <c r="F325" s="193"/>
      <c r="G325" s="196"/>
      <c r="H325" s="193"/>
      <c r="I325" s="196"/>
      <c r="J325" s="190"/>
      <c r="K325" s="190"/>
      <c r="L325" s="190"/>
      <c r="M325" s="190"/>
      <c r="N325" s="190"/>
      <c r="O325" s="190"/>
      <c r="P325" s="190"/>
      <c r="Q325" s="190"/>
      <c r="R325" s="190"/>
      <c r="S325" s="190"/>
      <c r="T325" s="190"/>
      <c r="U325" s="190"/>
      <c r="V325" s="190"/>
      <c r="W325" s="190"/>
      <c r="X325" s="190"/>
      <c r="Y325" s="190"/>
      <c r="Z325" s="191"/>
      <c r="AA325" s="191"/>
      <c r="AB325" s="191"/>
      <c r="AC325" s="191"/>
      <c r="AD325" s="191"/>
    </row>
    <row r="326" spans="1:30" s="195" customFormat="1" ht="23.25">
      <c r="A326" s="193"/>
      <c r="B326" s="193"/>
      <c r="C326" s="193"/>
      <c r="D326" s="193"/>
      <c r="E326" s="193"/>
      <c r="F326" s="193"/>
      <c r="G326" s="196"/>
      <c r="H326" s="193"/>
      <c r="I326" s="196"/>
      <c r="J326" s="190"/>
      <c r="K326" s="190"/>
      <c r="L326" s="190"/>
      <c r="M326" s="190"/>
      <c r="N326" s="190"/>
      <c r="O326" s="190"/>
      <c r="P326" s="190"/>
      <c r="Q326" s="190"/>
      <c r="R326" s="190"/>
      <c r="S326" s="190"/>
      <c r="T326" s="190"/>
      <c r="U326" s="190"/>
      <c r="V326" s="190"/>
      <c r="W326" s="190"/>
      <c r="X326" s="190"/>
      <c r="Y326" s="190"/>
      <c r="Z326" s="191"/>
      <c r="AA326" s="191"/>
      <c r="AB326" s="191"/>
      <c r="AC326" s="191"/>
      <c r="AD326" s="191"/>
    </row>
    <row r="327" spans="1:30" s="195" customFormat="1" ht="23.25">
      <c r="A327" s="193"/>
      <c r="B327" s="193"/>
      <c r="C327" s="193"/>
      <c r="D327" s="193"/>
      <c r="E327" s="193"/>
      <c r="F327" s="193"/>
      <c r="G327" s="196"/>
      <c r="H327" s="193"/>
      <c r="I327" s="196"/>
      <c r="J327" s="190"/>
      <c r="K327" s="190"/>
      <c r="L327" s="190"/>
      <c r="M327" s="190"/>
      <c r="N327" s="190"/>
      <c r="O327" s="190"/>
      <c r="P327" s="190"/>
      <c r="Q327" s="190"/>
      <c r="R327" s="190"/>
      <c r="S327" s="190"/>
      <c r="T327" s="190"/>
      <c r="U327" s="190"/>
      <c r="V327" s="190"/>
      <c r="W327" s="190"/>
      <c r="X327" s="190"/>
      <c r="Y327" s="190"/>
      <c r="Z327" s="191"/>
      <c r="AA327" s="191"/>
      <c r="AB327" s="191"/>
      <c r="AC327" s="191"/>
      <c r="AD327" s="191"/>
    </row>
    <row r="328" spans="1:30" s="195" customFormat="1" ht="23.25">
      <c r="A328" s="193"/>
      <c r="B328" s="193"/>
      <c r="C328" s="193"/>
      <c r="D328" s="193"/>
      <c r="E328" s="193"/>
      <c r="F328" s="193"/>
      <c r="G328" s="196"/>
      <c r="H328" s="193"/>
      <c r="I328" s="196"/>
      <c r="J328" s="190"/>
      <c r="K328" s="190"/>
      <c r="L328" s="190"/>
      <c r="M328" s="190"/>
      <c r="N328" s="190"/>
      <c r="O328" s="190"/>
      <c r="P328" s="190"/>
      <c r="Q328" s="190"/>
      <c r="R328" s="190"/>
      <c r="S328" s="190"/>
      <c r="T328" s="190"/>
      <c r="U328" s="190"/>
      <c r="V328" s="190"/>
      <c r="W328" s="190"/>
      <c r="X328" s="190"/>
      <c r="Y328" s="190"/>
      <c r="Z328" s="191"/>
      <c r="AA328" s="191"/>
      <c r="AB328" s="191"/>
      <c r="AC328" s="191"/>
      <c r="AD328" s="191"/>
    </row>
    <row r="329" spans="1:30" s="195" customFormat="1" ht="23.25">
      <c r="A329" s="193"/>
      <c r="B329" s="193"/>
      <c r="C329" s="193"/>
      <c r="D329" s="193"/>
      <c r="E329" s="193"/>
      <c r="F329" s="193"/>
      <c r="G329" s="196"/>
      <c r="H329" s="193"/>
      <c r="I329" s="196"/>
      <c r="J329" s="190"/>
      <c r="K329" s="190"/>
      <c r="L329" s="190"/>
      <c r="M329" s="190"/>
      <c r="N329" s="190"/>
      <c r="O329" s="190"/>
      <c r="P329" s="190"/>
      <c r="Q329" s="190"/>
      <c r="R329" s="190"/>
      <c r="S329" s="190"/>
      <c r="T329" s="190"/>
      <c r="U329" s="190"/>
      <c r="V329" s="190"/>
      <c r="W329" s="190"/>
      <c r="X329" s="190"/>
      <c r="Y329" s="190"/>
      <c r="Z329" s="191"/>
      <c r="AA329" s="191"/>
      <c r="AB329" s="191"/>
      <c r="AC329" s="191"/>
      <c r="AD329" s="191"/>
    </row>
    <row r="330" spans="1:30" s="195" customFormat="1" ht="23.25">
      <c r="A330" s="193"/>
      <c r="B330" s="193"/>
      <c r="C330" s="193"/>
      <c r="D330" s="193"/>
      <c r="E330" s="193"/>
      <c r="F330" s="193"/>
      <c r="G330" s="196"/>
      <c r="H330" s="193"/>
      <c r="I330" s="196"/>
      <c r="J330" s="190"/>
      <c r="K330" s="190"/>
      <c r="L330" s="190"/>
      <c r="M330" s="190"/>
      <c r="N330" s="190"/>
      <c r="O330" s="190"/>
      <c r="P330" s="190"/>
      <c r="Q330" s="190"/>
      <c r="R330" s="190"/>
      <c r="S330" s="190"/>
      <c r="T330" s="190"/>
      <c r="U330" s="190"/>
      <c r="V330" s="190"/>
      <c r="W330" s="190"/>
      <c r="X330" s="190"/>
      <c r="Y330" s="190"/>
      <c r="Z330" s="191"/>
      <c r="AA330" s="191"/>
      <c r="AB330" s="191"/>
      <c r="AC330" s="191"/>
      <c r="AD330" s="191"/>
    </row>
    <row r="331" spans="1:30" s="195" customFormat="1" ht="23.25">
      <c r="A331" s="193"/>
      <c r="B331" s="193"/>
      <c r="C331" s="193"/>
      <c r="D331" s="193"/>
      <c r="E331" s="193"/>
      <c r="F331" s="193"/>
      <c r="G331" s="196"/>
      <c r="H331" s="193"/>
      <c r="I331" s="196"/>
      <c r="J331" s="190"/>
      <c r="K331" s="190"/>
      <c r="L331" s="190"/>
      <c r="M331" s="190"/>
      <c r="N331" s="190"/>
      <c r="O331" s="190"/>
      <c r="P331" s="190"/>
      <c r="Q331" s="190"/>
      <c r="R331" s="190"/>
      <c r="S331" s="190"/>
      <c r="T331" s="190"/>
      <c r="U331" s="190"/>
      <c r="V331" s="190"/>
      <c r="W331" s="190"/>
      <c r="X331" s="190"/>
      <c r="Y331" s="190"/>
      <c r="Z331" s="191"/>
      <c r="AA331" s="191"/>
      <c r="AB331" s="191"/>
      <c r="AC331" s="191"/>
      <c r="AD331" s="191"/>
    </row>
    <row r="332" spans="1:30" s="195" customFormat="1" ht="23.25">
      <c r="A332" s="193"/>
      <c r="B332" s="193"/>
      <c r="C332" s="193"/>
      <c r="D332" s="193"/>
      <c r="E332" s="193"/>
      <c r="F332" s="193"/>
      <c r="G332" s="196"/>
      <c r="H332" s="193"/>
      <c r="I332" s="196"/>
      <c r="J332" s="190"/>
      <c r="K332" s="190"/>
      <c r="L332" s="190"/>
      <c r="M332" s="190"/>
      <c r="N332" s="190"/>
      <c r="O332" s="190"/>
      <c r="P332" s="190"/>
      <c r="Q332" s="190"/>
      <c r="R332" s="190"/>
      <c r="S332" s="190"/>
      <c r="T332" s="190"/>
      <c r="U332" s="190"/>
      <c r="V332" s="190"/>
      <c r="W332" s="190"/>
      <c r="X332" s="190"/>
      <c r="Y332" s="190"/>
      <c r="Z332" s="191"/>
      <c r="AA332" s="191"/>
      <c r="AB332" s="191"/>
      <c r="AC332" s="191"/>
      <c r="AD332" s="191"/>
    </row>
    <row r="333" spans="1:30" s="195" customFormat="1" ht="23.25">
      <c r="A333" s="193"/>
      <c r="B333" s="193"/>
      <c r="C333" s="193"/>
      <c r="D333" s="193"/>
      <c r="E333" s="193"/>
      <c r="F333" s="193"/>
      <c r="G333" s="196"/>
      <c r="H333" s="193"/>
      <c r="I333" s="196"/>
      <c r="J333" s="190"/>
      <c r="K333" s="190"/>
      <c r="L333" s="190"/>
      <c r="M333" s="190"/>
      <c r="N333" s="190"/>
      <c r="O333" s="190"/>
      <c r="P333" s="190"/>
      <c r="Q333" s="190"/>
      <c r="R333" s="190"/>
      <c r="S333" s="190"/>
      <c r="T333" s="190"/>
      <c r="U333" s="190"/>
      <c r="V333" s="190"/>
      <c r="W333" s="190"/>
      <c r="X333" s="190"/>
      <c r="Y333" s="190"/>
      <c r="Z333" s="191"/>
      <c r="AA333" s="191"/>
      <c r="AB333" s="191"/>
      <c r="AC333" s="191"/>
      <c r="AD333" s="191"/>
    </row>
    <row r="334" spans="1:30" s="195" customFormat="1" ht="23.25">
      <c r="A334" s="193"/>
      <c r="B334" s="193"/>
      <c r="C334" s="193"/>
      <c r="D334" s="193"/>
      <c r="E334" s="193"/>
      <c r="F334" s="193"/>
      <c r="G334" s="196"/>
      <c r="H334" s="193"/>
      <c r="I334" s="196"/>
      <c r="J334" s="190"/>
      <c r="K334" s="190"/>
      <c r="L334" s="190"/>
      <c r="M334" s="190"/>
      <c r="N334" s="190"/>
      <c r="O334" s="190"/>
      <c r="P334" s="190"/>
      <c r="Q334" s="190"/>
      <c r="R334" s="190"/>
      <c r="S334" s="190"/>
      <c r="T334" s="190"/>
      <c r="U334" s="190"/>
      <c r="V334" s="190"/>
      <c r="W334" s="190"/>
      <c r="X334" s="190"/>
      <c r="Y334" s="190"/>
      <c r="Z334" s="191"/>
      <c r="AA334" s="191"/>
      <c r="AB334" s="191"/>
      <c r="AC334" s="191"/>
      <c r="AD334" s="191"/>
    </row>
    <row r="335" spans="1:30" s="195" customFormat="1" ht="23.25">
      <c r="A335" s="193"/>
      <c r="B335" s="193"/>
      <c r="C335" s="193"/>
      <c r="D335" s="193"/>
      <c r="E335" s="193"/>
      <c r="F335" s="193"/>
      <c r="G335" s="196"/>
      <c r="H335" s="193"/>
      <c r="I335" s="196"/>
      <c r="J335" s="190"/>
      <c r="K335" s="190"/>
      <c r="L335" s="190"/>
      <c r="M335" s="190"/>
      <c r="N335" s="190"/>
      <c r="O335" s="190"/>
      <c r="P335" s="190"/>
      <c r="Q335" s="190"/>
      <c r="R335" s="190"/>
      <c r="S335" s="190"/>
      <c r="T335" s="190"/>
      <c r="U335" s="190"/>
      <c r="V335" s="190"/>
      <c r="W335" s="190"/>
      <c r="X335" s="190"/>
      <c r="Y335" s="190"/>
      <c r="Z335" s="191"/>
      <c r="AA335" s="191"/>
      <c r="AB335" s="191"/>
      <c r="AC335" s="191"/>
      <c r="AD335" s="191"/>
    </row>
    <row r="336" spans="1:30" s="195" customFormat="1" ht="23.25">
      <c r="A336" s="193"/>
      <c r="B336" s="193"/>
      <c r="C336" s="193"/>
      <c r="D336" s="193"/>
      <c r="E336" s="193"/>
      <c r="F336" s="193"/>
      <c r="G336" s="196"/>
      <c r="H336" s="193"/>
      <c r="I336" s="196"/>
      <c r="J336" s="190"/>
      <c r="K336" s="190"/>
      <c r="L336" s="190"/>
      <c r="M336" s="190"/>
      <c r="N336" s="190"/>
      <c r="O336" s="190"/>
      <c r="P336" s="190"/>
      <c r="Q336" s="190"/>
      <c r="R336" s="190"/>
      <c r="S336" s="190"/>
      <c r="T336" s="190"/>
      <c r="U336" s="190"/>
      <c r="V336" s="190"/>
      <c r="W336" s="190"/>
      <c r="X336" s="190"/>
      <c r="Y336" s="190"/>
      <c r="Z336" s="191"/>
      <c r="AA336" s="191"/>
      <c r="AB336" s="191"/>
      <c r="AC336" s="191"/>
      <c r="AD336" s="191"/>
    </row>
    <row r="337" spans="1:30" s="195" customFormat="1" ht="23.25">
      <c r="A337" s="193"/>
      <c r="B337" s="193"/>
      <c r="C337" s="193"/>
      <c r="D337" s="193"/>
      <c r="E337" s="193"/>
      <c r="F337" s="193"/>
      <c r="G337" s="196"/>
      <c r="H337" s="193"/>
      <c r="I337" s="196"/>
      <c r="J337" s="190"/>
      <c r="K337" s="190"/>
      <c r="L337" s="190"/>
      <c r="M337" s="190"/>
      <c r="N337" s="190"/>
      <c r="O337" s="190"/>
      <c r="P337" s="190"/>
      <c r="Q337" s="190"/>
      <c r="R337" s="190"/>
      <c r="S337" s="190"/>
      <c r="T337" s="190"/>
      <c r="U337" s="190"/>
      <c r="V337" s="190"/>
      <c r="W337" s="190"/>
      <c r="X337" s="190"/>
      <c r="Y337" s="190"/>
      <c r="Z337" s="191"/>
      <c r="AA337" s="191"/>
      <c r="AB337" s="191"/>
      <c r="AC337" s="191"/>
      <c r="AD337" s="191"/>
    </row>
    <row r="338" spans="1:30" s="195" customFormat="1" ht="23.25">
      <c r="A338" s="193"/>
      <c r="B338" s="193"/>
      <c r="C338" s="193"/>
      <c r="D338" s="193"/>
      <c r="E338" s="193"/>
      <c r="F338" s="193"/>
      <c r="G338" s="196"/>
      <c r="H338" s="193"/>
      <c r="I338" s="196"/>
      <c r="J338" s="190"/>
      <c r="K338" s="190"/>
      <c r="L338" s="190"/>
      <c r="M338" s="190"/>
      <c r="N338" s="190"/>
      <c r="O338" s="190"/>
      <c r="P338" s="190"/>
      <c r="Q338" s="190"/>
      <c r="R338" s="190"/>
      <c r="S338" s="190"/>
      <c r="T338" s="190"/>
      <c r="U338" s="190"/>
      <c r="V338" s="190"/>
      <c r="W338" s="190"/>
      <c r="X338" s="190"/>
      <c r="Y338" s="190"/>
      <c r="Z338" s="191"/>
      <c r="AA338" s="191"/>
      <c r="AB338" s="191"/>
      <c r="AC338" s="191"/>
      <c r="AD338" s="191"/>
    </row>
    <row r="339" spans="1:30" s="195" customFormat="1" ht="23.25">
      <c r="A339" s="193"/>
      <c r="B339" s="193"/>
      <c r="C339" s="193"/>
      <c r="D339" s="193"/>
      <c r="E339" s="193"/>
      <c r="F339" s="193"/>
      <c r="G339" s="196"/>
      <c r="H339" s="193"/>
      <c r="I339" s="196"/>
      <c r="J339" s="190"/>
      <c r="K339" s="190"/>
      <c r="L339" s="190"/>
      <c r="M339" s="190"/>
      <c r="N339" s="190"/>
      <c r="O339" s="190"/>
      <c r="P339" s="190"/>
      <c r="Q339" s="190"/>
      <c r="R339" s="190"/>
      <c r="S339" s="190"/>
      <c r="T339" s="190"/>
      <c r="U339" s="190"/>
      <c r="V339" s="190"/>
      <c r="W339" s="190"/>
      <c r="X339" s="190"/>
      <c r="Y339" s="190"/>
      <c r="Z339" s="191"/>
      <c r="AA339" s="191"/>
      <c r="AB339" s="191"/>
      <c r="AC339" s="191"/>
      <c r="AD339" s="191"/>
    </row>
    <row r="340" spans="1:30" s="195" customFormat="1" ht="23.25">
      <c r="A340" s="193"/>
      <c r="B340" s="193"/>
      <c r="C340" s="193"/>
      <c r="D340" s="193"/>
      <c r="E340" s="193"/>
      <c r="F340" s="193"/>
      <c r="G340" s="196"/>
      <c r="H340" s="193"/>
      <c r="I340" s="196"/>
      <c r="J340" s="190"/>
      <c r="K340" s="190"/>
      <c r="L340" s="190"/>
      <c r="M340" s="190"/>
      <c r="N340" s="190"/>
      <c r="O340" s="190"/>
      <c r="P340" s="190"/>
      <c r="Q340" s="190"/>
      <c r="R340" s="190"/>
      <c r="S340" s="190"/>
      <c r="T340" s="190"/>
      <c r="U340" s="190"/>
      <c r="V340" s="190"/>
      <c r="W340" s="190"/>
      <c r="X340" s="190"/>
      <c r="Y340" s="190"/>
      <c r="Z340" s="191"/>
      <c r="AA340" s="191"/>
      <c r="AB340" s="191"/>
      <c r="AC340" s="191"/>
      <c r="AD340" s="191"/>
    </row>
    <row r="341" spans="1:30" s="195" customFormat="1" ht="23.25">
      <c r="A341" s="193"/>
      <c r="B341" s="193"/>
      <c r="C341" s="193"/>
      <c r="D341" s="193"/>
      <c r="E341" s="193"/>
      <c r="F341" s="193"/>
      <c r="G341" s="196"/>
      <c r="H341" s="193"/>
      <c r="I341" s="196"/>
      <c r="J341" s="190"/>
      <c r="K341" s="190"/>
      <c r="L341" s="190"/>
      <c r="M341" s="190"/>
      <c r="N341" s="190"/>
      <c r="O341" s="190"/>
      <c r="P341" s="190"/>
      <c r="Q341" s="190"/>
      <c r="R341" s="190"/>
      <c r="S341" s="190"/>
      <c r="T341" s="190"/>
      <c r="U341" s="190"/>
      <c r="V341" s="190"/>
      <c r="W341" s="190"/>
      <c r="X341" s="190"/>
      <c r="Y341" s="190"/>
      <c r="Z341" s="191"/>
      <c r="AA341" s="191"/>
      <c r="AB341" s="191"/>
      <c r="AC341" s="191"/>
      <c r="AD341" s="191"/>
    </row>
    <row r="342" spans="1:30" s="195" customFormat="1" ht="23.25">
      <c r="A342" s="193"/>
      <c r="B342" s="193"/>
      <c r="C342" s="193"/>
      <c r="D342" s="193"/>
      <c r="E342" s="193"/>
      <c r="F342" s="193"/>
      <c r="G342" s="196"/>
      <c r="H342" s="193"/>
      <c r="I342" s="196"/>
      <c r="J342" s="190"/>
      <c r="K342" s="190"/>
      <c r="L342" s="190"/>
      <c r="M342" s="190"/>
      <c r="N342" s="190"/>
      <c r="O342" s="190"/>
      <c r="P342" s="190"/>
      <c r="Q342" s="190"/>
      <c r="R342" s="190"/>
      <c r="S342" s="190"/>
      <c r="T342" s="190"/>
      <c r="U342" s="190"/>
      <c r="V342" s="190"/>
      <c r="W342" s="190"/>
      <c r="X342" s="190"/>
      <c r="Y342" s="190"/>
      <c r="Z342" s="191"/>
      <c r="AA342" s="191"/>
      <c r="AB342" s="191"/>
      <c r="AC342" s="191"/>
      <c r="AD342" s="191"/>
    </row>
    <row r="343" spans="1:30" s="195" customFormat="1" ht="23.25">
      <c r="A343" s="193"/>
      <c r="B343" s="193"/>
      <c r="C343" s="193"/>
      <c r="D343" s="193"/>
      <c r="E343" s="193"/>
      <c r="F343" s="193"/>
      <c r="G343" s="196"/>
      <c r="H343" s="193"/>
      <c r="I343" s="196"/>
      <c r="J343" s="190"/>
      <c r="K343" s="190"/>
      <c r="L343" s="190"/>
      <c r="M343" s="190"/>
      <c r="N343" s="190"/>
      <c r="O343" s="190"/>
      <c r="P343" s="190"/>
      <c r="Q343" s="190"/>
      <c r="R343" s="190"/>
      <c r="S343" s="190"/>
      <c r="T343" s="190"/>
      <c r="U343" s="190"/>
      <c r="V343" s="190"/>
      <c r="W343" s="190"/>
      <c r="X343" s="190"/>
      <c r="Y343" s="190"/>
      <c r="Z343" s="191"/>
      <c r="AA343" s="191"/>
      <c r="AB343" s="191"/>
      <c r="AC343" s="191"/>
      <c r="AD343" s="191"/>
    </row>
    <row r="344" spans="1:30" s="195" customFormat="1" ht="23.25">
      <c r="A344" s="193"/>
      <c r="B344" s="193"/>
      <c r="C344" s="193"/>
      <c r="D344" s="193"/>
      <c r="E344" s="193"/>
      <c r="F344" s="193"/>
      <c r="G344" s="196"/>
      <c r="H344" s="193"/>
      <c r="I344" s="196"/>
      <c r="J344" s="190"/>
      <c r="K344" s="190"/>
      <c r="L344" s="190"/>
      <c r="M344" s="190"/>
      <c r="N344" s="190"/>
      <c r="O344" s="190"/>
      <c r="P344" s="190"/>
      <c r="Q344" s="190"/>
      <c r="R344" s="190"/>
      <c r="S344" s="190"/>
      <c r="T344" s="190"/>
      <c r="U344" s="190"/>
      <c r="V344" s="190"/>
      <c r="W344" s="190"/>
      <c r="X344" s="190"/>
      <c r="Y344" s="190"/>
      <c r="Z344" s="191"/>
      <c r="AA344" s="191"/>
      <c r="AB344" s="191"/>
      <c r="AC344" s="191"/>
      <c r="AD344" s="191"/>
    </row>
    <row r="345" spans="1:30" s="195" customFormat="1" ht="23.25">
      <c r="A345" s="193"/>
      <c r="B345" s="193"/>
      <c r="C345" s="193"/>
      <c r="D345" s="193"/>
      <c r="E345" s="193"/>
      <c r="F345" s="193"/>
      <c r="G345" s="196"/>
      <c r="H345" s="193"/>
      <c r="I345" s="196"/>
      <c r="J345" s="190"/>
      <c r="K345" s="190"/>
      <c r="L345" s="190"/>
      <c r="M345" s="190"/>
      <c r="N345" s="190"/>
      <c r="O345" s="190"/>
      <c r="P345" s="190"/>
      <c r="Q345" s="190"/>
      <c r="R345" s="190"/>
      <c r="S345" s="190"/>
      <c r="T345" s="190"/>
      <c r="U345" s="190"/>
      <c r="V345" s="190"/>
      <c r="W345" s="190"/>
      <c r="X345" s="190"/>
      <c r="Y345" s="190"/>
      <c r="Z345" s="191"/>
      <c r="AA345" s="191"/>
      <c r="AB345" s="191"/>
      <c r="AC345" s="191"/>
      <c r="AD345" s="191"/>
    </row>
    <row r="346" spans="1:30" s="195" customFormat="1" ht="23.25">
      <c r="A346" s="193"/>
      <c r="B346" s="193"/>
      <c r="C346" s="193"/>
      <c r="D346" s="193"/>
      <c r="E346" s="193"/>
      <c r="F346" s="193"/>
      <c r="G346" s="196"/>
      <c r="H346" s="193"/>
      <c r="I346" s="196"/>
      <c r="J346" s="190"/>
      <c r="K346" s="190"/>
      <c r="L346" s="190"/>
      <c r="M346" s="190"/>
      <c r="N346" s="190"/>
      <c r="O346" s="190"/>
      <c r="P346" s="190"/>
      <c r="Q346" s="190"/>
      <c r="R346" s="190"/>
      <c r="S346" s="190"/>
      <c r="T346" s="190"/>
      <c r="U346" s="190"/>
      <c r="V346" s="190"/>
      <c r="W346" s="190"/>
      <c r="X346" s="190"/>
      <c r="Y346" s="190"/>
      <c r="Z346" s="191"/>
      <c r="AA346" s="191"/>
      <c r="AB346" s="191"/>
      <c r="AC346" s="191"/>
      <c r="AD346" s="191"/>
    </row>
    <row r="347" spans="1:30" s="195" customFormat="1" ht="23.25">
      <c r="A347" s="193"/>
      <c r="B347" s="193"/>
      <c r="C347" s="193"/>
      <c r="D347" s="193"/>
      <c r="E347" s="193"/>
      <c r="F347" s="193"/>
      <c r="G347" s="196"/>
      <c r="H347" s="193"/>
      <c r="I347" s="196"/>
      <c r="J347" s="190"/>
      <c r="K347" s="190"/>
      <c r="L347" s="190"/>
      <c r="M347" s="190"/>
      <c r="N347" s="190"/>
      <c r="O347" s="190"/>
      <c r="P347" s="190"/>
      <c r="Q347" s="190"/>
      <c r="R347" s="190"/>
      <c r="S347" s="190"/>
      <c r="T347" s="190"/>
      <c r="U347" s="190"/>
      <c r="V347" s="190"/>
      <c r="W347" s="190"/>
      <c r="X347" s="190"/>
      <c r="Y347" s="190"/>
      <c r="Z347" s="191"/>
      <c r="AA347" s="191"/>
      <c r="AB347" s="191"/>
      <c r="AC347" s="191"/>
      <c r="AD347" s="191"/>
    </row>
    <row r="348" spans="1:30" s="195" customFormat="1" ht="23.25">
      <c r="A348" s="193"/>
      <c r="B348" s="193"/>
      <c r="C348" s="193"/>
      <c r="D348" s="193"/>
      <c r="E348" s="193"/>
      <c r="F348" s="193"/>
      <c r="G348" s="196"/>
      <c r="H348" s="193"/>
      <c r="I348" s="196"/>
      <c r="J348" s="190"/>
      <c r="K348" s="190"/>
      <c r="L348" s="190"/>
      <c r="M348" s="190"/>
      <c r="N348" s="190"/>
      <c r="O348" s="190"/>
      <c r="P348" s="190"/>
      <c r="Q348" s="190"/>
      <c r="R348" s="190"/>
      <c r="S348" s="190"/>
      <c r="T348" s="190"/>
      <c r="U348" s="190"/>
      <c r="V348" s="190"/>
      <c r="W348" s="190"/>
      <c r="X348" s="190"/>
      <c r="Y348" s="190"/>
      <c r="Z348" s="191"/>
      <c r="AA348" s="191"/>
      <c r="AB348" s="191"/>
      <c r="AC348" s="191"/>
      <c r="AD348" s="191"/>
    </row>
    <row r="349" spans="1:30" s="195" customFormat="1" ht="23.25">
      <c r="A349" s="193"/>
      <c r="B349" s="193"/>
      <c r="C349" s="193"/>
      <c r="D349" s="193"/>
      <c r="E349" s="193"/>
      <c r="F349" s="193"/>
      <c r="G349" s="196"/>
      <c r="H349" s="193"/>
      <c r="I349" s="196"/>
      <c r="J349" s="190"/>
      <c r="K349" s="190"/>
      <c r="L349" s="190"/>
      <c r="M349" s="190"/>
      <c r="N349" s="190"/>
      <c r="O349" s="190"/>
      <c r="P349" s="190"/>
      <c r="Q349" s="190"/>
      <c r="R349" s="190"/>
      <c r="S349" s="190"/>
      <c r="T349" s="190"/>
      <c r="U349" s="190"/>
      <c r="V349" s="190"/>
      <c r="W349" s="190"/>
      <c r="X349" s="190"/>
      <c r="Y349" s="190"/>
      <c r="Z349" s="191"/>
      <c r="AA349" s="191"/>
      <c r="AB349" s="191"/>
      <c r="AC349" s="191"/>
      <c r="AD349" s="191"/>
    </row>
    <row r="350" spans="1:30" s="195" customFormat="1" ht="23.25">
      <c r="A350" s="193"/>
      <c r="B350" s="193"/>
      <c r="C350" s="193"/>
      <c r="D350" s="193"/>
      <c r="E350" s="193"/>
      <c r="F350" s="193"/>
      <c r="G350" s="196"/>
      <c r="H350" s="193"/>
      <c r="I350" s="196"/>
      <c r="J350" s="190"/>
      <c r="K350" s="190"/>
      <c r="L350" s="190"/>
      <c r="M350" s="190"/>
      <c r="N350" s="190"/>
      <c r="O350" s="190"/>
      <c r="P350" s="190"/>
      <c r="Q350" s="190"/>
      <c r="R350" s="190"/>
      <c r="S350" s="190"/>
      <c r="T350" s="190"/>
      <c r="U350" s="190"/>
      <c r="V350" s="190"/>
      <c r="W350" s="190"/>
      <c r="X350" s="190"/>
      <c r="Y350" s="190"/>
      <c r="Z350" s="191"/>
      <c r="AA350" s="191"/>
      <c r="AB350" s="191"/>
      <c r="AC350" s="191"/>
      <c r="AD350" s="191"/>
    </row>
    <row r="351" spans="1:30" s="195" customFormat="1" ht="23.25">
      <c r="A351" s="193"/>
      <c r="B351" s="193"/>
      <c r="C351" s="193"/>
      <c r="D351" s="193"/>
      <c r="E351" s="193"/>
      <c r="F351" s="193"/>
      <c r="G351" s="196"/>
      <c r="H351" s="193"/>
      <c r="I351" s="196"/>
      <c r="J351" s="190"/>
      <c r="K351" s="190"/>
      <c r="L351" s="190"/>
      <c r="M351" s="190"/>
      <c r="N351" s="190"/>
      <c r="O351" s="190"/>
      <c r="P351" s="190"/>
      <c r="Q351" s="190"/>
      <c r="R351" s="190"/>
      <c r="S351" s="190"/>
      <c r="T351" s="190"/>
      <c r="U351" s="190"/>
      <c r="V351" s="190"/>
      <c r="W351" s="190"/>
      <c r="X351" s="190"/>
      <c r="Y351" s="190"/>
      <c r="Z351" s="191"/>
      <c r="AA351" s="191"/>
      <c r="AB351" s="191"/>
      <c r="AC351" s="191"/>
      <c r="AD351" s="191"/>
    </row>
    <row r="352" spans="1:30" s="195" customFormat="1" ht="23.25">
      <c r="A352" s="193"/>
      <c r="B352" s="193"/>
      <c r="C352" s="193"/>
      <c r="D352" s="193"/>
      <c r="E352" s="193"/>
      <c r="F352" s="193"/>
      <c r="G352" s="196"/>
      <c r="H352" s="193"/>
      <c r="I352" s="196"/>
      <c r="J352" s="190"/>
      <c r="K352" s="190"/>
      <c r="L352" s="190"/>
      <c r="M352" s="190"/>
      <c r="N352" s="190"/>
      <c r="O352" s="190"/>
      <c r="P352" s="190"/>
      <c r="Q352" s="190"/>
      <c r="R352" s="190"/>
      <c r="S352" s="190"/>
      <c r="T352" s="190"/>
      <c r="U352" s="190"/>
      <c r="V352" s="190"/>
      <c r="W352" s="190"/>
      <c r="X352" s="190"/>
      <c r="Y352" s="190"/>
      <c r="Z352" s="191"/>
      <c r="AA352" s="191"/>
      <c r="AB352" s="191"/>
      <c r="AC352" s="191"/>
      <c r="AD352" s="191"/>
    </row>
    <row r="353" spans="1:30" s="195" customFormat="1" ht="23.25">
      <c r="A353" s="193"/>
      <c r="B353" s="193"/>
      <c r="C353" s="193"/>
      <c r="D353" s="193"/>
      <c r="E353" s="193"/>
      <c r="F353" s="193"/>
      <c r="G353" s="196"/>
      <c r="H353" s="193"/>
      <c r="I353" s="196"/>
      <c r="J353" s="190"/>
      <c r="K353" s="190"/>
      <c r="L353" s="190"/>
      <c r="M353" s="190"/>
      <c r="N353" s="190"/>
      <c r="O353" s="190"/>
      <c r="P353" s="190"/>
      <c r="Q353" s="190"/>
      <c r="R353" s="190"/>
      <c r="S353" s="190"/>
      <c r="T353" s="190"/>
      <c r="U353" s="190"/>
      <c r="V353" s="190"/>
      <c r="W353" s="190"/>
      <c r="X353" s="190"/>
      <c r="Y353" s="190"/>
      <c r="Z353" s="191"/>
      <c r="AA353" s="191"/>
      <c r="AB353" s="191"/>
      <c r="AC353" s="191"/>
      <c r="AD353" s="191"/>
    </row>
    <row r="354" spans="1:30" s="195" customFormat="1" ht="23.25">
      <c r="A354" s="193"/>
      <c r="B354" s="193"/>
      <c r="C354" s="193"/>
      <c r="D354" s="193"/>
      <c r="E354" s="193"/>
      <c r="F354" s="193"/>
      <c r="G354" s="196"/>
      <c r="H354" s="193"/>
      <c r="I354" s="196"/>
      <c r="J354" s="190"/>
      <c r="K354" s="190"/>
      <c r="L354" s="190"/>
      <c r="M354" s="190"/>
      <c r="N354" s="190"/>
      <c r="O354" s="190"/>
      <c r="P354" s="190"/>
      <c r="Q354" s="190"/>
      <c r="R354" s="190"/>
      <c r="S354" s="190"/>
      <c r="T354" s="190"/>
      <c r="U354" s="190"/>
      <c r="V354" s="190"/>
      <c r="W354" s="190"/>
      <c r="X354" s="190"/>
      <c r="Y354" s="190"/>
      <c r="Z354" s="191"/>
      <c r="AA354" s="191"/>
      <c r="AB354" s="191"/>
      <c r="AC354" s="191"/>
      <c r="AD354" s="191"/>
    </row>
    <row r="355" spans="1:30" s="195" customFormat="1" ht="23.25">
      <c r="A355" s="193"/>
      <c r="B355" s="193"/>
      <c r="C355" s="193"/>
      <c r="D355" s="193"/>
      <c r="E355" s="193"/>
      <c r="F355" s="193"/>
      <c r="G355" s="196"/>
      <c r="H355" s="193"/>
      <c r="I355" s="196"/>
      <c r="J355" s="190"/>
      <c r="K355" s="190"/>
      <c r="L355" s="190"/>
      <c r="M355" s="190"/>
      <c r="N355" s="190"/>
      <c r="O355" s="190"/>
      <c r="P355" s="190"/>
      <c r="Q355" s="190"/>
      <c r="R355" s="190"/>
      <c r="S355" s="190"/>
      <c r="T355" s="190"/>
      <c r="U355" s="190"/>
      <c r="V355" s="190"/>
      <c r="W355" s="190"/>
      <c r="X355" s="190"/>
      <c r="Y355" s="190"/>
      <c r="Z355" s="191"/>
      <c r="AA355" s="191"/>
      <c r="AB355" s="191"/>
      <c r="AC355" s="191"/>
      <c r="AD355" s="191"/>
    </row>
    <row r="356" spans="1:30" s="195" customFormat="1" ht="23.25">
      <c r="A356" s="193"/>
      <c r="B356" s="193"/>
      <c r="C356" s="193"/>
      <c r="D356" s="193"/>
      <c r="E356" s="193"/>
      <c r="F356" s="193"/>
      <c r="G356" s="196"/>
      <c r="H356" s="193"/>
      <c r="I356" s="196"/>
      <c r="J356" s="190"/>
      <c r="K356" s="190"/>
      <c r="L356" s="190"/>
      <c r="M356" s="190"/>
      <c r="N356" s="190"/>
      <c r="O356" s="190"/>
      <c r="P356" s="190"/>
      <c r="Q356" s="190"/>
      <c r="R356" s="190"/>
      <c r="S356" s="190"/>
      <c r="T356" s="190"/>
      <c r="U356" s="190"/>
      <c r="V356" s="190"/>
      <c r="W356" s="190"/>
      <c r="X356" s="190"/>
      <c r="Y356" s="190"/>
      <c r="Z356" s="191"/>
      <c r="AA356" s="191"/>
      <c r="AB356" s="191"/>
      <c r="AC356" s="191"/>
      <c r="AD356" s="191"/>
    </row>
    <row r="357" spans="1:30" s="195" customFormat="1" ht="23.25">
      <c r="A357" s="193"/>
      <c r="B357" s="193"/>
      <c r="C357" s="193"/>
      <c r="D357" s="193"/>
      <c r="E357" s="193"/>
      <c r="F357" s="193"/>
      <c r="G357" s="196"/>
      <c r="H357" s="193"/>
      <c r="I357" s="196"/>
      <c r="J357" s="190"/>
      <c r="K357" s="190"/>
      <c r="L357" s="190"/>
      <c r="M357" s="190"/>
      <c r="N357" s="190"/>
      <c r="O357" s="190"/>
      <c r="P357" s="190"/>
      <c r="Q357" s="190"/>
      <c r="R357" s="190"/>
      <c r="S357" s="190"/>
      <c r="T357" s="190"/>
      <c r="U357" s="190"/>
      <c r="V357" s="190"/>
      <c r="W357" s="190"/>
      <c r="X357" s="190"/>
      <c r="Y357" s="190"/>
      <c r="Z357" s="191"/>
      <c r="AA357" s="191"/>
      <c r="AB357" s="191"/>
      <c r="AC357" s="191"/>
      <c r="AD357" s="191"/>
    </row>
    <row r="358" spans="1:30" s="195" customFormat="1" ht="23.25">
      <c r="A358" s="193"/>
      <c r="B358" s="193"/>
      <c r="C358" s="193"/>
      <c r="D358" s="193"/>
      <c r="E358" s="193"/>
      <c r="F358" s="193"/>
      <c r="G358" s="196"/>
      <c r="H358" s="193"/>
      <c r="I358" s="196"/>
      <c r="J358" s="190"/>
      <c r="K358" s="190"/>
      <c r="L358" s="190"/>
      <c r="M358" s="190"/>
      <c r="N358" s="190"/>
      <c r="O358" s="190"/>
      <c r="P358" s="190"/>
      <c r="Q358" s="190"/>
      <c r="R358" s="190"/>
      <c r="S358" s="190"/>
      <c r="T358" s="190"/>
      <c r="U358" s="190"/>
      <c r="V358" s="190"/>
      <c r="W358" s="190"/>
      <c r="X358" s="190"/>
      <c r="Y358" s="190"/>
      <c r="Z358" s="191"/>
      <c r="AA358" s="191"/>
      <c r="AB358" s="191"/>
      <c r="AC358" s="191"/>
      <c r="AD358" s="191"/>
    </row>
    <row r="359" spans="1:30" s="195" customFormat="1" ht="23.25">
      <c r="A359" s="193"/>
      <c r="B359" s="193"/>
      <c r="C359" s="193"/>
      <c r="D359" s="193"/>
      <c r="E359" s="193"/>
      <c r="F359" s="193"/>
      <c r="G359" s="196"/>
      <c r="H359" s="193"/>
      <c r="I359" s="196"/>
      <c r="J359" s="190"/>
      <c r="K359" s="190"/>
      <c r="L359" s="190"/>
      <c r="M359" s="190"/>
      <c r="N359" s="190"/>
      <c r="O359" s="190"/>
      <c r="P359" s="190"/>
      <c r="Q359" s="190"/>
      <c r="R359" s="190"/>
      <c r="S359" s="190"/>
      <c r="T359" s="190"/>
      <c r="U359" s="190"/>
      <c r="V359" s="190"/>
      <c r="W359" s="190"/>
      <c r="X359" s="190"/>
      <c r="Y359" s="190"/>
      <c r="Z359" s="191"/>
      <c r="AA359" s="191"/>
      <c r="AB359" s="191"/>
      <c r="AC359" s="191"/>
      <c r="AD359" s="191"/>
    </row>
    <row r="360" spans="1:30" s="195" customFormat="1" ht="23.25">
      <c r="A360" s="193"/>
      <c r="B360" s="193"/>
      <c r="C360" s="193"/>
      <c r="D360" s="193"/>
      <c r="E360" s="193"/>
      <c r="F360" s="193"/>
      <c r="G360" s="196"/>
      <c r="H360" s="193"/>
      <c r="I360" s="196"/>
      <c r="J360" s="190"/>
      <c r="K360" s="190"/>
      <c r="L360" s="190"/>
      <c r="M360" s="190"/>
      <c r="N360" s="190"/>
      <c r="O360" s="190"/>
      <c r="P360" s="190"/>
      <c r="Q360" s="190"/>
      <c r="R360" s="190"/>
      <c r="S360" s="190"/>
      <c r="T360" s="190"/>
      <c r="U360" s="190"/>
      <c r="V360" s="190"/>
      <c r="W360" s="190"/>
      <c r="X360" s="190"/>
      <c r="Y360" s="190"/>
      <c r="Z360" s="191"/>
      <c r="AA360" s="191"/>
      <c r="AB360" s="191"/>
      <c r="AC360" s="191"/>
      <c r="AD360" s="191"/>
    </row>
    <row r="361" spans="1:30" s="195" customFormat="1" ht="23.25">
      <c r="A361" s="193"/>
      <c r="B361" s="193"/>
      <c r="C361" s="193"/>
      <c r="D361" s="193"/>
      <c r="E361" s="193"/>
      <c r="F361" s="193"/>
      <c r="G361" s="196"/>
      <c r="H361" s="193"/>
      <c r="I361" s="196"/>
      <c r="J361" s="190"/>
      <c r="K361" s="190"/>
      <c r="L361" s="190"/>
      <c r="M361" s="190"/>
      <c r="N361" s="190"/>
      <c r="O361" s="190"/>
      <c r="P361" s="190"/>
      <c r="Q361" s="190"/>
      <c r="R361" s="190"/>
      <c r="S361" s="190"/>
      <c r="T361" s="190"/>
      <c r="U361" s="190"/>
      <c r="V361" s="190"/>
      <c r="W361" s="190"/>
      <c r="X361" s="190"/>
      <c r="Y361" s="190"/>
      <c r="Z361" s="191"/>
      <c r="AA361" s="191"/>
      <c r="AB361" s="191"/>
      <c r="AC361" s="191"/>
      <c r="AD361" s="191"/>
    </row>
    <row r="362" spans="1:30" s="195" customFormat="1" ht="23.25">
      <c r="A362" s="193"/>
      <c r="B362" s="193"/>
      <c r="C362" s="193"/>
      <c r="D362" s="193"/>
      <c r="E362" s="193"/>
      <c r="F362" s="193"/>
      <c r="G362" s="196"/>
      <c r="H362" s="193"/>
      <c r="I362" s="196"/>
      <c r="J362" s="190"/>
      <c r="K362" s="190"/>
      <c r="L362" s="190"/>
      <c r="M362" s="190"/>
      <c r="N362" s="190"/>
      <c r="O362" s="190"/>
      <c r="P362" s="190"/>
      <c r="Q362" s="190"/>
      <c r="R362" s="190"/>
      <c r="S362" s="190"/>
      <c r="T362" s="190"/>
      <c r="U362" s="190"/>
      <c r="V362" s="190"/>
      <c r="W362" s="190"/>
      <c r="X362" s="190"/>
      <c r="Y362" s="190"/>
      <c r="Z362" s="191"/>
      <c r="AA362" s="191"/>
      <c r="AB362" s="191"/>
      <c r="AC362" s="191"/>
      <c r="AD362" s="191"/>
    </row>
    <row r="363" spans="1:30" s="195" customFormat="1" ht="23.25">
      <c r="A363" s="193"/>
      <c r="B363" s="193"/>
      <c r="C363" s="193"/>
      <c r="D363" s="193"/>
      <c r="E363" s="193"/>
      <c r="F363" s="193"/>
      <c r="G363" s="196"/>
      <c r="H363" s="193"/>
      <c r="I363" s="196"/>
      <c r="J363" s="190"/>
      <c r="K363" s="190"/>
      <c r="L363" s="190"/>
      <c r="M363" s="190"/>
      <c r="N363" s="190"/>
      <c r="O363" s="190"/>
      <c r="P363" s="190"/>
      <c r="Q363" s="190"/>
      <c r="R363" s="190"/>
      <c r="S363" s="190"/>
      <c r="T363" s="190"/>
      <c r="U363" s="190"/>
      <c r="V363" s="190"/>
      <c r="W363" s="190"/>
      <c r="X363" s="190"/>
      <c r="Y363" s="190"/>
      <c r="Z363" s="191"/>
      <c r="AA363" s="191"/>
      <c r="AB363" s="191"/>
      <c r="AC363" s="191"/>
      <c r="AD363" s="191"/>
    </row>
    <row r="364" spans="1:30" s="195" customFormat="1" ht="23.25">
      <c r="A364" s="193"/>
      <c r="B364" s="193"/>
      <c r="C364" s="193"/>
      <c r="D364" s="193"/>
      <c r="E364" s="193"/>
      <c r="F364" s="193"/>
      <c r="G364" s="196"/>
      <c r="H364" s="193"/>
      <c r="I364" s="196"/>
      <c r="J364" s="190"/>
      <c r="K364" s="190"/>
      <c r="L364" s="190"/>
      <c r="M364" s="190"/>
      <c r="N364" s="190"/>
      <c r="O364" s="190"/>
      <c r="P364" s="190"/>
      <c r="Q364" s="190"/>
      <c r="R364" s="190"/>
      <c r="S364" s="190"/>
      <c r="T364" s="190"/>
      <c r="U364" s="190"/>
      <c r="V364" s="190"/>
      <c r="W364" s="190"/>
      <c r="X364" s="190"/>
      <c r="Y364" s="190"/>
      <c r="Z364" s="191"/>
      <c r="AA364" s="191"/>
      <c r="AB364" s="191"/>
      <c r="AC364" s="191"/>
      <c r="AD364" s="191"/>
    </row>
    <row r="365" spans="1:30" s="195" customFormat="1" ht="23.25">
      <c r="A365" s="193"/>
      <c r="B365" s="193"/>
      <c r="C365" s="193"/>
      <c r="D365" s="193"/>
      <c r="E365" s="193"/>
      <c r="F365" s="193"/>
      <c r="G365" s="196"/>
      <c r="H365" s="193"/>
      <c r="I365" s="196"/>
      <c r="J365" s="190"/>
      <c r="K365" s="190"/>
      <c r="L365" s="190"/>
      <c r="M365" s="190"/>
      <c r="N365" s="190"/>
      <c r="O365" s="190"/>
      <c r="P365" s="190"/>
      <c r="Q365" s="190"/>
      <c r="R365" s="190"/>
      <c r="S365" s="190"/>
      <c r="T365" s="190"/>
      <c r="U365" s="190"/>
      <c r="V365" s="190"/>
      <c r="W365" s="190"/>
      <c r="X365" s="190"/>
      <c r="Y365" s="190"/>
      <c r="Z365" s="191"/>
      <c r="AA365" s="191"/>
      <c r="AB365" s="191"/>
      <c r="AC365" s="191"/>
      <c r="AD365" s="191"/>
    </row>
    <row r="366" spans="1:30" s="195" customFormat="1" ht="23.25">
      <c r="A366" s="193"/>
      <c r="B366" s="193"/>
      <c r="C366" s="193"/>
      <c r="D366" s="193"/>
      <c r="E366" s="193"/>
      <c r="F366" s="193"/>
      <c r="G366" s="196"/>
      <c r="H366" s="193"/>
      <c r="I366" s="196"/>
      <c r="J366" s="190"/>
      <c r="K366" s="190"/>
      <c r="L366" s="190"/>
      <c r="M366" s="190"/>
      <c r="N366" s="190"/>
      <c r="O366" s="190"/>
      <c r="P366" s="190"/>
      <c r="Q366" s="190"/>
      <c r="R366" s="190"/>
      <c r="S366" s="190"/>
      <c r="T366" s="190"/>
      <c r="U366" s="190"/>
      <c r="V366" s="190"/>
      <c r="W366" s="190"/>
      <c r="X366" s="190"/>
      <c r="Y366" s="190"/>
      <c r="Z366" s="191"/>
      <c r="AA366" s="191"/>
      <c r="AB366" s="191"/>
      <c r="AC366" s="191"/>
      <c r="AD366" s="191"/>
    </row>
    <row r="367" spans="1:30" s="195" customFormat="1" ht="23.25">
      <c r="A367" s="193"/>
      <c r="B367" s="193"/>
      <c r="C367" s="193"/>
      <c r="D367" s="193"/>
      <c r="E367" s="193"/>
      <c r="F367" s="193"/>
      <c r="G367" s="196"/>
      <c r="H367" s="193"/>
      <c r="I367" s="196"/>
      <c r="J367" s="190"/>
      <c r="K367" s="190"/>
      <c r="L367" s="190"/>
      <c r="M367" s="190"/>
      <c r="N367" s="190"/>
      <c r="O367" s="190"/>
      <c r="P367" s="190"/>
      <c r="Q367" s="190"/>
      <c r="R367" s="190"/>
      <c r="S367" s="190"/>
      <c r="T367" s="190"/>
      <c r="U367" s="190"/>
      <c r="V367" s="190"/>
      <c r="W367" s="190"/>
      <c r="X367" s="190"/>
      <c r="Y367" s="190"/>
      <c r="Z367" s="191"/>
      <c r="AA367" s="191"/>
      <c r="AB367" s="191"/>
      <c r="AC367" s="191"/>
      <c r="AD367" s="191"/>
    </row>
    <row r="368" spans="1:30" s="195" customFormat="1" ht="23.25">
      <c r="A368" s="193"/>
      <c r="B368" s="193"/>
      <c r="C368" s="193"/>
      <c r="D368" s="193"/>
      <c r="E368" s="193"/>
      <c r="F368" s="193"/>
      <c r="G368" s="196"/>
      <c r="H368" s="193"/>
      <c r="I368" s="196"/>
      <c r="J368" s="190"/>
      <c r="K368" s="190"/>
      <c r="L368" s="190"/>
      <c r="M368" s="190"/>
      <c r="N368" s="190"/>
      <c r="O368" s="190"/>
      <c r="P368" s="190"/>
      <c r="Q368" s="190"/>
      <c r="R368" s="190"/>
      <c r="S368" s="190"/>
      <c r="T368" s="190"/>
      <c r="U368" s="190"/>
      <c r="V368" s="190"/>
      <c r="W368" s="190"/>
      <c r="X368" s="190"/>
      <c r="Y368" s="190"/>
      <c r="Z368" s="191"/>
      <c r="AA368" s="191"/>
      <c r="AB368" s="191"/>
      <c r="AC368" s="191"/>
      <c r="AD368" s="191"/>
    </row>
    <row r="369" spans="1:30" s="195" customFormat="1" ht="23.25">
      <c r="A369" s="193"/>
      <c r="B369" s="193"/>
      <c r="C369" s="193"/>
      <c r="D369" s="193"/>
      <c r="E369" s="193"/>
      <c r="F369" s="193"/>
      <c r="G369" s="196"/>
      <c r="H369" s="193"/>
      <c r="I369" s="196"/>
      <c r="J369" s="190"/>
      <c r="K369" s="190"/>
      <c r="L369" s="190"/>
      <c r="M369" s="190"/>
      <c r="N369" s="190"/>
      <c r="O369" s="190"/>
      <c r="P369" s="190"/>
      <c r="Q369" s="190"/>
      <c r="R369" s="190"/>
      <c r="S369" s="190"/>
      <c r="T369" s="190"/>
      <c r="U369" s="190"/>
      <c r="V369" s="190"/>
      <c r="W369" s="190"/>
      <c r="X369" s="190"/>
      <c r="Y369" s="190"/>
      <c r="Z369" s="191"/>
      <c r="AA369" s="191"/>
      <c r="AB369" s="191"/>
      <c r="AC369" s="191"/>
      <c r="AD369" s="191"/>
    </row>
    <row r="370" spans="1:30" s="195" customFormat="1" ht="23.25">
      <c r="A370" s="193"/>
      <c r="B370" s="193"/>
      <c r="C370" s="193"/>
      <c r="D370" s="193"/>
      <c r="E370" s="193"/>
      <c r="F370" s="193"/>
      <c r="G370" s="196"/>
      <c r="H370" s="193"/>
      <c r="I370" s="196"/>
      <c r="J370" s="190"/>
      <c r="K370" s="190"/>
      <c r="L370" s="190"/>
      <c r="M370" s="190"/>
      <c r="N370" s="190"/>
      <c r="O370" s="190"/>
      <c r="P370" s="190"/>
      <c r="Q370" s="190"/>
      <c r="R370" s="190"/>
      <c r="S370" s="190"/>
      <c r="T370" s="190"/>
      <c r="U370" s="190"/>
      <c r="V370" s="190"/>
      <c r="W370" s="190"/>
      <c r="X370" s="190"/>
      <c r="Y370" s="190"/>
      <c r="Z370" s="191"/>
      <c r="AA370" s="191"/>
      <c r="AB370" s="191"/>
      <c r="AC370" s="191"/>
      <c r="AD370" s="191"/>
    </row>
    <row r="371" spans="1:30" s="195" customFormat="1" ht="23.25">
      <c r="A371" s="193"/>
      <c r="B371" s="193"/>
      <c r="C371" s="193"/>
      <c r="D371" s="193"/>
      <c r="E371" s="193"/>
      <c r="F371" s="193"/>
      <c r="G371" s="196"/>
      <c r="H371" s="193"/>
      <c r="I371" s="196"/>
      <c r="J371" s="190"/>
      <c r="K371" s="190"/>
      <c r="L371" s="190"/>
      <c r="M371" s="190"/>
      <c r="N371" s="190"/>
      <c r="O371" s="190"/>
      <c r="P371" s="190"/>
      <c r="Q371" s="190"/>
      <c r="R371" s="190"/>
      <c r="S371" s="190"/>
      <c r="T371" s="190"/>
      <c r="U371" s="190"/>
      <c r="V371" s="190"/>
      <c r="W371" s="190"/>
      <c r="X371" s="190"/>
      <c r="Y371" s="190"/>
      <c r="Z371" s="191"/>
      <c r="AA371" s="191"/>
      <c r="AB371" s="191"/>
      <c r="AC371" s="191"/>
      <c r="AD371" s="191"/>
    </row>
    <row r="372" spans="1:30" s="195" customFormat="1" ht="23.25">
      <c r="A372" s="193"/>
      <c r="B372" s="193"/>
      <c r="C372" s="193"/>
      <c r="D372" s="193"/>
      <c r="E372" s="193"/>
      <c r="F372" s="193"/>
      <c r="G372" s="196"/>
      <c r="H372" s="193"/>
      <c r="I372" s="196"/>
      <c r="J372" s="190"/>
      <c r="K372" s="190"/>
      <c r="L372" s="190"/>
      <c r="M372" s="190"/>
      <c r="N372" s="190"/>
      <c r="O372" s="190"/>
      <c r="P372" s="190"/>
      <c r="Q372" s="190"/>
      <c r="R372" s="190"/>
      <c r="S372" s="190"/>
      <c r="T372" s="190"/>
      <c r="U372" s="190"/>
      <c r="V372" s="190"/>
      <c r="W372" s="190"/>
      <c r="X372" s="190"/>
      <c r="Y372" s="190"/>
      <c r="Z372" s="191"/>
      <c r="AA372" s="191"/>
      <c r="AB372" s="191"/>
      <c r="AC372" s="191"/>
      <c r="AD372" s="191"/>
    </row>
    <row r="373" spans="1:30" s="195" customFormat="1" ht="23.25">
      <c r="A373" s="193"/>
      <c r="B373" s="193"/>
      <c r="C373" s="193"/>
      <c r="D373" s="193"/>
      <c r="E373" s="193"/>
      <c r="F373" s="193"/>
      <c r="G373" s="196"/>
      <c r="H373" s="193"/>
      <c r="I373" s="196"/>
      <c r="J373" s="190"/>
      <c r="K373" s="190"/>
      <c r="L373" s="190"/>
      <c r="M373" s="190"/>
      <c r="N373" s="190"/>
      <c r="O373" s="190"/>
      <c r="P373" s="190"/>
      <c r="Q373" s="190"/>
      <c r="R373" s="190"/>
      <c r="S373" s="190"/>
      <c r="T373" s="190"/>
      <c r="U373" s="190"/>
      <c r="V373" s="190"/>
      <c r="W373" s="190"/>
      <c r="X373" s="190"/>
      <c r="Y373" s="190"/>
      <c r="Z373" s="191"/>
      <c r="AA373" s="191"/>
      <c r="AB373" s="191"/>
      <c r="AC373" s="191"/>
      <c r="AD373" s="191"/>
    </row>
    <row r="374" spans="1:30" s="195" customFormat="1" ht="23.25">
      <c r="A374" s="193"/>
      <c r="B374" s="193"/>
      <c r="C374" s="193"/>
      <c r="D374" s="193"/>
      <c r="E374" s="193"/>
      <c r="F374" s="193"/>
      <c r="G374" s="196"/>
      <c r="H374" s="193"/>
      <c r="I374" s="196"/>
      <c r="J374" s="190"/>
      <c r="K374" s="190"/>
      <c r="L374" s="190"/>
      <c r="M374" s="190"/>
      <c r="N374" s="190"/>
      <c r="O374" s="190"/>
      <c r="P374" s="190"/>
      <c r="Q374" s="190"/>
      <c r="R374" s="190"/>
      <c r="S374" s="190"/>
      <c r="T374" s="190"/>
      <c r="U374" s="190"/>
      <c r="V374" s="190"/>
      <c r="W374" s="190"/>
      <c r="X374" s="190"/>
      <c r="Y374" s="190"/>
      <c r="Z374" s="191"/>
      <c r="AA374" s="191"/>
      <c r="AB374" s="191"/>
      <c r="AC374" s="191"/>
      <c r="AD374" s="191"/>
    </row>
    <row r="375" spans="1:30" s="195" customFormat="1" ht="23.25">
      <c r="A375" s="193"/>
      <c r="B375" s="193"/>
      <c r="C375" s="193"/>
      <c r="D375" s="193"/>
      <c r="E375" s="193"/>
      <c r="F375" s="193"/>
      <c r="G375" s="196"/>
      <c r="H375" s="193"/>
      <c r="I375" s="196"/>
      <c r="J375" s="190"/>
      <c r="K375" s="190"/>
      <c r="L375" s="190"/>
      <c r="M375" s="190"/>
      <c r="N375" s="190"/>
      <c r="O375" s="190"/>
      <c r="P375" s="190"/>
      <c r="Q375" s="190"/>
      <c r="R375" s="190"/>
      <c r="S375" s="190"/>
      <c r="T375" s="190"/>
      <c r="U375" s="190"/>
      <c r="V375" s="190"/>
      <c r="W375" s="190"/>
      <c r="X375" s="190"/>
      <c r="Y375" s="190"/>
      <c r="Z375" s="191"/>
      <c r="AA375" s="191"/>
      <c r="AB375" s="191"/>
      <c r="AC375" s="191"/>
      <c r="AD375" s="191"/>
    </row>
    <row r="376" spans="1:30" s="195" customFormat="1" ht="23.25">
      <c r="A376" s="193"/>
      <c r="B376" s="193"/>
      <c r="C376" s="193"/>
      <c r="D376" s="193"/>
      <c r="E376" s="193"/>
      <c r="F376" s="193"/>
      <c r="G376" s="196"/>
      <c r="H376" s="193"/>
      <c r="I376" s="196"/>
      <c r="J376" s="190"/>
      <c r="K376" s="190"/>
      <c r="L376" s="190"/>
      <c r="M376" s="190"/>
      <c r="N376" s="190"/>
      <c r="O376" s="190"/>
      <c r="P376" s="190"/>
      <c r="Q376" s="190"/>
      <c r="R376" s="190"/>
      <c r="S376" s="190"/>
      <c r="T376" s="190"/>
      <c r="U376" s="190"/>
      <c r="V376" s="190"/>
      <c r="W376" s="190"/>
      <c r="X376" s="190"/>
      <c r="Y376" s="190"/>
      <c r="Z376" s="191"/>
      <c r="AA376" s="191"/>
      <c r="AB376" s="191"/>
      <c r="AC376" s="191"/>
      <c r="AD376" s="191"/>
    </row>
    <row r="377" spans="1:30" s="195" customFormat="1" ht="23.25">
      <c r="A377" s="193"/>
      <c r="B377" s="193"/>
      <c r="C377" s="193"/>
      <c r="D377" s="193"/>
      <c r="E377" s="193"/>
      <c r="F377" s="193"/>
      <c r="G377" s="196"/>
      <c r="H377" s="193"/>
      <c r="I377" s="196"/>
      <c r="J377" s="190"/>
      <c r="K377" s="190"/>
      <c r="L377" s="190"/>
      <c r="M377" s="190"/>
      <c r="N377" s="190"/>
      <c r="O377" s="190"/>
      <c r="P377" s="190"/>
      <c r="Q377" s="190"/>
      <c r="R377" s="190"/>
      <c r="S377" s="190"/>
      <c r="T377" s="190"/>
      <c r="U377" s="190"/>
      <c r="V377" s="190"/>
      <c r="W377" s="190"/>
      <c r="X377" s="190"/>
      <c r="Y377" s="190"/>
      <c r="Z377" s="191"/>
      <c r="AA377" s="191"/>
      <c r="AB377" s="191"/>
      <c r="AC377" s="191"/>
      <c r="AD377" s="191"/>
    </row>
    <row r="378" spans="1:30" s="195" customFormat="1" ht="23.25">
      <c r="A378" s="193"/>
      <c r="B378" s="193"/>
      <c r="C378" s="193"/>
      <c r="D378" s="193"/>
      <c r="E378" s="193"/>
      <c r="F378" s="193"/>
      <c r="G378" s="196"/>
      <c r="H378" s="193"/>
      <c r="I378" s="196"/>
      <c r="J378" s="190"/>
      <c r="K378" s="190"/>
      <c r="L378" s="190"/>
      <c r="M378" s="190"/>
      <c r="N378" s="190"/>
      <c r="O378" s="190"/>
      <c r="P378" s="190"/>
      <c r="Q378" s="190"/>
      <c r="R378" s="190"/>
      <c r="S378" s="190"/>
      <c r="T378" s="190"/>
      <c r="U378" s="190"/>
      <c r="V378" s="190"/>
      <c r="W378" s="190"/>
      <c r="X378" s="190"/>
      <c r="Y378" s="190"/>
      <c r="Z378" s="191"/>
      <c r="AA378" s="191"/>
      <c r="AB378" s="191"/>
      <c r="AC378" s="191"/>
      <c r="AD378" s="191"/>
    </row>
    <row r="379" spans="1:30" s="195" customFormat="1" ht="23.25">
      <c r="A379" s="193"/>
      <c r="B379" s="193"/>
      <c r="C379" s="193"/>
      <c r="D379" s="193"/>
      <c r="E379" s="193"/>
      <c r="F379" s="193"/>
      <c r="G379" s="196"/>
      <c r="H379" s="193"/>
      <c r="I379" s="196"/>
      <c r="J379" s="190"/>
      <c r="K379" s="190"/>
      <c r="L379" s="190"/>
      <c r="M379" s="190"/>
      <c r="N379" s="190"/>
      <c r="O379" s="190"/>
      <c r="P379" s="190"/>
      <c r="Q379" s="190"/>
      <c r="R379" s="190"/>
      <c r="S379" s="190"/>
      <c r="T379" s="190"/>
      <c r="U379" s="190"/>
      <c r="V379" s="190"/>
      <c r="W379" s="190"/>
      <c r="X379" s="190"/>
      <c r="Y379" s="190"/>
      <c r="Z379" s="191"/>
      <c r="AA379" s="191"/>
      <c r="AB379" s="191"/>
      <c r="AC379" s="191"/>
      <c r="AD379" s="191"/>
    </row>
    <row r="380" spans="1:30" s="195" customFormat="1" ht="23.25">
      <c r="A380" s="193"/>
      <c r="B380" s="193"/>
      <c r="C380" s="193"/>
      <c r="D380" s="193"/>
      <c r="E380" s="193"/>
      <c r="F380" s="193"/>
      <c r="G380" s="196"/>
      <c r="H380" s="193"/>
      <c r="I380" s="196"/>
      <c r="J380" s="190"/>
      <c r="K380" s="190"/>
      <c r="L380" s="190"/>
      <c r="M380" s="190"/>
      <c r="N380" s="190"/>
      <c r="O380" s="190"/>
      <c r="P380" s="190"/>
      <c r="Q380" s="190"/>
      <c r="R380" s="190"/>
      <c r="S380" s="190"/>
      <c r="T380" s="190"/>
      <c r="U380" s="190"/>
      <c r="V380" s="190"/>
      <c r="W380" s="190"/>
      <c r="X380" s="190"/>
      <c r="Y380" s="190"/>
      <c r="Z380" s="191"/>
      <c r="AA380" s="191"/>
      <c r="AB380" s="191"/>
      <c r="AC380" s="191"/>
      <c r="AD380" s="191"/>
    </row>
    <row r="381" spans="1:30" s="195" customFormat="1" ht="23.25">
      <c r="A381" s="193"/>
      <c r="B381" s="193"/>
      <c r="C381" s="193"/>
      <c r="D381" s="193"/>
      <c r="E381" s="193"/>
      <c r="F381" s="193"/>
      <c r="G381" s="196"/>
      <c r="H381" s="193"/>
      <c r="I381" s="196"/>
      <c r="J381" s="190"/>
      <c r="K381" s="190"/>
      <c r="L381" s="190"/>
      <c r="M381" s="190"/>
      <c r="N381" s="190"/>
      <c r="O381" s="190"/>
      <c r="P381" s="190"/>
      <c r="Q381" s="190"/>
      <c r="R381" s="190"/>
      <c r="S381" s="190"/>
      <c r="T381" s="190"/>
      <c r="U381" s="190"/>
      <c r="V381" s="190"/>
      <c r="W381" s="190"/>
      <c r="X381" s="190"/>
      <c r="Y381" s="190"/>
      <c r="Z381" s="191"/>
      <c r="AA381" s="191"/>
      <c r="AB381" s="191"/>
      <c r="AC381" s="191"/>
      <c r="AD381" s="191"/>
    </row>
    <row r="382" spans="1:30" s="195" customFormat="1" ht="23.25">
      <c r="A382" s="193"/>
      <c r="B382" s="193"/>
      <c r="C382" s="193"/>
      <c r="D382" s="193"/>
      <c r="E382" s="193"/>
      <c r="F382" s="193"/>
      <c r="G382" s="196"/>
      <c r="H382" s="193"/>
      <c r="I382" s="196"/>
      <c r="J382" s="190"/>
      <c r="K382" s="190"/>
      <c r="L382" s="190"/>
      <c r="M382" s="190"/>
      <c r="N382" s="190"/>
      <c r="O382" s="190"/>
      <c r="P382" s="190"/>
      <c r="Q382" s="190"/>
      <c r="R382" s="190"/>
      <c r="S382" s="190"/>
      <c r="T382" s="190"/>
      <c r="U382" s="190"/>
      <c r="V382" s="190"/>
      <c r="W382" s="190"/>
      <c r="X382" s="190"/>
      <c r="Y382" s="190"/>
      <c r="Z382" s="191"/>
      <c r="AA382" s="191"/>
      <c r="AB382" s="191"/>
      <c r="AC382" s="191"/>
      <c r="AD382" s="191"/>
    </row>
    <row r="383" spans="1:30" s="195" customFormat="1" ht="23.25">
      <c r="A383" s="193"/>
      <c r="B383" s="193"/>
      <c r="C383" s="193"/>
      <c r="D383" s="193"/>
      <c r="E383" s="193"/>
      <c r="F383" s="193"/>
      <c r="G383" s="196"/>
      <c r="H383" s="193"/>
      <c r="I383" s="196"/>
      <c r="J383" s="190"/>
      <c r="K383" s="190"/>
      <c r="L383" s="190"/>
      <c r="M383" s="190"/>
      <c r="N383" s="190"/>
      <c r="O383" s="190"/>
      <c r="P383" s="190"/>
      <c r="Q383" s="190"/>
      <c r="R383" s="190"/>
      <c r="S383" s="190"/>
      <c r="T383" s="190"/>
      <c r="U383" s="190"/>
      <c r="V383" s="190"/>
      <c r="W383" s="190"/>
      <c r="X383" s="190"/>
      <c r="Y383" s="190"/>
      <c r="Z383" s="191"/>
      <c r="AA383" s="191"/>
      <c r="AB383" s="191"/>
      <c r="AC383" s="191"/>
      <c r="AD383" s="191"/>
    </row>
    <row r="384" spans="1:30" s="195" customFormat="1" ht="23.25">
      <c r="A384" s="193"/>
      <c r="B384" s="193"/>
      <c r="C384" s="193"/>
      <c r="D384" s="193"/>
      <c r="E384" s="193"/>
      <c r="F384" s="193"/>
      <c r="G384" s="196"/>
      <c r="H384" s="193"/>
      <c r="I384" s="196"/>
      <c r="J384" s="190"/>
      <c r="K384" s="190"/>
      <c r="L384" s="190"/>
      <c r="M384" s="190"/>
      <c r="N384" s="190"/>
      <c r="O384" s="190"/>
      <c r="P384" s="190"/>
      <c r="Q384" s="190"/>
      <c r="R384" s="190"/>
      <c r="S384" s="190"/>
      <c r="T384" s="190"/>
      <c r="U384" s="190"/>
      <c r="V384" s="190"/>
      <c r="W384" s="190"/>
      <c r="X384" s="190"/>
      <c r="Y384" s="190"/>
      <c r="Z384" s="191"/>
      <c r="AA384" s="191"/>
      <c r="AB384" s="191"/>
      <c r="AC384" s="191"/>
      <c r="AD384" s="191"/>
    </row>
    <row r="385" spans="1:30" s="195" customFormat="1" ht="23.25">
      <c r="A385" s="193"/>
      <c r="B385" s="193"/>
      <c r="C385" s="193"/>
      <c r="D385" s="193"/>
      <c r="E385" s="193"/>
      <c r="F385" s="193"/>
      <c r="G385" s="196"/>
      <c r="H385" s="193"/>
      <c r="I385" s="196"/>
      <c r="J385" s="190"/>
      <c r="K385" s="190"/>
      <c r="L385" s="190"/>
      <c r="M385" s="190"/>
      <c r="N385" s="190"/>
      <c r="O385" s="190"/>
      <c r="P385" s="190"/>
      <c r="Q385" s="190"/>
      <c r="R385" s="190"/>
      <c r="S385" s="190"/>
      <c r="T385" s="190"/>
      <c r="U385" s="190"/>
      <c r="V385" s="190"/>
      <c r="W385" s="190"/>
      <c r="X385" s="190"/>
      <c r="Y385" s="190"/>
      <c r="Z385" s="191"/>
      <c r="AA385" s="191"/>
      <c r="AB385" s="191"/>
      <c r="AC385" s="191"/>
      <c r="AD385" s="191"/>
    </row>
    <row r="386" spans="1:30" s="195" customFormat="1" ht="23.25">
      <c r="A386" s="193"/>
      <c r="B386" s="193"/>
      <c r="C386" s="193"/>
      <c r="D386" s="193"/>
      <c r="E386" s="193"/>
      <c r="F386" s="193"/>
      <c r="G386" s="196"/>
      <c r="H386" s="193"/>
      <c r="I386" s="196"/>
      <c r="J386" s="190"/>
      <c r="K386" s="190"/>
      <c r="L386" s="190"/>
      <c r="M386" s="190"/>
      <c r="N386" s="190"/>
      <c r="O386" s="190"/>
      <c r="P386" s="190"/>
      <c r="Q386" s="190"/>
      <c r="R386" s="190"/>
      <c r="S386" s="190"/>
      <c r="T386" s="190"/>
      <c r="U386" s="190"/>
      <c r="V386" s="190"/>
      <c r="W386" s="190"/>
      <c r="X386" s="190"/>
      <c r="Y386" s="190"/>
      <c r="Z386" s="191"/>
      <c r="AA386" s="191"/>
      <c r="AB386" s="191"/>
      <c r="AC386" s="191"/>
      <c r="AD386" s="191"/>
    </row>
    <row r="387" spans="1:30" s="195" customFormat="1" ht="23.25">
      <c r="A387" s="193"/>
      <c r="B387" s="193"/>
      <c r="C387" s="193"/>
      <c r="D387" s="193"/>
      <c r="E387" s="193"/>
      <c r="F387" s="193"/>
      <c r="G387" s="196"/>
      <c r="H387" s="193"/>
      <c r="I387" s="196"/>
      <c r="J387" s="190"/>
      <c r="K387" s="190"/>
      <c r="L387" s="190"/>
      <c r="M387" s="190"/>
      <c r="N387" s="190"/>
      <c r="O387" s="190"/>
      <c r="P387" s="190"/>
      <c r="Q387" s="190"/>
      <c r="R387" s="190"/>
      <c r="S387" s="190"/>
      <c r="T387" s="190"/>
      <c r="U387" s="190"/>
      <c r="V387" s="190"/>
      <c r="W387" s="190"/>
      <c r="X387" s="190"/>
      <c r="Y387" s="190"/>
      <c r="Z387" s="191"/>
      <c r="AA387" s="191"/>
      <c r="AB387" s="191"/>
      <c r="AC387" s="191"/>
      <c r="AD387" s="191"/>
    </row>
    <row r="388" spans="1:30" s="195" customFormat="1" ht="23.25">
      <c r="A388" s="193"/>
      <c r="B388" s="193"/>
      <c r="C388" s="193"/>
      <c r="D388" s="193"/>
      <c r="E388" s="193"/>
      <c r="F388" s="193"/>
      <c r="G388" s="196"/>
      <c r="H388" s="193"/>
      <c r="I388" s="196"/>
      <c r="J388" s="190"/>
      <c r="K388" s="190"/>
      <c r="L388" s="190"/>
      <c r="M388" s="190"/>
      <c r="N388" s="190"/>
      <c r="O388" s="190"/>
      <c r="P388" s="190"/>
      <c r="Q388" s="190"/>
      <c r="R388" s="190"/>
      <c r="S388" s="190"/>
      <c r="T388" s="190"/>
      <c r="U388" s="190"/>
      <c r="V388" s="190"/>
      <c r="W388" s="190"/>
      <c r="X388" s="190"/>
      <c r="Y388" s="190"/>
      <c r="Z388" s="191"/>
      <c r="AA388" s="191"/>
      <c r="AB388" s="191"/>
      <c r="AC388" s="191"/>
      <c r="AD388" s="191"/>
    </row>
    <row r="389" spans="1:30" s="195" customFormat="1" ht="23.25">
      <c r="A389" s="193"/>
      <c r="B389" s="193"/>
      <c r="C389" s="193"/>
      <c r="D389" s="193"/>
      <c r="E389" s="193"/>
      <c r="F389" s="193"/>
      <c r="G389" s="196"/>
      <c r="H389" s="193"/>
      <c r="I389" s="196"/>
      <c r="J389" s="190"/>
      <c r="K389" s="190"/>
      <c r="L389" s="190"/>
      <c r="M389" s="190"/>
      <c r="N389" s="190"/>
      <c r="O389" s="190"/>
      <c r="P389" s="190"/>
      <c r="Q389" s="190"/>
      <c r="R389" s="190"/>
      <c r="S389" s="190"/>
      <c r="T389" s="190"/>
      <c r="U389" s="190"/>
      <c r="V389" s="190"/>
      <c r="W389" s="190"/>
      <c r="X389" s="190"/>
      <c r="Y389" s="190"/>
      <c r="Z389" s="191"/>
      <c r="AA389" s="191"/>
      <c r="AB389" s="191"/>
      <c r="AC389" s="191"/>
      <c r="AD389" s="191"/>
    </row>
    <row r="390" spans="1:30" s="195" customFormat="1" ht="23.25">
      <c r="A390" s="193"/>
      <c r="B390" s="193"/>
      <c r="C390" s="193"/>
      <c r="D390" s="193"/>
      <c r="E390" s="193"/>
      <c r="F390" s="193"/>
      <c r="G390" s="196"/>
      <c r="H390" s="193"/>
      <c r="I390" s="196"/>
      <c r="J390" s="190"/>
      <c r="K390" s="190"/>
      <c r="L390" s="190"/>
      <c r="M390" s="190"/>
      <c r="N390" s="190"/>
      <c r="O390" s="190"/>
      <c r="P390" s="190"/>
      <c r="Q390" s="190"/>
      <c r="R390" s="190"/>
      <c r="S390" s="190"/>
      <c r="T390" s="190"/>
      <c r="U390" s="190"/>
      <c r="V390" s="190"/>
      <c r="W390" s="190"/>
      <c r="X390" s="190"/>
      <c r="Y390" s="190"/>
      <c r="Z390" s="191"/>
      <c r="AA390" s="191"/>
      <c r="AB390" s="191"/>
      <c r="AC390" s="191"/>
      <c r="AD390" s="191"/>
    </row>
    <row r="391" spans="1:30" s="195" customFormat="1" ht="23.25">
      <c r="A391" s="193"/>
      <c r="B391" s="193"/>
      <c r="C391" s="193"/>
      <c r="D391" s="193"/>
      <c r="E391" s="193"/>
      <c r="F391" s="193"/>
      <c r="G391" s="196"/>
      <c r="H391" s="193"/>
      <c r="I391" s="196"/>
      <c r="J391" s="190"/>
      <c r="K391" s="190"/>
      <c r="L391" s="190"/>
      <c r="M391" s="190"/>
      <c r="N391" s="190"/>
      <c r="O391" s="190"/>
      <c r="P391" s="190"/>
      <c r="Q391" s="190"/>
      <c r="R391" s="190"/>
      <c r="S391" s="190"/>
      <c r="T391" s="190"/>
      <c r="U391" s="190"/>
      <c r="V391" s="190"/>
      <c r="W391" s="190"/>
      <c r="X391" s="190"/>
      <c r="Y391" s="190"/>
      <c r="Z391" s="191"/>
      <c r="AA391" s="191"/>
      <c r="AB391" s="191"/>
      <c r="AC391" s="191"/>
      <c r="AD391" s="191"/>
    </row>
    <row r="392" spans="1:30" s="195" customFormat="1" ht="23.25">
      <c r="A392" s="193"/>
      <c r="B392" s="193"/>
      <c r="C392" s="193"/>
      <c r="D392" s="193"/>
      <c r="E392" s="193"/>
      <c r="F392" s="193"/>
      <c r="G392" s="196"/>
      <c r="H392" s="193"/>
      <c r="I392" s="196"/>
      <c r="J392" s="190"/>
      <c r="K392" s="190"/>
      <c r="L392" s="190"/>
      <c r="M392" s="190"/>
      <c r="N392" s="190"/>
      <c r="O392" s="190"/>
      <c r="P392" s="190"/>
      <c r="Q392" s="190"/>
      <c r="R392" s="190"/>
      <c r="S392" s="190"/>
      <c r="T392" s="190"/>
      <c r="U392" s="190"/>
      <c r="V392" s="190"/>
      <c r="W392" s="190"/>
      <c r="X392" s="190"/>
      <c r="Y392" s="190"/>
      <c r="Z392" s="191"/>
      <c r="AA392" s="191"/>
      <c r="AB392" s="191"/>
      <c r="AC392" s="191"/>
      <c r="AD392" s="191"/>
    </row>
    <row r="393" spans="1:30" s="195" customFormat="1" ht="23.25">
      <c r="A393" s="193"/>
      <c r="B393" s="193"/>
      <c r="C393" s="193"/>
      <c r="D393" s="193"/>
      <c r="E393" s="193"/>
      <c r="F393" s="193"/>
      <c r="G393" s="196"/>
      <c r="H393" s="193"/>
      <c r="I393" s="196"/>
      <c r="J393" s="190"/>
      <c r="K393" s="190"/>
      <c r="L393" s="190"/>
      <c r="M393" s="190"/>
      <c r="N393" s="190"/>
      <c r="O393" s="190"/>
      <c r="P393" s="190"/>
      <c r="Q393" s="190"/>
      <c r="R393" s="190"/>
      <c r="S393" s="190"/>
      <c r="T393" s="190"/>
      <c r="U393" s="190"/>
      <c r="V393" s="190"/>
      <c r="W393" s="190"/>
      <c r="X393" s="190"/>
      <c r="Y393" s="190"/>
      <c r="Z393" s="191"/>
      <c r="AA393" s="191"/>
      <c r="AB393" s="191"/>
      <c r="AC393" s="191"/>
      <c r="AD393" s="191"/>
    </row>
    <row r="394" spans="1:30" s="195" customFormat="1" ht="23.25">
      <c r="A394" s="193"/>
      <c r="B394" s="193"/>
      <c r="C394" s="193"/>
      <c r="D394" s="193"/>
      <c r="E394" s="193"/>
      <c r="F394" s="193"/>
      <c r="G394" s="196"/>
      <c r="H394" s="193"/>
      <c r="I394" s="196"/>
      <c r="J394" s="190"/>
      <c r="K394" s="190"/>
      <c r="L394" s="190"/>
      <c r="M394" s="190"/>
      <c r="N394" s="190"/>
      <c r="O394" s="190"/>
      <c r="P394" s="190"/>
      <c r="Q394" s="190"/>
      <c r="R394" s="190"/>
      <c r="S394" s="190"/>
      <c r="T394" s="190"/>
      <c r="U394" s="190"/>
      <c r="V394" s="190"/>
      <c r="W394" s="190"/>
      <c r="X394" s="190"/>
      <c r="Y394" s="190"/>
      <c r="Z394" s="191"/>
      <c r="AA394" s="191"/>
      <c r="AB394" s="191"/>
      <c r="AC394" s="191"/>
      <c r="AD394" s="191"/>
    </row>
    <row r="395" spans="1:30" s="195" customFormat="1" ht="23.25">
      <c r="A395" s="193"/>
      <c r="B395" s="193"/>
      <c r="C395" s="193"/>
      <c r="D395" s="193"/>
      <c r="E395" s="193"/>
      <c r="F395" s="193"/>
      <c r="G395" s="196"/>
      <c r="H395" s="193"/>
      <c r="I395" s="196"/>
      <c r="J395" s="190"/>
      <c r="K395" s="190"/>
      <c r="L395" s="190"/>
      <c r="M395" s="190"/>
      <c r="N395" s="190"/>
      <c r="O395" s="190"/>
      <c r="P395" s="190"/>
      <c r="Q395" s="190"/>
      <c r="R395" s="190"/>
      <c r="S395" s="190"/>
      <c r="T395" s="190"/>
      <c r="U395" s="190"/>
      <c r="V395" s="190"/>
      <c r="W395" s="190"/>
      <c r="X395" s="190"/>
      <c r="Y395" s="190"/>
      <c r="Z395" s="191"/>
      <c r="AA395" s="191"/>
      <c r="AB395" s="191"/>
      <c r="AC395" s="191"/>
      <c r="AD395" s="191"/>
    </row>
    <row r="396" spans="1:30" s="195" customFormat="1" ht="23.25">
      <c r="A396" s="193"/>
      <c r="B396" s="193"/>
      <c r="C396" s="193"/>
      <c r="D396" s="193"/>
      <c r="E396" s="193"/>
      <c r="F396" s="193"/>
      <c r="G396" s="196"/>
      <c r="H396" s="193"/>
      <c r="I396" s="196"/>
      <c r="J396" s="190"/>
      <c r="K396" s="190"/>
      <c r="L396" s="190"/>
      <c r="M396" s="190"/>
      <c r="N396" s="190"/>
      <c r="O396" s="190"/>
      <c r="P396" s="190"/>
      <c r="Q396" s="190"/>
      <c r="R396" s="190"/>
      <c r="S396" s="190"/>
      <c r="T396" s="190"/>
      <c r="U396" s="190"/>
      <c r="V396" s="190"/>
      <c r="W396" s="190"/>
      <c r="X396" s="190"/>
      <c r="Y396" s="190"/>
      <c r="Z396" s="191"/>
      <c r="AA396" s="191"/>
      <c r="AB396" s="191"/>
      <c r="AC396" s="191"/>
      <c r="AD396" s="191"/>
    </row>
    <row r="397" spans="1:30" s="195" customFormat="1" ht="23.25">
      <c r="A397" s="193"/>
      <c r="B397" s="193"/>
      <c r="C397" s="193"/>
      <c r="D397" s="193"/>
      <c r="E397" s="193"/>
      <c r="F397" s="193"/>
      <c r="G397" s="196"/>
      <c r="H397" s="193"/>
      <c r="I397" s="196"/>
      <c r="J397" s="190"/>
      <c r="K397" s="190"/>
      <c r="L397" s="190"/>
      <c r="M397" s="190"/>
      <c r="N397" s="190"/>
      <c r="O397" s="190"/>
      <c r="P397" s="190"/>
      <c r="Q397" s="190"/>
      <c r="R397" s="190"/>
      <c r="S397" s="190"/>
      <c r="T397" s="190"/>
      <c r="U397" s="190"/>
      <c r="V397" s="190"/>
      <c r="W397" s="190"/>
      <c r="X397" s="190"/>
      <c r="Y397" s="190"/>
      <c r="Z397" s="191"/>
      <c r="AA397" s="191"/>
      <c r="AB397" s="191"/>
      <c r="AC397" s="191"/>
      <c r="AD397" s="191"/>
    </row>
    <row r="398" spans="1:30" s="195" customFormat="1" ht="23.25">
      <c r="A398" s="193"/>
      <c r="B398" s="193"/>
      <c r="C398" s="193"/>
      <c r="D398" s="193"/>
      <c r="E398" s="193"/>
      <c r="F398" s="193"/>
      <c r="G398" s="196"/>
      <c r="H398" s="193"/>
      <c r="I398" s="196"/>
      <c r="J398" s="190"/>
      <c r="K398" s="190"/>
      <c r="L398" s="190"/>
      <c r="M398" s="190"/>
      <c r="N398" s="190"/>
      <c r="O398" s="190"/>
      <c r="P398" s="190"/>
      <c r="Q398" s="190"/>
      <c r="R398" s="190"/>
      <c r="S398" s="190"/>
      <c r="T398" s="190"/>
      <c r="U398" s="190"/>
      <c r="V398" s="190"/>
      <c r="W398" s="190"/>
      <c r="X398" s="190"/>
      <c r="Y398" s="190"/>
      <c r="Z398" s="191"/>
      <c r="AA398" s="191"/>
      <c r="AB398" s="191"/>
      <c r="AC398" s="191"/>
      <c r="AD398" s="191"/>
    </row>
    <row r="399" spans="1:30" s="195" customFormat="1" ht="23.25">
      <c r="A399" s="193"/>
      <c r="B399" s="193"/>
      <c r="C399" s="193"/>
      <c r="D399" s="193"/>
      <c r="E399" s="193"/>
      <c r="F399" s="193"/>
      <c r="G399" s="196"/>
      <c r="H399" s="193"/>
      <c r="I399" s="196"/>
      <c r="J399" s="190"/>
      <c r="K399" s="190"/>
      <c r="L399" s="190"/>
      <c r="M399" s="190"/>
      <c r="N399" s="190"/>
      <c r="O399" s="190"/>
      <c r="P399" s="190"/>
      <c r="Q399" s="190"/>
      <c r="R399" s="190"/>
      <c r="S399" s="190"/>
      <c r="T399" s="190"/>
      <c r="U399" s="190"/>
      <c r="V399" s="190"/>
      <c r="W399" s="190"/>
      <c r="X399" s="190"/>
      <c r="Y399" s="190"/>
      <c r="Z399" s="191"/>
      <c r="AA399" s="191"/>
      <c r="AB399" s="191"/>
      <c r="AC399" s="191"/>
      <c r="AD399" s="191"/>
    </row>
    <row r="400" spans="1:30" s="195" customFormat="1" ht="23.25">
      <c r="A400" s="193"/>
      <c r="B400" s="193"/>
      <c r="C400" s="193"/>
      <c r="D400" s="193"/>
      <c r="E400" s="193"/>
      <c r="F400" s="193"/>
      <c r="G400" s="196"/>
      <c r="H400" s="193"/>
      <c r="I400" s="196"/>
      <c r="J400" s="190"/>
      <c r="K400" s="190"/>
      <c r="L400" s="190"/>
      <c r="M400" s="190"/>
      <c r="N400" s="190"/>
      <c r="O400" s="190"/>
      <c r="P400" s="190"/>
      <c r="Q400" s="190"/>
      <c r="R400" s="190"/>
      <c r="S400" s="190"/>
      <c r="T400" s="190"/>
      <c r="U400" s="190"/>
      <c r="V400" s="190"/>
      <c r="W400" s="190"/>
      <c r="X400" s="190"/>
      <c r="Y400" s="190"/>
      <c r="Z400" s="191"/>
      <c r="AA400" s="191"/>
      <c r="AB400" s="191"/>
      <c r="AC400" s="191"/>
      <c r="AD400" s="191"/>
    </row>
    <row r="401" spans="1:30" s="195" customFormat="1" ht="23.25">
      <c r="A401" s="193"/>
      <c r="B401" s="193"/>
      <c r="C401" s="193"/>
      <c r="D401" s="193"/>
      <c r="E401" s="193"/>
      <c r="F401" s="193"/>
      <c r="G401" s="196"/>
      <c r="H401" s="193"/>
      <c r="I401" s="196"/>
      <c r="J401" s="190"/>
      <c r="K401" s="190"/>
      <c r="L401" s="190"/>
      <c r="M401" s="190"/>
      <c r="N401" s="190"/>
      <c r="O401" s="190"/>
      <c r="P401" s="190"/>
      <c r="Q401" s="190"/>
      <c r="R401" s="190"/>
      <c r="S401" s="190"/>
      <c r="T401" s="190"/>
      <c r="U401" s="190"/>
      <c r="V401" s="190"/>
      <c r="W401" s="190"/>
      <c r="X401" s="190"/>
      <c r="Y401" s="190"/>
      <c r="Z401" s="191"/>
      <c r="AA401" s="191"/>
      <c r="AB401" s="191"/>
      <c r="AC401" s="191"/>
      <c r="AD401" s="191"/>
    </row>
    <row r="402" spans="1:30" s="195" customFormat="1" ht="23.25">
      <c r="A402" s="193"/>
      <c r="B402" s="193"/>
      <c r="C402" s="193"/>
      <c r="D402" s="193"/>
      <c r="E402" s="193"/>
      <c r="F402" s="193"/>
      <c r="G402" s="196"/>
      <c r="H402" s="193"/>
      <c r="I402" s="196"/>
      <c r="J402" s="190"/>
      <c r="K402" s="190"/>
      <c r="L402" s="190"/>
      <c r="M402" s="190"/>
      <c r="N402" s="190"/>
      <c r="O402" s="190"/>
      <c r="P402" s="190"/>
      <c r="Q402" s="190"/>
      <c r="R402" s="190"/>
      <c r="S402" s="190"/>
      <c r="T402" s="190"/>
      <c r="U402" s="190"/>
      <c r="V402" s="190"/>
      <c r="W402" s="190"/>
      <c r="X402" s="190"/>
      <c r="Y402" s="190"/>
      <c r="Z402" s="191"/>
      <c r="AA402" s="191"/>
      <c r="AB402" s="191"/>
      <c r="AC402" s="191"/>
      <c r="AD402" s="191"/>
    </row>
    <row r="403" spans="1:30" s="195" customFormat="1" ht="23.25">
      <c r="A403" s="193"/>
      <c r="B403" s="193"/>
      <c r="C403" s="193"/>
      <c r="D403" s="193"/>
      <c r="E403" s="193"/>
      <c r="F403" s="193"/>
      <c r="G403" s="196"/>
      <c r="H403" s="193"/>
      <c r="I403" s="196"/>
      <c r="J403" s="190"/>
      <c r="K403" s="190"/>
      <c r="L403" s="190"/>
      <c r="M403" s="190"/>
      <c r="N403" s="190"/>
      <c r="O403" s="190"/>
      <c r="P403" s="190"/>
      <c r="Q403" s="190"/>
      <c r="R403" s="190"/>
      <c r="S403" s="190"/>
      <c r="T403" s="190"/>
      <c r="U403" s="190"/>
      <c r="V403" s="190"/>
      <c r="W403" s="190"/>
      <c r="X403" s="190"/>
      <c r="Y403" s="190"/>
      <c r="Z403" s="191"/>
      <c r="AA403" s="191"/>
      <c r="AB403" s="191"/>
      <c r="AC403" s="191"/>
      <c r="AD403" s="191"/>
    </row>
    <row r="404" spans="1:30" s="195" customFormat="1" ht="23.25">
      <c r="A404" s="193"/>
      <c r="B404" s="193"/>
      <c r="C404" s="193"/>
      <c r="D404" s="193"/>
      <c r="E404" s="193"/>
      <c r="F404" s="193"/>
      <c r="G404" s="196"/>
      <c r="H404" s="193"/>
      <c r="I404" s="196"/>
      <c r="J404" s="190"/>
      <c r="K404" s="190"/>
      <c r="L404" s="190"/>
      <c r="M404" s="190"/>
      <c r="N404" s="190"/>
      <c r="O404" s="190"/>
      <c r="P404" s="190"/>
      <c r="Q404" s="190"/>
      <c r="R404" s="190"/>
      <c r="S404" s="190"/>
      <c r="T404" s="190"/>
      <c r="U404" s="190"/>
      <c r="V404" s="190"/>
      <c r="W404" s="190"/>
      <c r="X404" s="190"/>
      <c r="Y404" s="190"/>
      <c r="Z404" s="191"/>
      <c r="AA404" s="191"/>
      <c r="AB404" s="191"/>
      <c r="AC404" s="191"/>
      <c r="AD404" s="191"/>
    </row>
    <row r="405" spans="1:30" s="195" customFormat="1" ht="23.25">
      <c r="A405" s="193"/>
      <c r="B405" s="193"/>
      <c r="C405" s="193"/>
      <c r="D405" s="193"/>
      <c r="E405" s="193"/>
      <c r="F405" s="193"/>
      <c r="G405" s="196"/>
      <c r="H405" s="193"/>
      <c r="I405" s="196"/>
      <c r="J405" s="190"/>
      <c r="K405" s="190"/>
      <c r="L405" s="190"/>
      <c r="M405" s="190"/>
      <c r="N405" s="190"/>
      <c r="O405" s="190"/>
      <c r="P405" s="190"/>
      <c r="Q405" s="190"/>
      <c r="R405" s="190"/>
      <c r="S405" s="190"/>
      <c r="T405" s="190"/>
      <c r="U405" s="190"/>
      <c r="V405" s="190"/>
      <c r="W405" s="190"/>
      <c r="X405" s="190"/>
      <c r="Y405" s="190"/>
      <c r="Z405" s="191"/>
      <c r="AA405" s="191"/>
      <c r="AB405" s="191"/>
      <c r="AC405" s="191"/>
      <c r="AD405" s="191"/>
    </row>
    <row r="406" spans="1:30" s="195" customFormat="1" ht="23.25">
      <c r="A406" s="193"/>
      <c r="B406" s="193"/>
      <c r="C406" s="193"/>
      <c r="D406" s="193"/>
      <c r="E406" s="193"/>
      <c r="F406" s="193"/>
      <c r="G406" s="196"/>
      <c r="H406" s="193"/>
      <c r="I406" s="196"/>
      <c r="J406" s="190"/>
      <c r="K406" s="190"/>
      <c r="L406" s="190"/>
      <c r="M406" s="190"/>
      <c r="N406" s="190"/>
      <c r="O406" s="190"/>
      <c r="P406" s="190"/>
      <c r="Q406" s="190"/>
      <c r="R406" s="190"/>
      <c r="S406" s="190"/>
      <c r="T406" s="190"/>
      <c r="U406" s="190"/>
      <c r="V406" s="190"/>
      <c r="W406" s="190"/>
      <c r="X406" s="190"/>
      <c r="Y406" s="190"/>
      <c r="Z406" s="191"/>
      <c r="AA406" s="191"/>
      <c r="AB406" s="191"/>
      <c r="AC406" s="191"/>
      <c r="AD406" s="191"/>
    </row>
    <row r="407" spans="1:30" s="195" customFormat="1" ht="23.25">
      <c r="A407" s="193"/>
      <c r="B407" s="193"/>
      <c r="C407" s="193"/>
      <c r="D407" s="193"/>
      <c r="E407" s="193"/>
      <c r="F407" s="193"/>
      <c r="G407" s="196"/>
      <c r="H407" s="193"/>
      <c r="I407" s="196"/>
      <c r="J407" s="190"/>
      <c r="K407" s="190"/>
      <c r="L407" s="190"/>
      <c r="M407" s="190"/>
      <c r="N407" s="190"/>
      <c r="O407" s="190"/>
      <c r="P407" s="190"/>
      <c r="Q407" s="190"/>
      <c r="R407" s="190"/>
      <c r="S407" s="190"/>
      <c r="T407" s="190"/>
      <c r="U407" s="190"/>
      <c r="V407" s="190"/>
      <c r="W407" s="190"/>
      <c r="X407" s="190"/>
      <c r="Y407" s="190"/>
      <c r="Z407" s="191"/>
      <c r="AA407" s="191"/>
      <c r="AB407" s="191"/>
      <c r="AC407" s="191"/>
      <c r="AD407" s="191"/>
    </row>
    <row r="408" spans="1:30" s="195" customFormat="1" ht="23.25">
      <c r="A408" s="193"/>
      <c r="B408" s="193"/>
      <c r="C408" s="193"/>
      <c r="D408" s="193"/>
      <c r="E408" s="193"/>
      <c r="F408" s="193"/>
      <c r="G408" s="196"/>
      <c r="H408" s="193"/>
      <c r="I408" s="196"/>
      <c r="J408" s="190"/>
      <c r="K408" s="190"/>
      <c r="L408" s="190"/>
      <c r="M408" s="190"/>
      <c r="N408" s="190"/>
      <c r="O408" s="190"/>
      <c r="P408" s="190"/>
      <c r="Q408" s="190"/>
      <c r="R408" s="190"/>
      <c r="S408" s="190"/>
      <c r="T408" s="190"/>
      <c r="U408" s="190"/>
      <c r="V408" s="190"/>
      <c r="W408" s="190"/>
      <c r="X408" s="190"/>
      <c r="Y408" s="190"/>
      <c r="Z408" s="191"/>
      <c r="AA408" s="191"/>
      <c r="AB408" s="191"/>
      <c r="AC408" s="191"/>
      <c r="AD408" s="191"/>
    </row>
    <row r="409" spans="1:30" s="195" customFormat="1" ht="23.25">
      <c r="A409" s="193"/>
      <c r="B409" s="193"/>
      <c r="C409" s="193"/>
      <c r="D409" s="193"/>
      <c r="E409" s="193"/>
      <c r="F409" s="193"/>
      <c r="G409" s="196"/>
      <c r="H409" s="193"/>
      <c r="I409" s="196"/>
      <c r="J409" s="190"/>
      <c r="K409" s="190"/>
      <c r="L409" s="190"/>
      <c r="M409" s="190"/>
      <c r="N409" s="190"/>
      <c r="O409" s="190"/>
      <c r="P409" s="190"/>
      <c r="Q409" s="190"/>
      <c r="R409" s="190"/>
      <c r="S409" s="190"/>
      <c r="T409" s="190"/>
      <c r="U409" s="190"/>
      <c r="V409" s="190"/>
      <c r="W409" s="190"/>
      <c r="X409" s="190"/>
      <c r="Y409" s="190"/>
      <c r="Z409" s="191"/>
      <c r="AA409" s="191"/>
      <c r="AB409" s="191"/>
      <c r="AC409" s="191"/>
      <c r="AD409" s="191"/>
    </row>
    <row r="410" spans="1:30" s="195" customFormat="1" ht="23.25">
      <c r="A410" s="193"/>
      <c r="B410" s="193"/>
      <c r="C410" s="193"/>
      <c r="D410" s="193"/>
      <c r="E410" s="193"/>
      <c r="F410" s="193"/>
      <c r="G410" s="196"/>
      <c r="H410" s="193"/>
      <c r="I410" s="196"/>
      <c r="J410" s="190"/>
      <c r="K410" s="190"/>
      <c r="L410" s="190"/>
      <c r="M410" s="190"/>
      <c r="N410" s="190"/>
      <c r="O410" s="190"/>
      <c r="P410" s="190"/>
      <c r="Q410" s="190"/>
      <c r="R410" s="190"/>
      <c r="S410" s="190"/>
      <c r="T410" s="190"/>
      <c r="U410" s="190"/>
      <c r="V410" s="190"/>
      <c r="W410" s="190"/>
      <c r="X410" s="190"/>
      <c r="Y410" s="190"/>
      <c r="Z410" s="191"/>
      <c r="AA410" s="191"/>
      <c r="AB410" s="191"/>
      <c r="AC410" s="191"/>
      <c r="AD410" s="191"/>
    </row>
    <row r="411" spans="1:30" s="195" customFormat="1" ht="23.25">
      <c r="A411" s="193"/>
      <c r="B411" s="193"/>
      <c r="C411" s="193"/>
      <c r="D411" s="193"/>
      <c r="E411" s="193"/>
      <c r="F411" s="193"/>
      <c r="G411" s="196"/>
      <c r="H411" s="193"/>
      <c r="I411" s="196"/>
      <c r="J411" s="190"/>
      <c r="K411" s="190"/>
      <c r="L411" s="190"/>
      <c r="M411" s="190"/>
      <c r="N411" s="190"/>
      <c r="O411" s="190"/>
      <c r="P411" s="190"/>
      <c r="Q411" s="190"/>
      <c r="R411" s="190"/>
      <c r="S411" s="190"/>
      <c r="T411" s="190"/>
      <c r="U411" s="190"/>
      <c r="V411" s="190"/>
      <c r="W411" s="190"/>
      <c r="X411" s="190"/>
      <c r="Y411" s="190"/>
      <c r="Z411" s="191"/>
      <c r="AA411" s="191"/>
      <c r="AB411" s="191"/>
      <c r="AC411" s="191"/>
      <c r="AD411" s="191"/>
    </row>
    <row r="412" spans="1:30" s="195" customFormat="1" ht="23.25">
      <c r="A412" s="193"/>
      <c r="B412" s="193"/>
      <c r="C412" s="193"/>
      <c r="D412" s="193"/>
      <c r="E412" s="193"/>
      <c r="F412" s="193"/>
      <c r="G412" s="196"/>
      <c r="H412" s="193"/>
      <c r="I412" s="196"/>
      <c r="J412" s="190"/>
      <c r="K412" s="190"/>
      <c r="L412" s="190"/>
      <c r="M412" s="190"/>
      <c r="N412" s="190"/>
      <c r="O412" s="190"/>
      <c r="P412" s="190"/>
      <c r="Q412" s="190"/>
      <c r="R412" s="190"/>
      <c r="S412" s="190"/>
      <c r="T412" s="190"/>
      <c r="U412" s="190"/>
      <c r="V412" s="190"/>
      <c r="W412" s="190"/>
      <c r="X412" s="190"/>
      <c r="Y412" s="190"/>
      <c r="Z412" s="191"/>
      <c r="AA412" s="191"/>
      <c r="AB412" s="191"/>
      <c r="AC412" s="191"/>
      <c r="AD412" s="191"/>
    </row>
    <row r="413" spans="1:30" s="195" customFormat="1" ht="23.25">
      <c r="A413" s="193"/>
      <c r="B413" s="193"/>
      <c r="C413" s="193"/>
      <c r="D413" s="193"/>
      <c r="E413" s="193"/>
      <c r="F413" s="193"/>
      <c r="G413" s="196"/>
      <c r="H413" s="193"/>
      <c r="I413" s="196"/>
      <c r="J413" s="190"/>
      <c r="K413" s="190"/>
      <c r="L413" s="190"/>
      <c r="M413" s="190"/>
      <c r="N413" s="190"/>
      <c r="O413" s="190"/>
      <c r="P413" s="190"/>
      <c r="Q413" s="190"/>
      <c r="R413" s="190"/>
      <c r="S413" s="190"/>
      <c r="T413" s="190"/>
      <c r="U413" s="190"/>
      <c r="V413" s="190"/>
      <c r="W413" s="190"/>
      <c r="X413" s="190"/>
      <c r="Y413" s="190"/>
      <c r="Z413" s="191"/>
      <c r="AA413" s="191"/>
      <c r="AB413" s="191"/>
      <c r="AC413" s="191"/>
      <c r="AD413" s="191"/>
    </row>
    <row r="414" spans="1:30" s="195" customFormat="1" ht="23.25">
      <c r="A414" s="193"/>
      <c r="B414" s="193"/>
      <c r="C414" s="193"/>
      <c r="D414" s="193"/>
      <c r="E414" s="193"/>
      <c r="F414" s="193"/>
      <c r="G414" s="196"/>
      <c r="H414" s="193"/>
      <c r="I414" s="196"/>
      <c r="J414" s="190"/>
      <c r="K414" s="190"/>
      <c r="L414" s="190"/>
      <c r="M414" s="190"/>
      <c r="N414" s="190"/>
      <c r="O414" s="190"/>
      <c r="P414" s="190"/>
      <c r="Q414" s="190"/>
      <c r="R414" s="190"/>
      <c r="S414" s="190"/>
      <c r="T414" s="190"/>
      <c r="U414" s="190"/>
      <c r="V414" s="190"/>
      <c r="W414" s="190"/>
      <c r="X414" s="190"/>
      <c r="Y414" s="190"/>
      <c r="Z414" s="191"/>
      <c r="AA414" s="191"/>
      <c r="AB414" s="191"/>
      <c r="AC414" s="191"/>
      <c r="AD414" s="191"/>
    </row>
    <row r="415" spans="1:30" s="195" customFormat="1" ht="23.25">
      <c r="A415" s="193"/>
      <c r="B415" s="193"/>
      <c r="C415" s="193"/>
      <c r="D415" s="193"/>
      <c r="E415" s="193"/>
      <c r="F415" s="193"/>
      <c r="G415" s="196"/>
      <c r="H415" s="193"/>
      <c r="I415" s="196"/>
      <c r="J415" s="190"/>
      <c r="K415" s="190"/>
      <c r="L415" s="190"/>
      <c r="M415" s="190"/>
      <c r="N415" s="190"/>
      <c r="O415" s="190"/>
      <c r="P415" s="190"/>
      <c r="Q415" s="190"/>
      <c r="R415" s="190"/>
      <c r="S415" s="190"/>
      <c r="T415" s="190"/>
      <c r="U415" s="190"/>
      <c r="V415" s="190"/>
      <c r="W415" s="190"/>
      <c r="X415" s="190"/>
      <c r="Y415" s="190"/>
      <c r="Z415" s="191"/>
      <c r="AA415" s="191"/>
      <c r="AB415" s="191"/>
      <c r="AC415" s="191"/>
      <c r="AD415" s="191"/>
    </row>
    <row r="416" spans="1:30" s="195" customFormat="1" ht="23.25">
      <c r="A416" s="193"/>
      <c r="B416" s="193"/>
      <c r="C416" s="193"/>
      <c r="D416" s="193"/>
      <c r="E416" s="193"/>
      <c r="F416" s="193"/>
      <c r="G416" s="196"/>
      <c r="H416" s="193"/>
      <c r="I416" s="196"/>
      <c r="J416" s="190"/>
      <c r="K416" s="190"/>
      <c r="L416" s="190"/>
      <c r="M416" s="190"/>
      <c r="N416" s="190"/>
      <c r="O416" s="190"/>
      <c r="P416" s="190"/>
      <c r="Q416" s="190"/>
      <c r="R416" s="190"/>
      <c r="S416" s="190"/>
      <c r="T416" s="190"/>
      <c r="U416" s="190"/>
      <c r="V416" s="190"/>
      <c r="W416" s="190"/>
      <c r="X416" s="190"/>
      <c r="Y416" s="190"/>
      <c r="Z416" s="191"/>
      <c r="AA416" s="191"/>
      <c r="AB416" s="191"/>
      <c r="AC416" s="191"/>
      <c r="AD416" s="191"/>
    </row>
    <row r="417" spans="1:30" s="195" customFormat="1" ht="23.25">
      <c r="A417" s="193"/>
      <c r="B417" s="193"/>
      <c r="C417" s="193"/>
      <c r="D417" s="193"/>
      <c r="E417" s="193"/>
      <c r="F417" s="193"/>
      <c r="G417" s="196"/>
      <c r="H417" s="193"/>
      <c r="I417" s="196"/>
      <c r="J417" s="190"/>
      <c r="K417" s="190"/>
      <c r="L417" s="190"/>
      <c r="M417" s="190"/>
      <c r="N417" s="190"/>
      <c r="O417" s="190"/>
      <c r="P417" s="190"/>
      <c r="Q417" s="190"/>
      <c r="R417" s="190"/>
      <c r="S417" s="190"/>
      <c r="T417" s="190"/>
      <c r="U417" s="190"/>
      <c r="V417" s="190"/>
      <c r="W417" s="190"/>
      <c r="X417" s="190"/>
      <c r="Y417" s="190"/>
      <c r="Z417" s="191"/>
      <c r="AA417" s="191"/>
      <c r="AB417" s="191"/>
      <c r="AC417" s="191"/>
      <c r="AD417" s="191"/>
    </row>
    <row r="418" spans="1:30" s="195" customFormat="1" ht="23.25">
      <c r="A418" s="193"/>
      <c r="B418" s="193"/>
      <c r="C418" s="193"/>
      <c r="D418" s="193"/>
      <c r="E418" s="193"/>
      <c r="F418" s="193"/>
      <c r="G418" s="196"/>
      <c r="H418" s="193"/>
      <c r="I418" s="196"/>
      <c r="J418" s="190"/>
      <c r="K418" s="190"/>
      <c r="L418" s="190"/>
      <c r="M418" s="190"/>
      <c r="N418" s="190"/>
      <c r="O418" s="190"/>
      <c r="P418" s="190"/>
      <c r="Q418" s="190"/>
      <c r="R418" s="190"/>
      <c r="S418" s="190"/>
      <c r="T418" s="190"/>
      <c r="U418" s="190"/>
      <c r="V418" s="190"/>
      <c r="W418" s="190"/>
      <c r="X418" s="190"/>
      <c r="Y418" s="190"/>
      <c r="Z418" s="191"/>
      <c r="AA418" s="191"/>
      <c r="AB418" s="191"/>
      <c r="AC418" s="191"/>
      <c r="AD418" s="191"/>
    </row>
    <row r="419" spans="1:30" s="195" customFormat="1" ht="23.25">
      <c r="A419" s="193"/>
      <c r="B419" s="193"/>
      <c r="C419" s="193"/>
      <c r="D419" s="193"/>
      <c r="E419" s="193"/>
      <c r="F419" s="193"/>
      <c r="G419" s="196"/>
      <c r="H419" s="193"/>
      <c r="I419" s="196"/>
      <c r="J419" s="190"/>
      <c r="K419" s="190"/>
      <c r="L419" s="190"/>
      <c r="M419" s="190"/>
      <c r="N419" s="190"/>
      <c r="O419" s="190"/>
      <c r="P419" s="190"/>
      <c r="Q419" s="190"/>
      <c r="R419" s="190"/>
      <c r="S419" s="190"/>
      <c r="T419" s="190"/>
      <c r="U419" s="190"/>
      <c r="V419" s="190"/>
      <c r="W419" s="190"/>
      <c r="X419" s="190"/>
      <c r="Y419" s="190"/>
      <c r="Z419" s="191"/>
      <c r="AA419" s="191"/>
      <c r="AB419" s="191"/>
      <c r="AC419" s="191"/>
      <c r="AD419" s="191"/>
    </row>
    <row r="420" spans="1:30" s="195" customFormat="1" ht="23.25">
      <c r="A420" s="193"/>
      <c r="B420" s="193"/>
      <c r="C420" s="193"/>
      <c r="D420" s="193"/>
      <c r="E420" s="193"/>
      <c r="F420" s="193"/>
      <c r="G420" s="196"/>
      <c r="H420" s="193"/>
      <c r="I420" s="196"/>
      <c r="J420" s="190"/>
      <c r="K420" s="190"/>
      <c r="L420" s="190"/>
      <c r="M420" s="190"/>
      <c r="N420" s="190"/>
      <c r="O420" s="190"/>
      <c r="P420" s="190"/>
      <c r="Q420" s="190"/>
      <c r="R420" s="190"/>
      <c r="S420" s="190"/>
      <c r="T420" s="190"/>
      <c r="U420" s="190"/>
      <c r="V420" s="190"/>
      <c r="W420" s="190"/>
      <c r="X420" s="190"/>
      <c r="Y420" s="190"/>
      <c r="Z420" s="191"/>
      <c r="AA420" s="191"/>
      <c r="AB420" s="191"/>
      <c r="AC420" s="191"/>
      <c r="AD420" s="191"/>
    </row>
    <row r="421" spans="1:30" s="195" customFormat="1" ht="23.25">
      <c r="A421" s="193"/>
      <c r="B421" s="193"/>
      <c r="C421" s="193"/>
      <c r="D421" s="193"/>
      <c r="E421" s="193"/>
      <c r="F421" s="193"/>
      <c r="G421" s="196"/>
      <c r="H421" s="193"/>
      <c r="I421" s="196"/>
      <c r="J421" s="190"/>
      <c r="K421" s="190"/>
      <c r="L421" s="190"/>
      <c r="M421" s="190"/>
      <c r="N421" s="190"/>
      <c r="O421" s="190"/>
      <c r="P421" s="190"/>
      <c r="Q421" s="190"/>
      <c r="R421" s="190"/>
      <c r="S421" s="190"/>
      <c r="T421" s="190"/>
      <c r="U421" s="190"/>
      <c r="V421" s="190"/>
      <c r="W421" s="190"/>
      <c r="X421" s="190"/>
      <c r="Y421" s="190"/>
      <c r="Z421" s="191"/>
      <c r="AA421" s="191"/>
      <c r="AB421" s="191"/>
      <c r="AC421" s="191"/>
      <c r="AD421" s="191"/>
    </row>
    <row r="422" spans="1:30" s="195" customFormat="1" ht="23.25">
      <c r="A422" s="193"/>
      <c r="B422" s="193"/>
      <c r="C422" s="193"/>
      <c r="D422" s="193"/>
      <c r="E422" s="193"/>
      <c r="F422" s="193"/>
      <c r="G422" s="196"/>
      <c r="H422" s="193"/>
      <c r="I422" s="196"/>
      <c r="J422" s="190"/>
      <c r="K422" s="190"/>
      <c r="L422" s="190"/>
      <c r="M422" s="190"/>
      <c r="N422" s="190"/>
      <c r="O422" s="190"/>
      <c r="P422" s="190"/>
      <c r="Q422" s="190"/>
      <c r="R422" s="190"/>
      <c r="S422" s="190"/>
      <c r="T422" s="190"/>
      <c r="U422" s="190"/>
      <c r="V422" s="190"/>
      <c r="W422" s="190"/>
      <c r="X422" s="190"/>
      <c r="Y422" s="190"/>
      <c r="Z422" s="191"/>
      <c r="AA422" s="191"/>
      <c r="AB422" s="191"/>
      <c r="AC422" s="191"/>
      <c r="AD422" s="191"/>
    </row>
    <row r="423" spans="1:30" s="195" customFormat="1" ht="23.25">
      <c r="A423" s="193"/>
      <c r="B423" s="193"/>
      <c r="C423" s="193"/>
      <c r="D423" s="193"/>
      <c r="E423" s="193"/>
      <c r="F423" s="193"/>
      <c r="G423" s="196"/>
      <c r="H423" s="193"/>
      <c r="I423" s="196"/>
      <c r="J423" s="190"/>
      <c r="K423" s="190"/>
      <c r="L423" s="190"/>
      <c r="M423" s="190"/>
      <c r="N423" s="190"/>
      <c r="O423" s="190"/>
      <c r="P423" s="190"/>
      <c r="Q423" s="190"/>
      <c r="R423" s="190"/>
      <c r="S423" s="190"/>
      <c r="T423" s="190"/>
      <c r="U423" s="190"/>
      <c r="V423" s="190"/>
      <c r="W423" s="190"/>
      <c r="X423" s="190"/>
      <c r="Y423" s="190"/>
      <c r="Z423" s="191"/>
      <c r="AA423" s="191"/>
      <c r="AB423" s="191"/>
      <c r="AC423" s="191"/>
      <c r="AD423" s="191"/>
    </row>
    <row r="424" spans="1:30" s="195" customFormat="1" ht="23.25">
      <c r="A424" s="193"/>
      <c r="B424" s="193"/>
      <c r="C424" s="193"/>
      <c r="D424" s="193"/>
      <c r="E424" s="193"/>
      <c r="F424" s="193"/>
      <c r="G424" s="196"/>
      <c r="H424" s="193"/>
      <c r="I424" s="196"/>
      <c r="J424" s="190"/>
      <c r="K424" s="190"/>
      <c r="L424" s="190"/>
      <c r="M424" s="190"/>
      <c r="N424" s="190"/>
      <c r="O424" s="190"/>
      <c r="P424" s="190"/>
      <c r="Q424" s="190"/>
      <c r="R424" s="190"/>
      <c r="S424" s="190"/>
      <c r="T424" s="190"/>
      <c r="U424" s="190"/>
      <c r="V424" s="190"/>
      <c r="W424" s="190"/>
      <c r="X424" s="190"/>
      <c r="Y424" s="190"/>
      <c r="Z424" s="191"/>
      <c r="AA424" s="191"/>
      <c r="AB424" s="191"/>
      <c r="AC424" s="191"/>
      <c r="AD424" s="191"/>
    </row>
    <row r="425" spans="1:30" s="195" customFormat="1" ht="23.25">
      <c r="A425" s="193"/>
      <c r="B425" s="193"/>
      <c r="C425" s="193"/>
      <c r="D425" s="193"/>
      <c r="E425" s="193"/>
      <c r="F425" s="193"/>
      <c r="G425" s="196"/>
      <c r="H425" s="193"/>
      <c r="I425" s="196"/>
      <c r="J425" s="190"/>
      <c r="K425" s="190"/>
      <c r="L425" s="190"/>
      <c r="M425" s="190"/>
      <c r="N425" s="190"/>
      <c r="O425" s="190"/>
      <c r="P425" s="190"/>
      <c r="Q425" s="190"/>
      <c r="R425" s="190"/>
      <c r="S425" s="190"/>
      <c r="T425" s="190"/>
      <c r="U425" s="190"/>
      <c r="V425" s="190"/>
      <c r="W425" s="190"/>
      <c r="X425" s="190"/>
      <c r="Y425" s="190"/>
      <c r="Z425" s="191"/>
      <c r="AA425" s="191"/>
      <c r="AB425" s="191"/>
      <c r="AC425" s="191"/>
      <c r="AD425" s="191"/>
    </row>
    <row r="426" spans="1:30" s="195" customFormat="1" ht="23.25">
      <c r="A426" s="193"/>
      <c r="B426" s="193"/>
      <c r="C426" s="193"/>
      <c r="D426" s="193"/>
      <c r="E426" s="193"/>
      <c r="F426" s="193"/>
      <c r="G426" s="196"/>
      <c r="H426" s="193"/>
      <c r="I426" s="196"/>
      <c r="J426" s="190"/>
      <c r="K426" s="190"/>
      <c r="L426" s="190"/>
      <c r="M426" s="190"/>
      <c r="N426" s="190"/>
      <c r="O426" s="190"/>
      <c r="P426" s="190"/>
      <c r="Q426" s="190"/>
      <c r="R426" s="190"/>
      <c r="S426" s="190"/>
      <c r="T426" s="190"/>
      <c r="U426" s="190"/>
      <c r="V426" s="190"/>
      <c r="W426" s="190"/>
      <c r="X426" s="190"/>
      <c r="Y426" s="190"/>
      <c r="Z426" s="191"/>
      <c r="AA426" s="191"/>
      <c r="AB426" s="191"/>
      <c r="AC426" s="191"/>
      <c r="AD426" s="191"/>
    </row>
    <row r="427" spans="1:30" s="195" customFormat="1" ht="23.25">
      <c r="A427" s="193"/>
      <c r="B427" s="193"/>
      <c r="C427" s="193"/>
      <c r="D427" s="193"/>
      <c r="E427" s="193"/>
      <c r="F427" s="193"/>
      <c r="G427" s="196"/>
      <c r="H427" s="193"/>
      <c r="I427" s="196"/>
      <c r="J427" s="190"/>
      <c r="K427" s="190"/>
      <c r="L427" s="190"/>
      <c r="M427" s="190"/>
      <c r="N427" s="190"/>
      <c r="O427" s="190"/>
      <c r="P427" s="190"/>
      <c r="Q427" s="190"/>
      <c r="R427" s="190"/>
      <c r="S427" s="190"/>
      <c r="T427" s="190"/>
      <c r="U427" s="190"/>
      <c r="V427" s="190"/>
      <c r="W427" s="190"/>
      <c r="X427" s="190"/>
      <c r="Y427" s="190"/>
      <c r="Z427" s="191"/>
      <c r="AA427" s="191"/>
      <c r="AB427" s="191"/>
      <c r="AC427" s="191"/>
      <c r="AD427" s="191"/>
    </row>
    <row r="428" spans="1:30" s="195" customFormat="1" ht="23.25">
      <c r="A428" s="193"/>
      <c r="B428" s="193"/>
      <c r="C428" s="193"/>
      <c r="D428" s="193"/>
      <c r="E428" s="193"/>
      <c r="F428" s="193"/>
      <c r="G428" s="196"/>
      <c r="H428" s="193"/>
      <c r="I428" s="196"/>
      <c r="J428" s="190"/>
      <c r="K428" s="190"/>
      <c r="L428" s="190"/>
      <c r="M428" s="190"/>
      <c r="N428" s="190"/>
      <c r="O428" s="190"/>
      <c r="P428" s="190"/>
      <c r="Q428" s="190"/>
      <c r="R428" s="190"/>
      <c r="S428" s="190"/>
      <c r="T428" s="190"/>
      <c r="U428" s="190"/>
      <c r="V428" s="190"/>
      <c r="W428" s="190"/>
      <c r="X428" s="190"/>
      <c r="Y428" s="190"/>
      <c r="Z428" s="191"/>
      <c r="AA428" s="191"/>
      <c r="AB428" s="191"/>
      <c r="AC428" s="191"/>
      <c r="AD428" s="191"/>
    </row>
    <row r="429" spans="1:30" s="195" customFormat="1" ht="23.25">
      <c r="A429" s="193"/>
      <c r="B429" s="193"/>
      <c r="C429" s="193"/>
      <c r="D429" s="193"/>
      <c r="E429" s="193"/>
      <c r="F429" s="193"/>
      <c r="G429" s="196"/>
      <c r="H429" s="193"/>
      <c r="I429" s="196"/>
      <c r="J429" s="190"/>
      <c r="K429" s="190"/>
      <c r="L429" s="190"/>
      <c r="M429" s="190"/>
      <c r="N429" s="190"/>
      <c r="O429" s="190"/>
      <c r="P429" s="190"/>
      <c r="Q429" s="190"/>
      <c r="R429" s="190"/>
      <c r="S429" s="190"/>
      <c r="T429" s="190"/>
      <c r="U429" s="190"/>
      <c r="V429" s="190"/>
      <c r="W429" s="190"/>
      <c r="X429" s="190"/>
      <c r="Y429" s="190"/>
      <c r="Z429" s="191"/>
      <c r="AA429" s="191"/>
      <c r="AB429" s="191"/>
      <c r="AC429" s="191"/>
      <c r="AD429" s="191"/>
    </row>
    <row r="430" spans="1:30" s="195" customFormat="1" ht="23.25">
      <c r="A430" s="193"/>
      <c r="B430" s="193"/>
      <c r="C430" s="193"/>
      <c r="D430" s="193"/>
      <c r="E430" s="193"/>
      <c r="F430" s="193"/>
      <c r="G430" s="196"/>
      <c r="H430" s="193"/>
      <c r="I430" s="196"/>
      <c r="J430" s="190"/>
      <c r="K430" s="190"/>
      <c r="L430" s="190"/>
      <c r="M430" s="190"/>
      <c r="N430" s="190"/>
      <c r="O430" s="190"/>
      <c r="P430" s="190"/>
      <c r="Q430" s="190"/>
      <c r="R430" s="190"/>
      <c r="S430" s="190"/>
      <c r="T430" s="190"/>
      <c r="U430" s="190"/>
      <c r="V430" s="190"/>
      <c r="W430" s="190"/>
      <c r="X430" s="190"/>
      <c r="Y430" s="190"/>
      <c r="Z430" s="191"/>
      <c r="AA430" s="191"/>
      <c r="AB430" s="191"/>
      <c r="AC430" s="191"/>
      <c r="AD430" s="191"/>
    </row>
    <row r="431" spans="1:30" s="195" customFormat="1" ht="23.25">
      <c r="A431" s="193"/>
      <c r="B431" s="193"/>
      <c r="C431" s="193"/>
      <c r="D431" s="193"/>
      <c r="E431" s="193"/>
      <c r="F431" s="193"/>
      <c r="G431" s="196"/>
      <c r="H431" s="193"/>
      <c r="I431" s="196"/>
      <c r="J431" s="190"/>
      <c r="K431" s="190"/>
      <c r="L431" s="190"/>
      <c r="M431" s="190"/>
      <c r="N431" s="190"/>
      <c r="O431" s="190"/>
      <c r="P431" s="190"/>
      <c r="Q431" s="190"/>
      <c r="R431" s="190"/>
      <c r="S431" s="190"/>
      <c r="T431" s="190"/>
      <c r="U431" s="190"/>
      <c r="V431" s="190"/>
      <c r="W431" s="190"/>
      <c r="X431" s="190"/>
      <c r="Y431" s="190"/>
      <c r="Z431" s="191"/>
      <c r="AA431" s="191"/>
      <c r="AB431" s="191"/>
      <c r="AC431" s="191"/>
      <c r="AD431" s="191"/>
    </row>
    <row r="432" spans="1:30" s="195" customFormat="1" ht="23.25">
      <c r="A432" s="193"/>
      <c r="B432" s="193"/>
      <c r="C432" s="193"/>
      <c r="D432" s="193"/>
      <c r="E432" s="193"/>
      <c r="F432" s="193"/>
      <c r="G432" s="196"/>
      <c r="H432" s="193"/>
      <c r="I432" s="196"/>
      <c r="J432" s="190"/>
      <c r="K432" s="190"/>
      <c r="L432" s="190"/>
      <c r="M432" s="190"/>
      <c r="N432" s="190"/>
      <c r="O432" s="190"/>
      <c r="P432" s="190"/>
      <c r="Q432" s="190"/>
      <c r="R432" s="190"/>
      <c r="S432" s="190"/>
      <c r="T432" s="190"/>
      <c r="U432" s="190"/>
      <c r="V432" s="190"/>
      <c r="W432" s="190"/>
      <c r="X432" s="190"/>
      <c r="Y432" s="190"/>
      <c r="Z432" s="191"/>
      <c r="AA432" s="191"/>
      <c r="AB432" s="191"/>
      <c r="AC432" s="191"/>
      <c r="AD432" s="191"/>
    </row>
    <row r="433" spans="1:30" s="195" customFormat="1" ht="23.25">
      <c r="A433" s="193"/>
      <c r="B433" s="193"/>
      <c r="C433" s="193"/>
      <c r="D433" s="193"/>
      <c r="E433" s="193"/>
      <c r="F433" s="193"/>
      <c r="G433" s="196"/>
      <c r="H433" s="193"/>
      <c r="I433" s="196"/>
      <c r="J433" s="190"/>
      <c r="K433" s="190"/>
      <c r="L433" s="190"/>
      <c r="M433" s="190"/>
      <c r="N433" s="190"/>
      <c r="O433" s="190"/>
      <c r="P433" s="190"/>
      <c r="Q433" s="190"/>
      <c r="R433" s="190"/>
      <c r="S433" s="190"/>
      <c r="T433" s="190"/>
      <c r="U433" s="190"/>
      <c r="V433" s="190"/>
      <c r="W433" s="190"/>
      <c r="X433" s="190"/>
      <c r="Y433" s="190"/>
      <c r="Z433" s="191"/>
      <c r="AA433" s="191"/>
      <c r="AB433" s="191"/>
      <c r="AC433" s="191"/>
      <c r="AD433" s="191"/>
    </row>
    <row r="434" spans="1:30" s="195" customFormat="1" ht="23.25">
      <c r="A434" s="193"/>
      <c r="B434" s="193"/>
      <c r="C434" s="193"/>
      <c r="D434" s="193"/>
      <c r="E434" s="193"/>
      <c r="F434" s="193"/>
      <c r="G434" s="196"/>
      <c r="H434" s="193"/>
      <c r="I434" s="196"/>
      <c r="J434" s="190"/>
      <c r="K434" s="190"/>
      <c r="L434" s="190"/>
      <c r="M434" s="190"/>
      <c r="N434" s="190"/>
      <c r="O434" s="190"/>
      <c r="P434" s="190"/>
      <c r="Q434" s="190"/>
      <c r="R434" s="190"/>
      <c r="S434" s="190"/>
      <c r="T434" s="190"/>
      <c r="U434" s="190"/>
      <c r="V434" s="190"/>
      <c r="W434" s="190"/>
      <c r="X434" s="190"/>
      <c r="Y434" s="190"/>
      <c r="Z434" s="191"/>
      <c r="AA434" s="191"/>
      <c r="AB434" s="191"/>
      <c r="AC434" s="191"/>
      <c r="AD434" s="191"/>
    </row>
    <row r="435" spans="1:30" s="195" customFormat="1" ht="23.25">
      <c r="A435" s="193"/>
      <c r="B435" s="193"/>
      <c r="C435" s="193"/>
      <c r="D435" s="193"/>
      <c r="E435" s="193"/>
      <c r="F435" s="193"/>
      <c r="G435" s="196"/>
      <c r="H435" s="193"/>
      <c r="I435" s="196"/>
      <c r="J435" s="190"/>
      <c r="K435" s="190"/>
      <c r="L435" s="190"/>
      <c r="M435" s="190"/>
      <c r="N435" s="190"/>
      <c r="O435" s="190"/>
      <c r="P435" s="190"/>
      <c r="Q435" s="190"/>
      <c r="R435" s="190"/>
      <c r="S435" s="190"/>
      <c r="T435" s="190"/>
      <c r="U435" s="190"/>
      <c r="V435" s="190"/>
      <c r="W435" s="190"/>
      <c r="X435" s="190"/>
      <c r="Y435" s="190"/>
      <c r="Z435" s="191"/>
      <c r="AA435" s="191"/>
      <c r="AB435" s="191"/>
      <c r="AC435" s="191"/>
      <c r="AD435" s="191"/>
    </row>
    <row r="436" spans="1:30" s="195" customFormat="1" ht="23.25">
      <c r="A436" s="193"/>
      <c r="B436" s="193"/>
      <c r="C436" s="193"/>
      <c r="D436" s="193"/>
      <c r="E436" s="193"/>
      <c r="F436" s="193"/>
      <c r="G436" s="196"/>
      <c r="H436" s="193"/>
      <c r="I436" s="196"/>
      <c r="J436" s="190"/>
      <c r="K436" s="190"/>
      <c r="L436" s="190"/>
      <c r="M436" s="190"/>
      <c r="N436" s="190"/>
      <c r="O436" s="190"/>
      <c r="P436" s="190"/>
      <c r="Q436" s="190"/>
      <c r="R436" s="190"/>
      <c r="S436" s="190"/>
      <c r="T436" s="190"/>
      <c r="U436" s="190"/>
      <c r="V436" s="190"/>
      <c r="W436" s="190"/>
      <c r="X436" s="190"/>
      <c r="Y436" s="190"/>
      <c r="Z436" s="191"/>
      <c r="AA436" s="191"/>
      <c r="AB436" s="191"/>
      <c r="AC436" s="191"/>
      <c r="AD436" s="191"/>
    </row>
    <row r="437" spans="1:30" s="195" customFormat="1" ht="23.25">
      <c r="A437" s="193"/>
      <c r="B437" s="193"/>
      <c r="C437" s="193"/>
      <c r="D437" s="193"/>
      <c r="E437" s="193"/>
      <c r="F437" s="193"/>
      <c r="G437" s="196"/>
      <c r="H437" s="193"/>
      <c r="I437" s="196"/>
      <c r="J437" s="190"/>
      <c r="K437" s="190"/>
      <c r="L437" s="190"/>
      <c r="M437" s="190"/>
      <c r="N437" s="190"/>
      <c r="O437" s="190"/>
      <c r="P437" s="190"/>
      <c r="Q437" s="190"/>
      <c r="R437" s="190"/>
      <c r="S437" s="190"/>
      <c r="T437" s="190"/>
      <c r="U437" s="190"/>
      <c r="V437" s="190"/>
      <c r="W437" s="190"/>
      <c r="X437" s="190"/>
      <c r="Y437" s="190"/>
      <c r="Z437" s="191"/>
      <c r="AA437" s="191"/>
      <c r="AB437" s="191"/>
      <c r="AC437" s="191"/>
      <c r="AD437" s="191"/>
    </row>
    <row r="438" spans="1:30" s="195" customFormat="1" ht="23.25">
      <c r="A438" s="193"/>
      <c r="B438" s="193"/>
      <c r="C438" s="193"/>
      <c r="D438" s="193"/>
      <c r="E438" s="193"/>
      <c r="F438" s="193"/>
      <c r="G438" s="196"/>
      <c r="H438" s="193"/>
      <c r="I438" s="196"/>
      <c r="J438" s="190"/>
      <c r="K438" s="190"/>
      <c r="L438" s="190"/>
      <c r="M438" s="190"/>
      <c r="N438" s="190"/>
      <c r="O438" s="190"/>
      <c r="P438" s="190"/>
      <c r="Q438" s="190"/>
      <c r="R438" s="190"/>
      <c r="S438" s="190"/>
      <c r="T438" s="190"/>
      <c r="U438" s="190"/>
      <c r="V438" s="190"/>
      <c r="W438" s="190"/>
      <c r="X438" s="190"/>
      <c r="Y438" s="190"/>
      <c r="Z438" s="191"/>
      <c r="AA438" s="191"/>
      <c r="AB438" s="191"/>
      <c r="AC438" s="191"/>
      <c r="AD438" s="191"/>
    </row>
    <row r="439" spans="1:30" s="195" customFormat="1" ht="23.25">
      <c r="A439" s="193"/>
      <c r="B439" s="193"/>
      <c r="C439" s="193"/>
      <c r="D439" s="193"/>
      <c r="E439" s="193"/>
      <c r="F439" s="193"/>
      <c r="G439" s="196"/>
      <c r="H439" s="193"/>
      <c r="I439" s="196"/>
      <c r="J439" s="190"/>
      <c r="K439" s="190"/>
      <c r="L439" s="190"/>
      <c r="M439" s="190"/>
      <c r="N439" s="190"/>
      <c r="O439" s="190"/>
      <c r="P439" s="190"/>
      <c r="Q439" s="190"/>
      <c r="R439" s="190"/>
      <c r="S439" s="190"/>
      <c r="T439" s="190"/>
      <c r="U439" s="190"/>
      <c r="V439" s="190"/>
      <c r="W439" s="190"/>
      <c r="X439" s="190"/>
      <c r="Y439" s="190"/>
      <c r="Z439" s="191"/>
      <c r="AA439" s="191"/>
      <c r="AB439" s="191"/>
      <c r="AC439" s="191"/>
      <c r="AD439" s="191"/>
    </row>
    <row r="440" spans="1:30" s="195" customFormat="1" ht="23.25">
      <c r="A440" s="193"/>
      <c r="B440" s="193"/>
      <c r="C440" s="193"/>
      <c r="D440" s="193"/>
      <c r="E440" s="193"/>
      <c r="F440" s="193"/>
      <c r="G440" s="196"/>
      <c r="H440" s="193"/>
      <c r="I440" s="196"/>
      <c r="J440" s="190"/>
      <c r="K440" s="190"/>
      <c r="L440" s="190"/>
      <c r="M440" s="190"/>
      <c r="N440" s="190"/>
      <c r="O440" s="190"/>
      <c r="P440" s="190"/>
      <c r="Q440" s="190"/>
      <c r="R440" s="190"/>
      <c r="S440" s="190"/>
      <c r="T440" s="190"/>
      <c r="U440" s="190"/>
      <c r="V440" s="190"/>
      <c r="W440" s="190"/>
      <c r="X440" s="190"/>
      <c r="Y440" s="190"/>
      <c r="Z440" s="191"/>
      <c r="AA440" s="191"/>
      <c r="AB440" s="191"/>
      <c r="AC440" s="191"/>
      <c r="AD440" s="191"/>
    </row>
    <row r="441" spans="1:30" s="195" customFormat="1" ht="23.25">
      <c r="A441" s="193"/>
      <c r="B441" s="193"/>
      <c r="C441" s="193"/>
      <c r="D441" s="193"/>
      <c r="E441" s="193"/>
      <c r="F441" s="193"/>
      <c r="G441" s="196"/>
      <c r="H441" s="193"/>
      <c r="I441" s="196"/>
      <c r="J441" s="190"/>
      <c r="K441" s="190"/>
      <c r="L441" s="190"/>
      <c r="M441" s="190"/>
      <c r="N441" s="190"/>
      <c r="O441" s="190"/>
      <c r="P441" s="190"/>
      <c r="Q441" s="190"/>
      <c r="R441" s="190"/>
      <c r="S441" s="190"/>
      <c r="T441" s="190"/>
      <c r="U441" s="190"/>
      <c r="V441" s="190"/>
      <c r="W441" s="190"/>
      <c r="X441" s="190"/>
      <c r="Y441" s="190"/>
      <c r="Z441" s="191"/>
      <c r="AA441" s="191"/>
      <c r="AB441" s="191"/>
      <c r="AC441" s="191"/>
      <c r="AD441" s="191"/>
    </row>
    <row r="442" spans="1:30" s="195" customFormat="1" ht="23.25">
      <c r="A442" s="193"/>
      <c r="B442" s="193"/>
      <c r="C442" s="193"/>
      <c r="D442" s="193"/>
      <c r="E442" s="193"/>
      <c r="F442" s="193"/>
      <c r="G442" s="196"/>
      <c r="H442" s="193"/>
      <c r="I442" s="196"/>
      <c r="J442" s="190"/>
      <c r="K442" s="190"/>
      <c r="L442" s="190"/>
      <c r="M442" s="190"/>
      <c r="N442" s="190"/>
      <c r="O442" s="190"/>
      <c r="P442" s="190"/>
      <c r="Q442" s="190"/>
      <c r="R442" s="190"/>
      <c r="S442" s="190"/>
      <c r="T442" s="190"/>
      <c r="U442" s="190"/>
      <c r="V442" s="190"/>
      <c r="W442" s="190"/>
      <c r="X442" s="190"/>
      <c r="Y442" s="190"/>
      <c r="Z442" s="191"/>
      <c r="AA442" s="191"/>
      <c r="AB442" s="191"/>
      <c r="AC442" s="191"/>
      <c r="AD442" s="191"/>
    </row>
    <row r="443" spans="1:30" s="195" customFormat="1" ht="23.25">
      <c r="A443" s="193"/>
      <c r="B443" s="193"/>
      <c r="C443" s="193"/>
      <c r="D443" s="193"/>
      <c r="E443" s="193"/>
      <c r="F443" s="193"/>
      <c r="G443" s="196"/>
      <c r="H443" s="193"/>
      <c r="I443" s="196"/>
      <c r="J443" s="190"/>
      <c r="K443" s="190"/>
      <c r="L443" s="190"/>
      <c r="M443" s="190"/>
      <c r="N443" s="190"/>
      <c r="O443" s="190"/>
      <c r="P443" s="190"/>
      <c r="Q443" s="190"/>
      <c r="R443" s="190"/>
      <c r="S443" s="190"/>
      <c r="T443" s="190"/>
      <c r="U443" s="190"/>
      <c r="V443" s="190"/>
      <c r="W443" s="190"/>
      <c r="X443" s="190"/>
      <c r="Y443" s="190"/>
      <c r="Z443" s="191"/>
      <c r="AA443" s="191"/>
      <c r="AB443" s="191"/>
      <c r="AC443" s="191"/>
      <c r="AD443" s="191"/>
    </row>
    <row r="444" spans="1:30" s="195" customFormat="1" ht="23.25">
      <c r="A444" s="193"/>
      <c r="B444" s="193"/>
      <c r="C444" s="193"/>
      <c r="D444" s="193"/>
      <c r="E444" s="193"/>
      <c r="F444" s="193"/>
      <c r="G444" s="196"/>
      <c r="H444" s="193"/>
      <c r="I444" s="196"/>
      <c r="J444" s="190"/>
      <c r="K444" s="190"/>
      <c r="L444" s="190"/>
      <c r="M444" s="190"/>
      <c r="N444" s="190"/>
      <c r="O444" s="190"/>
      <c r="P444" s="190"/>
      <c r="Q444" s="190"/>
      <c r="R444" s="190"/>
      <c r="S444" s="190"/>
      <c r="T444" s="190"/>
      <c r="U444" s="190"/>
      <c r="V444" s="190"/>
      <c r="W444" s="190"/>
      <c r="X444" s="190"/>
      <c r="Y444" s="190"/>
      <c r="Z444" s="191"/>
      <c r="AA444" s="191"/>
      <c r="AB444" s="191"/>
      <c r="AC444" s="191"/>
      <c r="AD444" s="191"/>
    </row>
    <row r="445" spans="1:30" s="195" customFormat="1" ht="23.25">
      <c r="A445" s="193"/>
      <c r="B445" s="193"/>
      <c r="C445" s="193"/>
      <c r="D445" s="193"/>
      <c r="E445" s="193"/>
      <c r="F445" s="193"/>
      <c r="G445" s="196"/>
      <c r="H445" s="193"/>
      <c r="I445" s="196"/>
      <c r="J445" s="190"/>
      <c r="K445" s="190"/>
      <c r="L445" s="190"/>
      <c r="M445" s="190"/>
      <c r="N445" s="190"/>
      <c r="O445" s="190"/>
      <c r="P445" s="190"/>
      <c r="Q445" s="190"/>
      <c r="R445" s="190"/>
      <c r="S445" s="190"/>
      <c r="T445" s="190"/>
      <c r="U445" s="190"/>
      <c r="V445" s="190"/>
      <c r="W445" s="190"/>
      <c r="X445" s="190"/>
      <c r="Y445" s="190"/>
      <c r="Z445" s="191"/>
      <c r="AA445" s="191"/>
      <c r="AB445" s="191"/>
      <c r="AC445" s="191"/>
      <c r="AD445" s="191"/>
    </row>
    <row r="446" spans="1:30" s="195" customFormat="1" ht="23.25">
      <c r="A446" s="193"/>
      <c r="B446" s="193"/>
      <c r="C446" s="193"/>
      <c r="D446" s="193"/>
      <c r="E446" s="193"/>
      <c r="F446" s="193"/>
      <c r="G446" s="196"/>
      <c r="H446" s="193"/>
      <c r="I446" s="196"/>
      <c r="J446" s="190"/>
      <c r="K446" s="190"/>
      <c r="L446" s="190"/>
      <c r="M446" s="190"/>
      <c r="N446" s="190"/>
      <c r="O446" s="190"/>
      <c r="P446" s="190"/>
      <c r="Q446" s="190"/>
      <c r="R446" s="190"/>
      <c r="S446" s="190"/>
      <c r="T446" s="190"/>
      <c r="U446" s="190"/>
      <c r="V446" s="190"/>
      <c r="W446" s="190"/>
      <c r="X446" s="190"/>
      <c r="Y446" s="190"/>
      <c r="Z446" s="191"/>
      <c r="AA446" s="191"/>
      <c r="AB446" s="191"/>
      <c r="AC446" s="191"/>
      <c r="AD446" s="191"/>
    </row>
    <row r="447" spans="1:30" s="195" customFormat="1" ht="23.25">
      <c r="A447" s="193"/>
      <c r="B447" s="193"/>
      <c r="C447" s="193"/>
      <c r="D447" s="193"/>
      <c r="E447" s="193"/>
      <c r="F447" s="193"/>
      <c r="G447" s="196"/>
      <c r="H447" s="193"/>
      <c r="I447" s="196"/>
      <c r="J447" s="190"/>
      <c r="K447" s="190"/>
      <c r="L447" s="190"/>
      <c r="M447" s="190"/>
      <c r="N447" s="190"/>
      <c r="O447" s="190"/>
      <c r="P447" s="190"/>
      <c r="Q447" s="190"/>
      <c r="R447" s="190"/>
      <c r="S447" s="190"/>
      <c r="T447" s="190"/>
      <c r="U447" s="190"/>
      <c r="V447" s="190"/>
      <c r="W447" s="190"/>
      <c r="X447" s="190"/>
      <c r="Y447" s="190"/>
      <c r="Z447" s="191"/>
      <c r="AA447" s="191"/>
      <c r="AB447" s="191"/>
      <c r="AC447" s="191"/>
      <c r="AD447" s="191"/>
    </row>
    <row r="448" spans="1:30" s="195" customFormat="1" ht="23.25">
      <c r="A448" s="193"/>
      <c r="B448" s="193"/>
      <c r="C448" s="193"/>
      <c r="D448" s="193"/>
      <c r="E448" s="193"/>
      <c r="F448" s="193"/>
      <c r="G448" s="196"/>
      <c r="H448" s="193"/>
      <c r="I448" s="196"/>
      <c r="J448" s="190"/>
      <c r="K448" s="190"/>
      <c r="L448" s="190"/>
      <c r="M448" s="190"/>
      <c r="N448" s="190"/>
      <c r="O448" s="190"/>
      <c r="P448" s="190"/>
      <c r="Q448" s="190"/>
      <c r="R448" s="190"/>
      <c r="S448" s="190"/>
      <c r="T448" s="190"/>
      <c r="U448" s="190"/>
      <c r="V448" s="190"/>
      <c r="W448" s="190"/>
      <c r="X448" s="190"/>
      <c r="Y448" s="190"/>
      <c r="Z448" s="191"/>
      <c r="AA448" s="191"/>
      <c r="AB448" s="191"/>
      <c r="AC448" s="191"/>
      <c r="AD448" s="191"/>
    </row>
    <row r="449" spans="1:30" s="195" customFormat="1" ht="23.25">
      <c r="A449" s="193"/>
      <c r="B449" s="193"/>
      <c r="C449" s="193"/>
      <c r="D449" s="193"/>
      <c r="E449" s="193"/>
      <c r="F449" s="193"/>
      <c r="G449" s="196"/>
      <c r="H449" s="193"/>
      <c r="I449" s="196"/>
      <c r="J449" s="190"/>
      <c r="K449" s="190"/>
      <c r="L449" s="190"/>
      <c r="M449" s="190"/>
      <c r="N449" s="190"/>
      <c r="O449" s="190"/>
      <c r="P449" s="190"/>
      <c r="Q449" s="190"/>
      <c r="R449" s="190"/>
      <c r="S449" s="190"/>
      <c r="T449" s="190"/>
      <c r="U449" s="190"/>
      <c r="V449" s="190"/>
      <c r="W449" s="190"/>
      <c r="X449" s="190"/>
      <c r="Y449" s="190"/>
      <c r="Z449" s="191"/>
      <c r="AA449" s="191"/>
      <c r="AB449" s="191"/>
      <c r="AC449" s="191"/>
      <c r="AD449" s="191"/>
    </row>
    <row r="450" spans="1:30" s="195" customFormat="1" ht="23.25">
      <c r="A450" s="193"/>
      <c r="B450" s="193"/>
      <c r="C450" s="193"/>
      <c r="D450" s="193"/>
      <c r="E450" s="193"/>
      <c r="F450" s="193"/>
      <c r="G450" s="196"/>
      <c r="H450" s="193"/>
      <c r="I450" s="196"/>
      <c r="J450" s="190"/>
      <c r="K450" s="190"/>
      <c r="L450" s="190"/>
      <c r="M450" s="190"/>
      <c r="N450" s="190"/>
      <c r="O450" s="190"/>
      <c r="P450" s="190"/>
      <c r="Q450" s="190"/>
      <c r="R450" s="190"/>
      <c r="S450" s="190"/>
      <c r="T450" s="190"/>
      <c r="U450" s="190"/>
      <c r="V450" s="190"/>
      <c r="W450" s="190"/>
      <c r="X450" s="190"/>
      <c r="Y450" s="190"/>
      <c r="Z450" s="191"/>
      <c r="AA450" s="191"/>
      <c r="AB450" s="191"/>
      <c r="AC450" s="191"/>
      <c r="AD450" s="191"/>
    </row>
    <row r="451" spans="1:30" s="195" customFormat="1" ht="23.25">
      <c r="A451" s="193"/>
      <c r="B451" s="193"/>
      <c r="C451" s="193"/>
      <c r="D451" s="193"/>
      <c r="E451" s="193"/>
      <c r="F451" s="193"/>
      <c r="G451" s="196"/>
      <c r="H451" s="193"/>
      <c r="I451" s="196"/>
      <c r="J451" s="190"/>
      <c r="K451" s="190"/>
      <c r="L451" s="190"/>
      <c r="M451" s="190"/>
      <c r="N451" s="190"/>
      <c r="O451" s="190"/>
      <c r="P451" s="190"/>
      <c r="Q451" s="190"/>
      <c r="R451" s="190"/>
      <c r="S451" s="190"/>
      <c r="T451" s="190"/>
      <c r="U451" s="190"/>
      <c r="V451" s="190"/>
      <c r="W451" s="190"/>
      <c r="X451" s="190"/>
      <c r="Y451" s="190"/>
      <c r="Z451" s="191"/>
      <c r="AA451" s="191"/>
      <c r="AB451" s="191"/>
      <c r="AC451" s="191"/>
      <c r="AD451" s="191"/>
    </row>
    <row r="452" spans="1:30" s="195" customFormat="1" ht="23.25">
      <c r="A452" s="193"/>
      <c r="B452" s="193"/>
      <c r="C452" s="193"/>
      <c r="D452" s="193"/>
      <c r="E452" s="193"/>
      <c r="F452" s="193"/>
      <c r="G452" s="196"/>
      <c r="H452" s="193"/>
      <c r="I452" s="196"/>
      <c r="J452" s="190"/>
      <c r="K452" s="190"/>
      <c r="L452" s="190"/>
      <c r="M452" s="190"/>
      <c r="N452" s="190"/>
      <c r="O452" s="190"/>
      <c r="P452" s="190"/>
      <c r="Q452" s="190"/>
      <c r="R452" s="190"/>
      <c r="S452" s="190"/>
      <c r="T452" s="190"/>
      <c r="U452" s="190"/>
      <c r="V452" s="190"/>
      <c r="W452" s="190"/>
      <c r="X452" s="190"/>
      <c r="Y452" s="190"/>
      <c r="Z452" s="191"/>
      <c r="AA452" s="191"/>
      <c r="AB452" s="191"/>
      <c r="AC452" s="191"/>
      <c r="AD452" s="191"/>
    </row>
    <row r="453" spans="1:30" s="195" customFormat="1" ht="23.25">
      <c r="A453" s="193"/>
      <c r="B453" s="193"/>
      <c r="C453" s="193"/>
      <c r="D453" s="193"/>
      <c r="E453" s="193"/>
      <c r="F453" s="193"/>
      <c r="G453" s="196"/>
      <c r="H453" s="193"/>
      <c r="I453" s="196"/>
      <c r="J453" s="190"/>
      <c r="K453" s="190"/>
      <c r="L453" s="190"/>
      <c r="M453" s="190"/>
      <c r="N453" s="190"/>
      <c r="O453" s="190"/>
      <c r="P453" s="190"/>
      <c r="Q453" s="190"/>
      <c r="R453" s="190"/>
      <c r="S453" s="190"/>
      <c r="T453" s="190"/>
      <c r="U453" s="190"/>
      <c r="V453" s="190"/>
      <c r="W453" s="190"/>
      <c r="X453" s="190"/>
      <c r="Y453" s="190"/>
      <c r="Z453" s="191"/>
      <c r="AA453" s="191"/>
      <c r="AB453" s="191"/>
      <c r="AC453" s="191"/>
      <c r="AD453" s="191"/>
    </row>
    <row r="454" spans="1:30" s="195" customFormat="1" ht="23.25">
      <c r="A454" s="193"/>
      <c r="B454" s="193"/>
      <c r="C454" s="193"/>
      <c r="D454" s="193"/>
      <c r="E454" s="193"/>
      <c r="F454" s="193"/>
      <c r="G454" s="196"/>
      <c r="H454" s="193"/>
      <c r="I454" s="196"/>
      <c r="J454" s="190"/>
      <c r="K454" s="190"/>
      <c r="L454" s="190"/>
      <c r="M454" s="190"/>
      <c r="N454" s="190"/>
      <c r="O454" s="190"/>
      <c r="P454" s="190"/>
      <c r="Q454" s="190"/>
      <c r="R454" s="190"/>
      <c r="S454" s="190"/>
      <c r="T454" s="190"/>
      <c r="U454" s="190"/>
      <c r="V454" s="190"/>
      <c r="W454" s="190"/>
      <c r="X454" s="190"/>
      <c r="Y454" s="190"/>
      <c r="Z454" s="191"/>
      <c r="AA454" s="191"/>
      <c r="AB454" s="191"/>
      <c r="AC454" s="191"/>
      <c r="AD454" s="191"/>
    </row>
    <row r="455" spans="1:30" s="195" customFormat="1" ht="23.25">
      <c r="A455" s="193"/>
      <c r="B455" s="193"/>
      <c r="C455" s="193"/>
      <c r="D455" s="193"/>
      <c r="E455" s="193"/>
      <c r="F455" s="193"/>
      <c r="G455" s="196"/>
      <c r="H455" s="193"/>
      <c r="I455" s="196"/>
      <c r="J455" s="190"/>
      <c r="K455" s="190"/>
      <c r="L455" s="190"/>
      <c r="M455" s="190"/>
      <c r="N455" s="190"/>
      <c r="O455" s="190"/>
      <c r="P455" s="190"/>
      <c r="Q455" s="190"/>
      <c r="R455" s="190"/>
      <c r="S455" s="190"/>
      <c r="T455" s="190"/>
      <c r="U455" s="190"/>
      <c r="V455" s="190"/>
      <c r="W455" s="190"/>
      <c r="X455" s="190"/>
      <c r="Y455" s="190"/>
      <c r="Z455" s="191"/>
      <c r="AA455" s="191"/>
      <c r="AB455" s="191"/>
      <c r="AC455" s="191"/>
      <c r="AD455" s="191"/>
    </row>
    <row r="456" spans="1:30" s="195" customFormat="1" ht="23.25">
      <c r="A456" s="193"/>
      <c r="B456" s="193"/>
      <c r="C456" s="193"/>
      <c r="D456" s="193"/>
      <c r="E456" s="193"/>
      <c r="F456" s="193"/>
      <c r="G456" s="196"/>
      <c r="H456" s="193"/>
      <c r="I456" s="196"/>
      <c r="J456" s="190"/>
      <c r="K456" s="190"/>
      <c r="L456" s="190"/>
      <c r="M456" s="190"/>
      <c r="N456" s="190"/>
      <c r="O456" s="190"/>
      <c r="P456" s="190"/>
      <c r="Q456" s="190"/>
      <c r="R456" s="190"/>
      <c r="S456" s="190"/>
      <c r="T456" s="190"/>
      <c r="U456" s="190"/>
      <c r="V456" s="190"/>
      <c r="W456" s="190"/>
      <c r="X456" s="190"/>
      <c r="Y456" s="190"/>
      <c r="Z456" s="191"/>
      <c r="AA456" s="191"/>
      <c r="AB456" s="191"/>
      <c r="AC456" s="191"/>
      <c r="AD456" s="191"/>
    </row>
    <row r="457" spans="1:30" s="195" customFormat="1" ht="23.25">
      <c r="A457" s="193"/>
      <c r="B457" s="193"/>
      <c r="C457" s="193"/>
      <c r="D457" s="193"/>
      <c r="E457" s="193"/>
      <c r="F457" s="193"/>
      <c r="G457" s="196"/>
      <c r="H457" s="193"/>
      <c r="I457" s="196"/>
      <c r="J457" s="190"/>
      <c r="K457" s="190"/>
      <c r="L457" s="190"/>
      <c r="M457" s="190"/>
      <c r="N457" s="190"/>
      <c r="O457" s="190"/>
      <c r="P457" s="190"/>
      <c r="Q457" s="190"/>
      <c r="R457" s="190"/>
      <c r="S457" s="190"/>
      <c r="T457" s="190"/>
      <c r="U457" s="190"/>
      <c r="V457" s="190"/>
      <c r="W457" s="190"/>
      <c r="X457" s="190"/>
      <c r="Y457" s="190"/>
      <c r="Z457" s="191"/>
      <c r="AA457" s="191"/>
      <c r="AB457" s="191"/>
      <c r="AC457" s="191"/>
      <c r="AD457" s="191"/>
    </row>
    <row r="458" spans="1:30" s="195" customFormat="1" ht="23.25">
      <c r="A458" s="193"/>
      <c r="B458" s="193"/>
      <c r="C458" s="193"/>
      <c r="D458" s="193"/>
      <c r="E458" s="193"/>
      <c r="F458" s="193"/>
      <c r="G458" s="196"/>
      <c r="H458" s="193"/>
      <c r="I458" s="196"/>
      <c r="J458" s="190"/>
      <c r="K458" s="190"/>
      <c r="L458" s="190"/>
      <c r="M458" s="190"/>
      <c r="N458" s="190"/>
      <c r="O458" s="190"/>
      <c r="P458" s="190"/>
      <c r="Q458" s="190"/>
      <c r="R458" s="190"/>
      <c r="S458" s="190"/>
      <c r="T458" s="190"/>
      <c r="U458" s="190"/>
      <c r="V458" s="190"/>
      <c r="W458" s="190"/>
      <c r="X458" s="190"/>
      <c r="Y458" s="190"/>
      <c r="Z458" s="191"/>
      <c r="AA458" s="191"/>
      <c r="AB458" s="191"/>
      <c r="AC458" s="191"/>
      <c r="AD458" s="191"/>
    </row>
    <row r="459" spans="1:30" s="195" customFormat="1" ht="23.25">
      <c r="A459" s="193"/>
      <c r="B459" s="193"/>
      <c r="C459" s="193"/>
      <c r="D459" s="193"/>
      <c r="E459" s="193"/>
      <c r="F459" s="193"/>
      <c r="G459" s="196"/>
      <c r="H459" s="193"/>
      <c r="I459" s="196"/>
      <c r="J459" s="190"/>
      <c r="K459" s="190"/>
      <c r="L459" s="190"/>
      <c r="M459" s="190"/>
      <c r="N459" s="190"/>
      <c r="O459" s="190"/>
      <c r="P459" s="190"/>
      <c r="Q459" s="190"/>
      <c r="R459" s="190"/>
      <c r="S459" s="190"/>
      <c r="T459" s="190"/>
      <c r="U459" s="190"/>
      <c r="V459" s="190"/>
      <c r="W459" s="190"/>
      <c r="X459" s="190"/>
      <c r="Y459" s="190"/>
      <c r="Z459" s="191"/>
      <c r="AA459" s="191"/>
      <c r="AB459" s="191"/>
      <c r="AC459" s="191"/>
      <c r="AD459" s="191"/>
    </row>
    <row r="460" spans="1:30" s="195" customFormat="1" ht="23.25">
      <c r="A460" s="193"/>
      <c r="B460" s="193"/>
      <c r="C460" s="193"/>
      <c r="D460" s="193"/>
      <c r="E460" s="193"/>
      <c r="F460" s="193"/>
      <c r="G460" s="196"/>
      <c r="H460" s="193"/>
      <c r="I460" s="196"/>
      <c r="J460" s="190"/>
      <c r="K460" s="190"/>
      <c r="L460" s="190"/>
      <c r="M460" s="190"/>
      <c r="N460" s="190"/>
      <c r="O460" s="190"/>
      <c r="P460" s="190"/>
      <c r="Q460" s="190"/>
      <c r="R460" s="190"/>
      <c r="S460" s="190"/>
      <c r="T460" s="190"/>
      <c r="U460" s="190"/>
      <c r="V460" s="190"/>
      <c r="W460" s="190"/>
      <c r="X460" s="190"/>
      <c r="Y460" s="190"/>
      <c r="Z460" s="191"/>
      <c r="AA460" s="191"/>
      <c r="AB460" s="191"/>
      <c r="AC460" s="191"/>
      <c r="AD460" s="191"/>
    </row>
    <row r="461" spans="1:30" s="195" customFormat="1" ht="23.25">
      <c r="A461" s="193"/>
      <c r="B461" s="193"/>
      <c r="C461" s="193"/>
      <c r="D461" s="193"/>
      <c r="E461" s="193"/>
      <c r="F461" s="193"/>
      <c r="G461" s="196"/>
      <c r="H461" s="193"/>
      <c r="I461" s="196"/>
      <c r="J461" s="190"/>
      <c r="K461" s="190"/>
      <c r="L461" s="190"/>
      <c r="M461" s="190"/>
      <c r="N461" s="190"/>
      <c r="O461" s="190"/>
      <c r="P461" s="190"/>
      <c r="Q461" s="190"/>
      <c r="R461" s="190"/>
      <c r="S461" s="190"/>
      <c r="T461" s="190"/>
      <c r="U461" s="190"/>
      <c r="V461" s="190"/>
      <c r="W461" s="190"/>
      <c r="X461" s="190"/>
      <c r="Y461" s="190"/>
      <c r="Z461" s="191"/>
      <c r="AA461" s="191"/>
      <c r="AB461" s="191"/>
      <c r="AC461" s="191"/>
      <c r="AD461" s="191"/>
    </row>
    <row r="462" spans="1:30" s="195" customFormat="1" ht="23.25">
      <c r="A462" s="193"/>
      <c r="B462" s="193"/>
      <c r="C462" s="193"/>
      <c r="D462" s="193"/>
      <c r="E462" s="193"/>
      <c r="F462" s="193"/>
      <c r="G462" s="196"/>
      <c r="H462" s="193"/>
      <c r="I462" s="196"/>
      <c r="J462" s="190"/>
      <c r="K462" s="190"/>
      <c r="L462" s="190"/>
      <c r="M462" s="190"/>
      <c r="N462" s="190"/>
      <c r="O462" s="190"/>
      <c r="P462" s="190"/>
      <c r="Q462" s="190"/>
      <c r="R462" s="190"/>
      <c r="S462" s="190"/>
      <c r="T462" s="190"/>
      <c r="U462" s="190"/>
      <c r="V462" s="190"/>
      <c r="W462" s="190"/>
      <c r="X462" s="190"/>
      <c r="Y462" s="190"/>
      <c r="Z462" s="191"/>
      <c r="AA462" s="191"/>
      <c r="AB462" s="191"/>
      <c r="AC462" s="191"/>
      <c r="AD462" s="191"/>
    </row>
    <row r="463" spans="1:30" s="195" customFormat="1" ht="23.25">
      <c r="A463" s="193"/>
      <c r="B463" s="193"/>
      <c r="C463" s="193"/>
      <c r="D463" s="193"/>
      <c r="E463" s="193"/>
      <c r="F463" s="193"/>
      <c r="G463" s="196"/>
      <c r="H463" s="193"/>
      <c r="I463" s="196"/>
      <c r="J463" s="190"/>
      <c r="K463" s="190"/>
      <c r="L463" s="190"/>
      <c r="M463" s="190"/>
      <c r="N463" s="190"/>
      <c r="O463" s="190"/>
      <c r="P463" s="190"/>
      <c r="Q463" s="190"/>
      <c r="R463" s="190"/>
      <c r="S463" s="190"/>
      <c r="T463" s="190"/>
      <c r="U463" s="190"/>
      <c r="V463" s="190"/>
      <c r="W463" s="190"/>
      <c r="X463" s="190"/>
      <c r="Y463" s="190"/>
      <c r="Z463" s="191"/>
      <c r="AA463" s="191"/>
      <c r="AB463" s="191"/>
      <c r="AC463" s="191"/>
      <c r="AD463" s="191"/>
    </row>
    <row r="464" spans="1:30" s="195" customFormat="1" ht="23.25">
      <c r="A464" s="193"/>
      <c r="B464" s="193"/>
      <c r="C464" s="193"/>
      <c r="D464" s="193"/>
      <c r="E464" s="193"/>
      <c r="F464" s="193"/>
      <c r="G464" s="196"/>
      <c r="H464" s="193"/>
      <c r="I464" s="196"/>
      <c r="J464" s="190"/>
      <c r="K464" s="190"/>
      <c r="L464" s="190"/>
      <c r="M464" s="190"/>
      <c r="N464" s="190"/>
      <c r="O464" s="190"/>
      <c r="P464" s="190"/>
      <c r="Q464" s="190"/>
      <c r="R464" s="190"/>
      <c r="S464" s="190"/>
      <c r="T464" s="190"/>
      <c r="U464" s="190"/>
      <c r="V464" s="190"/>
      <c r="W464" s="190"/>
      <c r="X464" s="190"/>
      <c r="Y464" s="190"/>
      <c r="Z464" s="191"/>
      <c r="AA464" s="191"/>
      <c r="AB464" s="191"/>
      <c r="AC464" s="191"/>
      <c r="AD464" s="191"/>
    </row>
    <row r="465" spans="1:30" s="195" customFormat="1" ht="23.25">
      <c r="A465" s="193"/>
      <c r="B465" s="193"/>
      <c r="C465" s="193"/>
      <c r="D465" s="193"/>
      <c r="E465" s="193"/>
      <c r="F465" s="193"/>
      <c r="G465" s="196"/>
      <c r="H465" s="193"/>
      <c r="I465" s="196"/>
      <c r="J465" s="190"/>
      <c r="K465" s="190"/>
      <c r="L465" s="190"/>
      <c r="M465" s="190"/>
      <c r="N465" s="190"/>
      <c r="O465" s="190"/>
      <c r="P465" s="190"/>
      <c r="Q465" s="190"/>
      <c r="R465" s="190"/>
      <c r="S465" s="190"/>
      <c r="T465" s="190"/>
      <c r="U465" s="190"/>
      <c r="V465" s="190"/>
      <c r="W465" s="190"/>
      <c r="X465" s="190"/>
      <c r="Y465" s="190"/>
      <c r="Z465" s="191"/>
      <c r="AA465" s="191"/>
      <c r="AB465" s="191"/>
      <c r="AC465" s="191"/>
      <c r="AD465" s="191"/>
    </row>
    <row r="466" spans="1:30" s="221" customFormat="1" ht="13.5" customHeight="1">
      <c r="A466" s="220"/>
      <c r="B466" s="220"/>
      <c r="C466" s="220"/>
      <c r="D466" s="220"/>
      <c r="E466" s="220"/>
      <c r="F466" s="220"/>
      <c r="G466" s="158"/>
      <c r="H466" s="220"/>
      <c r="I466" s="158"/>
      <c r="J466" s="113"/>
      <c r="K466" s="113"/>
      <c r="L466" s="113"/>
      <c r="M466" s="113"/>
      <c r="N466" s="113"/>
      <c r="O466" s="113"/>
      <c r="P466" s="113"/>
      <c r="Q466" s="113"/>
      <c r="R466" s="113"/>
      <c r="S466" s="113"/>
      <c r="T466" s="113"/>
      <c r="U466" s="113"/>
      <c r="V466" s="113"/>
      <c r="W466" s="113"/>
      <c r="X466" s="113"/>
      <c r="Y466" s="113"/>
      <c r="Z466" s="114"/>
      <c r="AA466" s="114"/>
      <c r="AB466" s="114"/>
      <c r="AC466" s="114"/>
      <c r="AD466" s="114"/>
    </row>
    <row r="467" spans="1:30" s="221" customFormat="1" ht="13.5" customHeight="1">
      <c r="A467" s="220"/>
      <c r="B467" s="220"/>
      <c r="C467" s="220"/>
      <c r="D467" s="220"/>
      <c r="E467" s="220"/>
      <c r="F467" s="220"/>
      <c r="G467" s="158"/>
      <c r="H467" s="220"/>
      <c r="I467" s="158"/>
      <c r="J467" s="113"/>
      <c r="K467" s="113"/>
      <c r="L467" s="113"/>
      <c r="M467" s="113"/>
      <c r="N467" s="113"/>
      <c r="O467" s="113"/>
      <c r="P467" s="113"/>
      <c r="Q467" s="113"/>
      <c r="R467" s="113"/>
      <c r="S467" s="113"/>
      <c r="T467" s="113"/>
      <c r="U467" s="113"/>
      <c r="V467" s="113"/>
      <c r="W467" s="113"/>
      <c r="X467" s="113"/>
      <c r="Y467" s="113"/>
      <c r="Z467" s="114"/>
      <c r="AA467" s="114"/>
      <c r="AB467" s="114"/>
      <c r="AC467" s="114"/>
      <c r="AD467" s="114"/>
    </row>
    <row r="468" spans="1:30" s="221" customFormat="1" ht="13.5" customHeight="1">
      <c r="A468" s="220"/>
      <c r="B468" s="220"/>
      <c r="C468" s="220"/>
      <c r="D468" s="220"/>
      <c r="E468" s="220"/>
      <c r="F468" s="220"/>
      <c r="G468" s="158"/>
      <c r="H468" s="220"/>
      <c r="I468" s="158"/>
      <c r="J468" s="113"/>
      <c r="K468" s="113"/>
      <c r="L468" s="113"/>
      <c r="M468" s="113"/>
      <c r="N468" s="113"/>
      <c r="O468" s="113"/>
      <c r="P468" s="113"/>
      <c r="Q468" s="113"/>
      <c r="R468" s="113"/>
      <c r="S468" s="113"/>
      <c r="T468" s="113"/>
      <c r="U468" s="113"/>
      <c r="V468" s="113"/>
      <c r="W468" s="113"/>
      <c r="X468" s="113"/>
      <c r="Y468" s="113"/>
      <c r="Z468" s="114"/>
      <c r="AA468" s="114"/>
      <c r="AB468" s="114"/>
      <c r="AC468" s="114"/>
      <c r="AD468" s="114"/>
    </row>
    <row r="469" spans="1:30" s="221" customFormat="1" ht="13.5" customHeight="1">
      <c r="A469" s="220"/>
      <c r="B469" s="220"/>
      <c r="C469" s="220"/>
      <c r="D469" s="220"/>
      <c r="E469" s="220"/>
      <c r="F469" s="220"/>
      <c r="G469" s="158"/>
      <c r="H469" s="220"/>
      <c r="I469" s="158"/>
      <c r="J469" s="113"/>
      <c r="K469" s="113"/>
      <c r="L469" s="113"/>
      <c r="M469" s="113"/>
      <c r="N469" s="113"/>
      <c r="O469" s="113"/>
      <c r="P469" s="113"/>
      <c r="Q469" s="113"/>
      <c r="R469" s="113"/>
      <c r="S469" s="113"/>
      <c r="T469" s="113"/>
      <c r="U469" s="113"/>
      <c r="V469" s="113"/>
      <c r="W469" s="113"/>
      <c r="X469" s="113"/>
      <c r="Y469" s="113"/>
      <c r="Z469" s="114"/>
      <c r="AA469" s="114"/>
      <c r="AB469" s="114"/>
      <c r="AC469" s="114"/>
      <c r="AD469" s="114"/>
    </row>
    <row r="470" spans="1:30" s="221" customFormat="1" ht="13.5" customHeight="1">
      <c r="A470" s="220"/>
      <c r="B470" s="220"/>
      <c r="C470" s="220"/>
      <c r="D470" s="220"/>
      <c r="E470" s="220"/>
      <c r="F470" s="220"/>
      <c r="G470" s="158"/>
      <c r="H470" s="220"/>
      <c r="I470" s="158"/>
      <c r="J470" s="113"/>
      <c r="K470" s="113"/>
      <c r="L470" s="113"/>
      <c r="M470" s="113"/>
      <c r="N470" s="113"/>
      <c r="O470" s="113"/>
      <c r="P470" s="113"/>
      <c r="Q470" s="113"/>
      <c r="R470" s="113"/>
      <c r="S470" s="113"/>
      <c r="T470" s="113"/>
      <c r="U470" s="113"/>
      <c r="V470" s="113"/>
      <c r="W470" s="113"/>
      <c r="X470" s="113"/>
      <c r="Y470" s="113"/>
      <c r="Z470" s="114"/>
      <c r="AA470" s="114"/>
      <c r="AB470" s="114"/>
      <c r="AC470" s="114"/>
      <c r="AD470" s="114"/>
    </row>
    <row r="471" spans="1:30" s="221" customFormat="1" ht="13.5" customHeight="1">
      <c r="A471" s="220"/>
      <c r="B471" s="220"/>
      <c r="C471" s="220"/>
      <c r="D471" s="220"/>
      <c r="E471" s="220"/>
      <c r="F471" s="220"/>
      <c r="G471" s="158"/>
      <c r="H471" s="220"/>
      <c r="I471" s="158"/>
      <c r="J471" s="113"/>
      <c r="K471" s="113"/>
      <c r="L471" s="113"/>
      <c r="M471" s="113"/>
      <c r="N471" s="113"/>
      <c r="O471" s="113"/>
      <c r="P471" s="113"/>
      <c r="Q471" s="113"/>
      <c r="R471" s="113"/>
      <c r="S471" s="113"/>
      <c r="T471" s="113"/>
      <c r="U471" s="113"/>
      <c r="V471" s="113"/>
      <c r="W471" s="113"/>
      <c r="X471" s="113"/>
      <c r="Y471" s="113"/>
      <c r="Z471" s="114"/>
      <c r="AA471" s="114"/>
      <c r="AB471" s="114"/>
      <c r="AC471" s="114"/>
      <c r="AD471" s="114"/>
    </row>
    <row r="472" spans="1:30" s="221" customFormat="1" ht="13.5" customHeight="1">
      <c r="A472" s="220"/>
      <c r="B472" s="220"/>
      <c r="C472" s="220"/>
      <c r="D472" s="220"/>
      <c r="E472" s="220"/>
      <c r="F472" s="220"/>
      <c r="G472" s="158"/>
      <c r="H472" s="220"/>
      <c r="I472" s="158"/>
      <c r="J472" s="113"/>
      <c r="K472" s="113"/>
      <c r="L472" s="113"/>
      <c r="M472" s="113"/>
      <c r="N472" s="113"/>
      <c r="O472" s="113"/>
      <c r="P472" s="113"/>
      <c r="Q472" s="113"/>
      <c r="R472" s="113"/>
      <c r="S472" s="113"/>
      <c r="T472" s="113"/>
      <c r="U472" s="113"/>
      <c r="V472" s="113"/>
      <c r="W472" s="113"/>
      <c r="X472" s="113"/>
      <c r="Y472" s="113"/>
      <c r="Z472" s="114"/>
      <c r="AA472" s="114"/>
      <c r="AB472" s="114"/>
      <c r="AC472" s="114"/>
      <c r="AD472" s="114"/>
    </row>
    <row r="473" spans="1:30" s="221" customFormat="1" ht="13.5" customHeight="1">
      <c r="A473" s="220"/>
      <c r="B473" s="220"/>
      <c r="C473" s="220"/>
      <c r="D473" s="220"/>
      <c r="E473" s="220"/>
      <c r="F473" s="220"/>
      <c r="G473" s="158"/>
      <c r="H473" s="220"/>
      <c r="I473" s="158"/>
      <c r="J473" s="113"/>
      <c r="K473" s="113"/>
      <c r="L473" s="113"/>
      <c r="M473" s="113"/>
      <c r="N473" s="113"/>
      <c r="O473" s="113"/>
      <c r="P473" s="113"/>
      <c r="Q473" s="113"/>
      <c r="R473" s="113"/>
      <c r="S473" s="113"/>
      <c r="T473" s="113"/>
      <c r="U473" s="113"/>
      <c r="V473" s="113"/>
      <c r="W473" s="113"/>
      <c r="X473" s="113"/>
      <c r="Y473" s="113"/>
      <c r="Z473" s="114"/>
      <c r="AA473" s="114"/>
      <c r="AB473" s="114"/>
      <c r="AC473" s="114"/>
      <c r="AD473" s="114"/>
    </row>
    <row r="474" spans="1:30" s="221" customFormat="1" ht="13.5" customHeight="1">
      <c r="A474" s="220"/>
      <c r="B474" s="220"/>
      <c r="C474" s="220"/>
      <c r="D474" s="220"/>
      <c r="E474" s="220"/>
      <c r="F474" s="220"/>
      <c r="G474" s="158"/>
      <c r="H474" s="220"/>
      <c r="I474" s="158"/>
      <c r="J474" s="113"/>
      <c r="K474" s="113"/>
      <c r="L474" s="113"/>
      <c r="M474" s="113"/>
      <c r="N474" s="113"/>
      <c r="O474" s="113"/>
      <c r="P474" s="113"/>
      <c r="Q474" s="113"/>
      <c r="R474" s="113"/>
      <c r="S474" s="113"/>
      <c r="T474" s="113"/>
      <c r="U474" s="113"/>
      <c r="V474" s="113"/>
      <c r="W474" s="113"/>
      <c r="X474" s="113"/>
      <c r="Y474" s="113"/>
      <c r="Z474" s="114"/>
      <c r="AA474" s="114"/>
      <c r="AB474" s="114"/>
      <c r="AC474" s="114"/>
      <c r="AD474" s="114"/>
    </row>
    <row r="475" spans="1:30" s="221" customFormat="1" ht="13.5" customHeight="1">
      <c r="A475" s="220"/>
      <c r="B475" s="220"/>
      <c r="C475" s="220"/>
      <c r="D475" s="220"/>
      <c r="E475" s="220"/>
      <c r="F475" s="220"/>
      <c r="G475" s="158"/>
      <c r="H475" s="220"/>
      <c r="I475" s="158"/>
      <c r="J475" s="113"/>
      <c r="K475" s="113"/>
      <c r="L475" s="113"/>
      <c r="M475" s="113"/>
      <c r="N475" s="113"/>
      <c r="O475" s="113"/>
      <c r="P475" s="113"/>
      <c r="Q475" s="113"/>
      <c r="R475" s="113"/>
      <c r="S475" s="113"/>
      <c r="T475" s="113"/>
      <c r="U475" s="113"/>
      <c r="V475" s="113"/>
      <c r="W475" s="113"/>
      <c r="X475" s="113"/>
      <c r="Y475" s="113"/>
      <c r="Z475" s="114"/>
      <c r="AA475" s="114"/>
      <c r="AB475" s="114"/>
      <c r="AC475" s="114"/>
      <c r="AD475" s="114"/>
    </row>
    <row r="476" spans="1:30" s="221" customFormat="1" ht="13.5" customHeight="1">
      <c r="A476" s="220"/>
      <c r="B476" s="220"/>
      <c r="C476" s="220"/>
      <c r="D476" s="220"/>
      <c r="E476" s="220"/>
      <c r="F476" s="220"/>
      <c r="G476" s="158"/>
      <c r="H476" s="220"/>
      <c r="I476" s="158"/>
      <c r="J476" s="113"/>
      <c r="K476" s="113"/>
      <c r="L476" s="113"/>
      <c r="M476" s="113"/>
      <c r="N476" s="113"/>
      <c r="O476" s="113"/>
      <c r="P476" s="113"/>
      <c r="Q476" s="113"/>
      <c r="R476" s="113"/>
      <c r="S476" s="113"/>
      <c r="T476" s="113"/>
      <c r="U476" s="113"/>
      <c r="V476" s="113"/>
      <c r="W476" s="113"/>
      <c r="X476" s="113"/>
      <c r="Y476" s="113"/>
      <c r="Z476" s="114"/>
      <c r="AA476" s="114"/>
      <c r="AB476" s="114"/>
      <c r="AC476" s="114"/>
      <c r="AD476" s="114"/>
    </row>
    <row r="477" spans="1:30" s="221" customFormat="1" ht="13.5" customHeight="1">
      <c r="A477" s="220"/>
      <c r="B477" s="220"/>
      <c r="C477" s="220"/>
      <c r="D477" s="220"/>
      <c r="E477" s="220"/>
      <c r="F477" s="220"/>
      <c r="G477" s="158"/>
      <c r="H477" s="220"/>
      <c r="I477" s="158"/>
      <c r="J477" s="113"/>
      <c r="K477" s="113"/>
      <c r="L477" s="113"/>
      <c r="M477" s="113"/>
      <c r="N477" s="113"/>
      <c r="O477" s="113"/>
      <c r="P477" s="113"/>
      <c r="Q477" s="113"/>
      <c r="R477" s="113"/>
      <c r="S477" s="113"/>
      <c r="T477" s="113"/>
      <c r="U477" s="113"/>
      <c r="V477" s="113"/>
      <c r="W477" s="113"/>
      <c r="X477" s="113"/>
      <c r="Y477" s="113"/>
      <c r="Z477" s="114"/>
      <c r="AA477" s="114"/>
      <c r="AB477" s="114"/>
      <c r="AC477" s="114"/>
      <c r="AD477" s="114"/>
    </row>
    <row r="478" spans="1:30" s="221" customFormat="1" ht="13.5" customHeight="1">
      <c r="A478" s="220"/>
      <c r="B478" s="220"/>
      <c r="C478" s="220"/>
      <c r="D478" s="220"/>
      <c r="E478" s="220"/>
      <c r="F478" s="220"/>
      <c r="G478" s="158"/>
      <c r="H478" s="220"/>
      <c r="I478" s="158"/>
      <c r="J478" s="113"/>
      <c r="K478" s="113"/>
      <c r="L478" s="113"/>
      <c r="M478" s="113"/>
      <c r="N478" s="113"/>
      <c r="O478" s="113"/>
      <c r="P478" s="113"/>
      <c r="Q478" s="113"/>
      <c r="R478" s="113"/>
      <c r="S478" s="113"/>
      <c r="T478" s="113"/>
      <c r="U478" s="113"/>
      <c r="V478" s="113"/>
      <c r="W478" s="113"/>
      <c r="X478" s="113"/>
      <c r="Y478" s="113"/>
      <c r="Z478" s="114"/>
      <c r="AA478" s="114"/>
      <c r="AB478" s="114"/>
      <c r="AC478" s="114"/>
      <c r="AD478" s="114"/>
    </row>
    <row r="479" spans="1:30" s="221" customFormat="1" ht="13.5" customHeight="1">
      <c r="A479" s="220"/>
      <c r="B479" s="220"/>
      <c r="C479" s="220"/>
      <c r="D479" s="220"/>
      <c r="E479" s="220"/>
      <c r="F479" s="220"/>
      <c r="G479" s="158"/>
      <c r="H479" s="220"/>
      <c r="I479" s="158"/>
      <c r="J479" s="113"/>
      <c r="K479" s="113"/>
      <c r="L479" s="113"/>
      <c r="M479" s="113"/>
      <c r="N479" s="113"/>
      <c r="O479" s="113"/>
      <c r="P479" s="113"/>
      <c r="Q479" s="113"/>
      <c r="R479" s="113"/>
      <c r="S479" s="113"/>
      <c r="T479" s="113"/>
      <c r="U479" s="113"/>
      <c r="V479" s="113"/>
      <c r="W479" s="113"/>
      <c r="X479" s="113"/>
      <c r="Y479" s="113"/>
      <c r="Z479" s="114"/>
      <c r="AA479" s="114"/>
      <c r="AB479" s="114"/>
      <c r="AC479" s="114"/>
      <c r="AD479" s="114"/>
    </row>
    <row r="480" spans="1:30" s="221" customFormat="1" ht="13.5" customHeight="1">
      <c r="A480" s="220"/>
      <c r="B480" s="220"/>
      <c r="C480" s="220"/>
      <c r="D480" s="220"/>
      <c r="E480" s="220"/>
      <c r="F480" s="220"/>
      <c r="G480" s="158"/>
      <c r="H480" s="220"/>
      <c r="I480" s="158"/>
      <c r="J480" s="113"/>
      <c r="K480" s="113"/>
      <c r="L480" s="113"/>
      <c r="M480" s="113"/>
      <c r="N480" s="113"/>
      <c r="O480" s="113"/>
      <c r="P480" s="113"/>
      <c r="Q480" s="113"/>
      <c r="R480" s="113"/>
      <c r="S480" s="113"/>
      <c r="T480" s="113"/>
      <c r="U480" s="113"/>
      <c r="V480" s="113"/>
      <c r="W480" s="113"/>
      <c r="X480" s="113"/>
      <c r="Y480" s="113"/>
      <c r="Z480" s="114"/>
      <c r="AA480" s="114"/>
      <c r="AB480" s="114"/>
      <c r="AC480" s="114"/>
      <c r="AD480" s="114"/>
    </row>
    <row r="481" spans="1:30" s="221" customFormat="1" ht="13.5" customHeight="1">
      <c r="A481" s="220"/>
      <c r="B481" s="220"/>
      <c r="C481" s="220"/>
      <c r="D481" s="220"/>
      <c r="E481" s="220"/>
      <c r="F481" s="220"/>
      <c r="G481" s="158"/>
      <c r="H481" s="220"/>
      <c r="I481" s="158"/>
      <c r="J481" s="113"/>
      <c r="K481" s="113"/>
      <c r="L481" s="113"/>
      <c r="M481" s="113"/>
      <c r="N481" s="113"/>
      <c r="O481" s="113"/>
      <c r="P481" s="113"/>
      <c r="Q481" s="113"/>
      <c r="R481" s="113"/>
      <c r="S481" s="113"/>
      <c r="T481" s="113"/>
      <c r="U481" s="113"/>
      <c r="V481" s="113"/>
      <c r="W481" s="113"/>
      <c r="X481" s="113"/>
      <c r="Y481" s="113"/>
      <c r="Z481" s="114"/>
      <c r="AA481" s="114"/>
      <c r="AB481" s="114"/>
      <c r="AC481" s="114"/>
      <c r="AD481" s="114"/>
    </row>
    <row r="482" spans="1:30" s="221" customFormat="1" ht="13.5" customHeight="1">
      <c r="A482" s="220"/>
      <c r="B482" s="220"/>
      <c r="C482" s="220"/>
      <c r="D482" s="220"/>
      <c r="E482" s="220"/>
      <c r="F482" s="220"/>
      <c r="G482" s="158"/>
      <c r="H482" s="220"/>
      <c r="I482" s="158"/>
      <c r="J482" s="113"/>
      <c r="K482" s="113"/>
      <c r="L482" s="113"/>
      <c r="M482" s="113"/>
      <c r="N482" s="113"/>
      <c r="O482" s="113"/>
      <c r="P482" s="113"/>
      <c r="Q482" s="113"/>
      <c r="R482" s="113"/>
      <c r="S482" s="113"/>
      <c r="T482" s="113"/>
      <c r="U482" s="113"/>
      <c r="V482" s="113"/>
      <c r="W482" s="113"/>
      <c r="X482" s="113"/>
      <c r="Y482" s="113"/>
      <c r="Z482" s="114"/>
      <c r="AA482" s="114"/>
      <c r="AB482" s="114"/>
      <c r="AC482" s="114"/>
      <c r="AD482" s="114"/>
    </row>
    <row r="483" spans="1:30" s="221" customFormat="1" ht="13.5" customHeight="1">
      <c r="A483" s="220"/>
      <c r="B483" s="220"/>
      <c r="C483" s="220"/>
      <c r="D483" s="220"/>
      <c r="E483" s="220"/>
      <c r="F483" s="220"/>
      <c r="G483" s="158"/>
      <c r="H483" s="220"/>
      <c r="I483" s="158"/>
      <c r="J483" s="113"/>
      <c r="K483" s="113"/>
      <c r="L483" s="113"/>
      <c r="M483" s="113"/>
      <c r="N483" s="113"/>
      <c r="O483" s="113"/>
      <c r="P483" s="113"/>
      <c r="Q483" s="113"/>
      <c r="R483" s="113"/>
      <c r="S483" s="113"/>
      <c r="T483" s="113"/>
      <c r="U483" s="113"/>
      <c r="V483" s="113"/>
      <c r="W483" s="113"/>
      <c r="X483" s="113"/>
      <c r="Y483" s="113"/>
      <c r="Z483" s="114"/>
      <c r="AA483" s="114"/>
      <c r="AB483" s="114"/>
      <c r="AC483" s="114"/>
      <c r="AD483" s="114"/>
    </row>
    <row r="484" spans="1:30" s="221" customFormat="1" ht="13.5" customHeight="1">
      <c r="A484" s="220"/>
      <c r="B484" s="220"/>
      <c r="C484" s="220"/>
      <c r="D484" s="220"/>
      <c r="E484" s="220"/>
      <c r="F484" s="220"/>
      <c r="G484" s="158"/>
      <c r="H484" s="220"/>
      <c r="I484" s="158"/>
      <c r="J484" s="113"/>
      <c r="K484" s="113"/>
      <c r="L484" s="113"/>
      <c r="M484" s="113"/>
      <c r="N484" s="113"/>
      <c r="O484" s="113"/>
      <c r="P484" s="113"/>
      <c r="Q484" s="113"/>
      <c r="R484" s="113"/>
      <c r="S484" s="113"/>
      <c r="T484" s="113"/>
      <c r="U484" s="113"/>
      <c r="V484" s="113"/>
      <c r="W484" s="113"/>
      <c r="X484" s="113"/>
      <c r="Y484" s="113"/>
      <c r="Z484" s="114"/>
      <c r="AA484" s="114"/>
      <c r="AB484" s="114"/>
      <c r="AC484" s="114"/>
      <c r="AD484" s="114"/>
    </row>
    <row r="485" spans="1:30" s="221" customFormat="1" ht="13.5" customHeight="1">
      <c r="A485" s="220"/>
      <c r="B485" s="220"/>
      <c r="C485" s="220"/>
      <c r="D485" s="220"/>
      <c r="E485" s="220"/>
      <c r="F485" s="220"/>
      <c r="G485" s="158"/>
      <c r="H485" s="220"/>
      <c r="I485" s="158"/>
      <c r="J485" s="113"/>
      <c r="K485" s="113"/>
      <c r="L485" s="113"/>
      <c r="M485" s="113"/>
      <c r="N485" s="113"/>
      <c r="O485" s="113"/>
      <c r="P485" s="113"/>
      <c r="Q485" s="113"/>
      <c r="R485" s="113"/>
      <c r="S485" s="113"/>
      <c r="T485" s="113"/>
      <c r="U485" s="113"/>
      <c r="V485" s="113"/>
      <c r="W485" s="113"/>
      <c r="X485" s="113"/>
      <c r="Y485" s="113"/>
      <c r="Z485" s="114"/>
      <c r="AA485" s="114"/>
      <c r="AB485" s="114"/>
      <c r="AC485" s="114"/>
      <c r="AD485" s="114"/>
    </row>
    <row r="486" spans="1:30" s="221" customFormat="1" ht="13.5" customHeight="1">
      <c r="A486" s="220"/>
      <c r="B486" s="220"/>
      <c r="C486" s="220"/>
      <c r="D486" s="220"/>
      <c r="E486" s="220"/>
      <c r="F486" s="220"/>
      <c r="G486" s="158"/>
      <c r="H486" s="220"/>
      <c r="I486" s="158"/>
      <c r="J486" s="113"/>
      <c r="K486" s="113"/>
      <c r="L486" s="113"/>
      <c r="M486" s="113"/>
      <c r="N486" s="113"/>
      <c r="O486" s="113"/>
      <c r="P486" s="113"/>
      <c r="Q486" s="113"/>
      <c r="R486" s="113"/>
      <c r="S486" s="113"/>
      <c r="T486" s="113"/>
      <c r="U486" s="113"/>
      <c r="V486" s="113"/>
      <c r="W486" s="113"/>
      <c r="X486" s="113"/>
      <c r="Y486" s="113"/>
      <c r="Z486" s="114"/>
      <c r="AA486" s="114"/>
      <c r="AB486" s="114"/>
      <c r="AC486" s="114"/>
      <c r="AD486" s="114"/>
    </row>
    <row r="487" spans="1:30" s="221" customFormat="1" ht="13.5" customHeight="1">
      <c r="A487" s="220"/>
      <c r="B487" s="220"/>
      <c r="C487" s="220"/>
      <c r="D487" s="220"/>
      <c r="E487" s="220"/>
      <c r="F487" s="220"/>
      <c r="G487" s="158"/>
      <c r="H487" s="220"/>
      <c r="I487" s="158"/>
      <c r="J487" s="113"/>
      <c r="K487" s="113"/>
      <c r="L487" s="113"/>
      <c r="M487" s="113"/>
      <c r="N487" s="113"/>
      <c r="O487" s="113"/>
      <c r="P487" s="113"/>
      <c r="Q487" s="113"/>
      <c r="R487" s="113"/>
      <c r="S487" s="113"/>
      <c r="T487" s="113"/>
      <c r="U487" s="113"/>
      <c r="V487" s="113"/>
      <c r="W487" s="113"/>
      <c r="X487" s="113"/>
      <c r="Y487" s="113"/>
      <c r="Z487" s="114"/>
      <c r="AA487" s="114"/>
      <c r="AB487" s="114"/>
      <c r="AC487" s="114"/>
      <c r="AD487" s="114"/>
    </row>
    <row r="488" spans="1:30" s="221" customFormat="1" ht="13.5" customHeight="1">
      <c r="A488" s="220"/>
      <c r="B488" s="220"/>
      <c r="C488" s="220"/>
      <c r="D488" s="220"/>
      <c r="E488" s="220"/>
      <c r="F488" s="220"/>
      <c r="G488" s="158"/>
      <c r="H488" s="220"/>
      <c r="I488" s="158"/>
      <c r="J488" s="113"/>
      <c r="K488" s="113"/>
      <c r="L488" s="113"/>
      <c r="M488" s="113"/>
      <c r="N488" s="113"/>
      <c r="O488" s="113"/>
      <c r="P488" s="113"/>
      <c r="Q488" s="113"/>
      <c r="R488" s="113"/>
      <c r="S488" s="113"/>
      <c r="T488" s="113"/>
      <c r="U488" s="113"/>
      <c r="V488" s="113"/>
      <c r="W488" s="113"/>
      <c r="X488" s="113"/>
      <c r="Y488" s="113"/>
      <c r="Z488" s="114"/>
      <c r="AA488" s="114"/>
      <c r="AB488" s="114"/>
      <c r="AC488" s="114"/>
      <c r="AD488" s="114"/>
    </row>
    <row r="489" spans="1:30" s="221" customFormat="1" ht="13.5" customHeight="1">
      <c r="A489" s="220"/>
      <c r="B489" s="220"/>
      <c r="C489" s="220"/>
      <c r="D489" s="220"/>
      <c r="E489" s="220"/>
      <c r="F489" s="220"/>
      <c r="G489" s="158"/>
      <c r="H489" s="220"/>
      <c r="I489" s="158"/>
      <c r="J489" s="113"/>
      <c r="K489" s="113"/>
      <c r="L489" s="113"/>
      <c r="M489" s="113"/>
      <c r="N489" s="113"/>
      <c r="O489" s="113"/>
      <c r="P489" s="113"/>
      <c r="Q489" s="113"/>
      <c r="R489" s="113"/>
      <c r="S489" s="113"/>
      <c r="T489" s="113"/>
      <c r="U489" s="113"/>
      <c r="V489" s="113"/>
      <c r="W489" s="113"/>
      <c r="X489" s="113"/>
      <c r="Y489" s="113"/>
      <c r="Z489" s="114"/>
      <c r="AA489" s="114"/>
      <c r="AB489" s="114"/>
      <c r="AC489" s="114"/>
      <c r="AD489" s="114"/>
    </row>
    <row r="490" spans="1:30" s="221" customFormat="1" ht="13.5" customHeight="1">
      <c r="A490" s="220"/>
      <c r="B490" s="220"/>
      <c r="C490" s="220"/>
      <c r="D490" s="220"/>
      <c r="E490" s="220"/>
      <c r="F490" s="220"/>
      <c r="G490" s="158"/>
      <c r="H490" s="220"/>
      <c r="I490" s="158"/>
      <c r="J490" s="113"/>
      <c r="K490" s="113"/>
      <c r="L490" s="113"/>
      <c r="M490" s="113"/>
      <c r="N490" s="113"/>
      <c r="O490" s="113"/>
      <c r="P490" s="113"/>
      <c r="Q490" s="113"/>
      <c r="R490" s="113"/>
      <c r="S490" s="113"/>
      <c r="T490" s="113"/>
      <c r="U490" s="113"/>
      <c r="V490" s="113"/>
      <c r="W490" s="113"/>
      <c r="X490" s="113"/>
      <c r="Y490" s="113"/>
      <c r="Z490" s="114"/>
      <c r="AA490" s="114"/>
      <c r="AB490" s="114"/>
      <c r="AC490" s="114"/>
      <c r="AD490" s="114"/>
    </row>
    <row r="491" spans="1:30" s="221" customFormat="1" ht="13.5" customHeight="1">
      <c r="A491" s="220"/>
      <c r="B491" s="220"/>
      <c r="C491" s="220"/>
      <c r="D491" s="220"/>
      <c r="E491" s="220"/>
      <c r="F491" s="220"/>
      <c r="G491" s="158"/>
      <c r="H491" s="220"/>
      <c r="I491" s="158"/>
      <c r="J491" s="113"/>
      <c r="K491" s="113"/>
      <c r="L491" s="113"/>
      <c r="M491" s="113"/>
      <c r="N491" s="113"/>
      <c r="O491" s="113"/>
      <c r="P491" s="113"/>
      <c r="Q491" s="113"/>
      <c r="R491" s="113"/>
      <c r="S491" s="113"/>
      <c r="T491" s="113"/>
      <c r="U491" s="113"/>
      <c r="V491" s="113"/>
      <c r="W491" s="113"/>
      <c r="X491" s="113"/>
      <c r="Y491" s="113"/>
      <c r="Z491" s="114"/>
      <c r="AA491" s="114"/>
      <c r="AB491" s="114"/>
      <c r="AC491" s="114"/>
      <c r="AD491" s="114"/>
    </row>
    <row r="492" spans="1:30" s="221" customFormat="1" ht="13.5" customHeight="1">
      <c r="A492" s="220"/>
      <c r="B492" s="220"/>
      <c r="C492" s="220"/>
      <c r="D492" s="220"/>
      <c r="E492" s="220"/>
      <c r="F492" s="220"/>
      <c r="G492" s="158"/>
      <c r="H492" s="220"/>
      <c r="I492" s="158"/>
      <c r="J492" s="113"/>
      <c r="K492" s="113"/>
      <c r="L492" s="113"/>
      <c r="M492" s="113"/>
      <c r="N492" s="113"/>
      <c r="O492" s="113"/>
      <c r="P492" s="113"/>
      <c r="Q492" s="113"/>
      <c r="R492" s="113"/>
      <c r="S492" s="113"/>
      <c r="T492" s="113"/>
      <c r="U492" s="113"/>
      <c r="V492" s="113"/>
      <c r="W492" s="113"/>
      <c r="X492" s="113"/>
      <c r="Y492" s="113"/>
      <c r="Z492" s="114"/>
      <c r="AA492" s="114"/>
      <c r="AB492" s="114"/>
      <c r="AC492" s="114"/>
      <c r="AD492" s="114"/>
    </row>
    <row r="493" spans="1:30" s="221" customFormat="1" ht="13.5" customHeight="1">
      <c r="A493" s="220"/>
      <c r="B493" s="220"/>
      <c r="C493" s="220"/>
      <c r="D493" s="220"/>
      <c r="E493" s="220"/>
      <c r="F493" s="220"/>
      <c r="G493" s="158"/>
      <c r="H493" s="220"/>
      <c r="I493" s="158"/>
      <c r="J493" s="113"/>
      <c r="K493" s="113"/>
      <c r="L493" s="113"/>
      <c r="M493" s="113"/>
      <c r="N493" s="113"/>
      <c r="O493" s="113"/>
      <c r="P493" s="113"/>
      <c r="Q493" s="113"/>
      <c r="R493" s="113"/>
      <c r="S493" s="113"/>
      <c r="T493" s="113"/>
      <c r="U493" s="113"/>
      <c r="V493" s="113"/>
      <c r="W493" s="113"/>
      <c r="X493" s="113"/>
      <c r="Y493" s="113"/>
      <c r="Z493" s="114"/>
      <c r="AA493" s="114"/>
      <c r="AB493" s="114"/>
      <c r="AC493" s="114"/>
      <c r="AD493" s="114"/>
    </row>
    <row r="494" spans="1:30" s="221" customFormat="1" ht="13.5" customHeight="1">
      <c r="A494" s="220"/>
      <c r="B494" s="220"/>
      <c r="C494" s="220"/>
      <c r="D494" s="220"/>
      <c r="E494" s="220"/>
      <c r="F494" s="220"/>
      <c r="G494" s="158"/>
      <c r="H494" s="220"/>
      <c r="I494" s="158"/>
      <c r="J494" s="113"/>
      <c r="K494" s="113"/>
      <c r="L494" s="113"/>
      <c r="M494" s="113"/>
      <c r="N494" s="113"/>
      <c r="O494" s="113"/>
      <c r="P494" s="113"/>
      <c r="Q494" s="113"/>
      <c r="R494" s="113"/>
      <c r="S494" s="113"/>
      <c r="T494" s="113"/>
      <c r="U494" s="113"/>
      <c r="V494" s="113"/>
      <c r="W494" s="113"/>
      <c r="X494" s="113"/>
      <c r="Y494" s="113"/>
      <c r="Z494" s="114"/>
      <c r="AA494" s="114"/>
      <c r="AB494" s="114"/>
      <c r="AC494" s="114"/>
      <c r="AD494" s="114"/>
    </row>
    <row r="495" spans="1:30" s="221" customFormat="1" ht="13.5" customHeight="1">
      <c r="A495" s="220"/>
      <c r="B495" s="220"/>
      <c r="C495" s="220"/>
      <c r="D495" s="220"/>
      <c r="E495" s="220"/>
      <c r="F495" s="220"/>
      <c r="G495" s="158"/>
      <c r="H495" s="220"/>
      <c r="I495" s="158"/>
      <c r="J495" s="113"/>
      <c r="K495" s="113"/>
      <c r="L495" s="113"/>
      <c r="M495" s="113"/>
      <c r="N495" s="113"/>
      <c r="O495" s="113"/>
      <c r="P495" s="113"/>
      <c r="Q495" s="113"/>
      <c r="R495" s="113"/>
      <c r="S495" s="113"/>
      <c r="T495" s="113"/>
      <c r="U495" s="113"/>
      <c r="V495" s="113"/>
      <c r="W495" s="113"/>
      <c r="X495" s="113"/>
      <c r="Y495" s="113"/>
      <c r="Z495" s="114"/>
      <c r="AA495" s="114"/>
      <c r="AB495" s="114"/>
      <c r="AC495" s="114"/>
      <c r="AD495" s="114"/>
    </row>
    <row r="496" spans="1:30" s="221" customFormat="1" ht="13.5" customHeight="1">
      <c r="A496" s="220"/>
      <c r="B496" s="220"/>
      <c r="C496" s="220"/>
      <c r="D496" s="220"/>
      <c r="E496" s="220"/>
      <c r="F496" s="220"/>
      <c r="G496" s="158"/>
      <c r="H496" s="220"/>
      <c r="I496" s="158"/>
      <c r="J496" s="113"/>
      <c r="K496" s="113"/>
      <c r="L496" s="113"/>
      <c r="M496" s="113"/>
      <c r="N496" s="113"/>
      <c r="O496" s="113"/>
      <c r="P496" s="113"/>
      <c r="Q496" s="113"/>
      <c r="R496" s="113"/>
      <c r="S496" s="113"/>
      <c r="T496" s="113"/>
      <c r="U496" s="113"/>
      <c r="V496" s="113"/>
      <c r="W496" s="113"/>
      <c r="X496" s="113"/>
      <c r="Y496" s="113"/>
      <c r="Z496" s="114"/>
      <c r="AA496" s="114"/>
      <c r="AB496" s="114"/>
      <c r="AC496" s="114"/>
      <c r="AD496" s="114"/>
    </row>
    <row r="497" spans="1:30" s="221" customFormat="1" ht="13.5" customHeight="1">
      <c r="A497" s="220"/>
      <c r="B497" s="220"/>
      <c r="C497" s="220"/>
      <c r="D497" s="220"/>
      <c r="E497" s="220"/>
      <c r="F497" s="220"/>
      <c r="G497" s="158"/>
      <c r="H497" s="220"/>
      <c r="I497" s="158"/>
      <c r="J497" s="113"/>
      <c r="K497" s="113"/>
      <c r="L497" s="113"/>
      <c r="M497" s="113"/>
      <c r="N497" s="113"/>
      <c r="O497" s="113"/>
      <c r="P497" s="113"/>
      <c r="Q497" s="113"/>
      <c r="R497" s="113"/>
      <c r="S497" s="113"/>
      <c r="T497" s="113"/>
      <c r="U497" s="113"/>
      <c r="V497" s="113"/>
      <c r="W497" s="113"/>
      <c r="X497" s="113"/>
      <c r="Y497" s="113"/>
      <c r="Z497" s="114"/>
      <c r="AA497" s="114"/>
      <c r="AB497" s="114"/>
      <c r="AC497" s="114"/>
      <c r="AD497" s="114"/>
    </row>
    <row r="498" spans="1:30" s="221" customFormat="1" ht="13.5" customHeight="1">
      <c r="A498" s="220"/>
      <c r="B498" s="220"/>
      <c r="C498" s="220"/>
      <c r="D498" s="220"/>
      <c r="E498" s="220"/>
      <c r="F498" s="220"/>
      <c r="G498" s="158"/>
      <c r="H498" s="220"/>
      <c r="I498" s="158"/>
      <c r="J498" s="113"/>
      <c r="K498" s="113"/>
      <c r="L498" s="113"/>
      <c r="M498" s="113"/>
      <c r="N498" s="113"/>
      <c r="O498" s="113"/>
      <c r="P498" s="113"/>
      <c r="Q498" s="113"/>
      <c r="R498" s="113"/>
      <c r="S498" s="113"/>
      <c r="T498" s="113"/>
      <c r="U498" s="113"/>
      <c r="V498" s="113"/>
      <c r="W498" s="113"/>
      <c r="X498" s="113"/>
      <c r="Y498" s="113"/>
      <c r="Z498" s="114"/>
      <c r="AA498" s="114"/>
      <c r="AB498" s="114"/>
      <c r="AC498" s="114"/>
      <c r="AD498" s="114"/>
    </row>
    <row r="499" spans="1:30" s="221" customFormat="1" ht="13.5" customHeight="1">
      <c r="A499" s="220"/>
      <c r="B499" s="220"/>
      <c r="C499" s="220"/>
      <c r="D499" s="220"/>
      <c r="E499" s="220"/>
      <c r="F499" s="220"/>
      <c r="G499" s="158"/>
      <c r="H499" s="220"/>
      <c r="I499" s="158"/>
      <c r="J499" s="113"/>
      <c r="K499" s="113"/>
      <c r="L499" s="113"/>
      <c r="M499" s="113"/>
      <c r="N499" s="113"/>
      <c r="O499" s="113"/>
      <c r="P499" s="113"/>
      <c r="Q499" s="113"/>
      <c r="R499" s="113"/>
      <c r="S499" s="113"/>
      <c r="T499" s="113"/>
      <c r="U499" s="113"/>
      <c r="V499" s="113"/>
      <c r="W499" s="113"/>
      <c r="X499" s="113"/>
      <c r="Y499" s="113"/>
      <c r="Z499" s="114"/>
      <c r="AA499" s="114"/>
      <c r="AB499" s="114"/>
      <c r="AC499" s="114"/>
      <c r="AD499" s="114"/>
    </row>
    <row r="500" spans="1:30" s="221" customFormat="1" ht="13.5" customHeight="1">
      <c r="A500" s="220"/>
      <c r="B500" s="220"/>
      <c r="C500" s="220"/>
      <c r="D500" s="220"/>
      <c r="E500" s="220"/>
      <c r="F500" s="220"/>
      <c r="G500" s="158"/>
      <c r="H500" s="220"/>
      <c r="I500" s="158"/>
      <c r="J500" s="113"/>
      <c r="K500" s="113"/>
      <c r="L500" s="113"/>
      <c r="M500" s="113"/>
      <c r="N500" s="113"/>
      <c r="O500" s="113"/>
      <c r="P500" s="113"/>
      <c r="Q500" s="113"/>
      <c r="R500" s="113"/>
      <c r="S500" s="113"/>
      <c r="T500" s="113"/>
      <c r="U500" s="113"/>
      <c r="V500" s="113"/>
      <c r="W500" s="113"/>
      <c r="X500" s="113"/>
      <c r="Y500" s="113"/>
      <c r="Z500" s="114"/>
      <c r="AA500" s="114"/>
      <c r="AB500" s="114"/>
      <c r="AC500" s="114"/>
      <c r="AD500" s="114"/>
    </row>
    <row r="501" spans="1:30" s="221" customFormat="1" ht="13.5" customHeight="1">
      <c r="A501" s="220"/>
      <c r="B501" s="220"/>
      <c r="C501" s="220"/>
      <c r="D501" s="220"/>
      <c r="E501" s="220"/>
      <c r="F501" s="220"/>
      <c r="G501" s="158"/>
      <c r="H501" s="220"/>
      <c r="I501" s="158"/>
      <c r="J501" s="113"/>
      <c r="K501" s="113"/>
      <c r="L501" s="113"/>
      <c r="M501" s="113"/>
      <c r="N501" s="113"/>
      <c r="O501" s="113"/>
      <c r="P501" s="113"/>
      <c r="Q501" s="113"/>
      <c r="R501" s="113"/>
      <c r="S501" s="113"/>
      <c r="T501" s="113"/>
      <c r="U501" s="113"/>
      <c r="V501" s="113"/>
      <c r="W501" s="113"/>
      <c r="X501" s="113"/>
      <c r="Y501" s="113"/>
      <c r="Z501" s="114"/>
      <c r="AA501" s="114"/>
      <c r="AB501" s="114"/>
      <c r="AC501" s="114"/>
      <c r="AD501" s="114"/>
    </row>
    <row r="502" spans="1:30" s="221" customFormat="1" ht="13.5" customHeight="1">
      <c r="A502" s="220"/>
      <c r="B502" s="220"/>
      <c r="C502" s="220"/>
      <c r="D502" s="220"/>
      <c r="E502" s="220"/>
      <c r="F502" s="220"/>
      <c r="G502" s="158"/>
      <c r="H502" s="220"/>
      <c r="I502" s="158"/>
      <c r="J502" s="113"/>
      <c r="K502" s="113"/>
      <c r="L502" s="113"/>
      <c r="M502" s="113"/>
      <c r="N502" s="113"/>
      <c r="O502" s="113"/>
      <c r="P502" s="113"/>
      <c r="Q502" s="113"/>
      <c r="R502" s="113"/>
      <c r="S502" s="113"/>
      <c r="T502" s="113"/>
      <c r="U502" s="113"/>
      <c r="V502" s="113"/>
      <c r="W502" s="113"/>
      <c r="X502" s="113"/>
      <c r="Y502" s="113"/>
      <c r="Z502" s="114"/>
      <c r="AA502" s="114"/>
      <c r="AB502" s="114"/>
      <c r="AC502" s="114"/>
      <c r="AD502" s="114"/>
    </row>
    <row r="503" spans="1:30" s="221" customFormat="1" ht="13.5" customHeight="1">
      <c r="A503" s="220"/>
      <c r="B503" s="220"/>
      <c r="C503" s="220"/>
      <c r="D503" s="220"/>
      <c r="E503" s="220"/>
      <c r="F503" s="220"/>
      <c r="G503" s="158"/>
      <c r="H503" s="220"/>
      <c r="I503" s="158"/>
      <c r="J503" s="113"/>
      <c r="K503" s="113"/>
      <c r="L503" s="113"/>
      <c r="M503" s="113"/>
      <c r="N503" s="113"/>
      <c r="O503" s="113"/>
      <c r="P503" s="113"/>
      <c r="Q503" s="113"/>
      <c r="R503" s="113"/>
      <c r="S503" s="113"/>
      <c r="T503" s="113"/>
      <c r="U503" s="113"/>
      <c r="V503" s="113"/>
      <c r="W503" s="113"/>
      <c r="X503" s="113"/>
      <c r="Y503" s="113"/>
      <c r="Z503" s="114"/>
      <c r="AA503" s="114"/>
      <c r="AB503" s="114"/>
      <c r="AC503" s="114"/>
      <c r="AD503" s="114"/>
    </row>
    <row r="504" spans="1:30" s="221" customFormat="1" ht="13.5" customHeight="1">
      <c r="A504" s="220"/>
      <c r="B504" s="220"/>
      <c r="C504" s="220"/>
      <c r="D504" s="220"/>
      <c r="E504" s="220"/>
      <c r="F504" s="220"/>
      <c r="G504" s="158"/>
      <c r="H504" s="220"/>
      <c r="I504" s="158"/>
      <c r="J504" s="113"/>
      <c r="K504" s="113"/>
      <c r="L504" s="113"/>
      <c r="M504" s="113"/>
      <c r="N504" s="113"/>
      <c r="O504" s="113"/>
      <c r="P504" s="113"/>
      <c r="Q504" s="113"/>
      <c r="R504" s="113"/>
      <c r="S504" s="113"/>
      <c r="T504" s="113"/>
      <c r="U504" s="113"/>
      <c r="V504" s="113"/>
      <c r="W504" s="113"/>
      <c r="X504" s="113"/>
      <c r="Y504" s="113"/>
      <c r="Z504" s="114"/>
      <c r="AA504" s="114"/>
      <c r="AB504" s="114"/>
      <c r="AC504" s="114"/>
      <c r="AD504" s="114"/>
    </row>
    <row r="505" spans="1:30" s="221" customFormat="1" ht="13.5" customHeight="1">
      <c r="A505" s="220"/>
      <c r="B505" s="220"/>
      <c r="C505" s="220"/>
      <c r="D505" s="220"/>
      <c r="E505" s="220"/>
      <c r="F505" s="220"/>
      <c r="G505" s="158"/>
      <c r="H505" s="220"/>
      <c r="I505" s="158"/>
      <c r="J505" s="113"/>
      <c r="K505" s="113"/>
      <c r="L505" s="113"/>
      <c r="M505" s="113"/>
      <c r="N505" s="113"/>
      <c r="O505" s="113"/>
      <c r="P505" s="113"/>
      <c r="Q505" s="113"/>
      <c r="R505" s="113"/>
      <c r="S505" s="113"/>
      <c r="T505" s="113"/>
      <c r="U505" s="113"/>
      <c r="V505" s="113"/>
      <c r="W505" s="113"/>
      <c r="X505" s="113"/>
      <c r="Y505" s="113"/>
      <c r="Z505" s="114"/>
      <c r="AA505" s="114"/>
      <c r="AB505" s="114"/>
      <c r="AC505" s="114"/>
      <c r="AD505" s="114"/>
    </row>
    <row r="506" spans="1:30" s="221" customFormat="1" ht="13.5" customHeight="1">
      <c r="A506" s="220"/>
      <c r="B506" s="220"/>
      <c r="C506" s="220"/>
      <c r="D506" s="220"/>
      <c r="E506" s="220"/>
      <c r="F506" s="220"/>
      <c r="G506" s="158"/>
      <c r="H506" s="220"/>
      <c r="I506" s="158"/>
      <c r="J506" s="113"/>
      <c r="K506" s="113"/>
      <c r="L506" s="113"/>
      <c r="M506" s="113"/>
      <c r="N506" s="113"/>
      <c r="O506" s="113"/>
      <c r="P506" s="113"/>
      <c r="Q506" s="113"/>
      <c r="R506" s="113"/>
      <c r="S506" s="113"/>
      <c r="T506" s="113"/>
      <c r="U506" s="113"/>
      <c r="V506" s="113"/>
      <c r="W506" s="113"/>
      <c r="X506" s="113"/>
      <c r="Y506" s="113"/>
      <c r="Z506" s="114"/>
      <c r="AA506" s="114"/>
      <c r="AB506" s="114"/>
      <c r="AC506" s="114"/>
      <c r="AD506" s="114"/>
    </row>
    <row r="507" spans="1:30" s="221" customFormat="1" ht="13.5" customHeight="1">
      <c r="A507" s="220"/>
      <c r="B507" s="220"/>
      <c r="C507" s="220"/>
      <c r="D507" s="220"/>
      <c r="E507" s="220"/>
      <c r="F507" s="220"/>
      <c r="G507" s="158"/>
      <c r="H507" s="220"/>
      <c r="I507" s="158"/>
      <c r="J507" s="113"/>
      <c r="K507" s="113"/>
      <c r="L507" s="113"/>
      <c r="M507" s="113"/>
      <c r="N507" s="113"/>
      <c r="O507" s="113"/>
      <c r="P507" s="113"/>
      <c r="Q507" s="113"/>
      <c r="R507" s="113"/>
      <c r="S507" s="113"/>
      <c r="T507" s="113"/>
      <c r="U507" s="113"/>
      <c r="V507" s="113"/>
      <c r="W507" s="113"/>
      <c r="X507" s="113"/>
      <c r="Y507" s="113"/>
      <c r="Z507" s="114"/>
      <c r="AA507" s="114"/>
      <c r="AB507" s="114"/>
      <c r="AC507" s="114"/>
      <c r="AD507" s="114"/>
    </row>
    <row r="508" spans="1:30" s="221" customFormat="1" ht="13.5" customHeight="1">
      <c r="A508" s="220"/>
      <c r="B508" s="220"/>
      <c r="C508" s="220"/>
      <c r="D508" s="220"/>
      <c r="E508" s="220"/>
      <c r="F508" s="220"/>
      <c r="G508" s="158"/>
      <c r="H508" s="220"/>
      <c r="I508" s="158"/>
      <c r="J508" s="113"/>
      <c r="K508" s="113"/>
      <c r="L508" s="113"/>
      <c r="M508" s="113"/>
      <c r="N508" s="113"/>
      <c r="O508" s="113"/>
      <c r="P508" s="113"/>
      <c r="Q508" s="113"/>
      <c r="R508" s="113"/>
      <c r="S508" s="113"/>
      <c r="T508" s="113"/>
      <c r="U508" s="113"/>
      <c r="V508" s="113"/>
      <c r="W508" s="113"/>
      <c r="X508" s="113"/>
      <c r="Y508" s="113"/>
      <c r="Z508" s="114"/>
      <c r="AA508" s="114"/>
      <c r="AB508" s="114"/>
      <c r="AC508" s="114"/>
      <c r="AD508" s="114"/>
    </row>
    <row r="509" spans="1:30" s="221" customFormat="1" ht="13.5" customHeight="1">
      <c r="A509" s="220"/>
      <c r="B509" s="220"/>
      <c r="C509" s="220"/>
      <c r="D509" s="220"/>
      <c r="E509" s="220"/>
      <c r="F509" s="220"/>
      <c r="G509" s="158"/>
      <c r="H509" s="220"/>
      <c r="I509" s="158"/>
      <c r="J509" s="113"/>
      <c r="K509" s="113"/>
      <c r="L509" s="113"/>
      <c r="M509" s="113"/>
      <c r="N509" s="113"/>
      <c r="O509" s="113"/>
      <c r="P509" s="113"/>
      <c r="Q509" s="113"/>
      <c r="R509" s="113"/>
      <c r="S509" s="113"/>
      <c r="T509" s="113"/>
      <c r="U509" s="113"/>
      <c r="V509" s="113"/>
      <c r="W509" s="113"/>
      <c r="X509" s="113"/>
      <c r="Y509" s="113"/>
      <c r="Z509" s="114"/>
      <c r="AA509" s="114"/>
      <c r="AB509" s="114"/>
      <c r="AC509" s="114"/>
      <c r="AD509" s="114"/>
    </row>
    <row r="510" spans="1:30" s="221" customFormat="1" ht="13.5" customHeight="1">
      <c r="A510" s="220"/>
      <c r="B510" s="220"/>
      <c r="C510" s="220"/>
      <c r="D510" s="220"/>
      <c r="E510" s="220"/>
      <c r="F510" s="220"/>
      <c r="G510" s="158"/>
      <c r="H510" s="220"/>
      <c r="I510" s="158"/>
      <c r="J510" s="113"/>
      <c r="K510" s="113"/>
      <c r="L510" s="113"/>
      <c r="M510" s="113"/>
      <c r="N510" s="113"/>
      <c r="O510" s="113"/>
      <c r="P510" s="113"/>
      <c r="Q510" s="113"/>
      <c r="R510" s="113"/>
      <c r="S510" s="113"/>
      <c r="T510" s="113"/>
      <c r="U510" s="113"/>
      <c r="V510" s="113"/>
      <c r="W510" s="113"/>
      <c r="X510" s="113"/>
      <c r="Y510" s="113"/>
      <c r="Z510" s="114"/>
      <c r="AA510" s="114"/>
      <c r="AB510" s="114"/>
      <c r="AC510" s="114"/>
      <c r="AD510" s="114"/>
    </row>
    <row r="511" spans="1:30" s="221" customFormat="1" ht="13.5" customHeight="1">
      <c r="A511" s="220"/>
      <c r="B511" s="220"/>
      <c r="C511" s="220"/>
      <c r="D511" s="220"/>
      <c r="E511" s="220"/>
      <c r="F511" s="220"/>
      <c r="G511" s="158"/>
      <c r="H511" s="220"/>
      <c r="I511" s="158"/>
      <c r="J511" s="113"/>
      <c r="K511" s="113"/>
      <c r="L511" s="113"/>
      <c r="M511" s="113"/>
      <c r="N511" s="113"/>
      <c r="O511" s="113"/>
      <c r="P511" s="113"/>
      <c r="Q511" s="113"/>
      <c r="R511" s="113"/>
      <c r="S511" s="113"/>
      <c r="T511" s="113"/>
      <c r="U511" s="113"/>
      <c r="V511" s="113"/>
      <c r="W511" s="113"/>
      <c r="X511" s="113"/>
      <c r="Y511" s="113"/>
      <c r="Z511" s="114"/>
      <c r="AA511" s="114"/>
      <c r="AB511" s="114"/>
      <c r="AC511" s="114"/>
      <c r="AD511" s="114"/>
    </row>
    <row r="512" spans="1:30" s="221" customFormat="1" ht="13.5" customHeight="1">
      <c r="A512" s="220"/>
      <c r="B512" s="220"/>
      <c r="C512" s="220"/>
      <c r="D512" s="220"/>
      <c r="E512" s="220"/>
      <c r="F512" s="220"/>
      <c r="G512" s="158"/>
      <c r="H512" s="220"/>
      <c r="I512" s="158"/>
      <c r="J512" s="113"/>
      <c r="K512" s="113"/>
      <c r="L512" s="113"/>
      <c r="M512" s="113"/>
      <c r="N512" s="113"/>
      <c r="O512" s="113"/>
      <c r="P512" s="113"/>
      <c r="Q512" s="113"/>
      <c r="R512" s="113"/>
      <c r="S512" s="113"/>
      <c r="T512" s="113"/>
      <c r="U512" s="113"/>
      <c r="V512" s="113"/>
      <c r="W512" s="113"/>
      <c r="X512" s="113"/>
      <c r="Y512" s="113"/>
      <c r="Z512" s="114"/>
      <c r="AA512" s="114"/>
      <c r="AB512" s="114"/>
      <c r="AC512" s="114"/>
      <c r="AD512" s="114"/>
    </row>
    <row r="513" spans="1:30" s="221" customFormat="1" ht="13.5" customHeight="1">
      <c r="A513" s="220"/>
      <c r="B513" s="220"/>
      <c r="C513" s="220"/>
      <c r="D513" s="220"/>
      <c r="E513" s="220"/>
      <c r="F513" s="220"/>
      <c r="G513" s="158"/>
      <c r="H513" s="220"/>
      <c r="I513" s="158"/>
      <c r="J513" s="113"/>
      <c r="K513" s="113"/>
      <c r="L513" s="113"/>
      <c r="M513" s="113"/>
      <c r="N513" s="113"/>
      <c r="O513" s="113"/>
      <c r="P513" s="113"/>
      <c r="Q513" s="113"/>
      <c r="R513" s="113"/>
      <c r="S513" s="113"/>
      <c r="T513" s="113"/>
      <c r="U513" s="113"/>
      <c r="V513" s="113"/>
      <c r="W513" s="113"/>
      <c r="X513" s="113"/>
      <c r="Y513" s="113"/>
      <c r="Z513" s="114"/>
      <c r="AA513" s="114"/>
      <c r="AB513" s="114"/>
      <c r="AC513" s="114"/>
      <c r="AD513" s="114"/>
    </row>
    <row r="514" spans="1:30" s="221" customFormat="1" ht="13.5" customHeight="1">
      <c r="A514" s="220"/>
      <c r="B514" s="220"/>
      <c r="C514" s="220"/>
      <c r="D514" s="220"/>
      <c r="E514" s="220"/>
      <c r="F514" s="220"/>
      <c r="G514" s="158"/>
      <c r="H514" s="220"/>
      <c r="I514" s="158"/>
      <c r="J514" s="113"/>
      <c r="K514" s="113"/>
      <c r="L514" s="113"/>
      <c r="M514" s="113"/>
      <c r="N514" s="113"/>
      <c r="O514" s="113"/>
      <c r="P514" s="113"/>
      <c r="Q514" s="113"/>
      <c r="R514" s="113"/>
      <c r="S514" s="113"/>
      <c r="T514" s="113"/>
      <c r="U514" s="113"/>
      <c r="V514" s="113"/>
      <c r="W514" s="113"/>
      <c r="X514" s="113"/>
      <c r="Y514" s="113"/>
      <c r="Z514" s="114"/>
      <c r="AA514" s="114"/>
      <c r="AB514" s="114"/>
      <c r="AC514" s="114"/>
      <c r="AD514" s="114"/>
    </row>
    <row r="515" spans="1:30" s="221" customFormat="1" ht="13.5" customHeight="1">
      <c r="A515" s="220"/>
      <c r="B515" s="220"/>
      <c r="C515" s="220"/>
      <c r="D515" s="220"/>
      <c r="E515" s="220"/>
      <c r="F515" s="220"/>
      <c r="G515" s="158"/>
      <c r="H515" s="220"/>
      <c r="I515" s="158"/>
      <c r="J515" s="113"/>
      <c r="K515" s="113"/>
      <c r="L515" s="113"/>
      <c r="M515" s="113"/>
      <c r="N515" s="113"/>
      <c r="O515" s="113"/>
      <c r="P515" s="113"/>
      <c r="Q515" s="113"/>
      <c r="R515" s="113"/>
      <c r="S515" s="113"/>
      <c r="T515" s="113"/>
      <c r="U515" s="113"/>
      <c r="V515" s="113"/>
      <c r="W515" s="113"/>
      <c r="X515" s="113"/>
      <c r="Y515" s="113"/>
      <c r="Z515" s="114"/>
      <c r="AA515" s="114"/>
      <c r="AB515" s="114"/>
      <c r="AC515" s="114"/>
      <c r="AD515" s="114"/>
    </row>
    <row r="516" spans="1:30" s="221" customFormat="1" ht="13.5" customHeight="1">
      <c r="A516" s="220"/>
      <c r="B516" s="220"/>
      <c r="C516" s="220"/>
      <c r="D516" s="220"/>
      <c r="E516" s="220"/>
      <c r="F516" s="220"/>
      <c r="G516" s="158"/>
      <c r="H516" s="220"/>
      <c r="I516" s="158"/>
      <c r="J516" s="113"/>
      <c r="K516" s="113"/>
      <c r="L516" s="113"/>
      <c r="M516" s="113"/>
      <c r="N516" s="113"/>
      <c r="O516" s="113"/>
      <c r="P516" s="113"/>
      <c r="Q516" s="113"/>
      <c r="R516" s="113"/>
      <c r="S516" s="113"/>
      <c r="T516" s="113"/>
      <c r="U516" s="113"/>
      <c r="V516" s="113"/>
      <c r="W516" s="113"/>
      <c r="X516" s="113"/>
      <c r="Y516" s="113"/>
      <c r="Z516" s="114"/>
      <c r="AA516" s="114"/>
      <c r="AB516" s="114"/>
      <c r="AC516" s="114"/>
      <c r="AD516" s="114"/>
    </row>
    <row r="517" spans="1:30" s="221" customFormat="1" ht="13.5" customHeight="1">
      <c r="A517" s="220"/>
      <c r="B517" s="220"/>
      <c r="C517" s="220"/>
      <c r="D517" s="220"/>
      <c r="E517" s="220"/>
      <c r="F517" s="220"/>
      <c r="G517" s="158"/>
      <c r="H517" s="220"/>
      <c r="I517" s="158"/>
      <c r="J517" s="113"/>
      <c r="K517" s="113"/>
      <c r="L517" s="113"/>
      <c r="M517" s="113"/>
      <c r="N517" s="113"/>
      <c r="O517" s="113"/>
      <c r="P517" s="113"/>
      <c r="Q517" s="113"/>
      <c r="R517" s="113"/>
      <c r="S517" s="113"/>
      <c r="T517" s="113"/>
      <c r="U517" s="113"/>
      <c r="V517" s="113"/>
      <c r="W517" s="113"/>
      <c r="X517" s="113"/>
      <c r="Y517" s="113"/>
      <c r="Z517" s="114"/>
      <c r="AA517" s="114"/>
      <c r="AB517" s="114"/>
      <c r="AC517" s="114"/>
      <c r="AD517" s="114"/>
    </row>
    <row r="518" spans="1:30" s="221" customFormat="1" ht="13.5" customHeight="1">
      <c r="A518" s="220"/>
      <c r="B518" s="220"/>
      <c r="C518" s="220"/>
      <c r="D518" s="220"/>
      <c r="E518" s="220"/>
      <c r="F518" s="220"/>
      <c r="G518" s="158"/>
      <c r="H518" s="220"/>
      <c r="I518" s="158"/>
      <c r="J518" s="113"/>
      <c r="K518" s="113"/>
      <c r="L518" s="113"/>
      <c r="M518" s="113"/>
      <c r="N518" s="113"/>
      <c r="O518" s="113"/>
      <c r="P518" s="113"/>
      <c r="Q518" s="113"/>
      <c r="R518" s="113"/>
      <c r="S518" s="113"/>
      <c r="T518" s="113"/>
      <c r="U518" s="113"/>
      <c r="V518" s="113"/>
      <c r="W518" s="113"/>
      <c r="X518" s="113"/>
      <c r="Y518" s="113"/>
      <c r="Z518" s="114"/>
      <c r="AA518" s="114"/>
      <c r="AB518" s="114"/>
      <c r="AC518" s="114"/>
      <c r="AD518" s="114"/>
    </row>
    <row r="519" spans="1:30" s="221" customFormat="1" ht="13.5" customHeight="1">
      <c r="A519" s="220"/>
      <c r="B519" s="220"/>
      <c r="C519" s="220"/>
      <c r="D519" s="220"/>
      <c r="E519" s="220"/>
      <c r="F519" s="220"/>
      <c r="G519" s="158"/>
      <c r="H519" s="220"/>
      <c r="I519" s="158"/>
      <c r="J519" s="113"/>
      <c r="K519" s="113"/>
      <c r="L519" s="113"/>
      <c r="M519" s="113"/>
      <c r="N519" s="113"/>
      <c r="O519" s="113"/>
      <c r="P519" s="113"/>
      <c r="Q519" s="113"/>
      <c r="R519" s="113"/>
      <c r="S519" s="113"/>
      <c r="T519" s="113"/>
      <c r="U519" s="113"/>
      <c r="V519" s="113"/>
      <c r="W519" s="113"/>
      <c r="X519" s="113"/>
      <c r="Y519" s="113"/>
      <c r="Z519" s="114"/>
      <c r="AA519" s="114"/>
      <c r="AB519" s="114"/>
      <c r="AC519" s="114"/>
      <c r="AD519" s="114"/>
    </row>
    <row r="520" spans="1:30" s="221" customFormat="1" ht="13.5" customHeight="1">
      <c r="A520" s="220"/>
      <c r="B520" s="220"/>
      <c r="C520" s="220"/>
      <c r="D520" s="220"/>
      <c r="E520" s="220"/>
      <c r="F520" s="220"/>
      <c r="G520" s="158"/>
      <c r="H520" s="220"/>
      <c r="I520" s="158"/>
      <c r="J520" s="113"/>
      <c r="K520" s="113"/>
      <c r="L520" s="113"/>
      <c r="M520" s="113"/>
      <c r="N520" s="113"/>
      <c r="O520" s="113"/>
      <c r="P520" s="113"/>
      <c r="Q520" s="113"/>
      <c r="R520" s="113"/>
      <c r="S520" s="113"/>
      <c r="T520" s="113"/>
      <c r="U520" s="113"/>
      <c r="V520" s="113"/>
      <c r="W520" s="113"/>
      <c r="X520" s="113"/>
      <c r="Y520" s="113"/>
      <c r="Z520" s="114"/>
      <c r="AA520" s="114"/>
      <c r="AB520" s="114"/>
      <c r="AC520" s="114"/>
      <c r="AD520" s="114"/>
    </row>
    <row r="521" spans="1:30" s="221" customFormat="1" ht="13.5" customHeight="1">
      <c r="A521" s="220"/>
      <c r="B521" s="220"/>
      <c r="C521" s="220"/>
      <c r="D521" s="220"/>
      <c r="E521" s="220"/>
      <c r="F521" s="220"/>
      <c r="G521" s="158"/>
      <c r="H521" s="220"/>
      <c r="I521" s="158"/>
      <c r="J521" s="113"/>
      <c r="K521" s="113"/>
      <c r="L521" s="113"/>
      <c r="M521" s="113"/>
      <c r="N521" s="113"/>
      <c r="O521" s="113"/>
      <c r="P521" s="113"/>
      <c r="Q521" s="113"/>
      <c r="R521" s="113"/>
      <c r="S521" s="113"/>
      <c r="T521" s="113"/>
      <c r="U521" s="113"/>
      <c r="V521" s="113"/>
      <c r="W521" s="113"/>
      <c r="X521" s="113"/>
      <c r="Y521" s="113"/>
      <c r="Z521" s="114"/>
      <c r="AA521" s="114"/>
      <c r="AB521" s="114"/>
      <c r="AC521" s="114"/>
      <c r="AD521" s="114"/>
    </row>
    <row r="522" spans="1:30" s="221" customFormat="1" ht="13.5" customHeight="1">
      <c r="A522" s="220"/>
      <c r="B522" s="220"/>
      <c r="C522" s="220"/>
      <c r="D522" s="220"/>
      <c r="E522" s="220"/>
      <c r="F522" s="220"/>
      <c r="G522" s="158"/>
      <c r="H522" s="220"/>
      <c r="I522" s="158"/>
      <c r="J522" s="113"/>
      <c r="K522" s="113"/>
      <c r="L522" s="113"/>
      <c r="M522" s="113"/>
      <c r="N522" s="113"/>
      <c r="O522" s="113"/>
      <c r="P522" s="113"/>
      <c r="Q522" s="113"/>
      <c r="R522" s="113"/>
      <c r="S522" s="113"/>
      <c r="T522" s="113"/>
      <c r="U522" s="113"/>
      <c r="V522" s="113"/>
      <c r="W522" s="113"/>
      <c r="X522" s="113"/>
      <c r="Y522" s="113"/>
      <c r="Z522" s="114"/>
      <c r="AA522" s="114"/>
      <c r="AB522" s="114"/>
      <c r="AC522" s="114"/>
      <c r="AD522" s="114"/>
    </row>
    <row r="523" spans="1:30" s="221" customFormat="1" ht="13.5" customHeight="1">
      <c r="A523" s="220"/>
      <c r="B523" s="220"/>
      <c r="C523" s="220"/>
      <c r="D523" s="220"/>
      <c r="E523" s="220"/>
      <c r="F523" s="220"/>
      <c r="G523" s="158"/>
      <c r="H523" s="220"/>
      <c r="I523" s="158"/>
      <c r="J523" s="113"/>
      <c r="K523" s="113"/>
      <c r="L523" s="113"/>
      <c r="M523" s="113"/>
      <c r="N523" s="113"/>
      <c r="O523" s="113"/>
      <c r="P523" s="113"/>
      <c r="Q523" s="113"/>
      <c r="R523" s="113"/>
      <c r="S523" s="113"/>
      <c r="T523" s="113"/>
      <c r="U523" s="113"/>
      <c r="V523" s="113"/>
      <c r="W523" s="113"/>
      <c r="X523" s="113"/>
      <c r="Y523" s="113"/>
      <c r="Z523" s="114"/>
      <c r="AA523" s="114"/>
      <c r="AB523" s="114"/>
      <c r="AC523" s="114"/>
      <c r="AD523" s="114"/>
    </row>
    <row r="524" spans="1:30" s="221" customFormat="1" ht="13.5" customHeight="1">
      <c r="A524" s="220"/>
      <c r="B524" s="220"/>
      <c r="C524" s="220"/>
      <c r="D524" s="220"/>
      <c r="E524" s="220"/>
      <c r="F524" s="220"/>
      <c r="G524" s="158"/>
      <c r="H524" s="220"/>
      <c r="I524" s="158"/>
      <c r="J524" s="113"/>
      <c r="K524" s="113"/>
      <c r="L524" s="113"/>
      <c r="M524" s="113"/>
      <c r="N524" s="113"/>
      <c r="O524" s="113"/>
      <c r="P524" s="113"/>
      <c r="Q524" s="113"/>
      <c r="R524" s="113"/>
      <c r="S524" s="113"/>
      <c r="T524" s="113"/>
      <c r="U524" s="113"/>
      <c r="V524" s="113"/>
      <c r="W524" s="113"/>
      <c r="X524" s="113"/>
      <c r="Y524" s="113"/>
      <c r="Z524" s="114"/>
      <c r="AA524" s="114"/>
      <c r="AB524" s="114"/>
      <c r="AC524" s="114"/>
      <c r="AD524" s="114"/>
    </row>
    <row r="525" spans="1:30" s="221" customFormat="1" ht="13.5" customHeight="1">
      <c r="A525" s="220"/>
      <c r="B525" s="220"/>
      <c r="C525" s="220"/>
      <c r="D525" s="220"/>
      <c r="E525" s="220"/>
      <c r="F525" s="220"/>
      <c r="G525" s="158"/>
      <c r="H525" s="220"/>
      <c r="I525" s="158"/>
      <c r="J525" s="113"/>
      <c r="K525" s="113"/>
      <c r="L525" s="113"/>
      <c r="M525" s="113"/>
      <c r="N525" s="113"/>
      <c r="O525" s="113"/>
      <c r="P525" s="113"/>
      <c r="Q525" s="113"/>
      <c r="R525" s="113"/>
      <c r="S525" s="113"/>
      <c r="T525" s="113"/>
      <c r="U525" s="113"/>
      <c r="V525" s="113"/>
      <c r="W525" s="113"/>
      <c r="X525" s="113"/>
      <c r="Y525" s="113"/>
      <c r="Z525" s="114"/>
      <c r="AA525" s="114"/>
      <c r="AB525" s="114"/>
      <c r="AC525" s="114"/>
      <c r="AD525" s="114"/>
    </row>
    <row r="526" spans="1:30" s="221" customFormat="1" ht="13.5" customHeight="1">
      <c r="A526" s="220"/>
      <c r="B526" s="220"/>
      <c r="C526" s="220"/>
      <c r="D526" s="220"/>
      <c r="E526" s="220"/>
      <c r="F526" s="220"/>
      <c r="G526" s="158"/>
      <c r="H526" s="220"/>
      <c r="I526" s="158"/>
      <c r="J526" s="113"/>
      <c r="K526" s="113"/>
      <c r="L526" s="113"/>
      <c r="M526" s="113"/>
      <c r="N526" s="113"/>
      <c r="O526" s="113"/>
      <c r="P526" s="113"/>
      <c r="Q526" s="113"/>
      <c r="R526" s="113"/>
      <c r="S526" s="113"/>
      <c r="T526" s="113"/>
      <c r="U526" s="113"/>
      <c r="V526" s="113"/>
      <c r="W526" s="113"/>
      <c r="X526" s="113"/>
      <c r="Y526" s="113"/>
      <c r="Z526" s="114"/>
      <c r="AA526" s="114"/>
      <c r="AB526" s="114"/>
      <c r="AC526" s="114"/>
      <c r="AD526" s="114"/>
    </row>
    <row r="527" spans="1:30" s="221" customFormat="1" ht="13.5" customHeight="1">
      <c r="A527" s="220"/>
      <c r="B527" s="220"/>
      <c r="C527" s="220"/>
      <c r="D527" s="220"/>
      <c r="E527" s="220"/>
      <c r="F527" s="220"/>
      <c r="G527" s="158"/>
      <c r="H527" s="220"/>
      <c r="I527" s="158"/>
      <c r="J527" s="113"/>
      <c r="K527" s="113"/>
      <c r="L527" s="113"/>
      <c r="M527" s="113"/>
      <c r="N527" s="113"/>
      <c r="O527" s="113"/>
      <c r="P527" s="113"/>
      <c r="Q527" s="113"/>
      <c r="R527" s="113"/>
      <c r="S527" s="113"/>
      <c r="T527" s="113"/>
      <c r="U527" s="113"/>
      <c r="V527" s="113"/>
      <c r="W527" s="113"/>
      <c r="X527" s="113"/>
      <c r="Y527" s="113"/>
      <c r="Z527" s="114"/>
      <c r="AA527" s="114"/>
      <c r="AB527" s="114"/>
      <c r="AC527" s="114"/>
      <c r="AD527" s="114"/>
    </row>
    <row r="528" spans="1:30" s="221" customFormat="1" ht="13.5" customHeight="1">
      <c r="A528" s="220"/>
      <c r="B528" s="220"/>
      <c r="C528" s="220"/>
      <c r="D528" s="220"/>
      <c r="E528" s="220"/>
      <c r="F528" s="220"/>
      <c r="G528" s="158"/>
      <c r="H528" s="220"/>
      <c r="I528" s="158"/>
      <c r="J528" s="113"/>
      <c r="K528" s="113"/>
      <c r="L528" s="113"/>
      <c r="M528" s="113"/>
      <c r="N528" s="113"/>
      <c r="O528" s="113"/>
      <c r="P528" s="113"/>
      <c r="Q528" s="113"/>
      <c r="R528" s="113"/>
      <c r="S528" s="113"/>
      <c r="T528" s="113"/>
      <c r="U528" s="113"/>
      <c r="V528" s="113"/>
      <c r="W528" s="113"/>
      <c r="X528" s="113"/>
      <c r="Y528" s="113"/>
      <c r="Z528" s="114"/>
      <c r="AA528" s="114"/>
      <c r="AB528" s="114"/>
      <c r="AC528" s="114"/>
      <c r="AD528" s="114"/>
    </row>
    <row r="529" spans="1:30" s="221" customFormat="1" ht="13.5" customHeight="1">
      <c r="A529" s="220"/>
      <c r="B529" s="220"/>
      <c r="C529" s="220"/>
      <c r="D529" s="220"/>
      <c r="E529" s="220"/>
      <c r="F529" s="220"/>
      <c r="G529" s="158"/>
      <c r="H529" s="220"/>
      <c r="I529" s="158"/>
      <c r="J529" s="113"/>
      <c r="K529" s="113"/>
      <c r="L529" s="113"/>
      <c r="M529" s="113"/>
      <c r="N529" s="113"/>
      <c r="O529" s="113"/>
      <c r="P529" s="113"/>
      <c r="Q529" s="113"/>
      <c r="R529" s="113"/>
      <c r="S529" s="113"/>
      <c r="T529" s="113"/>
      <c r="U529" s="113"/>
      <c r="V529" s="113"/>
      <c r="W529" s="113"/>
      <c r="X529" s="113"/>
      <c r="Y529" s="113"/>
      <c r="Z529" s="114"/>
      <c r="AA529" s="114"/>
      <c r="AB529" s="114"/>
      <c r="AC529" s="114"/>
      <c r="AD529" s="114"/>
    </row>
    <row r="530" spans="1:30" s="221" customFormat="1" ht="13.5" customHeight="1">
      <c r="A530" s="220"/>
      <c r="B530" s="220"/>
      <c r="C530" s="220"/>
      <c r="D530" s="220"/>
      <c r="E530" s="220"/>
      <c r="F530" s="220"/>
      <c r="G530" s="158"/>
      <c r="H530" s="220"/>
      <c r="I530" s="158"/>
      <c r="J530" s="113"/>
      <c r="K530" s="113"/>
      <c r="L530" s="113"/>
      <c r="M530" s="113"/>
      <c r="N530" s="113"/>
      <c r="O530" s="113"/>
      <c r="P530" s="113"/>
      <c r="Q530" s="113"/>
      <c r="R530" s="113"/>
      <c r="S530" s="113"/>
      <c r="T530" s="113"/>
      <c r="U530" s="113"/>
      <c r="V530" s="113"/>
      <c r="W530" s="113"/>
      <c r="X530" s="113"/>
      <c r="Y530" s="113"/>
      <c r="Z530" s="114"/>
      <c r="AA530" s="114"/>
      <c r="AB530" s="114"/>
      <c r="AC530" s="114"/>
      <c r="AD530" s="114"/>
    </row>
    <row r="531" spans="1:30" s="221" customFormat="1" ht="13.5" customHeight="1">
      <c r="A531" s="220"/>
      <c r="B531" s="220"/>
      <c r="C531" s="220"/>
      <c r="D531" s="220"/>
      <c r="E531" s="220"/>
      <c r="F531" s="220"/>
      <c r="G531" s="158"/>
      <c r="H531" s="220"/>
      <c r="I531" s="158"/>
      <c r="J531" s="113"/>
      <c r="K531" s="113"/>
      <c r="L531" s="113"/>
      <c r="M531" s="113"/>
      <c r="N531" s="113"/>
      <c r="O531" s="113"/>
      <c r="P531" s="113"/>
      <c r="Q531" s="113"/>
      <c r="R531" s="113"/>
      <c r="S531" s="113"/>
      <c r="T531" s="113"/>
      <c r="U531" s="113"/>
      <c r="V531" s="113"/>
      <c r="W531" s="113"/>
      <c r="X531" s="113"/>
      <c r="Y531" s="113"/>
      <c r="Z531" s="114"/>
      <c r="AA531" s="114"/>
      <c r="AB531" s="114"/>
      <c r="AC531" s="114"/>
      <c r="AD531" s="114"/>
    </row>
    <row r="532" spans="1:30" s="221" customFormat="1" ht="13.5" customHeight="1">
      <c r="A532" s="220"/>
      <c r="B532" s="220"/>
      <c r="C532" s="220"/>
      <c r="D532" s="220"/>
      <c r="E532" s="220"/>
      <c r="F532" s="220"/>
      <c r="G532" s="158"/>
      <c r="H532" s="220"/>
      <c r="I532" s="158"/>
      <c r="J532" s="113"/>
      <c r="K532" s="113"/>
      <c r="L532" s="113"/>
      <c r="M532" s="113"/>
      <c r="N532" s="113"/>
      <c r="O532" s="113"/>
      <c r="P532" s="113"/>
      <c r="Q532" s="113"/>
      <c r="R532" s="113"/>
      <c r="S532" s="113"/>
      <c r="T532" s="113"/>
      <c r="U532" s="113"/>
      <c r="V532" s="113"/>
      <c r="W532" s="113"/>
      <c r="X532" s="113"/>
      <c r="Y532" s="113"/>
      <c r="Z532" s="114"/>
      <c r="AA532" s="114"/>
      <c r="AB532" s="114"/>
      <c r="AC532" s="114"/>
      <c r="AD532" s="114"/>
    </row>
    <row r="533" spans="1:30" s="221" customFormat="1" ht="13.5" customHeight="1">
      <c r="A533" s="220"/>
      <c r="B533" s="220"/>
      <c r="C533" s="220"/>
      <c r="D533" s="220"/>
      <c r="E533" s="220"/>
      <c r="F533" s="220"/>
      <c r="G533" s="158"/>
      <c r="H533" s="220"/>
      <c r="I533" s="158"/>
      <c r="J533" s="113"/>
      <c r="K533" s="113"/>
      <c r="L533" s="113"/>
      <c r="M533" s="113"/>
      <c r="N533" s="113"/>
      <c r="O533" s="113"/>
      <c r="P533" s="113"/>
      <c r="Q533" s="113"/>
      <c r="R533" s="113"/>
      <c r="S533" s="113"/>
      <c r="T533" s="113"/>
      <c r="U533" s="113"/>
      <c r="V533" s="113"/>
      <c r="W533" s="113"/>
      <c r="X533" s="113"/>
      <c r="Y533" s="113"/>
      <c r="Z533" s="114"/>
      <c r="AA533" s="114"/>
      <c r="AB533" s="114"/>
      <c r="AC533" s="114"/>
      <c r="AD533" s="114"/>
    </row>
    <row r="534" spans="1:30" s="221" customFormat="1" ht="13.5" customHeight="1">
      <c r="A534" s="220"/>
      <c r="B534" s="220"/>
      <c r="C534" s="220"/>
      <c r="D534" s="220"/>
      <c r="E534" s="220"/>
      <c r="F534" s="220"/>
      <c r="G534" s="158"/>
      <c r="H534" s="220"/>
      <c r="I534" s="158"/>
      <c r="J534" s="113"/>
      <c r="K534" s="113"/>
      <c r="L534" s="113"/>
      <c r="M534" s="113"/>
      <c r="N534" s="113"/>
      <c r="O534" s="113"/>
      <c r="P534" s="113"/>
      <c r="Q534" s="113"/>
      <c r="R534" s="113"/>
      <c r="S534" s="113"/>
      <c r="T534" s="113"/>
      <c r="U534" s="113"/>
      <c r="V534" s="113"/>
      <c r="W534" s="113"/>
      <c r="X534" s="113"/>
      <c r="Y534" s="113"/>
      <c r="Z534" s="114"/>
      <c r="AA534" s="114"/>
      <c r="AB534" s="114"/>
      <c r="AC534" s="114"/>
      <c r="AD534" s="114"/>
    </row>
    <row r="535" spans="1:30" s="221" customFormat="1" ht="13.5" customHeight="1">
      <c r="A535" s="220"/>
      <c r="B535" s="220"/>
      <c r="C535" s="220"/>
      <c r="D535" s="220"/>
      <c r="E535" s="220"/>
      <c r="F535" s="220"/>
      <c r="G535" s="158"/>
      <c r="H535" s="220"/>
      <c r="I535" s="158"/>
      <c r="J535" s="113"/>
      <c r="K535" s="113"/>
      <c r="L535" s="113"/>
      <c r="M535" s="113"/>
      <c r="N535" s="113"/>
      <c r="O535" s="113"/>
      <c r="P535" s="113"/>
      <c r="Q535" s="113"/>
      <c r="R535" s="113"/>
      <c r="S535" s="113"/>
      <c r="T535" s="113"/>
      <c r="U535" s="113"/>
      <c r="V535" s="113"/>
      <c r="W535" s="113"/>
      <c r="X535" s="113"/>
      <c r="Y535" s="113"/>
      <c r="Z535" s="114"/>
      <c r="AA535" s="114"/>
      <c r="AB535" s="114"/>
      <c r="AC535" s="114"/>
      <c r="AD535" s="114"/>
    </row>
    <row r="536" spans="1:30" ht="13.5" customHeight="1">
      <c r="A536" s="111"/>
      <c r="B536" s="111"/>
      <c r="C536" s="111"/>
      <c r="D536" s="111"/>
      <c r="E536" s="111"/>
      <c r="F536" s="111"/>
      <c r="G536" s="112"/>
      <c r="H536" s="111"/>
      <c r="I536" s="112"/>
      <c r="J536" s="113"/>
      <c r="K536" s="113"/>
      <c r="L536" s="113"/>
      <c r="M536" s="113"/>
      <c r="N536" s="113"/>
      <c r="O536" s="113"/>
      <c r="P536" s="113"/>
      <c r="Q536" s="113"/>
      <c r="R536" s="113"/>
      <c r="S536" s="113"/>
      <c r="T536" s="113"/>
      <c r="U536" s="113"/>
      <c r="V536" s="113"/>
      <c r="W536" s="113"/>
      <c r="X536" s="113"/>
      <c r="Y536" s="113"/>
    </row>
    <row r="537" spans="1:30" ht="13.5" customHeight="1">
      <c r="A537" s="111"/>
      <c r="B537" s="111"/>
      <c r="C537" s="111"/>
      <c r="D537" s="111"/>
      <c r="E537" s="111"/>
      <c r="F537" s="111"/>
      <c r="G537" s="112"/>
      <c r="H537" s="111"/>
      <c r="I537" s="112"/>
      <c r="J537" s="113"/>
      <c r="K537" s="113"/>
      <c r="L537" s="113"/>
      <c r="M537" s="113"/>
      <c r="N537" s="113"/>
      <c r="O537" s="113"/>
      <c r="P537" s="113"/>
      <c r="Q537" s="113"/>
      <c r="R537" s="113"/>
      <c r="S537" s="113"/>
      <c r="T537" s="113"/>
      <c r="U537" s="113"/>
      <c r="V537" s="113"/>
      <c r="W537" s="113"/>
      <c r="X537" s="113"/>
      <c r="Y537" s="113"/>
    </row>
    <row r="538" spans="1:30" ht="13.5" customHeight="1">
      <c r="A538" s="111"/>
      <c r="B538" s="111"/>
      <c r="C538" s="111"/>
      <c r="D538" s="111"/>
      <c r="E538" s="111"/>
      <c r="F538" s="111"/>
      <c r="G538" s="112"/>
      <c r="H538" s="111"/>
      <c r="I538" s="112"/>
      <c r="J538" s="113"/>
      <c r="K538" s="113"/>
      <c r="L538" s="113"/>
      <c r="M538" s="113"/>
      <c r="N538" s="113"/>
      <c r="O538" s="113"/>
      <c r="P538" s="113"/>
      <c r="Q538" s="113"/>
      <c r="R538" s="113"/>
      <c r="S538" s="113"/>
      <c r="T538" s="113"/>
      <c r="U538" s="113"/>
      <c r="V538" s="113"/>
      <c r="W538" s="113"/>
      <c r="X538" s="113"/>
      <c r="Y538" s="113"/>
    </row>
    <row r="539" spans="1:30" ht="13.5" customHeight="1">
      <c r="A539" s="111"/>
      <c r="B539" s="111"/>
      <c r="C539" s="111"/>
      <c r="D539" s="111"/>
      <c r="E539" s="111"/>
      <c r="F539" s="111"/>
      <c r="G539" s="112"/>
      <c r="H539" s="111"/>
      <c r="I539" s="112"/>
      <c r="J539" s="113"/>
      <c r="K539" s="113"/>
      <c r="L539" s="113"/>
      <c r="M539" s="113"/>
      <c r="N539" s="113"/>
      <c r="O539" s="113"/>
      <c r="P539" s="113"/>
      <c r="Q539" s="113"/>
      <c r="R539" s="113"/>
      <c r="S539" s="113"/>
      <c r="T539" s="113"/>
      <c r="U539" s="113"/>
      <c r="V539" s="113"/>
      <c r="W539" s="113"/>
      <c r="X539" s="113"/>
      <c r="Y539" s="113"/>
    </row>
    <row r="540" spans="1:30" ht="13.5" customHeight="1">
      <c r="A540" s="111"/>
      <c r="B540" s="111"/>
      <c r="C540" s="111"/>
      <c r="D540" s="111"/>
      <c r="E540" s="111"/>
      <c r="F540" s="111"/>
      <c r="G540" s="112"/>
      <c r="H540" s="111"/>
      <c r="I540" s="112"/>
      <c r="J540" s="113"/>
      <c r="K540" s="113"/>
      <c r="L540" s="113"/>
      <c r="M540" s="113"/>
      <c r="N540" s="113"/>
      <c r="O540" s="113"/>
      <c r="P540" s="113"/>
      <c r="Q540" s="113"/>
      <c r="R540" s="113"/>
      <c r="S540" s="113"/>
      <c r="T540" s="113"/>
      <c r="U540" s="113"/>
      <c r="V540" s="113"/>
      <c r="W540" s="113"/>
      <c r="X540" s="113"/>
      <c r="Y540" s="113"/>
    </row>
    <row r="541" spans="1:30" ht="13.5" customHeight="1">
      <c r="A541" s="111"/>
      <c r="B541" s="111"/>
      <c r="C541" s="111"/>
      <c r="D541" s="111"/>
      <c r="E541" s="111"/>
      <c r="F541" s="111"/>
      <c r="G541" s="112"/>
      <c r="H541" s="111"/>
      <c r="I541" s="112"/>
      <c r="J541" s="113"/>
      <c r="K541" s="113"/>
      <c r="L541" s="113"/>
      <c r="M541" s="113"/>
      <c r="N541" s="113"/>
      <c r="O541" s="113"/>
      <c r="P541" s="113"/>
      <c r="Q541" s="113"/>
      <c r="R541" s="113"/>
      <c r="S541" s="113"/>
      <c r="T541" s="113"/>
      <c r="U541" s="113"/>
      <c r="V541" s="113"/>
      <c r="W541" s="113"/>
      <c r="X541" s="113"/>
      <c r="Y541" s="113"/>
    </row>
    <row r="542" spans="1:30" ht="13.5" customHeight="1">
      <c r="A542" s="111"/>
      <c r="B542" s="111"/>
      <c r="C542" s="111"/>
      <c r="D542" s="111"/>
      <c r="E542" s="111"/>
      <c r="F542" s="111"/>
      <c r="G542" s="112"/>
      <c r="H542" s="111"/>
      <c r="I542" s="112"/>
      <c r="J542" s="113"/>
      <c r="K542" s="113"/>
      <c r="L542" s="113"/>
      <c r="M542" s="113"/>
      <c r="N542" s="113"/>
      <c r="O542" s="113"/>
      <c r="P542" s="113"/>
      <c r="Q542" s="113"/>
      <c r="R542" s="113"/>
      <c r="S542" s="113"/>
      <c r="T542" s="113"/>
      <c r="U542" s="113"/>
      <c r="V542" s="113"/>
      <c r="W542" s="113"/>
      <c r="X542" s="113"/>
      <c r="Y542" s="113"/>
    </row>
    <row r="543" spans="1:30" ht="13.5" customHeight="1">
      <c r="A543" s="111"/>
      <c r="B543" s="111"/>
      <c r="C543" s="111"/>
      <c r="D543" s="111"/>
      <c r="E543" s="111"/>
      <c r="F543" s="111"/>
      <c r="G543" s="112"/>
      <c r="H543" s="111"/>
      <c r="I543" s="112"/>
      <c r="J543" s="113"/>
      <c r="K543" s="113"/>
      <c r="L543" s="113"/>
      <c r="M543" s="113"/>
      <c r="N543" s="113"/>
      <c r="O543" s="113"/>
      <c r="P543" s="113"/>
      <c r="Q543" s="113"/>
      <c r="R543" s="113"/>
      <c r="S543" s="113"/>
      <c r="T543" s="113"/>
      <c r="U543" s="113"/>
      <c r="V543" s="113"/>
      <c r="W543" s="113"/>
      <c r="X543" s="113"/>
      <c r="Y543" s="113"/>
    </row>
    <row r="544" spans="1:30" ht="13.5" customHeight="1">
      <c r="A544" s="111"/>
      <c r="B544" s="111"/>
      <c r="C544" s="111"/>
      <c r="D544" s="111"/>
      <c r="E544" s="111"/>
      <c r="F544" s="111"/>
      <c r="G544" s="112"/>
      <c r="H544" s="111"/>
      <c r="I544" s="112"/>
      <c r="J544" s="113"/>
      <c r="K544" s="113"/>
      <c r="L544" s="113"/>
      <c r="M544" s="113"/>
      <c r="N544" s="113"/>
      <c r="O544" s="113"/>
      <c r="P544" s="113"/>
      <c r="Q544" s="113"/>
      <c r="R544" s="113"/>
      <c r="S544" s="113"/>
      <c r="T544" s="113"/>
      <c r="U544" s="113"/>
      <c r="V544" s="113"/>
      <c r="W544" s="113"/>
      <c r="X544" s="113"/>
      <c r="Y544" s="113"/>
    </row>
    <row r="545" spans="1:25" s="114" customFormat="1" ht="13.5" customHeight="1">
      <c r="A545" s="111"/>
      <c r="B545" s="111"/>
      <c r="C545" s="111"/>
      <c r="D545" s="111"/>
      <c r="E545" s="111"/>
      <c r="F545" s="111"/>
      <c r="G545" s="112"/>
      <c r="H545" s="111"/>
      <c r="I545" s="112"/>
      <c r="J545" s="113"/>
      <c r="K545" s="113"/>
      <c r="L545" s="113"/>
      <c r="M545" s="113"/>
      <c r="N545" s="113"/>
      <c r="O545" s="113"/>
      <c r="P545" s="113"/>
      <c r="Q545" s="113"/>
      <c r="R545" s="113"/>
      <c r="S545" s="113"/>
      <c r="T545" s="113"/>
      <c r="U545" s="113"/>
      <c r="V545" s="113"/>
      <c r="W545" s="113"/>
      <c r="X545" s="113"/>
      <c r="Y545" s="113"/>
    </row>
    <row r="546" spans="1:25" s="114" customFormat="1" ht="13.5" customHeight="1">
      <c r="A546" s="111"/>
      <c r="B546" s="111"/>
      <c r="C546" s="111"/>
      <c r="D546" s="111"/>
      <c r="E546" s="111"/>
      <c r="F546" s="111"/>
      <c r="G546" s="112"/>
      <c r="H546" s="111"/>
      <c r="I546" s="112"/>
      <c r="J546" s="113"/>
      <c r="K546" s="113"/>
      <c r="L546" s="113"/>
      <c r="M546" s="113"/>
      <c r="N546" s="113"/>
      <c r="O546" s="113"/>
      <c r="P546" s="113"/>
      <c r="Q546" s="113"/>
      <c r="R546" s="113"/>
      <c r="S546" s="113"/>
      <c r="T546" s="113"/>
      <c r="U546" s="113"/>
      <c r="V546" s="113"/>
      <c r="W546" s="113"/>
      <c r="X546" s="113"/>
      <c r="Y546" s="113"/>
    </row>
    <row r="547" spans="1:25" s="114" customFormat="1" ht="13.5" customHeight="1">
      <c r="A547" s="111"/>
      <c r="B547" s="111"/>
      <c r="C547" s="111"/>
      <c r="D547" s="111"/>
      <c r="E547" s="111"/>
      <c r="F547" s="111"/>
      <c r="G547" s="112"/>
      <c r="H547" s="111"/>
      <c r="I547" s="112"/>
      <c r="J547" s="113"/>
      <c r="K547" s="113"/>
      <c r="L547" s="113"/>
      <c r="M547" s="113"/>
      <c r="N547" s="113"/>
      <c r="O547" s="113"/>
      <c r="P547" s="113"/>
      <c r="Q547" s="113"/>
      <c r="R547" s="113"/>
      <c r="S547" s="113"/>
      <c r="T547" s="113"/>
      <c r="U547" s="113"/>
      <c r="V547" s="113"/>
      <c r="W547" s="113"/>
      <c r="X547" s="113"/>
      <c r="Y547" s="113"/>
    </row>
    <row r="548" spans="1:25" s="114" customFormat="1" ht="13.5" customHeight="1">
      <c r="A548" s="111"/>
      <c r="B548" s="111"/>
      <c r="C548" s="111"/>
      <c r="D548" s="111"/>
      <c r="E548" s="111"/>
      <c r="F548" s="111"/>
      <c r="G548" s="112"/>
      <c r="H548" s="111"/>
      <c r="I548" s="112"/>
      <c r="J548" s="113"/>
      <c r="K548" s="113"/>
      <c r="L548" s="113"/>
      <c r="M548" s="113"/>
      <c r="N548" s="113"/>
      <c r="O548" s="113"/>
      <c r="P548" s="113"/>
      <c r="Q548" s="113"/>
      <c r="R548" s="113"/>
      <c r="S548" s="113"/>
      <c r="T548" s="113"/>
      <c r="U548" s="113"/>
      <c r="V548" s="113"/>
      <c r="W548" s="113"/>
      <c r="X548" s="113"/>
      <c r="Y548" s="113"/>
    </row>
    <row r="549" spans="1:25" s="114" customFormat="1" ht="13.5" customHeight="1">
      <c r="A549" s="111"/>
      <c r="B549" s="111"/>
      <c r="C549" s="111"/>
      <c r="D549" s="111"/>
      <c r="E549" s="111"/>
      <c r="F549" s="111"/>
      <c r="G549" s="112"/>
      <c r="H549" s="111"/>
      <c r="I549" s="112"/>
      <c r="J549" s="113"/>
      <c r="K549" s="113"/>
      <c r="L549" s="113"/>
      <c r="M549" s="113"/>
      <c r="N549" s="113"/>
      <c r="O549" s="113"/>
      <c r="P549" s="113"/>
      <c r="Q549" s="113"/>
      <c r="R549" s="113"/>
      <c r="S549" s="113"/>
      <c r="T549" s="113"/>
      <c r="U549" s="113"/>
      <c r="V549" s="113"/>
      <c r="W549" s="113"/>
      <c r="X549" s="113"/>
      <c r="Y549" s="113"/>
    </row>
    <row r="550" spans="1:25" s="114" customFormat="1" ht="13.5" customHeight="1">
      <c r="A550" s="111"/>
      <c r="B550" s="111"/>
      <c r="C550" s="111"/>
      <c r="D550" s="111"/>
      <c r="E550" s="111"/>
      <c r="F550" s="111"/>
      <c r="G550" s="112"/>
      <c r="H550" s="111"/>
      <c r="I550" s="112"/>
      <c r="J550" s="113"/>
      <c r="K550" s="113"/>
      <c r="L550" s="113"/>
      <c r="M550" s="113"/>
      <c r="N550" s="113"/>
      <c r="O550" s="113"/>
      <c r="P550" s="113"/>
      <c r="Q550" s="113"/>
      <c r="R550" s="113"/>
      <c r="S550" s="113"/>
      <c r="T550" s="113"/>
      <c r="U550" s="113"/>
      <c r="V550" s="113"/>
      <c r="W550" s="113"/>
      <c r="X550" s="113"/>
      <c r="Y550" s="113"/>
    </row>
    <row r="551" spans="1:25" s="114" customFormat="1" ht="13.5" customHeight="1">
      <c r="A551" s="111"/>
      <c r="B551" s="111"/>
      <c r="C551" s="111"/>
      <c r="D551" s="111"/>
      <c r="E551" s="111"/>
      <c r="F551" s="111"/>
      <c r="G551" s="112"/>
      <c r="H551" s="111"/>
      <c r="I551" s="112"/>
      <c r="J551" s="113"/>
      <c r="K551" s="113"/>
      <c r="L551" s="113"/>
      <c r="M551" s="113"/>
      <c r="N551" s="113"/>
      <c r="O551" s="113"/>
      <c r="P551" s="113"/>
      <c r="Q551" s="113"/>
      <c r="R551" s="113"/>
      <c r="S551" s="113"/>
      <c r="T551" s="113"/>
      <c r="U551" s="113"/>
      <c r="V551" s="113"/>
      <c r="W551" s="113"/>
      <c r="X551" s="113"/>
      <c r="Y551" s="113"/>
    </row>
    <row r="552" spans="1:25" s="114" customFormat="1" ht="13.5" customHeight="1">
      <c r="A552" s="111"/>
      <c r="B552" s="111"/>
      <c r="C552" s="111"/>
      <c r="D552" s="111"/>
      <c r="E552" s="111"/>
      <c r="F552" s="111"/>
      <c r="G552" s="112"/>
      <c r="H552" s="111"/>
      <c r="I552" s="112"/>
      <c r="J552" s="113"/>
      <c r="K552" s="113"/>
      <c r="L552" s="113"/>
      <c r="M552" s="113"/>
      <c r="N552" s="113"/>
      <c r="O552" s="113"/>
      <c r="P552" s="113"/>
      <c r="Q552" s="113"/>
      <c r="R552" s="113"/>
      <c r="S552" s="113"/>
      <c r="T552" s="113"/>
      <c r="U552" s="113"/>
      <c r="V552" s="113"/>
      <c r="W552" s="113"/>
      <c r="X552" s="113"/>
      <c r="Y552" s="113"/>
    </row>
    <row r="553" spans="1:25" s="114" customFormat="1" ht="13.5" customHeight="1">
      <c r="A553" s="111"/>
      <c r="B553" s="111"/>
      <c r="C553" s="111"/>
      <c r="D553" s="111"/>
      <c r="E553" s="111"/>
      <c r="F553" s="111"/>
      <c r="G553" s="112"/>
      <c r="H553" s="111"/>
      <c r="I553" s="112"/>
      <c r="J553" s="113"/>
      <c r="K553" s="113"/>
      <c r="L553" s="113"/>
      <c r="M553" s="113"/>
      <c r="N553" s="113"/>
      <c r="O553" s="113"/>
      <c r="P553" s="113"/>
      <c r="Q553" s="113"/>
      <c r="R553" s="113"/>
      <c r="S553" s="113"/>
      <c r="T553" s="113"/>
      <c r="U553" s="113"/>
      <c r="V553" s="113"/>
      <c r="W553" s="113"/>
      <c r="X553" s="113"/>
      <c r="Y553" s="113"/>
    </row>
    <row r="554" spans="1:25" s="114" customFormat="1" ht="13.5" customHeight="1">
      <c r="A554" s="111"/>
      <c r="B554" s="111"/>
      <c r="C554" s="111"/>
      <c r="D554" s="111"/>
      <c r="E554" s="111"/>
      <c r="F554" s="111"/>
      <c r="G554" s="112"/>
      <c r="H554" s="111"/>
      <c r="I554" s="112"/>
      <c r="J554" s="113"/>
      <c r="K554" s="113"/>
      <c r="L554" s="113"/>
      <c r="M554" s="113"/>
      <c r="N554" s="113"/>
      <c r="O554" s="113"/>
      <c r="P554" s="113"/>
      <c r="Q554" s="113"/>
      <c r="R554" s="113"/>
      <c r="S554" s="113"/>
      <c r="T554" s="113"/>
      <c r="U554" s="113"/>
      <c r="V554" s="113"/>
      <c r="W554" s="113"/>
      <c r="X554" s="113"/>
      <c r="Y554" s="113"/>
    </row>
    <row r="555" spans="1:25" s="114" customFormat="1" ht="13.5" customHeight="1">
      <c r="A555" s="111"/>
      <c r="B555" s="111"/>
      <c r="C555" s="111"/>
      <c r="D555" s="111"/>
      <c r="E555" s="111"/>
      <c r="F555" s="111"/>
      <c r="G555" s="112"/>
      <c r="H555" s="111"/>
      <c r="I555" s="112"/>
      <c r="J555" s="113"/>
      <c r="K555" s="113"/>
      <c r="L555" s="113"/>
      <c r="M555" s="113"/>
      <c r="N555" s="113"/>
      <c r="O555" s="113"/>
      <c r="P555" s="113"/>
      <c r="Q555" s="113"/>
      <c r="R555" s="113"/>
      <c r="S555" s="113"/>
      <c r="T555" s="113"/>
      <c r="U555" s="113"/>
      <c r="V555" s="113"/>
      <c r="W555" s="113"/>
      <c r="X555" s="113"/>
      <c r="Y555" s="113"/>
    </row>
    <row r="556" spans="1:25" s="114" customFormat="1" ht="13.5" customHeight="1">
      <c r="A556" s="111"/>
      <c r="B556" s="111"/>
      <c r="C556" s="111"/>
      <c r="D556" s="111"/>
      <c r="E556" s="111"/>
      <c r="F556" s="111"/>
      <c r="G556" s="112"/>
      <c r="H556" s="111"/>
      <c r="I556" s="112"/>
      <c r="J556" s="113"/>
      <c r="K556" s="113"/>
      <c r="L556" s="113"/>
      <c r="M556" s="113"/>
      <c r="N556" s="113"/>
      <c r="O556" s="113"/>
      <c r="P556" s="113"/>
      <c r="Q556" s="113"/>
      <c r="R556" s="113"/>
      <c r="S556" s="113"/>
      <c r="T556" s="113"/>
      <c r="U556" s="113"/>
      <c r="V556" s="113"/>
      <c r="W556" s="113"/>
      <c r="X556" s="113"/>
      <c r="Y556" s="113"/>
    </row>
    <row r="557" spans="1:25" s="114" customFormat="1" ht="13.5" customHeight="1">
      <c r="A557" s="111"/>
      <c r="B557" s="111"/>
      <c r="C557" s="111"/>
      <c r="D557" s="111"/>
      <c r="E557" s="111"/>
      <c r="F557" s="111"/>
      <c r="G557" s="112"/>
      <c r="H557" s="111"/>
      <c r="I557" s="112"/>
      <c r="J557" s="113"/>
      <c r="K557" s="113"/>
      <c r="L557" s="113"/>
      <c r="M557" s="113"/>
      <c r="N557" s="113"/>
      <c r="O557" s="113"/>
      <c r="P557" s="113"/>
      <c r="Q557" s="113"/>
      <c r="R557" s="113"/>
      <c r="S557" s="113"/>
      <c r="T557" s="113"/>
      <c r="U557" s="113"/>
      <c r="V557" s="113"/>
      <c r="W557" s="113"/>
      <c r="X557" s="113"/>
      <c r="Y557" s="113"/>
    </row>
    <row r="558" spans="1:25" s="114" customFormat="1" ht="13.5" customHeight="1">
      <c r="A558" s="111"/>
      <c r="B558" s="111"/>
      <c r="C558" s="111"/>
      <c r="D558" s="111"/>
      <c r="E558" s="111"/>
      <c r="F558" s="111"/>
      <c r="G558" s="112"/>
      <c r="H558" s="111"/>
      <c r="I558" s="112"/>
      <c r="J558" s="113"/>
      <c r="K558" s="113"/>
      <c r="L558" s="113"/>
      <c r="M558" s="113"/>
      <c r="N558" s="113"/>
      <c r="O558" s="113"/>
      <c r="P558" s="113"/>
      <c r="Q558" s="113"/>
      <c r="R558" s="113"/>
      <c r="S558" s="113"/>
      <c r="T558" s="113"/>
      <c r="U558" s="113"/>
      <c r="V558" s="113"/>
      <c r="W558" s="113"/>
      <c r="X558" s="113"/>
      <c r="Y558" s="113"/>
    </row>
    <row r="559" spans="1:25" s="114" customFormat="1" ht="13.5" customHeight="1">
      <c r="A559" s="111"/>
      <c r="B559" s="111"/>
      <c r="C559" s="111"/>
      <c r="D559" s="111"/>
      <c r="E559" s="111"/>
      <c r="F559" s="111"/>
      <c r="G559" s="112"/>
      <c r="H559" s="111"/>
      <c r="I559" s="112"/>
      <c r="J559" s="113"/>
      <c r="K559" s="113"/>
      <c r="L559" s="113"/>
      <c r="M559" s="113"/>
      <c r="N559" s="113"/>
      <c r="O559" s="113"/>
      <c r="P559" s="113"/>
      <c r="Q559" s="113"/>
      <c r="R559" s="113"/>
      <c r="S559" s="113"/>
      <c r="T559" s="113"/>
      <c r="U559" s="113"/>
      <c r="V559" s="113"/>
      <c r="W559" s="113"/>
      <c r="X559" s="113"/>
      <c r="Y559" s="113"/>
    </row>
    <row r="560" spans="1:25" s="114" customFormat="1" ht="13.5" customHeight="1">
      <c r="A560" s="111"/>
      <c r="B560" s="111"/>
      <c r="C560" s="111"/>
      <c r="D560" s="111"/>
      <c r="E560" s="111"/>
      <c r="F560" s="111"/>
      <c r="G560" s="112"/>
      <c r="H560" s="111"/>
      <c r="I560" s="112"/>
      <c r="J560" s="113"/>
      <c r="K560" s="113"/>
      <c r="L560" s="113"/>
      <c r="M560" s="113"/>
      <c r="N560" s="113"/>
      <c r="O560" s="113"/>
      <c r="P560" s="113"/>
      <c r="Q560" s="113"/>
      <c r="R560" s="113"/>
      <c r="S560" s="113"/>
      <c r="T560" s="113"/>
      <c r="U560" s="113"/>
      <c r="V560" s="113"/>
      <c r="W560" s="113"/>
      <c r="X560" s="113"/>
      <c r="Y560" s="113"/>
    </row>
    <row r="561" spans="1:25" s="114" customFormat="1" ht="13.5" customHeight="1">
      <c r="A561" s="111"/>
      <c r="B561" s="111"/>
      <c r="C561" s="111"/>
      <c r="D561" s="111"/>
      <c r="E561" s="111"/>
      <c r="F561" s="111"/>
      <c r="G561" s="112"/>
      <c r="H561" s="111"/>
      <c r="I561" s="112"/>
      <c r="J561" s="113"/>
      <c r="K561" s="113"/>
      <c r="L561" s="113"/>
      <c r="M561" s="113"/>
      <c r="N561" s="113"/>
      <c r="O561" s="113"/>
      <c r="P561" s="113"/>
      <c r="Q561" s="113"/>
      <c r="R561" s="113"/>
      <c r="S561" s="113"/>
      <c r="T561" s="113"/>
      <c r="U561" s="113"/>
      <c r="V561" s="113"/>
      <c r="W561" s="113"/>
      <c r="X561" s="113"/>
      <c r="Y561" s="113"/>
    </row>
    <row r="562" spans="1:25" s="114" customFormat="1" ht="13.5" customHeight="1">
      <c r="A562" s="111"/>
      <c r="B562" s="111"/>
      <c r="C562" s="111"/>
      <c r="D562" s="111"/>
      <c r="E562" s="111"/>
      <c r="F562" s="111"/>
      <c r="G562" s="112"/>
      <c r="H562" s="111"/>
      <c r="I562" s="112"/>
      <c r="J562" s="113"/>
      <c r="K562" s="113"/>
      <c r="L562" s="113"/>
      <c r="M562" s="113"/>
      <c r="N562" s="113"/>
      <c r="O562" s="113"/>
      <c r="P562" s="113"/>
      <c r="Q562" s="113"/>
      <c r="R562" s="113"/>
      <c r="S562" s="113"/>
      <c r="T562" s="113"/>
      <c r="U562" s="113"/>
      <c r="V562" s="113"/>
      <c r="W562" s="113"/>
      <c r="X562" s="113"/>
      <c r="Y562" s="113"/>
    </row>
    <row r="563" spans="1:25" s="114" customFormat="1" ht="13.5" customHeight="1">
      <c r="A563" s="111"/>
      <c r="B563" s="111"/>
      <c r="C563" s="111"/>
      <c r="D563" s="111"/>
      <c r="E563" s="111"/>
      <c r="F563" s="111"/>
      <c r="G563" s="112"/>
      <c r="H563" s="111"/>
      <c r="I563" s="112"/>
      <c r="J563" s="113"/>
      <c r="K563" s="113"/>
      <c r="L563" s="113"/>
      <c r="M563" s="113"/>
      <c r="N563" s="113"/>
      <c r="O563" s="113"/>
      <c r="P563" s="113"/>
      <c r="Q563" s="113"/>
      <c r="R563" s="113"/>
      <c r="S563" s="113"/>
      <c r="T563" s="113"/>
      <c r="U563" s="113"/>
      <c r="V563" s="113"/>
      <c r="W563" s="113"/>
      <c r="X563" s="113"/>
      <c r="Y563" s="113"/>
    </row>
    <row r="564" spans="1:25" s="114" customFormat="1" ht="13.5" customHeight="1">
      <c r="A564" s="111"/>
      <c r="B564" s="111"/>
      <c r="C564" s="111"/>
      <c r="D564" s="111"/>
      <c r="E564" s="111"/>
      <c r="F564" s="111"/>
      <c r="G564" s="112"/>
      <c r="H564" s="111"/>
      <c r="I564" s="112"/>
      <c r="J564" s="113"/>
      <c r="K564" s="113"/>
      <c r="L564" s="113"/>
      <c r="M564" s="113"/>
      <c r="N564" s="113"/>
      <c r="O564" s="113"/>
      <c r="P564" s="113"/>
      <c r="Q564" s="113"/>
      <c r="R564" s="113"/>
      <c r="S564" s="113"/>
      <c r="T564" s="113"/>
      <c r="U564" s="113"/>
      <c r="V564" s="113"/>
      <c r="W564" s="113"/>
      <c r="X564" s="113"/>
      <c r="Y564" s="113"/>
    </row>
    <row r="565" spans="1:25" s="114" customFormat="1" ht="13.5" customHeight="1">
      <c r="A565" s="111"/>
      <c r="B565" s="111"/>
      <c r="C565" s="111"/>
      <c r="D565" s="111"/>
      <c r="E565" s="111"/>
      <c r="F565" s="111"/>
      <c r="G565" s="112"/>
      <c r="H565" s="111"/>
      <c r="I565" s="112"/>
      <c r="J565" s="113"/>
      <c r="K565" s="113"/>
      <c r="L565" s="113"/>
      <c r="M565" s="113"/>
      <c r="N565" s="113"/>
      <c r="O565" s="113"/>
      <c r="P565" s="113"/>
      <c r="Q565" s="113"/>
      <c r="R565" s="113"/>
      <c r="S565" s="113"/>
      <c r="T565" s="113"/>
      <c r="U565" s="113"/>
      <c r="V565" s="113"/>
      <c r="W565" s="113"/>
      <c r="X565" s="113"/>
      <c r="Y565" s="113"/>
    </row>
    <row r="566" spans="1:25" s="114" customFormat="1" ht="13.5" customHeight="1">
      <c r="A566" s="111"/>
      <c r="B566" s="111"/>
      <c r="C566" s="111"/>
      <c r="D566" s="111"/>
      <c r="E566" s="111"/>
      <c r="F566" s="111"/>
      <c r="G566" s="112"/>
      <c r="H566" s="111"/>
      <c r="I566" s="112"/>
      <c r="J566" s="113"/>
      <c r="K566" s="113"/>
      <c r="L566" s="113"/>
      <c r="M566" s="113"/>
      <c r="N566" s="113"/>
      <c r="O566" s="113"/>
      <c r="P566" s="113"/>
      <c r="Q566" s="113"/>
      <c r="R566" s="113"/>
      <c r="S566" s="113"/>
      <c r="T566" s="113"/>
      <c r="U566" s="113"/>
      <c r="V566" s="113"/>
      <c r="W566" s="113"/>
      <c r="X566" s="113"/>
      <c r="Y566" s="113"/>
    </row>
    <row r="567" spans="1:25" s="114" customFormat="1" ht="13.5" customHeight="1">
      <c r="A567" s="111"/>
      <c r="B567" s="111"/>
      <c r="C567" s="111"/>
      <c r="D567" s="111"/>
      <c r="E567" s="111"/>
      <c r="F567" s="111"/>
      <c r="G567" s="112"/>
      <c r="H567" s="111"/>
      <c r="I567" s="112"/>
      <c r="J567" s="113"/>
      <c r="K567" s="113"/>
      <c r="L567" s="113"/>
      <c r="M567" s="113"/>
      <c r="N567" s="113"/>
      <c r="O567" s="113"/>
      <c r="P567" s="113"/>
      <c r="Q567" s="113"/>
      <c r="R567" s="113"/>
      <c r="S567" s="113"/>
      <c r="T567" s="113"/>
      <c r="U567" s="113"/>
      <c r="V567" s="113"/>
      <c r="W567" s="113"/>
      <c r="X567" s="113"/>
      <c r="Y567" s="113"/>
    </row>
    <row r="568" spans="1:25" s="114" customFormat="1" ht="13.5" customHeight="1">
      <c r="A568" s="111"/>
      <c r="B568" s="111"/>
      <c r="C568" s="111"/>
      <c r="D568" s="111"/>
      <c r="E568" s="111"/>
      <c r="F568" s="111"/>
      <c r="G568" s="112"/>
      <c r="H568" s="111"/>
      <c r="I568" s="112"/>
      <c r="J568" s="113"/>
      <c r="K568" s="113"/>
      <c r="L568" s="113"/>
      <c r="M568" s="113"/>
      <c r="N568" s="113"/>
      <c r="O568" s="113"/>
      <c r="P568" s="113"/>
      <c r="Q568" s="113"/>
      <c r="R568" s="113"/>
      <c r="S568" s="113"/>
      <c r="T568" s="113"/>
      <c r="U568" s="113"/>
      <c r="V568" s="113"/>
      <c r="W568" s="113"/>
      <c r="X568" s="113"/>
      <c r="Y568" s="113"/>
    </row>
    <row r="569" spans="1:25" s="114" customFormat="1" ht="13.5" customHeight="1">
      <c r="A569" s="111"/>
      <c r="B569" s="111"/>
      <c r="C569" s="111"/>
      <c r="D569" s="111"/>
      <c r="E569" s="111"/>
      <c r="F569" s="111"/>
      <c r="G569" s="112"/>
      <c r="H569" s="111"/>
      <c r="I569" s="112"/>
      <c r="J569" s="113"/>
      <c r="K569" s="113"/>
      <c r="L569" s="113"/>
      <c r="M569" s="113"/>
      <c r="N569" s="113"/>
      <c r="O569" s="113"/>
      <c r="P569" s="113"/>
      <c r="Q569" s="113"/>
      <c r="R569" s="113"/>
      <c r="S569" s="113"/>
      <c r="T569" s="113"/>
      <c r="U569" s="113"/>
      <c r="V569" s="113"/>
      <c r="W569" s="113"/>
      <c r="X569" s="113"/>
      <c r="Y569" s="113"/>
    </row>
    <row r="570" spans="1:25" s="114" customFormat="1" ht="13.5" customHeight="1">
      <c r="A570" s="111"/>
      <c r="B570" s="111"/>
      <c r="C570" s="111"/>
      <c r="D570" s="111"/>
      <c r="E570" s="111"/>
      <c r="F570" s="111"/>
      <c r="G570" s="112"/>
      <c r="H570" s="111"/>
      <c r="I570" s="112"/>
      <c r="J570" s="113"/>
      <c r="K570" s="113"/>
      <c r="L570" s="113"/>
      <c r="M570" s="113"/>
      <c r="N570" s="113"/>
      <c r="O570" s="113"/>
      <c r="P570" s="113"/>
      <c r="Q570" s="113"/>
      <c r="R570" s="113"/>
      <c r="S570" s="113"/>
      <c r="T570" s="113"/>
      <c r="U570" s="113"/>
      <c r="V570" s="113"/>
      <c r="W570" s="113"/>
      <c r="X570" s="113"/>
      <c r="Y570" s="113"/>
    </row>
    <row r="571" spans="1:25" s="114" customFormat="1" ht="13.5" customHeight="1">
      <c r="A571" s="111"/>
      <c r="B571" s="111"/>
      <c r="C571" s="111"/>
      <c r="D571" s="111"/>
      <c r="E571" s="111"/>
      <c r="F571" s="111"/>
      <c r="G571" s="112"/>
      <c r="H571" s="111"/>
      <c r="I571" s="112"/>
      <c r="J571" s="113"/>
      <c r="K571" s="113"/>
      <c r="L571" s="113"/>
      <c r="M571" s="113"/>
      <c r="N571" s="113"/>
      <c r="O571" s="113"/>
      <c r="P571" s="113"/>
      <c r="Q571" s="113"/>
      <c r="R571" s="113"/>
      <c r="S571" s="113"/>
      <c r="T571" s="113"/>
      <c r="U571" s="113"/>
      <c r="V571" s="113"/>
      <c r="W571" s="113"/>
      <c r="X571" s="113"/>
      <c r="Y571" s="113"/>
    </row>
    <row r="572" spans="1:25" s="114" customFormat="1" ht="13.5" customHeight="1">
      <c r="A572" s="111"/>
      <c r="B572" s="111"/>
      <c r="C572" s="111"/>
      <c r="D572" s="111"/>
      <c r="E572" s="111"/>
      <c r="F572" s="111"/>
      <c r="G572" s="112"/>
      <c r="H572" s="111"/>
      <c r="I572" s="112"/>
      <c r="J572" s="113"/>
      <c r="K572" s="113"/>
      <c r="L572" s="113"/>
      <c r="M572" s="113"/>
      <c r="N572" s="113"/>
      <c r="O572" s="113"/>
      <c r="P572" s="113"/>
      <c r="Q572" s="113"/>
      <c r="R572" s="113"/>
      <c r="S572" s="113"/>
      <c r="T572" s="113"/>
      <c r="U572" s="113"/>
      <c r="V572" s="113"/>
      <c r="W572" s="113"/>
      <c r="X572" s="113"/>
      <c r="Y572" s="113"/>
    </row>
    <row r="573" spans="1:25" s="114" customFormat="1" ht="13.5" customHeight="1">
      <c r="A573" s="111"/>
      <c r="B573" s="111"/>
      <c r="C573" s="111"/>
      <c r="D573" s="111"/>
      <c r="E573" s="111"/>
      <c r="F573" s="111"/>
      <c r="G573" s="112"/>
      <c r="H573" s="111"/>
      <c r="I573" s="112"/>
      <c r="J573" s="113"/>
      <c r="K573" s="113"/>
      <c r="L573" s="113"/>
      <c r="M573" s="113"/>
      <c r="N573" s="113"/>
      <c r="O573" s="113"/>
      <c r="P573" s="113"/>
      <c r="Q573" s="113"/>
      <c r="R573" s="113"/>
      <c r="S573" s="113"/>
      <c r="T573" s="113"/>
      <c r="U573" s="113"/>
      <c r="V573" s="113"/>
      <c r="W573" s="113"/>
      <c r="X573" s="113"/>
      <c r="Y573" s="113"/>
    </row>
    <row r="574" spans="1:25" s="114" customFormat="1" ht="13.5" customHeight="1">
      <c r="A574" s="111"/>
      <c r="B574" s="111"/>
      <c r="C574" s="111"/>
      <c r="D574" s="111"/>
      <c r="E574" s="111"/>
      <c r="F574" s="111"/>
      <c r="G574" s="112"/>
      <c r="H574" s="111"/>
      <c r="I574" s="112"/>
      <c r="J574" s="113"/>
      <c r="K574" s="113"/>
      <c r="L574" s="113"/>
      <c r="M574" s="113"/>
      <c r="N574" s="113"/>
      <c r="O574" s="113"/>
      <c r="P574" s="113"/>
      <c r="Q574" s="113"/>
      <c r="R574" s="113"/>
      <c r="S574" s="113"/>
      <c r="T574" s="113"/>
      <c r="U574" s="113"/>
      <c r="V574" s="113"/>
      <c r="W574" s="113"/>
      <c r="X574" s="113"/>
      <c r="Y574" s="113"/>
    </row>
    <row r="575" spans="1:25" s="114" customFormat="1" ht="13.5" customHeight="1">
      <c r="A575" s="111"/>
      <c r="B575" s="111"/>
      <c r="C575" s="111"/>
      <c r="D575" s="111"/>
      <c r="E575" s="111"/>
      <c r="F575" s="111"/>
      <c r="G575" s="112"/>
      <c r="H575" s="111"/>
      <c r="I575" s="112"/>
      <c r="J575" s="113"/>
      <c r="K575" s="113"/>
      <c r="L575" s="113"/>
      <c r="M575" s="113"/>
      <c r="N575" s="113"/>
      <c r="O575" s="113"/>
      <c r="P575" s="113"/>
      <c r="Q575" s="113"/>
      <c r="R575" s="113"/>
      <c r="S575" s="113"/>
      <c r="T575" s="113"/>
      <c r="U575" s="113"/>
      <c r="V575" s="113"/>
      <c r="W575" s="113"/>
      <c r="X575" s="113"/>
      <c r="Y575" s="113"/>
    </row>
    <row r="576" spans="1:25" s="114" customFormat="1" ht="13.5" customHeight="1">
      <c r="A576" s="111"/>
      <c r="B576" s="111"/>
      <c r="C576" s="111"/>
      <c r="D576" s="111"/>
      <c r="E576" s="111"/>
      <c r="F576" s="111"/>
      <c r="G576" s="112"/>
      <c r="H576" s="111"/>
      <c r="I576" s="112"/>
      <c r="J576" s="113"/>
      <c r="K576" s="113"/>
      <c r="L576" s="113"/>
      <c r="M576" s="113"/>
      <c r="N576" s="113"/>
      <c r="O576" s="113"/>
      <c r="P576" s="113"/>
      <c r="Q576" s="113"/>
      <c r="R576" s="113"/>
      <c r="S576" s="113"/>
      <c r="T576" s="113"/>
      <c r="U576" s="113"/>
      <c r="V576" s="113"/>
      <c r="W576" s="113"/>
      <c r="X576" s="113"/>
      <c r="Y576" s="113"/>
    </row>
    <row r="577" spans="1:25" s="114" customFormat="1" ht="13.5" customHeight="1">
      <c r="A577" s="111"/>
      <c r="B577" s="111"/>
      <c r="C577" s="111"/>
      <c r="D577" s="111"/>
      <c r="E577" s="111"/>
      <c r="F577" s="111"/>
      <c r="G577" s="112"/>
      <c r="H577" s="111"/>
      <c r="I577" s="112"/>
      <c r="J577" s="113"/>
      <c r="K577" s="113"/>
      <c r="L577" s="113"/>
      <c r="M577" s="113"/>
      <c r="N577" s="113"/>
      <c r="O577" s="113"/>
      <c r="P577" s="113"/>
      <c r="Q577" s="113"/>
      <c r="R577" s="113"/>
      <c r="S577" s="113"/>
      <c r="T577" s="113"/>
      <c r="U577" s="113"/>
      <c r="V577" s="113"/>
      <c r="W577" s="113"/>
      <c r="X577" s="113"/>
      <c r="Y577" s="113"/>
    </row>
    <row r="578" spans="1:25" s="114" customFormat="1" ht="13.5" customHeight="1">
      <c r="A578" s="111"/>
      <c r="B578" s="111"/>
      <c r="C578" s="111"/>
      <c r="D578" s="111"/>
      <c r="E578" s="111"/>
      <c r="F578" s="111"/>
      <c r="G578" s="112"/>
      <c r="H578" s="111"/>
      <c r="I578" s="112"/>
      <c r="J578" s="113"/>
      <c r="K578" s="113"/>
      <c r="L578" s="113"/>
      <c r="M578" s="113"/>
      <c r="N578" s="113"/>
      <c r="O578" s="113"/>
      <c r="P578" s="113"/>
      <c r="Q578" s="113"/>
      <c r="R578" s="113"/>
      <c r="S578" s="113"/>
      <c r="T578" s="113"/>
      <c r="U578" s="113"/>
      <c r="V578" s="113"/>
      <c r="W578" s="113"/>
      <c r="X578" s="113"/>
      <c r="Y578" s="113"/>
    </row>
    <row r="579" spans="1:25" s="114" customFormat="1" ht="13.5" customHeight="1">
      <c r="A579" s="111"/>
      <c r="B579" s="111"/>
      <c r="C579" s="111"/>
      <c r="D579" s="111"/>
      <c r="E579" s="111"/>
      <c r="F579" s="111"/>
      <c r="G579" s="112"/>
      <c r="H579" s="111"/>
      <c r="I579" s="112"/>
      <c r="J579" s="113"/>
      <c r="K579" s="113"/>
      <c r="L579" s="113"/>
      <c r="M579" s="113"/>
      <c r="N579" s="113"/>
      <c r="O579" s="113"/>
      <c r="P579" s="113"/>
      <c r="Q579" s="113"/>
      <c r="R579" s="113"/>
      <c r="S579" s="113"/>
      <c r="T579" s="113"/>
      <c r="U579" s="113"/>
      <c r="V579" s="113"/>
      <c r="W579" s="113"/>
      <c r="X579" s="113"/>
      <c r="Y579" s="113"/>
    </row>
    <row r="580" spans="1:25" s="114" customFormat="1" ht="13.5" customHeight="1">
      <c r="A580" s="111"/>
      <c r="B580" s="111"/>
      <c r="C580" s="111"/>
      <c r="D580" s="111"/>
      <c r="E580" s="111"/>
      <c r="F580" s="111"/>
      <c r="G580" s="112"/>
      <c r="H580" s="111"/>
      <c r="I580" s="112"/>
      <c r="J580" s="113"/>
      <c r="K580" s="113"/>
      <c r="L580" s="113"/>
      <c r="M580" s="113"/>
      <c r="N580" s="113"/>
      <c r="O580" s="113"/>
      <c r="P580" s="113"/>
      <c r="Q580" s="113"/>
      <c r="R580" s="113"/>
      <c r="S580" s="113"/>
      <c r="T580" s="113"/>
      <c r="U580" s="113"/>
      <c r="V580" s="113"/>
      <c r="W580" s="113"/>
      <c r="X580" s="113"/>
      <c r="Y580" s="113"/>
    </row>
    <row r="581" spans="1:25" s="114" customFormat="1" ht="13.5" customHeight="1">
      <c r="A581" s="111"/>
      <c r="B581" s="111"/>
      <c r="C581" s="111"/>
      <c r="D581" s="111"/>
      <c r="E581" s="111"/>
      <c r="F581" s="111"/>
      <c r="G581" s="112"/>
      <c r="H581" s="111"/>
      <c r="I581" s="112"/>
      <c r="J581" s="113"/>
      <c r="K581" s="113"/>
      <c r="L581" s="113"/>
      <c r="M581" s="113"/>
      <c r="N581" s="113"/>
      <c r="O581" s="113"/>
      <c r="P581" s="113"/>
      <c r="Q581" s="113"/>
      <c r="R581" s="113"/>
      <c r="S581" s="113"/>
      <c r="T581" s="113"/>
      <c r="U581" s="113"/>
      <c r="V581" s="113"/>
      <c r="W581" s="113"/>
      <c r="X581" s="113"/>
      <c r="Y581" s="113"/>
    </row>
    <row r="582" spans="1:25" s="114" customFormat="1" ht="13.5" customHeight="1">
      <c r="A582" s="111"/>
      <c r="B582" s="111"/>
      <c r="C582" s="111"/>
      <c r="D582" s="111"/>
      <c r="E582" s="111"/>
      <c r="F582" s="111"/>
      <c r="G582" s="112"/>
      <c r="H582" s="111"/>
      <c r="I582" s="112"/>
      <c r="J582" s="113"/>
      <c r="K582" s="113"/>
      <c r="L582" s="113"/>
      <c r="M582" s="113"/>
      <c r="N582" s="113"/>
      <c r="O582" s="113"/>
      <c r="P582" s="113"/>
      <c r="Q582" s="113"/>
      <c r="R582" s="113"/>
      <c r="S582" s="113"/>
      <c r="T582" s="113"/>
      <c r="U582" s="113"/>
      <c r="V582" s="113"/>
      <c r="W582" s="113"/>
      <c r="X582" s="113"/>
      <c r="Y582" s="113"/>
    </row>
    <row r="583" spans="1:25" s="114" customFormat="1" ht="13.5" customHeight="1">
      <c r="A583" s="111"/>
      <c r="B583" s="111"/>
      <c r="C583" s="111"/>
      <c r="D583" s="111"/>
      <c r="E583" s="111"/>
      <c r="F583" s="111"/>
      <c r="G583" s="112"/>
      <c r="H583" s="111"/>
      <c r="I583" s="112"/>
      <c r="J583" s="113"/>
      <c r="K583" s="113"/>
      <c r="L583" s="113"/>
      <c r="M583" s="113"/>
      <c r="N583" s="113"/>
      <c r="O583" s="113"/>
      <c r="P583" s="113"/>
      <c r="Q583" s="113"/>
      <c r="R583" s="113"/>
      <c r="S583" s="113"/>
      <c r="T583" s="113"/>
      <c r="U583" s="113"/>
      <c r="V583" s="113"/>
      <c r="W583" s="113"/>
      <c r="X583" s="113"/>
      <c r="Y583" s="113"/>
    </row>
    <row r="584" spans="1:25" s="114" customFormat="1" ht="13.5" customHeight="1">
      <c r="A584" s="111"/>
      <c r="B584" s="111"/>
      <c r="C584" s="111"/>
      <c r="D584" s="111"/>
      <c r="E584" s="111"/>
      <c r="F584" s="111"/>
      <c r="G584" s="112"/>
      <c r="H584" s="111"/>
      <c r="I584" s="112"/>
      <c r="J584" s="113"/>
      <c r="K584" s="113"/>
      <c r="L584" s="113"/>
      <c r="M584" s="113"/>
      <c r="N584" s="113"/>
      <c r="O584" s="113"/>
      <c r="P584" s="113"/>
      <c r="Q584" s="113"/>
      <c r="R584" s="113"/>
      <c r="S584" s="113"/>
      <c r="T584" s="113"/>
      <c r="U584" s="113"/>
      <c r="V584" s="113"/>
      <c r="W584" s="113"/>
      <c r="X584" s="113"/>
      <c r="Y584" s="113"/>
    </row>
    <row r="585" spans="1:25" s="114" customFormat="1" ht="13.5" customHeight="1">
      <c r="A585" s="111"/>
      <c r="B585" s="111"/>
      <c r="C585" s="111"/>
      <c r="D585" s="111"/>
      <c r="E585" s="111"/>
      <c r="F585" s="111"/>
      <c r="G585" s="112"/>
      <c r="H585" s="111"/>
      <c r="I585" s="112"/>
      <c r="J585" s="113"/>
      <c r="K585" s="113"/>
      <c r="L585" s="113"/>
      <c r="M585" s="113"/>
      <c r="N585" s="113"/>
      <c r="O585" s="113"/>
      <c r="P585" s="113"/>
      <c r="Q585" s="113"/>
      <c r="R585" s="113"/>
      <c r="S585" s="113"/>
      <c r="T585" s="113"/>
      <c r="U585" s="113"/>
      <c r="V585" s="113"/>
      <c r="W585" s="113"/>
      <c r="X585" s="113"/>
      <c r="Y585" s="113"/>
    </row>
    <row r="586" spans="1:25" s="114" customFormat="1" ht="13.5" customHeight="1">
      <c r="A586" s="111"/>
      <c r="B586" s="111"/>
      <c r="C586" s="111"/>
      <c r="D586" s="111"/>
      <c r="E586" s="111"/>
      <c r="F586" s="111"/>
      <c r="G586" s="112"/>
      <c r="H586" s="111"/>
      <c r="I586" s="112"/>
      <c r="J586" s="113"/>
      <c r="K586" s="113"/>
      <c r="L586" s="113"/>
      <c r="M586" s="113"/>
      <c r="N586" s="113"/>
      <c r="O586" s="113"/>
      <c r="P586" s="113"/>
      <c r="Q586" s="113"/>
      <c r="R586" s="113"/>
      <c r="S586" s="113"/>
      <c r="T586" s="113"/>
      <c r="U586" s="113"/>
      <c r="V586" s="113"/>
      <c r="W586" s="113"/>
      <c r="X586" s="113"/>
      <c r="Y586" s="113"/>
    </row>
    <row r="587" spans="1:25" s="114" customFormat="1" ht="13.5" customHeight="1">
      <c r="A587" s="111"/>
      <c r="B587" s="111"/>
      <c r="C587" s="111"/>
      <c r="D587" s="111"/>
      <c r="E587" s="111"/>
      <c r="F587" s="111"/>
      <c r="G587" s="112"/>
      <c r="H587" s="111"/>
      <c r="I587" s="112"/>
      <c r="J587" s="113"/>
      <c r="K587" s="113"/>
      <c r="L587" s="113"/>
      <c r="M587" s="113"/>
      <c r="N587" s="113"/>
      <c r="O587" s="113"/>
      <c r="P587" s="113"/>
      <c r="Q587" s="113"/>
      <c r="R587" s="113"/>
      <c r="S587" s="113"/>
      <c r="T587" s="113"/>
      <c r="U587" s="113"/>
      <c r="V587" s="113"/>
      <c r="W587" s="113"/>
      <c r="X587" s="113"/>
      <c r="Y587" s="113"/>
    </row>
    <row r="588" spans="1:25" s="114" customFormat="1" ht="13.5" customHeight="1">
      <c r="A588" s="111"/>
      <c r="B588" s="111"/>
      <c r="C588" s="111"/>
      <c r="D588" s="111"/>
      <c r="E588" s="111"/>
      <c r="F588" s="111"/>
      <c r="G588" s="112"/>
      <c r="H588" s="111"/>
      <c r="I588" s="112"/>
      <c r="J588" s="113"/>
      <c r="K588" s="113"/>
      <c r="L588" s="113"/>
      <c r="M588" s="113"/>
      <c r="N588" s="113"/>
      <c r="O588" s="113"/>
      <c r="P588" s="113"/>
      <c r="Q588" s="113"/>
      <c r="R588" s="113"/>
      <c r="S588" s="113"/>
      <c r="T588" s="113"/>
      <c r="U588" s="113"/>
      <c r="V588" s="113"/>
      <c r="W588" s="113"/>
      <c r="X588" s="113"/>
      <c r="Y588" s="113"/>
    </row>
    <row r="589" spans="1:25" s="114" customFormat="1" ht="13.5" customHeight="1">
      <c r="A589" s="111"/>
      <c r="B589" s="111"/>
      <c r="C589" s="111"/>
      <c r="D589" s="111"/>
      <c r="E589" s="111"/>
      <c r="F589" s="111"/>
      <c r="G589" s="112"/>
      <c r="H589" s="111"/>
      <c r="I589" s="112"/>
      <c r="J589" s="113"/>
      <c r="K589" s="113"/>
      <c r="L589" s="113"/>
      <c r="M589" s="113"/>
      <c r="N589" s="113"/>
      <c r="O589" s="113"/>
      <c r="P589" s="113"/>
      <c r="Q589" s="113"/>
      <c r="R589" s="113"/>
      <c r="S589" s="113"/>
      <c r="T589" s="113"/>
      <c r="U589" s="113"/>
      <c r="V589" s="113"/>
      <c r="W589" s="113"/>
      <c r="X589" s="113"/>
      <c r="Y589" s="113"/>
    </row>
    <row r="590" spans="1:25" s="114" customFormat="1" ht="13.5" customHeight="1">
      <c r="A590" s="111"/>
      <c r="B590" s="111"/>
      <c r="C590" s="111"/>
      <c r="D590" s="111"/>
      <c r="E590" s="111"/>
      <c r="F590" s="111"/>
      <c r="G590" s="112"/>
      <c r="H590" s="111"/>
      <c r="I590" s="112"/>
      <c r="J590" s="113"/>
      <c r="K590" s="113"/>
      <c r="L590" s="113"/>
      <c r="M590" s="113"/>
      <c r="N590" s="113"/>
      <c r="O590" s="113"/>
      <c r="P590" s="113"/>
      <c r="Q590" s="113"/>
      <c r="R590" s="113"/>
      <c r="S590" s="113"/>
      <c r="T590" s="113"/>
      <c r="U590" s="113"/>
      <c r="V590" s="113"/>
      <c r="W590" s="113"/>
      <c r="X590" s="113"/>
      <c r="Y590" s="113"/>
    </row>
    <row r="591" spans="1:25" s="114" customFormat="1" ht="13.5" customHeight="1">
      <c r="A591" s="111"/>
      <c r="B591" s="111"/>
      <c r="C591" s="111"/>
      <c r="D591" s="111"/>
      <c r="E591" s="111"/>
      <c r="F591" s="111"/>
      <c r="G591" s="112"/>
      <c r="H591" s="111"/>
      <c r="I591" s="112"/>
      <c r="J591" s="113"/>
      <c r="K591" s="113"/>
      <c r="L591" s="113"/>
      <c r="M591" s="113"/>
      <c r="N591" s="113"/>
      <c r="O591" s="113"/>
      <c r="P591" s="113"/>
      <c r="Q591" s="113"/>
      <c r="R591" s="113"/>
      <c r="S591" s="113"/>
      <c r="T591" s="113"/>
      <c r="U591" s="113"/>
      <c r="V591" s="113"/>
      <c r="W591" s="113"/>
      <c r="X591" s="113"/>
      <c r="Y591" s="113"/>
    </row>
    <row r="592" spans="1:25" s="114" customFormat="1" ht="13.5" customHeight="1">
      <c r="A592" s="111"/>
      <c r="B592" s="111"/>
      <c r="C592" s="111"/>
      <c r="D592" s="111"/>
      <c r="E592" s="111"/>
      <c r="F592" s="111"/>
      <c r="G592" s="112"/>
      <c r="H592" s="111"/>
      <c r="I592" s="112"/>
      <c r="J592" s="113"/>
      <c r="K592" s="113"/>
      <c r="L592" s="113"/>
      <c r="M592" s="113"/>
      <c r="N592" s="113"/>
      <c r="O592" s="113"/>
      <c r="P592" s="113"/>
      <c r="Q592" s="113"/>
      <c r="R592" s="113"/>
      <c r="S592" s="113"/>
      <c r="T592" s="113"/>
      <c r="U592" s="113"/>
      <c r="V592" s="113"/>
      <c r="W592" s="113"/>
      <c r="X592" s="113"/>
      <c r="Y592" s="113"/>
    </row>
    <row r="593" spans="1:25" s="114" customFormat="1" ht="13.5" customHeight="1">
      <c r="A593" s="111"/>
      <c r="B593" s="111"/>
      <c r="C593" s="111"/>
      <c r="D593" s="111"/>
      <c r="E593" s="111"/>
      <c r="F593" s="111"/>
      <c r="G593" s="112"/>
      <c r="H593" s="111"/>
      <c r="I593" s="112"/>
      <c r="J593" s="113"/>
      <c r="K593" s="113"/>
      <c r="L593" s="113"/>
      <c r="M593" s="113"/>
      <c r="N593" s="113"/>
      <c r="O593" s="113"/>
      <c r="P593" s="113"/>
      <c r="Q593" s="113"/>
      <c r="R593" s="113"/>
      <c r="S593" s="113"/>
      <c r="T593" s="113"/>
      <c r="U593" s="113"/>
      <c r="V593" s="113"/>
      <c r="W593" s="113"/>
      <c r="X593" s="113"/>
      <c r="Y593" s="113"/>
    </row>
    <row r="594" spans="1:25" s="114" customFormat="1" ht="13.5" customHeight="1">
      <c r="A594" s="111"/>
      <c r="B594" s="111"/>
      <c r="C594" s="111"/>
      <c r="D594" s="111"/>
      <c r="E594" s="111"/>
      <c r="F594" s="111"/>
      <c r="G594" s="112"/>
      <c r="H594" s="111"/>
      <c r="I594" s="112"/>
      <c r="J594" s="113"/>
      <c r="K594" s="113"/>
      <c r="L594" s="113"/>
      <c r="M594" s="113"/>
      <c r="N594" s="113"/>
      <c r="O594" s="113"/>
      <c r="P594" s="113"/>
      <c r="Q594" s="113"/>
      <c r="R594" s="113"/>
      <c r="S594" s="113"/>
      <c r="T594" s="113"/>
      <c r="U594" s="113"/>
      <c r="V594" s="113"/>
      <c r="W594" s="113"/>
      <c r="X594" s="113"/>
      <c r="Y594" s="113"/>
    </row>
    <row r="595" spans="1:25" s="114" customFormat="1" ht="13.5" customHeight="1">
      <c r="A595" s="111"/>
      <c r="B595" s="111"/>
      <c r="C595" s="111"/>
      <c r="D595" s="111"/>
      <c r="E595" s="111"/>
      <c r="F595" s="111"/>
      <c r="G595" s="112"/>
      <c r="H595" s="111"/>
      <c r="I595" s="112"/>
      <c r="J595" s="113"/>
      <c r="K595" s="113"/>
      <c r="L595" s="113"/>
      <c r="M595" s="113"/>
      <c r="N595" s="113"/>
      <c r="O595" s="113"/>
      <c r="P595" s="113"/>
      <c r="Q595" s="113"/>
      <c r="R595" s="113"/>
      <c r="S595" s="113"/>
      <c r="T595" s="113"/>
      <c r="U595" s="113"/>
      <c r="V595" s="113"/>
      <c r="W595" s="113"/>
      <c r="X595" s="113"/>
      <c r="Y595" s="113"/>
    </row>
    <row r="596" spans="1:25" s="114" customFormat="1" ht="13.5" customHeight="1">
      <c r="A596" s="111"/>
      <c r="B596" s="111"/>
      <c r="C596" s="111"/>
      <c r="D596" s="111"/>
      <c r="E596" s="111"/>
      <c r="F596" s="111"/>
      <c r="G596" s="112"/>
      <c r="H596" s="111"/>
      <c r="I596" s="112"/>
      <c r="J596" s="113"/>
      <c r="K596" s="113"/>
      <c r="L596" s="113"/>
      <c r="M596" s="113"/>
      <c r="N596" s="113"/>
      <c r="O596" s="113"/>
      <c r="P596" s="113"/>
      <c r="Q596" s="113"/>
      <c r="R596" s="113"/>
      <c r="S596" s="113"/>
      <c r="T596" s="113"/>
      <c r="U596" s="113"/>
      <c r="V596" s="113"/>
      <c r="W596" s="113"/>
      <c r="X596" s="113"/>
      <c r="Y596" s="113"/>
    </row>
    <row r="597" spans="1:25" s="114" customFormat="1" ht="13.5" customHeight="1">
      <c r="A597" s="111"/>
      <c r="B597" s="111"/>
      <c r="C597" s="111"/>
      <c r="D597" s="111"/>
      <c r="E597" s="111"/>
      <c r="F597" s="111"/>
      <c r="G597" s="112"/>
      <c r="H597" s="111"/>
      <c r="I597" s="112"/>
      <c r="J597" s="113"/>
      <c r="K597" s="113"/>
      <c r="L597" s="113"/>
      <c r="M597" s="113"/>
      <c r="N597" s="113"/>
      <c r="O597" s="113"/>
      <c r="P597" s="113"/>
      <c r="Q597" s="113"/>
      <c r="R597" s="113"/>
      <c r="S597" s="113"/>
      <c r="T597" s="113"/>
      <c r="U597" s="113"/>
      <c r="V597" s="113"/>
      <c r="W597" s="113"/>
      <c r="X597" s="113"/>
      <c r="Y597" s="113"/>
    </row>
    <row r="598" spans="1:25" s="114" customFormat="1" ht="13.5" customHeight="1">
      <c r="A598" s="111"/>
      <c r="B598" s="111"/>
      <c r="C598" s="111"/>
      <c r="D598" s="111"/>
      <c r="E598" s="111"/>
      <c r="F598" s="111"/>
      <c r="G598" s="112"/>
      <c r="H598" s="111"/>
      <c r="I598" s="112"/>
      <c r="J598" s="113"/>
      <c r="K598" s="113"/>
      <c r="L598" s="113"/>
      <c r="M598" s="113"/>
      <c r="N598" s="113"/>
      <c r="O598" s="113"/>
      <c r="P598" s="113"/>
      <c r="Q598" s="113"/>
      <c r="R598" s="113"/>
      <c r="S598" s="113"/>
      <c r="T598" s="113"/>
      <c r="U598" s="113"/>
      <c r="V598" s="113"/>
      <c r="W598" s="113"/>
      <c r="X598" s="113"/>
      <c r="Y598" s="113"/>
    </row>
    <row r="599" spans="1:25" s="114" customFormat="1" ht="13.5" customHeight="1">
      <c r="A599" s="111"/>
      <c r="B599" s="111"/>
      <c r="C599" s="111"/>
      <c r="D599" s="111"/>
      <c r="E599" s="111"/>
      <c r="F599" s="111"/>
      <c r="G599" s="112"/>
      <c r="H599" s="111"/>
      <c r="I599" s="112"/>
      <c r="J599" s="113"/>
      <c r="K599" s="113"/>
      <c r="L599" s="113"/>
      <c r="M599" s="113"/>
      <c r="N599" s="113"/>
      <c r="O599" s="113"/>
      <c r="P599" s="113"/>
      <c r="Q599" s="113"/>
      <c r="R599" s="113"/>
      <c r="S599" s="113"/>
      <c r="T599" s="113"/>
      <c r="U599" s="113"/>
      <c r="V599" s="113"/>
      <c r="W599" s="113"/>
      <c r="X599" s="113"/>
      <c r="Y599" s="113"/>
    </row>
    <row r="600" spans="1:25" s="114" customFormat="1" ht="13.5" customHeight="1">
      <c r="A600" s="111"/>
      <c r="B600" s="111"/>
      <c r="C600" s="111"/>
      <c r="D600" s="111"/>
      <c r="E600" s="111"/>
      <c r="F600" s="111"/>
      <c r="G600" s="112"/>
      <c r="H600" s="111"/>
      <c r="I600" s="112"/>
      <c r="J600" s="113"/>
      <c r="K600" s="113"/>
      <c r="L600" s="113"/>
      <c r="M600" s="113"/>
      <c r="N600" s="113"/>
      <c r="O600" s="113"/>
      <c r="P600" s="113"/>
      <c r="Q600" s="113"/>
      <c r="R600" s="113"/>
      <c r="S600" s="113"/>
      <c r="T600" s="113"/>
      <c r="U600" s="113"/>
      <c r="V600" s="113"/>
      <c r="W600" s="113"/>
      <c r="X600" s="113"/>
      <c r="Y600" s="113"/>
    </row>
    <row r="601" spans="1:25" s="114" customFormat="1" ht="13.5" customHeight="1">
      <c r="A601" s="111"/>
      <c r="B601" s="111"/>
      <c r="C601" s="111"/>
      <c r="D601" s="111"/>
      <c r="E601" s="111"/>
      <c r="F601" s="111"/>
      <c r="G601" s="112"/>
      <c r="H601" s="111"/>
      <c r="I601" s="112"/>
      <c r="J601" s="113"/>
      <c r="K601" s="113"/>
      <c r="L601" s="113"/>
      <c r="M601" s="113"/>
      <c r="N601" s="113"/>
      <c r="O601" s="113"/>
      <c r="P601" s="113"/>
      <c r="Q601" s="113"/>
      <c r="R601" s="113"/>
      <c r="S601" s="113"/>
      <c r="T601" s="113"/>
      <c r="U601" s="113"/>
      <c r="V601" s="113"/>
      <c r="W601" s="113"/>
      <c r="X601" s="113"/>
      <c r="Y601" s="113"/>
    </row>
    <row r="602" spans="1:25" s="114" customFormat="1" ht="13.5" customHeight="1">
      <c r="A602" s="111"/>
      <c r="B602" s="111"/>
      <c r="C602" s="111"/>
      <c r="D602" s="111"/>
      <c r="E602" s="111"/>
      <c r="F602" s="111"/>
      <c r="G602" s="112"/>
      <c r="H602" s="111"/>
      <c r="I602" s="112"/>
      <c r="J602" s="113"/>
      <c r="K602" s="113"/>
      <c r="L602" s="113"/>
      <c r="M602" s="113"/>
      <c r="N602" s="113"/>
      <c r="O602" s="113"/>
      <c r="P602" s="113"/>
      <c r="Q602" s="113"/>
      <c r="R602" s="113"/>
      <c r="S602" s="113"/>
      <c r="T602" s="113"/>
      <c r="U602" s="113"/>
      <c r="V602" s="113"/>
      <c r="W602" s="113"/>
      <c r="X602" s="113"/>
      <c r="Y602" s="113"/>
    </row>
    <row r="603" spans="1:25" s="114" customFormat="1" ht="13.5" customHeight="1">
      <c r="A603" s="111"/>
      <c r="B603" s="111"/>
      <c r="C603" s="111"/>
      <c r="D603" s="111"/>
      <c r="E603" s="111"/>
      <c r="F603" s="111"/>
      <c r="G603" s="112"/>
      <c r="H603" s="111"/>
      <c r="I603" s="112"/>
      <c r="J603" s="113"/>
      <c r="K603" s="113"/>
      <c r="L603" s="113"/>
      <c r="M603" s="113"/>
      <c r="N603" s="113"/>
      <c r="O603" s="113"/>
      <c r="P603" s="113"/>
      <c r="Q603" s="113"/>
      <c r="R603" s="113"/>
      <c r="S603" s="113"/>
      <c r="T603" s="113"/>
      <c r="U603" s="113"/>
      <c r="V603" s="113"/>
      <c r="W603" s="113"/>
      <c r="X603" s="113"/>
      <c r="Y603" s="113"/>
    </row>
    <row r="604" spans="1:25" s="114" customFormat="1" ht="13.5" customHeight="1">
      <c r="A604" s="111"/>
      <c r="B604" s="111"/>
      <c r="C604" s="111"/>
      <c r="D604" s="111"/>
      <c r="E604" s="111"/>
      <c r="F604" s="111"/>
      <c r="G604" s="112"/>
      <c r="H604" s="111"/>
      <c r="I604" s="112"/>
      <c r="J604" s="113"/>
      <c r="K604" s="113"/>
      <c r="L604" s="113"/>
      <c r="M604" s="113"/>
      <c r="N604" s="113"/>
      <c r="O604" s="113"/>
      <c r="P604" s="113"/>
      <c r="Q604" s="113"/>
      <c r="R604" s="113"/>
      <c r="S604" s="113"/>
      <c r="T604" s="113"/>
      <c r="U604" s="113"/>
      <c r="V604" s="113"/>
      <c r="W604" s="113"/>
      <c r="X604" s="113"/>
      <c r="Y604" s="113"/>
    </row>
    <row r="605" spans="1:25" s="114" customFormat="1" ht="13.5" customHeight="1">
      <c r="A605" s="111"/>
      <c r="B605" s="111"/>
      <c r="C605" s="111"/>
      <c r="D605" s="111"/>
      <c r="E605" s="111"/>
      <c r="F605" s="111"/>
      <c r="G605" s="112"/>
      <c r="H605" s="111"/>
      <c r="I605" s="112"/>
      <c r="J605" s="113"/>
      <c r="K605" s="113"/>
      <c r="L605" s="113"/>
      <c r="M605" s="113"/>
      <c r="N605" s="113"/>
      <c r="O605" s="113"/>
      <c r="P605" s="113"/>
      <c r="Q605" s="113"/>
      <c r="R605" s="113"/>
      <c r="S605" s="113"/>
      <c r="T605" s="113"/>
      <c r="U605" s="113"/>
      <c r="V605" s="113"/>
      <c r="W605" s="113"/>
      <c r="X605" s="113"/>
      <c r="Y605" s="113"/>
    </row>
    <row r="606" spans="1:25" s="114" customFormat="1" ht="13.5" customHeight="1">
      <c r="A606" s="111"/>
      <c r="B606" s="111"/>
      <c r="C606" s="111"/>
      <c r="D606" s="111"/>
      <c r="E606" s="111"/>
      <c r="F606" s="111"/>
      <c r="G606" s="112"/>
      <c r="H606" s="111"/>
      <c r="I606" s="112"/>
      <c r="J606" s="113"/>
      <c r="K606" s="113"/>
      <c r="L606" s="113"/>
      <c r="M606" s="113"/>
      <c r="N606" s="113"/>
      <c r="O606" s="113"/>
      <c r="P606" s="113"/>
      <c r="Q606" s="113"/>
      <c r="R606" s="113"/>
      <c r="S606" s="113"/>
      <c r="T606" s="113"/>
      <c r="U606" s="113"/>
      <c r="V606" s="113"/>
      <c r="W606" s="113"/>
      <c r="X606" s="113"/>
      <c r="Y606" s="113"/>
    </row>
    <row r="607" spans="1:25" s="114" customFormat="1" ht="13.5" customHeight="1">
      <c r="A607" s="111"/>
      <c r="B607" s="111"/>
      <c r="C607" s="111"/>
      <c r="D607" s="111"/>
      <c r="E607" s="111"/>
      <c r="F607" s="111"/>
      <c r="G607" s="112"/>
      <c r="H607" s="111"/>
      <c r="I607" s="112"/>
      <c r="J607" s="113"/>
      <c r="K607" s="113"/>
      <c r="L607" s="113"/>
      <c r="M607" s="113"/>
      <c r="N607" s="113"/>
      <c r="O607" s="113"/>
      <c r="P607" s="113"/>
      <c r="Q607" s="113"/>
      <c r="R607" s="113"/>
      <c r="S607" s="113"/>
      <c r="T607" s="113"/>
      <c r="U607" s="113"/>
      <c r="V607" s="113"/>
      <c r="W607" s="113"/>
      <c r="X607" s="113"/>
      <c r="Y607" s="113"/>
    </row>
    <row r="608" spans="1:25" s="114" customFormat="1" ht="13.5" customHeight="1">
      <c r="A608" s="111"/>
      <c r="B608" s="111"/>
      <c r="C608" s="111"/>
      <c r="D608" s="111"/>
      <c r="E608" s="111"/>
      <c r="F608" s="111"/>
      <c r="G608" s="112"/>
      <c r="H608" s="111"/>
      <c r="I608" s="112"/>
      <c r="J608" s="113"/>
      <c r="K608" s="113"/>
      <c r="L608" s="113"/>
      <c r="M608" s="113"/>
      <c r="N608" s="113"/>
      <c r="O608" s="113"/>
      <c r="P608" s="113"/>
      <c r="Q608" s="113"/>
      <c r="R608" s="113"/>
      <c r="S608" s="113"/>
      <c r="T608" s="113"/>
      <c r="U608" s="113"/>
      <c r="V608" s="113"/>
      <c r="W608" s="113"/>
      <c r="X608" s="113"/>
      <c r="Y608" s="113"/>
    </row>
    <row r="609" spans="1:25" s="114" customFormat="1" ht="13.5" customHeight="1">
      <c r="A609" s="111"/>
      <c r="B609" s="111"/>
      <c r="C609" s="111"/>
      <c r="D609" s="111"/>
      <c r="E609" s="111"/>
      <c r="F609" s="111"/>
      <c r="G609" s="112"/>
      <c r="H609" s="111"/>
      <c r="I609" s="112"/>
      <c r="J609" s="113"/>
      <c r="K609" s="113"/>
      <c r="L609" s="113"/>
      <c r="M609" s="113"/>
      <c r="N609" s="113"/>
      <c r="O609" s="113"/>
      <c r="P609" s="113"/>
      <c r="Q609" s="113"/>
      <c r="R609" s="113"/>
      <c r="S609" s="113"/>
      <c r="T609" s="113"/>
      <c r="U609" s="113"/>
      <c r="V609" s="113"/>
      <c r="W609" s="113"/>
      <c r="X609" s="113"/>
      <c r="Y609" s="113"/>
    </row>
    <row r="610" spans="1:25" s="114" customFormat="1" ht="13.5" customHeight="1">
      <c r="A610" s="111"/>
      <c r="B610" s="111"/>
      <c r="C610" s="111"/>
      <c r="D610" s="111"/>
      <c r="E610" s="111"/>
      <c r="F610" s="111"/>
      <c r="G610" s="112"/>
      <c r="H610" s="111"/>
      <c r="I610" s="112"/>
      <c r="J610" s="113"/>
      <c r="K610" s="113"/>
      <c r="L610" s="113"/>
      <c r="M610" s="113"/>
      <c r="N610" s="113"/>
      <c r="O610" s="113"/>
      <c r="P610" s="113"/>
      <c r="Q610" s="113"/>
      <c r="R610" s="113"/>
      <c r="S610" s="113"/>
      <c r="T610" s="113"/>
      <c r="U610" s="113"/>
      <c r="V610" s="113"/>
      <c r="W610" s="113"/>
      <c r="X610" s="113"/>
      <c r="Y610" s="113"/>
    </row>
    <row r="611" spans="1:25" s="114" customFormat="1" ht="13.5" customHeight="1">
      <c r="A611" s="111"/>
      <c r="B611" s="111"/>
      <c r="C611" s="111"/>
      <c r="D611" s="111"/>
      <c r="E611" s="111"/>
      <c r="F611" s="111"/>
      <c r="G611" s="112"/>
      <c r="H611" s="111"/>
      <c r="I611" s="112"/>
      <c r="J611" s="113"/>
      <c r="K611" s="113"/>
      <c r="L611" s="113"/>
      <c r="M611" s="113"/>
      <c r="N611" s="113"/>
      <c r="O611" s="113"/>
      <c r="P611" s="113"/>
      <c r="Q611" s="113"/>
      <c r="R611" s="113"/>
      <c r="S611" s="113"/>
      <c r="T611" s="113"/>
      <c r="U611" s="113"/>
      <c r="V611" s="113"/>
      <c r="W611" s="113"/>
      <c r="X611" s="113"/>
      <c r="Y611" s="113"/>
    </row>
    <row r="612" spans="1:25" s="114" customFormat="1" ht="13.5" customHeight="1">
      <c r="A612" s="111"/>
      <c r="B612" s="111"/>
      <c r="C612" s="111"/>
      <c r="D612" s="111"/>
      <c r="E612" s="111"/>
      <c r="F612" s="111"/>
      <c r="G612" s="112"/>
      <c r="H612" s="111"/>
      <c r="I612" s="112"/>
      <c r="J612" s="113"/>
      <c r="K612" s="113"/>
      <c r="L612" s="113"/>
      <c r="M612" s="113"/>
      <c r="N612" s="113"/>
      <c r="O612" s="113"/>
      <c r="P612" s="113"/>
      <c r="Q612" s="113"/>
      <c r="R612" s="113"/>
      <c r="S612" s="113"/>
      <c r="T612" s="113"/>
      <c r="U612" s="113"/>
      <c r="V612" s="113"/>
      <c r="W612" s="113"/>
      <c r="X612" s="113"/>
      <c r="Y612" s="113"/>
    </row>
    <row r="613" spans="1:25" s="114" customFormat="1" ht="13.5" customHeight="1">
      <c r="A613" s="111"/>
      <c r="B613" s="111"/>
      <c r="C613" s="111"/>
      <c r="D613" s="111"/>
      <c r="E613" s="111"/>
      <c r="F613" s="111"/>
      <c r="G613" s="112"/>
      <c r="H613" s="111"/>
      <c r="I613" s="112"/>
      <c r="J613" s="113"/>
      <c r="K613" s="113"/>
      <c r="L613" s="113"/>
      <c r="M613" s="113"/>
      <c r="N613" s="113"/>
      <c r="O613" s="113"/>
      <c r="P613" s="113"/>
      <c r="Q613" s="113"/>
      <c r="R613" s="113"/>
      <c r="S613" s="113"/>
      <c r="T613" s="113"/>
      <c r="U613" s="113"/>
      <c r="V613" s="113"/>
      <c r="W613" s="113"/>
      <c r="X613" s="113"/>
      <c r="Y613" s="113"/>
    </row>
    <row r="614" spans="1:25" s="114" customFormat="1" ht="13.5" customHeight="1">
      <c r="A614" s="111"/>
      <c r="B614" s="111"/>
      <c r="C614" s="111"/>
      <c r="D614" s="111"/>
      <c r="E614" s="111"/>
      <c r="F614" s="111"/>
      <c r="G614" s="112"/>
      <c r="H614" s="111"/>
      <c r="I614" s="112"/>
      <c r="J614" s="113"/>
      <c r="K614" s="113"/>
      <c r="L614" s="113"/>
      <c r="M614" s="113"/>
      <c r="N614" s="113"/>
      <c r="O614" s="113"/>
      <c r="P614" s="113"/>
      <c r="Q614" s="113"/>
      <c r="R614" s="113"/>
      <c r="S614" s="113"/>
      <c r="T614" s="113"/>
      <c r="U614" s="113"/>
      <c r="V614" s="113"/>
      <c r="W614" s="113"/>
      <c r="X614" s="113"/>
      <c r="Y614" s="113"/>
    </row>
    <row r="615" spans="1:25" s="114" customFormat="1" ht="13.5" customHeight="1">
      <c r="A615" s="111"/>
      <c r="B615" s="111"/>
      <c r="C615" s="111"/>
      <c r="D615" s="111"/>
      <c r="E615" s="111"/>
      <c r="F615" s="111"/>
      <c r="G615" s="112"/>
      <c r="H615" s="111"/>
      <c r="I615" s="112"/>
      <c r="J615" s="113"/>
      <c r="K615" s="113"/>
      <c r="L615" s="113"/>
      <c r="M615" s="113"/>
      <c r="N615" s="113"/>
      <c r="O615" s="113"/>
      <c r="P615" s="113"/>
      <c r="Q615" s="113"/>
      <c r="R615" s="113"/>
      <c r="S615" s="113"/>
      <c r="T615" s="113"/>
      <c r="U615" s="113"/>
      <c r="V615" s="113"/>
      <c r="W615" s="113"/>
      <c r="X615" s="113"/>
      <c r="Y615" s="113"/>
    </row>
    <row r="616" spans="1:25" s="114" customFormat="1" ht="13.5" customHeight="1">
      <c r="A616" s="111"/>
      <c r="B616" s="111"/>
      <c r="C616" s="111"/>
      <c r="D616" s="111"/>
      <c r="E616" s="111"/>
      <c r="F616" s="111"/>
      <c r="G616" s="112"/>
      <c r="H616" s="111"/>
      <c r="I616" s="112"/>
      <c r="J616" s="113"/>
      <c r="K616" s="113"/>
      <c r="L616" s="113"/>
      <c r="M616" s="113"/>
      <c r="N616" s="113"/>
      <c r="O616" s="113"/>
      <c r="P616" s="113"/>
      <c r="Q616" s="113"/>
      <c r="R616" s="113"/>
      <c r="S616" s="113"/>
      <c r="T616" s="113"/>
      <c r="U616" s="113"/>
      <c r="V616" s="113"/>
      <c r="W616" s="113"/>
      <c r="X616" s="113"/>
      <c r="Y616" s="113"/>
    </row>
    <row r="617" spans="1:25" s="114" customFormat="1" ht="13.5" customHeight="1">
      <c r="A617" s="111"/>
      <c r="B617" s="111"/>
      <c r="C617" s="111"/>
      <c r="D617" s="111"/>
      <c r="E617" s="111"/>
      <c r="F617" s="111"/>
      <c r="G617" s="112"/>
      <c r="H617" s="111"/>
      <c r="I617" s="112"/>
      <c r="J617" s="113"/>
      <c r="K617" s="113"/>
      <c r="L617" s="113"/>
      <c r="M617" s="113"/>
      <c r="N617" s="113"/>
      <c r="O617" s="113"/>
      <c r="P617" s="113"/>
      <c r="Q617" s="113"/>
      <c r="R617" s="113"/>
      <c r="S617" s="113"/>
      <c r="T617" s="113"/>
      <c r="U617" s="113"/>
      <c r="V617" s="113"/>
      <c r="W617" s="113"/>
      <c r="X617" s="113"/>
      <c r="Y617" s="113"/>
    </row>
    <row r="618" spans="1:25" s="114" customFormat="1" ht="13.5" customHeight="1">
      <c r="A618" s="111"/>
      <c r="B618" s="111"/>
      <c r="C618" s="111"/>
      <c r="D618" s="111"/>
      <c r="E618" s="111"/>
      <c r="F618" s="111"/>
      <c r="G618" s="112"/>
      <c r="H618" s="111"/>
      <c r="I618" s="112"/>
      <c r="J618" s="113"/>
      <c r="K618" s="113"/>
      <c r="L618" s="113"/>
      <c r="M618" s="113"/>
      <c r="N618" s="113"/>
      <c r="O618" s="113"/>
      <c r="P618" s="113"/>
      <c r="Q618" s="113"/>
      <c r="R618" s="113"/>
      <c r="S618" s="113"/>
      <c r="T618" s="113"/>
      <c r="U618" s="113"/>
      <c r="V618" s="113"/>
      <c r="W618" s="113"/>
      <c r="X618" s="113"/>
      <c r="Y618" s="113"/>
    </row>
    <row r="619" spans="1:25" s="114" customFormat="1" ht="13.5" customHeight="1">
      <c r="A619" s="111"/>
      <c r="B619" s="111"/>
      <c r="C619" s="111"/>
      <c r="D619" s="111"/>
      <c r="E619" s="111"/>
      <c r="F619" s="111"/>
      <c r="G619" s="112"/>
      <c r="H619" s="111"/>
      <c r="I619" s="112"/>
      <c r="J619" s="113"/>
      <c r="K619" s="113"/>
      <c r="L619" s="113"/>
      <c r="M619" s="113"/>
      <c r="N619" s="113"/>
      <c r="O619" s="113"/>
      <c r="P619" s="113"/>
      <c r="Q619" s="113"/>
      <c r="R619" s="113"/>
      <c r="S619" s="113"/>
      <c r="T619" s="113"/>
      <c r="U619" s="113"/>
      <c r="V619" s="113"/>
      <c r="W619" s="113"/>
      <c r="X619" s="113"/>
      <c r="Y619" s="113"/>
    </row>
    <row r="620" spans="1:25" s="114" customFormat="1" ht="13.5" customHeight="1">
      <c r="A620" s="111"/>
      <c r="B620" s="111"/>
      <c r="C620" s="111"/>
      <c r="D620" s="111"/>
      <c r="E620" s="111"/>
      <c r="F620" s="111"/>
      <c r="G620" s="112"/>
      <c r="H620" s="111"/>
      <c r="I620" s="112"/>
      <c r="J620" s="113"/>
      <c r="K620" s="113"/>
      <c r="L620" s="113"/>
      <c r="M620" s="113"/>
      <c r="N620" s="113"/>
      <c r="O620" s="113"/>
      <c r="P620" s="113"/>
      <c r="Q620" s="113"/>
      <c r="R620" s="113"/>
      <c r="S620" s="113"/>
      <c r="T620" s="113"/>
      <c r="U620" s="113"/>
      <c r="V620" s="113"/>
      <c r="W620" s="113"/>
      <c r="X620" s="113"/>
      <c r="Y620" s="113"/>
    </row>
    <row r="621" spans="1:25" s="114" customFormat="1" ht="13.5" customHeight="1">
      <c r="A621" s="111"/>
      <c r="B621" s="111"/>
      <c r="C621" s="111"/>
      <c r="D621" s="111"/>
      <c r="E621" s="111"/>
      <c r="F621" s="111"/>
      <c r="G621" s="112"/>
      <c r="H621" s="111"/>
      <c r="I621" s="112"/>
      <c r="J621" s="113"/>
      <c r="K621" s="113"/>
      <c r="L621" s="113"/>
      <c r="M621" s="113"/>
      <c r="N621" s="113"/>
      <c r="O621" s="113"/>
      <c r="P621" s="113"/>
      <c r="Q621" s="113"/>
      <c r="R621" s="113"/>
      <c r="S621" s="113"/>
      <c r="T621" s="113"/>
      <c r="U621" s="113"/>
      <c r="V621" s="113"/>
      <c r="W621" s="113"/>
      <c r="X621" s="113"/>
      <c r="Y621" s="113"/>
    </row>
    <row r="622" spans="1:25" s="114" customFormat="1" ht="13.5" customHeight="1">
      <c r="A622" s="111"/>
      <c r="B622" s="111"/>
      <c r="C622" s="111"/>
      <c r="D622" s="111"/>
      <c r="E622" s="111"/>
      <c r="F622" s="111"/>
      <c r="G622" s="112"/>
      <c r="H622" s="111"/>
      <c r="I622" s="112"/>
      <c r="J622" s="113"/>
      <c r="K622" s="113"/>
      <c r="L622" s="113"/>
      <c r="M622" s="113"/>
      <c r="N622" s="113"/>
      <c r="O622" s="113"/>
      <c r="P622" s="113"/>
      <c r="Q622" s="113"/>
      <c r="R622" s="113"/>
      <c r="S622" s="113"/>
      <c r="T622" s="113"/>
      <c r="U622" s="113"/>
      <c r="V622" s="113"/>
      <c r="W622" s="113"/>
      <c r="X622" s="113"/>
      <c r="Y622" s="113"/>
    </row>
    <row r="623" spans="1:25" s="114" customFormat="1" ht="13.5" customHeight="1">
      <c r="A623" s="111"/>
      <c r="B623" s="111"/>
      <c r="C623" s="111"/>
      <c r="D623" s="111"/>
      <c r="E623" s="111"/>
      <c r="F623" s="111"/>
      <c r="G623" s="112"/>
      <c r="H623" s="111"/>
      <c r="I623" s="112"/>
      <c r="J623" s="113"/>
      <c r="K623" s="113"/>
      <c r="L623" s="113"/>
      <c r="M623" s="113"/>
      <c r="N623" s="113"/>
      <c r="O623" s="113"/>
      <c r="P623" s="113"/>
      <c r="Q623" s="113"/>
      <c r="R623" s="113"/>
      <c r="S623" s="113"/>
      <c r="T623" s="113"/>
      <c r="U623" s="113"/>
      <c r="V623" s="113"/>
      <c r="W623" s="113"/>
      <c r="X623" s="113"/>
      <c r="Y623" s="113"/>
    </row>
    <row r="624" spans="1:25" s="114" customFormat="1" ht="13.5" customHeight="1">
      <c r="A624" s="111"/>
      <c r="B624" s="111"/>
      <c r="C624" s="111"/>
      <c r="D624" s="111"/>
      <c r="E624" s="111"/>
      <c r="F624" s="111"/>
      <c r="G624" s="112"/>
      <c r="H624" s="111"/>
      <c r="I624" s="112"/>
      <c r="J624" s="113"/>
      <c r="K624" s="113"/>
      <c r="L624" s="113"/>
      <c r="M624" s="113"/>
      <c r="N624" s="113"/>
      <c r="O624" s="113"/>
      <c r="P624" s="113"/>
      <c r="Q624" s="113"/>
      <c r="R624" s="113"/>
      <c r="S624" s="113"/>
      <c r="T624" s="113"/>
      <c r="U624" s="113"/>
      <c r="V624" s="113"/>
      <c r="W624" s="113"/>
      <c r="X624" s="113"/>
      <c r="Y624" s="113"/>
    </row>
    <row r="625" spans="1:25" s="114" customFormat="1" ht="13.5" customHeight="1">
      <c r="A625" s="111"/>
      <c r="B625" s="111"/>
      <c r="C625" s="111"/>
      <c r="D625" s="111"/>
      <c r="E625" s="111"/>
      <c r="F625" s="111"/>
      <c r="G625" s="112"/>
      <c r="H625" s="111"/>
      <c r="I625" s="112"/>
      <c r="J625" s="113"/>
      <c r="K625" s="113"/>
      <c r="L625" s="113"/>
      <c r="M625" s="113"/>
      <c r="N625" s="113"/>
      <c r="O625" s="113"/>
      <c r="P625" s="113"/>
      <c r="Q625" s="113"/>
      <c r="R625" s="113"/>
      <c r="S625" s="113"/>
      <c r="T625" s="113"/>
      <c r="U625" s="113"/>
      <c r="V625" s="113"/>
      <c r="W625" s="113"/>
      <c r="X625" s="113"/>
      <c r="Y625" s="113"/>
    </row>
    <row r="626" spans="1:25" s="114" customFormat="1" ht="13.5" customHeight="1">
      <c r="A626" s="111"/>
      <c r="B626" s="111"/>
      <c r="C626" s="111"/>
      <c r="D626" s="111"/>
      <c r="E626" s="111"/>
      <c r="F626" s="111"/>
      <c r="G626" s="112"/>
      <c r="H626" s="111"/>
      <c r="I626" s="112"/>
      <c r="J626" s="113"/>
      <c r="K626" s="113"/>
      <c r="L626" s="113"/>
      <c r="M626" s="113"/>
      <c r="N626" s="113"/>
      <c r="O626" s="113"/>
      <c r="P626" s="113"/>
      <c r="Q626" s="113"/>
      <c r="R626" s="113"/>
      <c r="S626" s="113"/>
      <c r="T626" s="113"/>
      <c r="U626" s="113"/>
      <c r="V626" s="113"/>
      <c r="W626" s="113"/>
      <c r="X626" s="113"/>
      <c r="Y626" s="113"/>
    </row>
    <row r="627" spans="1:25" s="114" customFormat="1" ht="13.5" customHeight="1">
      <c r="A627" s="111"/>
      <c r="B627" s="111"/>
      <c r="C627" s="111"/>
      <c r="D627" s="111"/>
      <c r="E627" s="111"/>
      <c r="F627" s="111"/>
      <c r="G627" s="112"/>
      <c r="H627" s="111"/>
      <c r="I627" s="112"/>
      <c r="J627" s="113"/>
      <c r="K627" s="113"/>
      <c r="L627" s="113"/>
      <c r="M627" s="113"/>
      <c r="N627" s="113"/>
      <c r="O627" s="113"/>
      <c r="P627" s="113"/>
      <c r="Q627" s="113"/>
      <c r="R627" s="113"/>
      <c r="S627" s="113"/>
      <c r="T627" s="113"/>
      <c r="U627" s="113"/>
      <c r="V627" s="113"/>
      <c r="W627" s="113"/>
      <c r="X627" s="113"/>
      <c r="Y627" s="113"/>
    </row>
    <row r="628" spans="1:25" s="114" customFormat="1" ht="13.5" customHeight="1">
      <c r="A628" s="111"/>
      <c r="B628" s="111"/>
      <c r="C628" s="111"/>
      <c r="D628" s="111"/>
      <c r="E628" s="111"/>
      <c r="F628" s="111"/>
      <c r="G628" s="112"/>
      <c r="H628" s="111"/>
      <c r="I628" s="112"/>
      <c r="J628" s="113"/>
      <c r="K628" s="113"/>
      <c r="L628" s="113"/>
      <c r="M628" s="113"/>
      <c r="N628" s="113"/>
      <c r="O628" s="113"/>
      <c r="P628" s="113"/>
      <c r="Q628" s="113"/>
      <c r="R628" s="113"/>
      <c r="S628" s="113"/>
      <c r="T628" s="113"/>
      <c r="U628" s="113"/>
      <c r="V628" s="113"/>
      <c r="W628" s="113"/>
      <c r="X628" s="113"/>
      <c r="Y628" s="113"/>
    </row>
    <row r="629" spans="1:25" s="114" customFormat="1" ht="13.5" customHeight="1">
      <c r="A629" s="111"/>
      <c r="B629" s="111"/>
      <c r="C629" s="111"/>
      <c r="D629" s="111"/>
      <c r="E629" s="111"/>
      <c r="F629" s="111"/>
      <c r="G629" s="112"/>
      <c r="H629" s="111"/>
      <c r="I629" s="112"/>
      <c r="J629" s="113"/>
      <c r="K629" s="113"/>
      <c r="L629" s="113"/>
      <c r="M629" s="113"/>
      <c r="N629" s="113"/>
      <c r="O629" s="113"/>
      <c r="P629" s="113"/>
      <c r="Q629" s="113"/>
      <c r="R629" s="113"/>
      <c r="S629" s="113"/>
      <c r="T629" s="113"/>
      <c r="U629" s="113"/>
      <c r="V629" s="113"/>
      <c r="W629" s="113"/>
      <c r="X629" s="113"/>
      <c r="Y629" s="113"/>
    </row>
    <row r="630" spans="1:25" s="114" customFormat="1" ht="13.5" customHeight="1">
      <c r="A630" s="111"/>
      <c r="B630" s="111"/>
      <c r="C630" s="111"/>
      <c r="D630" s="111"/>
      <c r="E630" s="111"/>
      <c r="F630" s="111"/>
      <c r="G630" s="112"/>
      <c r="H630" s="111"/>
      <c r="I630" s="112"/>
      <c r="J630" s="113"/>
      <c r="K630" s="113"/>
      <c r="L630" s="113"/>
      <c r="M630" s="113"/>
      <c r="N630" s="113"/>
      <c r="O630" s="113"/>
      <c r="P630" s="113"/>
      <c r="Q630" s="113"/>
      <c r="R630" s="113"/>
      <c r="S630" s="113"/>
      <c r="T630" s="113"/>
      <c r="U630" s="113"/>
      <c r="V630" s="113"/>
      <c r="W630" s="113"/>
      <c r="X630" s="113"/>
      <c r="Y630" s="113"/>
    </row>
    <row r="631" spans="1:25" s="114" customFormat="1" ht="13.5" customHeight="1">
      <c r="A631" s="111"/>
      <c r="B631" s="111"/>
      <c r="C631" s="111"/>
      <c r="D631" s="111"/>
      <c r="E631" s="111"/>
      <c r="F631" s="111"/>
      <c r="G631" s="112"/>
      <c r="H631" s="111"/>
      <c r="I631" s="112"/>
      <c r="J631" s="113"/>
      <c r="K631" s="113"/>
      <c r="L631" s="113"/>
      <c r="M631" s="113"/>
      <c r="N631" s="113"/>
      <c r="O631" s="113"/>
      <c r="P631" s="113"/>
      <c r="Q631" s="113"/>
      <c r="R631" s="113"/>
      <c r="S631" s="113"/>
      <c r="T631" s="113"/>
      <c r="U631" s="113"/>
      <c r="V631" s="113"/>
      <c r="W631" s="113"/>
      <c r="X631" s="113"/>
      <c r="Y631" s="113"/>
    </row>
    <row r="632" spans="1:25" s="114" customFormat="1" ht="13.5" customHeight="1">
      <c r="A632" s="111"/>
      <c r="B632" s="111"/>
      <c r="C632" s="111"/>
      <c r="D632" s="111"/>
      <c r="E632" s="111"/>
      <c r="F632" s="111"/>
      <c r="G632" s="112"/>
      <c r="H632" s="111"/>
      <c r="I632" s="112"/>
      <c r="J632" s="113"/>
      <c r="K632" s="113"/>
      <c r="L632" s="113"/>
      <c r="M632" s="113"/>
      <c r="N632" s="113"/>
      <c r="O632" s="113"/>
      <c r="P632" s="113"/>
      <c r="Q632" s="113"/>
      <c r="R632" s="113"/>
      <c r="S632" s="113"/>
      <c r="T632" s="113"/>
      <c r="U632" s="113"/>
      <c r="V632" s="113"/>
      <c r="W632" s="113"/>
      <c r="X632" s="113"/>
      <c r="Y632" s="113"/>
    </row>
    <row r="633" spans="1:25" s="114" customFormat="1" ht="13.5" customHeight="1">
      <c r="A633" s="111"/>
      <c r="B633" s="111"/>
      <c r="C633" s="111"/>
      <c r="D633" s="111"/>
      <c r="E633" s="111"/>
      <c r="F633" s="111"/>
      <c r="G633" s="112"/>
      <c r="H633" s="111"/>
      <c r="I633" s="112"/>
      <c r="J633" s="113"/>
      <c r="K633" s="113"/>
      <c r="L633" s="113"/>
      <c r="M633" s="113"/>
      <c r="N633" s="113"/>
      <c r="O633" s="113"/>
      <c r="P633" s="113"/>
      <c r="Q633" s="113"/>
      <c r="R633" s="113"/>
      <c r="S633" s="113"/>
      <c r="T633" s="113"/>
      <c r="U633" s="113"/>
      <c r="V633" s="113"/>
      <c r="W633" s="113"/>
      <c r="X633" s="113"/>
      <c r="Y633" s="113"/>
    </row>
    <row r="634" spans="1:25" s="114" customFormat="1" ht="13.5" customHeight="1">
      <c r="A634" s="111"/>
      <c r="B634" s="111"/>
      <c r="C634" s="111"/>
      <c r="D634" s="111"/>
      <c r="E634" s="111"/>
      <c r="F634" s="111"/>
      <c r="G634" s="112"/>
      <c r="H634" s="111"/>
      <c r="I634" s="112"/>
      <c r="J634" s="113"/>
      <c r="K634" s="113"/>
      <c r="L634" s="113"/>
      <c r="M634" s="113"/>
      <c r="N634" s="113"/>
      <c r="O634" s="113"/>
      <c r="P634" s="113"/>
      <c r="Q634" s="113"/>
      <c r="R634" s="113"/>
      <c r="S634" s="113"/>
      <c r="T634" s="113"/>
      <c r="U634" s="113"/>
      <c r="V634" s="113"/>
      <c r="W634" s="113"/>
      <c r="X634" s="113"/>
      <c r="Y634" s="113"/>
    </row>
    <row r="635" spans="1:25" s="114" customFormat="1" ht="13.5" customHeight="1">
      <c r="A635" s="111"/>
      <c r="B635" s="111"/>
      <c r="C635" s="111"/>
      <c r="D635" s="111"/>
      <c r="E635" s="111"/>
      <c r="F635" s="111"/>
      <c r="G635" s="112"/>
      <c r="H635" s="111"/>
      <c r="I635" s="112"/>
      <c r="J635" s="113"/>
      <c r="K635" s="113"/>
      <c r="L635" s="113"/>
      <c r="M635" s="113"/>
      <c r="N635" s="113"/>
      <c r="O635" s="113"/>
      <c r="P635" s="113"/>
      <c r="Q635" s="113"/>
      <c r="R635" s="113"/>
      <c r="S635" s="113"/>
      <c r="T635" s="113"/>
      <c r="U635" s="113"/>
      <c r="V635" s="113"/>
      <c r="W635" s="113"/>
      <c r="X635" s="113"/>
      <c r="Y635" s="113"/>
    </row>
    <row r="636" spans="1:25" s="114" customFormat="1" ht="13.5" customHeight="1">
      <c r="A636" s="111"/>
      <c r="B636" s="111"/>
      <c r="C636" s="111"/>
      <c r="D636" s="111"/>
      <c r="E636" s="111"/>
      <c r="F636" s="111"/>
      <c r="G636" s="112"/>
      <c r="H636" s="111"/>
      <c r="I636" s="112"/>
      <c r="J636" s="113"/>
      <c r="K636" s="113"/>
      <c r="L636" s="113"/>
      <c r="M636" s="113"/>
      <c r="N636" s="113"/>
      <c r="O636" s="113"/>
      <c r="P636" s="113"/>
      <c r="Q636" s="113"/>
      <c r="R636" s="113"/>
      <c r="S636" s="113"/>
      <c r="T636" s="113"/>
      <c r="U636" s="113"/>
      <c r="V636" s="113"/>
      <c r="W636" s="113"/>
      <c r="X636" s="113"/>
      <c r="Y636" s="113"/>
    </row>
    <row r="637" spans="1:25" s="114" customFormat="1" ht="13.5" customHeight="1">
      <c r="A637" s="111"/>
      <c r="B637" s="111"/>
      <c r="C637" s="111"/>
      <c r="D637" s="111"/>
      <c r="E637" s="111"/>
      <c r="F637" s="111"/>
      <c r="G637" s="112"/>
      <c r="H637" s="111"/>
      <c r="I637" s="112"/>
      <c r="J637" s="113"/>
      <c r="K637" s="113"/>
      <c r="L637" s="113"/>
      <c r="M637" s="113"/>
      <c r="N637" s="113"/>
      <c r="O637" s="113"/>
      <c r="P637" s="113"/>
      <c r="Q637" s="113"/>
      <c r="R637" s="113"/>
      <c r="S637" s="113"/>
      <c r="T637" s="113"/>
      <c r="U637" s="113"/>
      <c r="V637" s="113"/>
      <c r="W637" s="113"/>
      <c r="X637" s="113"/>
      <c r="Y637" s="113"/>
    </row>
    <row r="638" spans="1:25" s="114" customFormat="1" ht="13.5" customHeight="1">
      <c r="A638" s="111"/>
      <c r="B638" s="111"/>
      <c r="C638" s="111"/>
      <c r="D638" s="111"/>
      <c r="E638" s="111"/>
      <c r="F638" s="111"/>
      <c r="G638" s="112"/>
      <c r="H638" s="111"/>
      <c r="I638" s="112"/>
      <c r="J638" s="113"/>
      <c r="K638" s="113"/>
      <c r="L638" s="113"/>
      <c r="M638" s="113"/>
      <c r="N638" s="113"/>
      <c r="O638" s="113"/>
      <c r="P638" s="113"/>
      <c r="Q638" s="113"/>
      <c r="R638" s="113"/>
      <c r="S638" s="113"/>
      <c r="T638" s="113"/>
      <c r="U638" s="113"/>
      <c r="V638" s="113"/>
      <c r="W638" s="113"/>
      <c r="X638" s="113"/>
      <c r="Y638" s="113"/>
    </row>
    <row r="639" spans="1:25" s="114" customFormat="1" ht="13.5" customHeight="1">
      <c r="A639" s="111"/>
      <c r="B639" s="111"/>
      <c r="C639" s="111"/>
      <c r="D639" s="111"/>
      <c r="E639" s="111"/>
      <c r="F639" s="111"/>
      <c r="G639" s="112"/>
      <c r="H639" s="111"/>
      <c r="I639" s="112"/>
      <c r="J639" s="113"/>
      <c r="K639" s="113"/>
      <c r="L639" s="113"/>
      <c r="M639" s="113"/>
      <c r="N639" s="113"/>
      <c r="O639" s="113"/>
      <c r="P639" s="113"/>
      <c r="Q639" s="113"/>
      <c r="R639" s="113"/>
      <c r="S639" s="113"/>
      <c r="T639" s="113"/>
      <c r="U639" s="113"/>
      <c r="V639" s="113"/>
      <c r="W639" s="113"/>
      <c r="X639" s="113"/>
      <c r="Y639" s="113"/>
    </row>
    <row r="640" spans="1:25" s="114" customFormat="1" ht="13.5" customHeight="1">
      <c r="A640" s="111"/>
      <c r="B640" s="111"/>
      <c r="C640" s="111"/>
      <c r="D640" s="111"/>
      <c r="E640" s="111"/>
      <c r="F640" s="111"/>
      <c r="G640" s="112"/>
      <c r="H640" s="111"/>
      <c r="I640" s="112"/>
      <c r="J640" s="113"/>
      <c r="K640" s="113"/>
      <c r="L640" s="113"/>
      <c r="M640" s="113"/>
      <c r="N640" s="113"/>
      <c r="O640" s="113"/>
      <c r="P640" s="113"/>
      <c r="Q640" s="113"/>
      <c r="R640" s="113"/>
      <c r="S640" s="113"/>
      <c r="T640" s="113"/>
      <c r="U640" s="113"/>
      <c r="V640" s="113"/>
      <c r="W640" s="113"/>
      <c r="X640" s="113"/>
      <c r="Y640" s="113"/>
    </row>
    <row r="641" spans="1:25" s="114" customFormat="1" ht="13.5" customHeight="1">
      <c r="A641" s="111"/>
      <c r="B641" s="111"/>
      <c r="C641" s="111"/>
      <c r="D641" s="111"/>
      <c r="E641" s="111"/>
      <c r="F641" s="111"/>
      <c r="G641" s="112"/>
      <c r="H641" s="111"/>
      <c r="I641" s="112"/>
      <c r="J641" s="113"/>
      <c r="K641" s="113"/>
      <c r="L641" s="113"/>
      <c r="M641" s="113"/>
      <c r="N641" s="113"/>
      <c r="O641" s="113"/>
      <c r="P641" s="113"/>
      <c r="Q641" s="113"/>
      <c r="R641" s="113"/>
      <c r="S641" s="113"/>
      <c r="T641" s="113"/>
      <c r="U641" s="113"/>
      <c r="V641" s="113"/>
      <c r="W641" s="113"/>
      <c r="X641" s="113"/>
      <c r="Y641" s="113"/>
    </row>
    <row r="642" spans="1:25" s="114" customFormat="1" ht="13.5" customHeight="1">
      <c r="A642" s="111"/>
      <c r="B642" s="111"/>
      <c r="C642" s="111"/>
      <c r="D642" s="111"/>
      <c r="E642" s="111"/>
      <c r="F642" s="111"/>
      <c r="G642" s="112"/>
      <c r="H642" s="111"/>
      <c r="I642" s="112"/>
      <c r="J642" s="113"/>
      <c r="K642" s="113"/>
      <c r="L642" s="113"/>
      <c r="M642" s="113"/>
      <c r="N642" s="113"/>
      <c r="O642" s="113"/>
      <c r="P642" s="113"/>
      <c r="Q642" s="113"/>
      <c r="R642" s="113"/>
      <c r="S642" s="113"/>
      <c r="T642" s="113"/>
      <c r="U642" s="113"/>
      <c r="V642" s="113"/>
      <c r="W642" s="113"/>
      <c r="X642" s="113"/>
      <c r="Y642" s="113"/>
    </row>
    <row r="643" spans="1:25" s="114" customFormat="1" ht="13.5" customHeight="1">
      <c r="A643" s="111"/>
      <c r="B643" s="111"/>
      <c r="C643" s="111"/>
      <c r="D643" s="111"/>
      <c r="E643" s="111"/>
      <c r="F643" s="111"/>
      <c r="G643" s="112"/>
      <c r="H643" s="111"/>
      <c r="I643" s="112"/>
      <c r="J643" s="113"/>
      <c r="K643" s="113"/>
      <c r="L643" s="113"/>
      <c r="M643" s="113"/>
      <c r="N643" s="113"/>
      <c r="O643" s="113"/>
      <c r="P643" s="113"/>
      <c r="Q643" s="113"/>
      <c r="R643" s="113"/>
      <c r="S643" s="113"/>
      <c r="T643" s="113"/>
      <c r="U643" s="113"/>
      <c r="V643" s="113"/>
      <c r="W643" s="113"/>
      <c r="X643" s="113"/>
      <c r="Y643" s="113"/>
    </row>
    <row r="644" spans="1:25" s="114" customFormat="1" ht="13.5" customHeight="1">
      <c r="A644" s="111"/>
      <c r="B644" s="111"/>
      <c r="C644" s="111"/>
      <c r="D644" s="111"/>
      <c r="E644" s="111"/>
      <c r="F644" s="111"/>
      <c r="G644" s="112"/>
      <c r="H644" s="111"/>
      <c r="I644" s="112"/>
      <c r="J644" s="113"/>
      <c r="K644" s="113"/>
      <c r="L644" s="113"/>
      <c r="M644" s="113"/>
      <c r="N644" s="113"/>
      <c r="O644" s="113"/>
      <c r="P644" s="113"/>
      <c r="Q644" s="113"/>
      <c r="R644" s="113"/>
      <c r="S644" s="113"/>
      <c r="T644" s="113"/>
      <c r="U644" s="113"/>
      <c r="V644" s="113"/>
      <c r="W644" s="113"/>
      <c r="X644" s="113"/>
      <c r="Y644" s="113"/>
    </row>
    <row r="645" spans="1:25" s="114" customFormat="1" ht="13.5" customHeight="1">
      <c r="A645" s="111"/>
      <c r="B645" s="111"/>
      <c r="C645" s="111"/>
      <c r="D645" s="111"/>
      <c r="E645" s="111"/>
      <c r="F645" s="111"/>
      <c r="G645" s="112"/>
      <c r="H645" s="111"/>
      <c r="I645" s="112"/>
      <c r="J645" s="113"/>
      <c r="K645" s="113"/>
      <c r="L645" s="113"/>
      <c r="M645" s="113"/>
      <c r="N645" s="113"/>
      <c r="O645" s="113"/>
      <c r="P645" s="113"/>
      <c r="Q645" s="113"/>
      <c r="R645" s="113"/>
      <c r="S645" s="113"/>
      <c r="T645" s="113"/>
      <c r="U645" s="113"/>
      <c r="V645" s="113"/>
      <c r="W645" s="113"/>
      <c r="X645" s="113"/>
      <c r="Y645" s="113"/>
    </row>
    <row r="646" spans="1:25" s="114" customFormat="1" ht="13.5" customHeight="1">
      <c r="A646" s="111"/>
      <c r="B646" s="111"/>
      <c r="C646" s="111"/>
      <c r="D646" s="111"/>
      <c r="E646" s="111"/>
      <c r="F646" s="111"/>
      <c r="G646" s="112"/>
      <c r="H646" s="111"/>
      <c r="I646" s="112"/>
      <c r="J646" s="113"/>
      <c r="K646" s="113"/>
      <c r="L646" s="113"/>
      <c r="M646" s="113"/>
      <c r="N646" s="113"/>
      <c r="O646" s="113"/>
      <c r="P646" s="113"/>
      <c r="Q646" s="113"/>
      <c r="R646" s="113"/>
      <c r="S646" s="113"/>
      <c r="T646" s="113"/>
      <c r="U646" s="113"/>
      <c r="V646" s="113"/>
      <c r="W646" s="113"/>
      <c r="X646" s="113"/>
      <c r="Y646" s="113"/>
    </row>
    <row r="647" spans="1:25" s="114" customFormat="1" ht="13.5" customHeight="1">
      <c r="A647" s="111"/>
      <c r="B647" s="111"/>
      <c r="C647" s="111"/>
      <c r="D647" s="111"/>
      <c r="E647" s="111"/>
      <c r="F647" s="111"/>
      <c r="G647" s="112"/>
      <c r="H647" s="111"/>
      <c r="I647" s="112"/>
      <c r="J647" s="113"/>
      <c r="K647" s="113"/>
      <c r="L647" s="113"/>
      <c r="M647" s="113"/>
      <c r="N647" s="113"/>
      <c r="O647" s="113"/>
      <c r="P647" s="113"/>
      <c r="Q647" s="113"/>
      <c r="R647" s="113"/>
      <c r="S647" s="113"/>
      <c r="T647" s="113"/>
      <c r="U647" s="113"/>
      <c r="V647" s="113"/>
      <c r="W647" s="113"/>
      <c r="X647" s="113"/>
      <c r="Y647" s="113"/>
    </row>
    <row r="648" spans="1:25" s="114" customFormat="1" ht="13.5" customHeight="1">
      <c r="A648" s="111"/>
      <c r="B648" s="111"/>
      <c r="C648" s="111"/>
      <c r="D648" s="111"/>
      <c r="E648" s="111"/>
      <c r="F648" s="111"/>
      <c r="G648" s="112"/>
      <c r="H648" s="111"/>
      <c r="I648" s="112"/>
      <c r="J648" s="113"/>
      <c r="K648" s="113"/>
      <c r="L648" s="113"/>
      <c r="M648" s="113"/>
      <c r="N648" s="113"/>
      <c r="O648" s="113"/>
      <c r="P648" s="113"/>
      <c r="Q648" s="113"/>
      <c r="R648" s="113"/>
      <c r="S648" s="113"/>
      <c r="T648" s="113"/>
      <c r="U648" s="113"/>
      <c r="V648" s="113"/>
      <c r="W648" s="113"/>
      <c r="X648" s="113"/>
      <c r="Y648" s="113"/>
    </row>
    <row r="649" spans="1:25" s="114" customFormat="1" ht="13.5" customHeight="1">
      <c r="A649" s="111"/>
      <c r="B649" s="111"/>
      <c r="C649" s="111"/>
      <c r="D649" s="111"/>
      <c r="E649" s="111"/>
      <c r="F649" s="111"/>
      <c r="G649" s="112"/>
      <c r="H649" s="111"/>
      <c r="I649" s="112"/>
      <c r="J649" s="113"/>
      <c r="K649" s="113"/>
      <c r="L649" s="113"/>
      <c r="M649" s="113"/>
      <c r="N649" s="113"/>
      <c r="O649" s="113"/>
      <c r="P649" s="113"/>
      <c r="Q649" s="113"/>
      <c r="R649" s="113"/>
      <c r="S649" s="113"/>
      <c r="T649" s="113"/>
      <c r="U649" s="113"/>
      <c r="V649" s="113"/>
      <c r="W649" s="113"/>
      <c r="X649" s="113"/>
      <c r="Y649" s="113"/>
    </row>
    <row r="650" spans="1:25" s="114" customFormat="1" ht="13.5" customHeight="1">
      <c r="A650" s="111"/>
      <c r="B650" s="111"/>
      <c r="C650" s="111"/>
      <c r="D650" s="111"/>
      <c r="E650" s="111"/>
      <c r="F650" s="111"/>
      <c r="G650" s="112"/>
      <c r="H650" s="111"/>
      <c r="I650" s="112"/>
      <c r="J650" s="113"/>
      <c r="K650" s="113"/>
      <c r="L650" s="113"/>
      <c r="M650" s="113"/>
      <c r="N650" s="113"/>
      <c r="O650" s="113"/>
      <c r="P650" s="113"/>
      <c r="Q650" s="113"/>
      <c r="R650" s="113"/>
      <c r="S650" s="113"/>
      <c r="T650" s="113"/>
      <c r="U650" s="113"/>
      <c r="V650" s="113"/>
      <c r="W650" s="113"/>
      <c r="X650" s="113"/>
      <c r="Y650" s="113"/>
    </row>
    <row r="651" spans="1:25" s="114" customFormat="1" ht="13.5" customHeight="1">
      <c r="A651" s="111"/>
      <c r="B651" s="111"/>
      <c r="C651" s="111"/>
      <c r="D651" s="111"/>
      <c r="E651" s="111"/>
      <c r="F651" s="111"/>
      <c r="G651" s="112"/>
      <c r="H651" s="111"/>
      <c r="I651" s="112"/>
      <c r="J651" s="113"/>
      <c r="K651" s="113"/>
      <c r="L651" s="113"/>
      <c r="M651" s="113"/>
      <c r="N651" s="113"/>
      <c r="O651" s="113"/>
      <c r="P651" s="113"/>
      <c r="Q651" s="113"/>
      <c r="R651" s="113"/>
      <c r="S651" s="113"/>
      <c r="T651" s="113"/>
      <c r="U651" s="113"/>
      <c r="V651" s="113"/>
      <c r="W651" s="113"/>
      <c r="X651" s="113"/>
      <c r="Y651" s="113"/>
    </row>
    <row r="652" spans="1:25" s="114" customFormat="1" ht="13.5" customHeight="1">
      <c r="A652" s="111"/>
      <c r="B652" s="111"/>
      <c r="C652" s="111"/>
      <c r="D652" s="111"/>
      <c r="E652" s="111"/>
      <c r="F652" s="111"/>
      <c r="G652" s="112"/>
      <c r="H652" s="111"/>
      <c r="I652" s="112"/>
      <c r="J652" s="113"/>
      <c r="K652" s="113"/>
      <c r="L652" s="113"/>
      <c r="M652" s="113"/>
      <c r="N652" s="113"/>
      <c r="O652" s="113"/>
      <c r="P652" s="113"/>
      <c r="Q652" s="113"/>
      <c r="R652" s="113"/>
      <c r="S652" s="113"/>
      <c r="T652" s="113"/>
      <c r="U652" s="113"/>
      <c r="V652" s="113"/>
      <c r="W652" s="113"/>
      <c r="X652" s="113"/>
      <c r="Y652" s="113"/>
    </row>
    <row r="653" spans="1:25" s="114" customFormat="1" ht="13.5" customHeight="1">
      <c r="A653" s="111"/>
      <c r="B653" s="111"/>
      <c r="C653" s="111"/>
      <c r="D653" s="111"/>
      <c r="E653" s="111"/>
      <c r="F653" s="111"/>
      <c r="G653" s="112"/>
      <c r="H653" s="111"/>
      <c r="I653" s="112"/>
      <c r="J653" s="113"/>
      <c r="K653" s="113"/>
      <c r="L653" s="113"/>
      <c r="M653" s="113"/>
      <c r="N653" s="113"/>
      <c r="O653" s="113"/>
      <c r="P653" s="113"/>
      <c r="Q653" s="113"/>
      <c r="R653" s="113"/>
      <c r="S653" s="113"/>
      <c r="T653" s="113"/>
      <c r="U653" s="113"/>
      <c r="V653" s="113"/>
      <c r="W653" s="113"/>
      <c r="X653" s="113"/>
      <c r="Y653" s="113"/>
    </row>
    <row r="654" spans="1:25" s="114" customFormat="1" ht="13.5" customHeight="1">
      <c r="A654" s="111"/>
      <c r="B654" s="111"/>
      <c r="C654" s="111"/>
      <c r="D654" s="111"/>
      <c r="E654" s="111"/>
      <c r="F654" s="111"/>
      <c r="G654" s="112"/>
      <c r="H654" s="111"/>
      <c r="I654" s="112"/>
      <c r="J654" s="113"/>
      <c r="K654" s="113"/>
      <c r="L654" s="113"/>
      <c r="M654" s="113"/>
      <c r="N654" s="113"/>
      <c r="O654" s="113"/>
      <c r="P654" s="113"/>
      <c r="Q654" s="113"/>
      <c r="R654" s="113"/>
      <c r="S654" s="113"/>
      <c r="T654" s="113"/>
      <c r="U654" s="113"/>
      <c r="V654" s="113"/>
      <c r="W654" s="113"/>
      <c r="X654" s="113"/>
      <c r="Y654" s="113"/>
    </row>
    <row r="655" spans="1:25" s="114" customFormat="1" ht="13.5" customHeight="1">
      <c r="A655" s="111"/>
      <c r="B655" s="111"/>
      <c r="C655" s="111"/>
      <c r="D655" s="111"/>
      <c r="E655" s="111"/>
      <c r="F655" s="111"/>
      <c r="G655" s="112"/>
      <c r="H655" s="111"/>
      <c r="I655" s="112"/>
      <c r="J655" s="113"/>
      <c r="K655" s="113"/>
      <c r="L655" s="113"/>
      <c r="M655" s="113"/>
      <c r="N655" s="113"/>
      <c r="O655" s="113"/>
      <c r="P655" s="113"/>
      <c r="Q655" s="113"/>
      <c r="R655" s="113"/>
      <c r="S655" s="113"/>
      <c r="T655" s="113"/>
      <c r="U655" s="113"/>
      <c r="V655" s="113"/>
      <c r="W655" s="113"/>
      <c r="X655" s="113"/>
      <c r="Y655" s="113"/>
    </row>
    <row r="656" spans="1:25" s="114" customFormat="1" ht="13.5" customHeight="1">
      <c r="A656" s="111"/>
      <c r="B656" s="111"/>
      <c r="C656" s="111"/>
      <c r="D656" s="111"/>
      <c r="E656" s="111"/>
      <c r="F656" s="111"/>
      <c r="G656" s="112"/>
      <c r="H656" s="111"/>
      <c r="I656" s="112"/>
      <c r="J656" s="113"/>
      <c r="K656" s="113"/>
      <c r="L656" s="113"/>
      <c r="M656" s="113"/>
      <c r="N656" s="113"/>
      <c r="O656" s="113"/>
      <c r="P656" s="113"/>
      <c r="Q656" s="113"/>
      <c r="R656" s="113"/>
      <c r="S656" s="113"/>
      <c r="T656" s="113"/>
      <c r="U656" s="113"/>
      <c r="V656" s="113"/>
      <c r="W656" s="113"/>
      <c r="X656" s="113"/>
      <c r="Y656" s="113"/>
    </row>
    <row r="657" spans="1:25" s="114" customFormat="1" ht="13.5" customHeight="1">
      <c r="A657" s="111"/>
      <c r="B657" s="111"/>
      <c r="C657" s="111"/>
      <c r="D657" s="111"/>
      <c r="E657" s="111"/>
      <c r="F657" s="111"/>
      <c r="G657" s="112"/>
      <c r="H657" s="111"/>
      <c r="I657" s="112"/>
      <c r="J657" s="113"/>
      <c r="K657" s="113"/>
      <c r="L657" s="113"/>
      <c r="M657" s="113"/>
      <c r="N657" s="113"/>
      <c r="O657" s="113"/>
      <c r="P657" s="113"/>
      <c r="Q657" s="113"/>
      <c r="R657" s="113"/>
      <c r="S657" s="113"/>
      <c r="T657" s="113"/>
      <c r="U657" s="113"/>
      <c r="V657" s="113"/>
      <c r="W657" s="113"/>
      <c r="X657" s="113"/>
      <c r="Y657" s="113"/>
    </row>
    <row r="658" spans="1:25" s="114" customFormat="1" ht="13.5" customHeight="1">
      <c r="A658" s="111"/>
      <c r="B658" s="111"/>
      <c r="C658" s="111"/>
      <c r="D658" s="111"/>
      <c r="E658" s="111"/>
      <c r="F658" s="111"/>
      <c r="G658" s="112"/>
      <c r="H658" s="111"/>
      <c r="I658" s="112"/>
      <c r="J658" s="113"/>
      <c r="K658" s="113"/>
      <c r="L658" s="113"/>
      <c r="M658" s="113"/>
      <c r="N658" s="113"/>
      <c r="O658" s="113"/>
      <c r="P658" s="113"/>
      <c r="Q658" s="113"/>
      <c r="R658" s="113"/>
      <c r="S658" s="113"/>
      <c r="T658" s="113"/>
      <c r="U658" s="113"/>
      <c r="V658" s="113"/>
      <c r="W658" s="113"/>
      <c r="X658" s="113"/>
      <c r="Y658" s="113"/>
    </row>
    <row r="659" spans="1:25" s="114" customFormat="1" ht="13.5" customHeight="1">
      <c r="A659" s="111"/>
      <c r="B659" s="111"/>
      <c r="C659" s="111"/>
      <c r="D659" s="111"/>
      <c r="E659" s="111"/>
      <c r="F659" s="111"/>
      <c r="G659" s="112"/>
      <c r="H659" s="111"/>
      <c r="I659" s="112"/>
      <c r="J659" s="113"/>
      <c r="K659" s="113"/>
      <c r="L659" s="113"/>
      <c r="M659" s="113"/>
      <c r="N659" s="113"/>
      <c r="O659" s="113"/>
      <c r="P659" s="113"/>
      <c r="Q659" s="113"/>
      <c r="R659" s="113"/>
      <c r="S659" s="113"/>
      <c r="T659" s="113"/>
      <c r="U659" s="113"/>
      <c r="V659" s="113"/>
      <c r="W659" s="113"/>
      <c r="X659" s="113"/>
      <c r="Y659" s="113"/>
    </row>
    <row r="660" spans="1:25" s="114" customFormat="1" ht="13.5" customHeight="1">
      <c r="A660" s="111"/>
      <c r="B660" s="111"/>
      <c r="C660" s="111"/>
      <c r="D660" s="111"/>
      <c r="E660" s="111"/>
      <c r="F660" s="111"/>
      <c r="G660" s="112"/>
      <c r="H660" s="111"/>
      <c r="I660" s="112"/>
      <c r="J660" s="113"/>
      <c r="K660" s="113"/>
      <c r="L660" s="113"/>
      <c r="M660" s="113"/>
      <c r="N660" s="113"/>
      <c r="O660" s="113"/>
      <c r="P660" s="113"/>
      <c r="Q660" s="113"/>
      <c r="R660" s="113"/>
      <c r="S660" s="113"/>
      <c r="T660" s="113"/>
      <c r="U660" s="113"/>
      <c r="V660" s="113"/>
      <c r="W660" s="113"/>
      <c r="X660" s="113"/>
      <c r="Y660" s="113"/>
    </row>
    <row r="661" spans="1:25" s="114" customFormat="1" ht="13.5" customHeight="1">
      <c r="A661" s="111"/>
      <c r="B661" s="111"/>
      <c r="C661" s="111"/>
      <c r="D661" s="111"/>
      <c r="E661" s="111"/>
      <c r="F661" s="111"/>
      <c r="G661" s="112"/>
      <c r="H661" s="111"/>
      <c r="I661" s="112"/>
      <c r="J661" s="113"/>
      <c r="K661" s="113"/>
      <c r="L661" s="113"/>
      <c r="M661" s="113"/>
      <c r="N661" s="113"/>
      <c r="O661" s="113"/>
      <c r="P661" s="113"/>
      <c r="Q661" s="113"/>
      <c r="R661" s="113"/>
      <c r="S661" s="113"/>
      <c r="T661" s="113"/>
      <c r="U661" s="113"/>
      <c r="V661" s="113"/>
      <c r="W661" s="113"/>
      <c r="X661" s="113"/>
      <c r="Y661" s="113"/>
    </row>
    <row r="662" spans="1:25" s="114" customFormat="1" ht="13.5" customHeight="1">
      <c r="A662" s="111"/>
      <c r="B662" s="111"/>
      <c r="C662" s="111"/>
      <c r="D662" s="111"/>
      <c r="E662" s="111"/>
      <c r="F662" s="111"/>
      <c r="G662" s="112"/>
      <c r="H662" s="111"/>
      <c r="I662" s="112"/>
      <c r="J662" s="113"/>
      <c r="K662" s="113"/>
      <c r="L662" s="113"/>
      <c r="M662" s="113"/>
      <c r="N662" s="113"/>
      <c r="O662" s="113"/>
      <c r="P662" s="113"/>
      <c r="Q662" s="113"/>
      <c r="R662" s="113"/>
      <c r="S662" s="113"/>
      <c r="T662" s="113"/>
      <c r="U662" s="113"/>
      <c r="V662" s="113"/>
      <c r="W662" s="113"/>
      <c r="X662" s="113"/>
      <c r="Y662" s="113"/>
    </row>
    <row r="663" spans="1:25" s="114" customFormat="1" ht="13.5" customHeight="1">
      <c r="A663" s="111"/>
      <c r="B663" s="111"/>
      <c r="C663" s="111"/>
      <c r="D663" s="111"/>
      <c r="E663" s="111"/>
      <c r="F663" s="111"/>
      <c r="G663" s="112"/>
      <c r="H663" s="111"/>
      <c r="I663" s="112"/>
      <c r="J663" s="113"/>
      <c r="K663" s="113"/>
      <c r="L663" s="113"/>
      <c r="M663" s="113"/>
      <c r="N663" s="113"/>
      <c r="O663" s="113"/>
      <c r="P663" s="113"/>
      <c r="Q663" s="113"/>
      <c r="R663" s="113"/>
      <c r="S663" s="113"/>
      <c r="T663" s="113"/>
      <c r="U663" s="113"/>
      <c r="V663" s="113"/>
      <c r="W663" s="113"/>
      <c r="X663" s="113"/>
      <c r="Y663" s="113"/>
    </row>
    <row r="664" spans="1:25" s="114" customFormat="1" ht="13.5" customHeight="1">
      <c r="A664" s="111"/>
      <c r="B664" s="111"/>
      <c r="C664" s="111"/>
      <c r="D664" s="111"/>
      <c r="E664" s="111"/>
      <c r="F664" s="111"/>
      <c r="G664" s="112"/>
      <c r="H664" s="111"/>
      <c r="I664" s="112"/>
      <c r="J664" s="113"/>
      <c r="K664" s="113"/>
      <c r="L664" s="113"/>
      <c r="M664" s="113"/>
      <c r="N664" s="113"/>
      <c r="O664" s="113"/>
      <c r="P664" s="113"/>
      <c r="Q664" s="113"/>
      <c r="R664" s="113"/>
      <c r="S664" s="113"/>
      <c r="T664" s="113"/>
      <c r="U664" s="113"/>
      <c r="V664" s="113"/>
      <c r="W664" s="113"/>
      <c r="X664" s="113"/>
      <c r="Y664" s="113"/>
    </row>
    <row r="665" spans="1:25" s="114" customFormat="1" ht="13.5" customHeight="1">
      <c r="A665" s="111"/>
      <c r="B665" s="111"/>
      <c r="C665" s="111"/>
      <c r="D665" s="111"/>
      <c r="E665" s="111"/>
      <c r="F665" s="111"/>
      <c r="G665" s="112"/>
      <c r="H665" s="111"/>
      <c r="I665" s="112"/>
      <c r="J665" s="113"/>
      <c r="K665" s="113"/>
      <c r="L665" s="113"/>
      <c r="M665" s="113"/>
      <c r="N665" s="113"/>
      <c r="O665" s="113"/>
      <c r="P665" s="113"/>
      <c r="Q665" s="113"/>
      <c r="R665" s="113"/>
      <c r="S665" s="113"/>
      <c r="T665" s="113"/>
      <c r="U665" s="113"/>
      <c r="V665" s="113"/>
      <c r="W665" s="113"/>
      <c r="X665" s="113"/>
      <c r="Y665" s="113"/>
    </row>
    <row r="666" spans="1:25" s="114" customFormat="1" ht="13.5" customHeight="1">
      <c r="A666" s="111"/>
      <c r="B666" s="111"/>
      <c r="C666" s="111"/>
      <c r="D666" s="111"/>
      <c r="E666" s="111"/>
      <c r="F666" s="111"/>
      <c r="G666" s="112"/>
      <c r="H666" s="111"/>
      <c r="I666" s="112"/>
      <c r="J666" s="113"/>
      <c r="K666" s="113"/>
      <c r="L666" s="113"/>
      <c r="M666" s="113"/>
      <c r="N666" s="113"/>
      <c r="O666" s="113"/>
      <c r="P666" s="113"/>
      <c r="Q666" s="113"/>
      <c r="R666" s="113"/>
      <c r="S666" s="113"/>
      <c r="T666" s="113"/>
      <c r="U666" s="113"/>
      <c r="V666" s="113"/>
      <c r="W666" s="113"/>
      <c r="X666" s="113"/>
      <c r="Y666" s="113"/>
    </row>
    <row r="667" spans="1:25" s="114" customFormat="1" ht="13.5" customHeight="1">
      <c r="A667" s="111"/>
      <c r="B667" s="111"/>
      <c r="C667" s="111"/>
      <c r="D667" s="111"/>
      <c r="E667" s="111"/>
      <c r="F667" s="111"/>
      <c r="G667" s="112"/>
      <c r="H667" s="111"/>
      <c r="I667" s="112"/>
      <c r="J667" s="113"/>
      <c r="K667" s="113"/>
      <c r="L667" s="113"/>
      <c r="M667" s="113"/>
      <c r="N667" s="113"/>
      <c r="O667" s="113"/>
      <c r="P667" s="113"/>
      <c r="Q667" s="113"/>
      <c r="R667" s="113"/>
      <c r="S667" s="113"/>
      <c r="T667" s="113"/>
      <c r="U667" s="113"/>
      <c r="V667" s="113"/>
      <c r="W667" s="113"/>
      <c r="X667" s="113"/>
      <c r="Y667" s="113"/>
    </row>
    <row r="668" spans="1:25" s="114" customFormat="1" ht="13.5" customHeight="1">
      <c r="A668" s="111"/>
      <c r="B668" s="111"/>
      <c r="C668" s="111"/>
      <c r="D668" s="111"/>
      <c r="E668" s="111"/>
      <c r="F668" s="111"/>
      <c r="G668" s="112"/>
      <c r="H668" s="111"/>
      <c r="I668" s="112"/>
      <c r="J668" s="113"/>
      <c r="K668" s="113"/>
      <c r="L668" s="113"/>
      <c r="M668" s="113"/>
      <c r="N668" s="113"/>
      <c r="O668" s="113"/>
      <c r="P668" s="113"/>
      <c r="Q668" s="113"/>
      <c r="R668" s="113"/>
      <c r="S668" s="113"/>
      <c r="T668" s="113"/>
      <c r="U668" s="113"/>
      <c r="V668" s="113"/>
      <c r="W668" s="113"/>
      <c r="X668" s="113"/>
      <c r="Y668" s="113"/>
    </row>
    <row r="669" spans="1:25" s="114" customFormat="1" ht="13.5" customHeight="1">
      <c r="A669" s="111"/>
      <c r="B669" s="111"/>
      <c r="C669" s="111"/>
      <c r="D669" s="111"/>
      <c r="E669" s="111"/>
      <c r="F669" s="111"/>
      <c r="G669" s="112"/>
      <c r="H669" s="111"/>
      <c r="I669" s="112"/>
      <c r="J669" s="113"/>
      <c r="K669" s="113"/>
      <c r="L669" s="113"/>
      <c r="M669" s="113"/>
      <c r="N669" s="113"/>
      <c r="O669" s="113"/>
      <c r="P669" s="113"/>
      <c r="Q669" s="113"/>
      <c r="R669" s="113"/>
      <c r="S669" s="113"/>
      <c r="T669" s="113"/>
      <c r="U669" s="113"/>
      <c r="V669" s="113"/>
      <c r="W669" s="113"/>
      <c r="X669" s="113"/>
      <c r="Y669" s="113"/>
    </row>
    <row r="670" spans="1:25" s="114" customFormat="1" ht="13.5" customHeight="1">
      <c r="A670" s="111"/>
      <c r="B670" s="111"/>
      <c r="C670" s="111"/>
      <c r="D670" s="111"/>
      <c r="E670" s="111"/>
      <c r="F670" s="111"/>
      <c r="G670" s="112"/>
      <c r="H670" s="111"/>
      <c r="I670" s="112"/>
      <c r="J670" s="113"/>
      <c r="K670" s="113"/>
      <c r="L670" s="113"/>
      <c r="M670" s="113"/>
      <c r="N670" s="113"/>
      <c r="O670" s="113"/>
      <c r="P670" s="113"/>
      <c r="Q670" s="113"/>
      <c r="R670" s="113"/>
      <c r="S670" s="113"/>
      <c r="T670" s="113"/>
      <c r="U670" s="113"/>
      <c r="V670" s="113"/>
      <c r="W670" s="113"/>
      <c r="X670" s="113"/>
      <c r="Y670" s="113"/>
    </row>
    <row r="671" spans="1:25" s="114" customFormat="1" ht="13.5" customHeight="1">
      <c r="A671" s="111"/>
      <c r="B671" s="111"/>
      <c r="C671" s="111"/>
      <c r="D671" s="111"/>
      <c r="E671" s="111"/>
      <c r="F671" s="111"/>
      <c r="G671" s="112"/>
      <c r="H671" s="111"/>
      <c r="I671" s="112"/>
      <c r="J671" s="113"/>
      <c r="K671" s="113"/>
      <c r="L671" s="113"/>
      <c r="M671" s="113"/>
      <c r="N671" s="113"/>
      <c r="O671" s="113"/>
      <c r="P671" s="113"/>
      <c r="Q671" s="113"/>
      <c r="R671" s="113"/>
      <c r="S671" s="113"/>
      <c r="T671" s="113"/>
      <c r="U671" s="113"/>
      <c r="V671" s="113"/>
      <c r="W671" s="113"/>
      <c r="X671" s="113"/>
      <c r="Y671" s="113"/>
    </row>
    <row r="672" spans="1:25" s="114" customFormat="1" ht="13.5" customHeight="1">
      <c r="A672" s="111"/>
      <c r="B672" s="111"/>
      <c r="C672" s="111"/>
      <c r="D672" s="111"/>
      <c r="E672" s="111"/>
      <c r="F672" s="111"/>
      <c r="G672" s="112"/>
      <c r="H672" s="111"/>
      <c r="I672" s="112"/>
      <c r="J672" s="113"/>
      <c r="K672" s="113"/>
      <c r="L672" s="113"/>
      <c r="M672" s="113"/>
      <c r="N672" s="113"/>
      <c r="O672" s="113"/>
      <c r="P672" s="113"/>
      <c r="Q672" s="113"/>
      <c r="R672" s="113"/>
      <c r="S672" s="113"/>
      <c r="T672" s="113"/>
      <c r="U672" s="113"/>
      <c r="V672" s="113"/>
      <c r="W672" s="113"/>
      <c r="X672" s="113"/>
      <c r="Y672" s="113"/>
    </row>
    <row r="673" spans="1:25" s="114" customFormat="1" ht="13.5" customHeight="1">
      <c r="A673" s="111"/>
      <c r="B673" s="111"/>
      <c r="C673" s="111"/>
      <c r="D673" s="111"/>
      <c r="E673" s="111"/>
      <c r="F673" s="111"/>
      <c r="G673" s="112"/>
      <c r="H673" s="111"/>
      <c r="I673" s="112"/>
      <c r="J673" s="113"/>
      <c r="K673" s="113"/>
      <c r="L673" s="113"/>
      <c r="M673" s="113"/>
      <c r="N673" s="113"/>
      <c r="O673" s="113"/>
      <c r="P673" s="113"/>
      <c r="Q673" s="113"/>
      <c r="R673" s="113"/>
      <c r="S673" s="113"/>
      <c r="T673" s="113"/>
      <c r="U673" s="113"/>
      <c r="V673" s="113"/>
      <c r="W673" s="113"/>
      <c r="X673" s="113"/>
      <c r="Y673" s="113"/>
    </row>
    <row r="674" spans="1:25" s="114" customFormat="1" ht="13.5" customHeight="1">
      <c r="A674" s="111"/>
      <c r="B674" s="111"/>
      <c r="C674" s="111"/>
      <c r="D674" s="111"/>
      <c r="E674" s="111"/>
      <c r="F674" s="111"/>
      <c r="G674" s="112"/>
      <c r="H674" s="111"/>
      <c r="I674" s="112"/>
      <c r="J674" s="113"/>
      <c r="K674" s="113"/>
      <c r="L674" s="113"/>
      <c r="M674" s="113"/>
      <c r="N674" s="113"/>
      <c r="O674" s="113"/>
      <c r="P674" s="113"/>
      <c r="Q674" s="113"/>
      <c r="R674" s="113"/>
      <c r="S674" s="113"/>
      <c r="T674" s="113"/>
      <c r="U674" s="113"/>
      <c r="V674" s="113"/>
      <c r="W674" s="113"/>
      <c r="X674" s="113"/>
      <c r="Y674" s="113"/>
    </row>
    <row r="675" spans="1:25" s="114" customFormat="1" ht="13.5" customHeight="1">
      <c r="A675" s="111"/>
      <c r="B675" s="111"/>
      <c r="C675" s="111"/>
      <c r="D675" s="111"/>
      <c r="E675" s="111"/>
      <c r="F675" s="111"/>
      <c r="G675" s="112"/>
      <c r="H675" s="111"/>
      <c r="I675" s="112"/>
      <c r="J675" s="113"/>
      <c r="K675" s="113"/>
      <c r="L675" s="113"/>
      <c r="M675" s="113"/>
      <c r="N675" s="113"/>
      <c r="O675" s="113"/>
      <c r="P675" s="113"/>
      <c r="Q675" s="113"/>
      <c r="R675" s="113"/>
      <c r="S675" s="113"/>
      <c r="T675" s="113"/>
      <c r="U675" s="113"/>
      <c r="V675" s="113"/>
      <c r="W675" s="113"/>
      <c r="X675" s="113"/>
      <c r="Y675" s="113"/>
    </row>
    <row r="676" spans="1:25" s="114" customFormat="1" ht="13.5" customHeight="1">
      <c r="A676" s="111"/>
      <c r="B676" s="111"/>
      <c r="C676" s="111"/>
      <c r="D676" s="111"/>
      <c r="E676" s="111"/>
      <c r="F676" s="111"/>
      <c r="G676" s="112"/>
      <c r="H676" s="111"/>
      <c r="I676" s="112"/>
      <c r="J676" s="113"/>
      <c r="K676" s="113"/>
      <c r="L676" s="113"/>
      <c r="M676" s="113"/>
      <c r="N676" s="113"/>
      <c r="O676" s="113"/>
      <c r="P676" s="113"/>
      <c r="Q676" s="113"/>
      <c r="R676" s="113"/>
      <c r="S676" s="113"/>
      <c r="T676" s="113"/>
      <c r="U676" s="113"/>
      <c r="V676" s="113"/>
      <c r="W676" s="113"/>
      <c r="X676" s="113"/>
      <c r="Y676" s="113"/>
    </row>
    <row r="677" spans="1:25" s="114" customFormat="1" ht="13.5" customHeight="1">
      <c r="A677" s="111"/>
      <c r="B677" s="111"/>
      <c r="C677" s="111"/>
      <c r="D677" s="111"/>
      <c r="E677" s="111"/>
      <c r="F677" s="111"/>
      <c r="G677" s="112"/>
      <c r="H677" s="111"/>
      <c r="I677" s="112"/>
      <c r="J677" s="113"/>
      <c r="K677" s="113"/>
      <c r="L677" s="113"/>
      <c r="M677" s="113"/>
      <c r="N677" s="113"/>
      <c r="O677" s="113"/>
      <c r="P677" s="113"/>
      <c r="Q677" s="113"/>
      <c r="R677" s="113"/>
      <c r="S677" s="113"/>
      <c r="T677" s="113"/>
      <c r="U677" s="113"/>
      <c r="V677" s="113"/>
      <c r="W677" s="113"/>
      <c r="X677" s="113"/>
      <c r="Y677" s="113"/>
    </row>
    <row r="678" spans="1:25" s="114" customFormat="1" ht="13.5" customHeight="1">
      <c r="A678" s="111"/>
      <c r="B678" s="111"/>
      <c r="C678" s="111"/>
      <c r="D678" s="111"/>
      <c r="E678" s="111"/>
      <c r="F678" s="111"/>
      <c r="G678" s="112"/>
      <c r="H678" s="111"/>
      <c r="I678" s="112"/>
      <c r="J678" s="113"/>
      <c r="K678" s="113"/>
      <c r="L678" s="113"/>
      <c r="M678" s="113"/>
      <c r="N678" s="113"/>
      <c r="O678" s="113"/>
      <c r="P678" s="113"/>
      <c r="Q678" s="113"/>
      <c r="R678" s="113"/>
      <c r="S678" s="113"/>
      <c r="T678" s="113"/>
      <c r="U678" s="113"/>
      <c r="V678" s="113"/>
      <c r="W678" s="113"/>
      <c r="X678" s="113"/>
      <c r="Y678" s="113"/>
    </row>
    <row r="679" spans="1:25" s="114" customFormat="1" ht="13.5" customHeight="1">
      <c r="A679" s="111"/>
      <c r="B679" s="111"/>
      <c r="C679" s="111"/>
      <c r="D679" s="111"/>
      <c r="E679" s="111"/>
      <c r="F679" s="111"/>
      <c r="G679" s="112"/>
      <c r="H679" s="111"/>
      <c r="I679" s="112"/>
      <c r="J679" s="113"/>
      <c r="K679" s="113"/>
      <c r="L679" s="113"/>
      <c r="M679" s="113"/>
      <c r="N679" s="113"/>
      <c r="O679" s="113"/>
      <c r="P679" s="113"/>
      <c r="Q679" s="113"/>
      <c r="R679" s="113"/>
      <c r="S679" s="113"/>
      <c r="T679" s="113"/>
      <c r="U679" s="113"/>
      <c r="V679" s="113"/>
      <c r="W679" s="113"/>
      <c r="X679" s="113"/>
      <c r="Y679" s="113"/>
    </row>
    <row r="680" spans="1:25" s="114" customFormat="1" ht="13.5" customHeight="1">
      <c r="A680" s="111"/>
      <c r="B680" s="111"/>
      <c r="C680" s="111"/>
      <c r="D680" s="111"/>
      <c r="E680" s="111"/>
      <c r="F680" s="111"/>
      <c r="G680" s="112"/>
      <c r="H680" s="111"/>
      <c r="I680" s="112"/>
      <c r="J680" s="113"/>
      <c r="K680" s="113"/>
      <c r="L680" s="113"/>
      <c r="M680" s="113"/>
      <c r="N680" s="113"/>
      <c r="O680" s="113"/>
      <c r="P680" s="113"/>
      <c r="Q680" s="113"/>
      <c r="R680" s="113"/>
      <c r="S680" s="113"/>
      <c r="T680" s="113"/>
      <c r="U680" s="113"/>
      <c r="V680" s="113"/>
      <c r="W680" s="113"/>
      <c r="X680" s="113"/>
      <c r="Y680" s="113"/>
    </row>
    <row r="681" spans="1:25" s="114" customFormat="1" ht="13.5" customHeight="1">
      <c r="A681" s="111"/>
      <c r="B681" s="111"/>
      <c r="C681" s="111"/>
      <c r="D681" s="111"/>
      <c r="E681" s="111"/>
      <c r="F681" s="111"/>
      <c r="G681" s="112"/>
      <c r="H681" s="111"/>
      <c r="I681" s="112"/>
      <c r="J681" s="113"/>
      <c r="K681" s="113"/>
      <c r="L681" s="113"/>
      <c r="M681" s="113"/>
      <c r="N681" s="113"/>
      <c r="O681" s="113"/>
      <c r="P681" s="113"/>
      <c r="Q681" s="113"/>
      <c r="R681" s="113"/>
      <c r="S681" s="113"/>
      <c r="T681" s="113"/>
      <c r="U681" s="113"/>
      <c r="V681" s="113"/>
      <c r="W681" s="113"/>
      <c r="X681" s="113"/>
      <c r="Y681" s="113"/>
    </row>
    <row r="682" spans="1:25" s="114" customFormat="1" ht="13.5" customHeight="1">
      <c r="A682" s="111"/>
      <c r="B682" s="111"/>
      <c r="C682" s="111"/>
      <c r="D682" s="111"/>
      <c r="E682" s="111"/>
      <c r="F682" s="111"/>
      <c r="G682" s="112"/>
      <c r="H682" s="111"/>
      <c r="I682" s="112"/>
      <c r="J682" s="113"/>
      <c r="K682" s="113"/>
      <c r="L682" s="113"/>
      <c r="M682" s="113"/>
      <c r="N682" s="113"/>
      <c r="O682" s="113"/>
      <c r="P682" s="113"/>
      <c r="Q682" s="113"/>
      <c r="R682" s="113"/>
      <c r="S682" s="113"/>
      <c r="T682" s="113"/>
      <c r="U682" s="113"/>
      <c r="V682" s="113"/>
      <c r="W682" s="113"/>
      <c r="X682" s="113"/>
      <c r="Y682" s="113"/>
    </row>
    <row r="683" spans="1:25" s="114" customFormat="1" ht="13.5" customHeight="1">
      <c r="A683" s="111"/>
      <c r="B683" s="111"/>
      <c r="C683" s="111"/>
      <c r="D683" s="111"/>
      <c r="E683" s="111"/>
      <c r="F683" s="111"/>
      <c r="G683" s="112"/>
      <c r="H683" s="111"/>
      <c r="I683" s="112"/>
      <c r="J683" s="113"/>
      <c r="K683" s="113"/>
      <c r="L683" s="113"/>
      <c r="M683" s="113"/>
      <c r="N683" s="113"/>
      <c r="O683" s="113"/>
      <c r="P683" s="113"/>
      <c r="Q683" s="113"/>
      <c r="R683" s="113"/>
      <c r="S683" s="113"/>
      <c r="T683" s="113"/>
      <c r="U683" s="113"/>
      <c r="V683" s="113"/>
      <c r="W683" s="113"/>
      <c r="X683" s="113"/>
      <c r="Y683" s="113"/>
    </row>
    <row r="684" spans="1:25" s="114" customFormat="1" ht="13.5" customHeight="1">
      <c r="A684" s="111"/>
      <c r="B684" s="111"/>
      <c r="C684" s="111"/>
      <c r="D684" s="111"/>
      <c r="E684" s="111"/>
      <c r="F684" s="111"/>
      <c r="G684" s="112"/>
      <c r="H684" s="111"/>
      <c r="I684" s="112"/>
      <c r="J684" s="113"/>
      <c r="K684" s="113"/>
      <c r="L684" s="113"/>
      <c r="M684" s="113"/>
      <c r="N684" s="113"/>
      <c r="O684" s="113"/>
      <c r="P684" s="113"/>
      <c r="Q684" s="113"/>
      <c r="R684" s="113"/>
      <c r="S684" s="113"/>
      <c r="T684" s="113"/>
      <c r="U684" s="113"/>
      <c r="V684" s="113"/>
      <c r="W684" s="113"/>
      <c r="X684" s="113"/>
      <c r="Y684" s="113"/>
    </row>
    <row r="685" spans="1:25" s="114" customFormat="1" ht="13.5" customHeight="1">
      <c r="A685" s="111"/>
      <c r="B685" s="111"/>
      <c r="C685" s="111"/>
      <c r="D685" s="111"/>
      <c r="E685" s="111"/>
      <c r="F685" s="111"/>
      <c r="G685" s="112"/>
      <c r="H685" s="111"/>
      <c r="I685" s="112"/>
      <c r="J685" s="113"/>
      <c r="K685" s="113"/>
      <c r="L685" s="113"/>
      <c r="M685" s="113"/>
      <c r="N685" s="113"/>
      <c r="O685" s="113"/>
      <c r="P685" s="113"/>
      <c r="Q685" s="113"/>
      <c r="R685" s="113"/>
      <c r="S685" s="113"/>
      <c r="T685" s="113"/>
      <c r="U685" s="113"/>
      <c r="V685" s="113"/>
      <c r="W685" s="113"/>
      <c r="X685" s="113"/>
      <c r="Y685" s="113"/>
    </row>
    <row r="686" spans="1:25" s="114" customFormat="1" ht="13.5" customHeight="1">
      <c r="A686" s="111"/>
      <c r="B686" s="111"/>
      <c r="C686" s="111"/>
      <c r="D686" s="111"/>
      <c r="E686" s="111"/>
      <c r="F686" s="111"/>
      <c r="G686" s="112"/>
      <c r="H686" s="111"/>
      <c r="I686" s="112"/>
      <c r="J686" s="113"/>
      <c r="K686" s="113"/>
      <c r="L686" s="113"/>
      <c r="M686" s="113"/>
      <c r="N686" s="113"/>
      <c r="O686" s="113"/>
      <c r="P686" s="113"/>
      <c r="Q686" s="113"/>
      <c r="R686" s="113"/>
      <c r="S686" s="113"/>
      <c r="T686" s="113"/>
      <c r="U686" s="113"/>
      <c r="V686" s="113"/>
      <c r="W686" s="113"/>
      <c r="X686" s="113"/>
      <c r="Y686" s="113"/>
    </row>
    <row r="687" spans="1:25" s="114" customFormat="1" ht="13.5" customHeight="1">
      <c r="A687" s="111"/>
      <c r="B687" s="111"/>
      <c r="C687" s="111"/>
      <c r="D687" s="111"/>
      <c r="E687" s="111"/>
      <c r="F687" s="111"/>
      <c r="G687" s="112"/>
      <c r="H687" s="111"/>
      <c r="I687" s="112"/>
      <c r="J687" s="113"/>
      <c r="K687" s="113"/>
      <c r="L687" s="113"/>
      <c r="M687" s="113"/>
      <c r="N687" s="113"/>
      <c r="O687" s="113"/>
      <c r="P687" s="113"/>
      <c r="Q687" s="113"/>
      <c r="R687" s="113"/>
      <c r="S687" s="113"/>
      <c r="T687" s="113"/>
      <c r="U687" s="113"/>
      <c r="V687" s="113"/>
      <c r="W687" s="113"/>
      <c r="X687" s="113"/>
      <c r="Y687" s="113"/>
    </row>
    <row r="688" spans="1:25" s="114" customFormat="1" ht="13.5" customHeight="1">
      <c r="A688" s="111"/>
      <c r="B688" s="111"/>
      <c r="C688" s="111"/>
      <c r="D688" s="111"/>
      <c r="E688" s="111"/>
      <c r="F688" s="111"/>
      <c r="G688" s="112"/>
      <c r="H688" s="111"/>
      <c r="I688" s="112"/>
      <c r="J688" s="113"/>
      <c r="K688" s="113"/>
      <c r="L688" s="113"/>
      <c r="M688" s="113"/>
      <c r="N688" s="113"/>
      <c r="O688" s="113"/>
      <c r="P688" s="113"/>
      <c r="Q688" s="113"/>
      <c r="R688" s="113"/>
      <c r="S688" s="113"/>
      <c r="T688" s="113"/>
      <c r="U688" s="113"/>
      <c r="V688" s="113"/>
      <c r="W688" s="113"/>
      <c r="X688" s="113"/>
      <c r="Y688" s="113"/>
    </row>
    <row r="689" spans="1:25" s="114" customFormat="1" ht="13.5" customHeight="1">
      <c r="A689" s="111"/>
      <c r="B689" s="111"/>
      <c r="C689" s="111"/>
      <c r="D689" s="111"/>
      <c r="E689" s="111"/>
      <c r="F689" s="111"/>
      <c r="G689" s="112"/>
      <c r="H689" s="111"/>
      <c r="I689" s="112"/>
      <c r="J689" s="113"/>
      <c r="K689" s="113"/>
      <c r="L689" s="113"/>
      <c r="M689" s="113"/>
      <c r="N689" s="113"/>
      <c r="O689" s="113"/>
      <c r="P689" s="113"/>
      <c r="Q689" s="113"/>
      <c r="R689" s="113"/>
      <c r="S689" s="113"/>
      <c r="T689" s="113"/>
      <c r="U689" s="113"/>
      <c r="V689" s="113"/>
      <c r="W689" s="113"/>
      <c r="X689" s="113"/>
      <c r="Y689" s="113"/>
    </row>
    <row r="690" spans="1:25" s="114" customFormat="1" ht="13.5" customHeight="1">
      <c r="A690" s="111"/>
      <c r="B690" s="111"/>
      <c r="C690" s="111"/>
      <c r="D690" s="111"/>
      <c r="E690" s="111"/>
      <c r="F690" s="111"/>
      <c r="G690" s="112"/>
      <c r="H690" s="111"/>
      <c r="I690" s="112"/>
      <c r="J690" s="113"/>
      <c r="K690" s="113"/>
      <c r="L690" s="113"/>
      <c r="M690" s="113"/>
      <c r="N690" s="113"/>
      <c r="O690" s="113"/>
      <c r="P690" s="113"/>
      <c r="Q690" s="113"/>
      <c r="R690" s="113"/>
      <c r="S690" s="113"/>
      <c r="T690" s="113"/>
      <c r="U690" s="113"/>
      <c r="V690" s="113"/>
      <c r="W690" s="113"/>
      <c r="X690" s="113"/>
      <c r="Y690" s="113"/>
    </row>
    <row r="691" spans="1:25" s="114" customFormat="1" ht="13.5" customHeight="1">
      <c r="A691" s="111"/>
      <c r="B691" s="111"/>
      <c r="C691" s="111"/>
      <c r="D691" s="111"/>
      <c r="E691" s="111"/>
      <c r="F691" s="111"/>
      <c r="G691" s="112"/>
      <c r="H691" s="111"/>
      <c r="I691" s="112"/>
      <c r="J691" s="113"/>
      <c r="K691" s="113"/>
      <c r="L691" s="113"/>
      <c r="M691" s="113"/>
      <c r="N691" s="113"/>
      <c r="O691" s="113"/>
      <c r="P691" s="113"/>
      <c r="Q691" s="113"/>
      <c r="R691" s="113"/>
      <c r="S691" s="113"/>
      <c r="T691" s="113"/>
      <c r="U691" s="113"/>
      <c r="V691" s="113"/>
      <c r="W691" s="113"/>
      <c r="X691" s="113"/>
      <c r="Y691" s="113"/>
    </row>
    <row r="692" spans="1:25" s="114" customFormat="1" ht="13.5" customHeight="1">
      <c r="A692" s="111"/>
      <c r="B692" s="111"/>
      <c r="C692" s="111"/>
      <c r="D692" s="111"/>
      <c r="E692" s="111"/>
      <c r="F692" s="111"/>
      <c r="G692" s="112"/>
      <c r="H692" s="111"/>
      <c r="I692" s="112"/>
      <c r="J692" s="113"/>
      <c r="K692" s="113"/>
      <c r="L692" s="113"/>
      <c r="M692" s="113"/>
      <c r="N692" s="113"/>
      <c r="O692" s="113"/>
      <c r="P692" s="113"/>
      <c r="Q692" s="113"/>
      <c r="R692" s="113"/>
      <c r="S692" s="113"/>
      <c r="T692" s="113"/>
      <c r="U692" s="113"/>
      <c r="V692" s="113"/>
      <c r="W692" s="113"/>
      <c r="X692" s="113"/>
      <c r="Y692" s="113"/>
    </row>
    <row r="693" spans="1:25" s="114" customFormat="1" ht="13.5" customHeight="1">
      <c r="A693" s="111"/>
      <c r="B693" s="111"/>
      <c r="C693" s="111"/>
      <c r="D693" s="111"/>
      <c r="E693" s="111"/>
      <c r="F693" s="111"/>
      <c r="G693" s="112"/>
      <c r="H693" s="111"/>
      <c r="I693" s="112"/>
      <c r="J693" s="113"/>
      <c r="K693" s="113"/>
      <c r="L693" s="113"/>
      <c r="M693" s="113"/>
      <c r="N693" s="113"/>
      <c r="O693" s="113"/>
      <c r="P693" s="113"/>
      <c r="Q693" s="113"/>
      <c r="R693" s="113"/>
      <c r="S693" s="113"/>
      <c r="T693" s="113"/>
      <c r="U693" s="113"/>
      <c r="V693" s="113"/>
      <c r="W693" s="113"/>
      <c r="X693" s="113"/>
      <c r="Y693" s="113"/>
    </row>
    <row r="694" spans="1:25" s="114" customFormat="1" ht="13.5" customHeight="1">
      <c r="A694" s="111"/>
      <c r="B694" s="111"/>
      <c r="C694" s="111"/>
      <c r="D694" s="111"/>
      <c r="E694" s="111"/>
      <c r="F694" s="111"/>
      <c r="G694" s="112"/>
      <c r="H694" s="111"/>
      <c r="I694" s="112"/>
      <c r="J694" s="113"/>
      <c r="K694" s="113"/>
      <c r="L694" s="113"/>
      <c r="M694" s="113"/>
      <c r="N694" s="113"/>
      <c r="O694" s="113"/>
      <c r="P694" s="113"/>
      <c r="Q694" s="113"/>
      <c r="R694" s="113"/>
      <c r="S694" s="113"/>
      <c r="T694" s="113"/>
      <c r="U694" s="113"/>
      <c r="V694" s="113"/>
      <c r="W694" s="113"/>
      <c r="X694" s="113"/>
      <c r="Y694" s="113"/>
    </row>
    <row r="695" spans="1:25" s="114" customFormat="1" ht="13.5" customHeight="1">
      <c r="A695" s="111"/>
      <c r="B695" s="111"/>
      <c r="C695" s="111"/>
      <c r="D695" s="111"/>
      <c r="E695" s="111"/>
      <c r="F695" s="111"/>
      <c r="G695" s="112"/>
      <c r="H695" s="111"/>
      <c r="I695" s="112"/>
      <c r="J695" s="113"/>
      <c r="K695" s="113"/>
      <c r="L695" s="113"/>
      <c r="M695" s="113"/>
      <c r="N695" s="113"/>
      <c r="O695" s="113"/>
      <c r="P695" s="113"/>
      <c r="Q695" s="113"/>
      <c r="R695" s="113"/>
      <c r="S695" s="113"/>
      <c r="T695" s="113"/>
      <c r="U695" s="113"/>
      <c r="V695" s="113"/>
      <c r="W695" s="113"/>
      <c r="X695" s="113"/>
      <c r="Y695" s="113"/>
    </row>
    <row r="696" spans="1:25" s="114" customFormat="1" ht="13.5" customHeight="1">
      <c r="A696" s="111"/>
      <c r="B696" s="111"/>
      <c r="C696" s="111"/>
      <c r="D696" s="111"/>
      <c r="E696" s="111"/>
      <c r="F696" s="111"/>
      <c r="G696" s="112"/>
      <c r="H696" s="111"/>
      <c r="I696" s="112"/>
      <c r="J696" s="113"/>
      <c r="K696" s="113"/>
      <c r="L696" s="113"/>
      <c r="M696" s="113"/>
      <c r="N696" s="113"/>
      <c r="O696" s="113"/>
      <c r="P696" s="113"/>
      <c r="Q696" s="113"/>
      <c r="R696" s="113"/>
      <c r="S696" s="113"/>
      <c r="T696" s="113"/>
      <c r="U696" s="113"/>
      <c r="V696" s="113"/>
      <c r="W696" s="113"/>
      <c r="X696" s="113"/>
      <c r="Y696" s="113"/>
    </row>
    <row r="697" spans="1:25" s="114" customFormat="1" ht="13.5" customHeight="1">
      <c r="A697" s="111"/>
      <c r="B697" s="111"/>
      <c r="C697" s="111"/>
      <c r="D697" s="111"/>
      <c r="E697" s="111"/>
      <c r="F697" s="111"/>
      <c r="G697" s="112"/>
      <c r="H697" s="111"/>
      <c r="I697" s="112"/>
      <c r="J697" s="113"/>
      <c r="K697" s="113"/>
      <c r="L697" s="113"/>
      <c r="M697" s="113"/>
      <c r="N697" s="113"/>
      <c r="O697" s="113"/>
      <c r="P697" s="113"/>
      <c r="Q697" s="113"/>
      <c r="R697" s="113"/>
      <c r="S697" s="113"/>
      <c r="T697" s="113"/>
      <c r="U697" s="113"/>
      <c r="V697" s="113"/>
      <c r="W697" s="113"/>
      <c r="X697" s="113"/>
      <c r="Y697" s="113"/>
    </row>
    <row r="698" spans="1:25" s="114" customFormat="1" ht="13.5" customHeight="1">
      <c r="A698" s="111"/>
      <c r="B698" s="111"/>
      <c r="C698" s="111"/>
      <c r="D698" s="111"/>
      <c r="E698" s="111"/>
      <c r="F698" s="111"/>
      <c r="G698" s="112"/>
      <c r="H698" s="111"/>
      <c r="I698" s="112"/>
      <c r="J698" s="113"/>
      <c r="K698" s="113"/>
      <c r="L698" s="113"/>
      <c r="M698" s="113"/>
      <c r="N698" s="113"/>
      <c r="O698" s="113"/>
      <c r="P698" s="113"/>
      <c r="Q698" s="113"/>
      <c r="R698" s="113"/>
      <c r="S698" s="113"/>
      <c r="T698" s="113"/>
      <c r="U698" s="113"/>
      <c r="V698" s="113"/>
      <c r="W698" s="113"/>
      <c r="X698" s="113"/>
      <c r="Y698" s="113"/>
    </row>
    <row r="699" spans="1:25" s="114" customFormat="1" ht="13.5" customHeight="1">
      <c r="A699" s="111"/>
      <c r="B699" s="111"/>
      <c r="C699" s="111"/>
      <c r="D699" s="111"/>
      <c r="E699" s="111"/>
      <c r="F699" s="111"/>
      <c r="G699" s="112"/>
      <c r="H699" s="111"/>
      <c r="I699" s="112"/>
      <c r="J699" s="113"/>
      <c r="K699" s="113"/>
      <c r="L699" s="113"/>
      <c r="M699" s="113"/>
      <c r="N699" s="113"/>
      <c r="O699" s="113"/>
      <c r="P699" s="113"/>
      <c r="Q699" s="113"/>
      <c r="R699" s="113"/>
      <c r="S699" s="113"/>
      <c r="T699" s="113"/>
      <c r="U699" s="113"/>
      <c r="V699" s="113"/>
      <c r="W699" s="113"/>
      <c r="X699" s="113"/>
      <c r="Y699" s="113"/>
    </row>
    <row r="700" spans="1:25" s="114" customFormat="1" ht="13.5" customHeight="1">
      <c r="A700" s="111"/>
      <c r="B700" s="111"/>
      <c r="C700" s="111"/>
      <c r="D700" s="111"/>
      <c r="E700" s="111"/>
      <c r="F700" s="111"/>
      <c r="G700" s="112"/>
      <c r="H700" s="111"/>
      <c r="I700" s="112"/>
      <c r="J700" s="113"/>
      <c r="K700" s="113"/>
      <c r="L700" s="113"/>
      <c r="M700" s="113"/>
      <c r="N700" s="113"/>
      <c r="O700" s="113"/>
      <c r="P700" s="113"/>
      <c r="Q700" s="113"/>
      <c r="R700" s="113"/>
      <c r="S700" s="113"/>
      <c r="T700" s="113"/>
      <c r="U700" s="113"/>
      <c r="V700" s="113"/>
      <c r="W700" s="113"/>
      <c r="X700" s="113"/>
      <c r="Y700" s="113"/>
    </row>
    <row r="701" spans="1:25" s="114" customFormat="1" ht="13.5" customHeight="1">
      <c r="A701" s="111"/>
      <c r="B701" s="111"/>
      <c r="C701" s="111"/>
      <c r="D701" s="111"/>
      <c r="E701" s="111"/>
      <c r="F701" s="111"/>
      <c r="G701" s="112"/>
      <c r="H701" s="111"/>
      <c r="I701" s="112"/>
      <c r="J701" s="113"/>
      <c r="K701" s="113"/>
      <c r="L701" s="113"/>
      <c r="M701" s="113"/>
      <c r="N701" s="113"/>
      <c r="O701" s="113"/>
      <c r="P701" s="113"/>
      <c r="Q701" s="113"/>
      <c r="R701" s="113"/>
      <c r="S701" s="113"/>
      <c r="T701" s="113"/>
      <c r="U701" s="113"/>
      <c r="V701" s="113"/>
      <c r="W701" s="113"/>
      <c r="X701" s="113"/>
      <c r="Y701" s="113"/>
    </row>
    <row r="702" spans="1:25" s="114" customFormat="1" ht="13.5" customHeight="1">
      <c r="A702" s="111"/>
      <c r="B702" s="111"/>
      <c r="C702" s="111"/>
      <c r="D702" s="111"/>
      <c r="E702" s="111"/>
      <c r="F702" s="111"/>
      <c r="G702" s="112"/>
      <c r="H702" s="111"/>
      <c r="I702" s="112"/>
      <c r="J702" s="113"/>
      <c r="K702" s="113"/>
      <c r="L702" s="113"/>
      <c r="M702" s="113"/>
      <c r="N702" s="113"/>
      <c r="O702" s="113"/>
      <c r="P702" s="113"/>
      <c r="Q702" s="113"/>
      <c r="R702" s="113"/>
      <c r="S702" s="113"/>
      <c r="T702" s="113"/>
      <c r="U702" s="113"/>
      <c r="V702" s="113"/>
      <c r="W702" s="113"/>
      <c r="X702" s="113"/>
      <c r="Y702" s="113"/>
    </row>
    <row r="703" spans="1:25" s="114" customFormat="1" ht="13.5" customHeight="1">
      <c r="A703" s="111"/>
      <c r="B703" s="111"/>
      <c r="C703" s="111"/>
      <c r="D703" s="111"/>
      <c r="E703" s="111"/>
      <c r="F703" s="111"/>
      <c r="G703" s="112"/>
      <c r="H703" s="111"/>
      <c r="I703" s="112"/>
      <c r="J703" s="113"/>
      <c r="K703" s="113"/>
      <c r="L703" s="113"/>
      <c r="M703" s="113"/>
      <c r="N703" s="113"/>
      <c r="O703" s="113"/>
      <c r="P703" s="113"/>
      <c r="Q703" s="113"/>
      <c r="R703" s="113"/>
      <c r="S703" s="113"/>
      <c r="T703" s="113"/>
      <c r="U703" s="113"/>
      <c r="V703" s="113"/>
      <c r="W703" s="113"/>
      <c r="X703" s="113"/>
      <c r="Y703" s="113"/>
    </row>
    <row r="704" spans="1:25" s="114" customFormat="1" ht="13.5" customHeight="1">
      <c r="A704" s="111"/>
      <c r="B704" s="111"/>
      <c r="C704" s="111"/>
      <c r="D704" s="111"/>
      <c r="E704" s="111"/>
      <c r="F704" s="111"/>
      <c r="G704" s="112"/>
      <c r="H704" s="111"/>
      <c r="I704" s="112"/>
      <c r="J704" s="113"/>
      <c r="K704" s="113"/>
      <c r="L704" s="113"/>
      <c r="M704" s="113"/>
      <c r="N704" s="113"/>
      <c r="O704" s="113"/>
      <c r="P704" s="113"/>
      <c r="Q704" s="113"/>
      <c r="R704" s="113"/>
      <c r="S704" s="113"/>
      <c r="T704" s="113"/>
      <c r="U704" s="113"/>
      <c r="V704" s="113"/>
      <c r="W704" s="113"/>
      <c r="X704" s="113"/>
      <c r="Y704" s="113"/>
    </row>
    <row r="705" spans="1:25" s="114" customFormat="1" ht="13.5" customHeight="1">
      <c r="A705" s="111"/>
      <c r="B705" s="111"/>
      <c r="C705" s="111"/>
      <c r="D705" s="111"/>
      <c r="E705" s="111"/>
      <c r="F705" s="111"/>
      <c r="G705" s="112"/>
      <c r="H705" s="111"/>
      <c r="I705" s="112"/>
      <c r="J705" s="113"/>
      <c r="K705" s="113"/>
      <c r="L705" s="113"/>
      <c r="M705" s="113"/>
      <c r="N705" s="113"/>
      <c r="O705" s="113"/>
      <c r="P705" s="113"/>
      <c r="Q705" s="113"/>
      <c r="R705" s="113"/>
      <c r="S705" s="113"/>
      <c r="T705" s="113"/>
      <c r="U705" s="113"/>
      <c r="V705" s="113"/>
      <c r="W705" s="113"/>
      <c r="X705" s="113"/>
      <c r="Y705" s="113"/>
    </row>
    <row r="706" spans="1:25" s="114" customFormat="1" ht="13.5" customHeight="1">
      <c r="A706" s="111"/>
      <c r="B706" s="111"/>
      <c r="C706" s="111"/>
      <c r="D706" s="111"/>
      <c r="E706" s="111"/>
      <c r="F706" s="111"/>
      <c r="G706" s="112"/>
      <c r="H706" s="111"/>
      <c r="I706" s="112"/>
      <c r="J706" s="113"/>
      <c r="K706" s="113"/>
      <c r="L706" s="113"/>
      <c r="M706" s="113"/>
      <c r="N706" s="113"/>
      <c r="O706" s="113"/>
      <c r="P706" s="113"/>
      <c r="Q706" s="113"/>
      <c r="R706" s="113"/>
      <c r="S706" s="113"/>
      <c r="T706" s="113"/>
      <c r="U706" s="113"/>
      <c r="V706" s="113"/>
      <c r="W706" s="113"/>
      <c r="X706" s="113"/>
      <c r="Y706" s="113"/>
    </row>
    <row r="707" spans="1:25" s="114" customFormat="1" ht="13.5" customHeight="1">
      <c r="A707" s="111"/>
      <c r="B707" s="111"/>
      <c r="C707" s="111"/>
      <c r="D707" s="111"/>
      <c r="E707" s="111"/>
      <c r="F707" s="111"/>
      <c r="G707" s="112"/>
      <c r="H707" s="111"/>
      <c r="I707" s="112"/>
      <c r="J707" s="113"/>
      <c r="K707" s="113"/>
      <c r="L707" s="113"/>
      <c r="M707" s="113"/>
      <c r="N707" s="113"/>
      <c r="O707" s="113"/>
      <c r="P707" s="113"/>
      <c r="Q707" s="113"/>
      <c r="R707" s="113"/>
      <c r="S707" s="113"/>
      <c r="T707" s="113"/>
      <c r="U707" s="113"/>
      <c r="V707" s="113"/>
      <c r="W707" s="113"/>
      <c r="X707" s="113"/>
      <c r="Y707" s="113"/>
    </row>
    <row r="708" spans="1:25" s="114" customFormat="1" ht="13.5" customHeight="1">
      <c r="A708" s="111"/>
      <c r="B708" s="111"/>
      <c r="C708" s="111"/>
      <c r="D708" s="111"/>
      <c r="E708" s="111"/>
      <c r="F708" s="111"/>
      <c r="G708" s="112"/>
      <c r="H708" s="111"/>
      <c r="I708" s="112"/>
      <c r="J708" s="113"/>
      <c r="K708" s="113"/>
      <c r="L708" s="113"/>
      <c r="M708" s="113"/>
      <c r="N708" s="113"/>
      <c r="O708" s="113"/>
      <c r="P708" s="113"/>
      <c r="Q708" s="113"/>
      <c r="R708" s="113"/>
      <c r="S708" s="113"/>
      <c r="T708" s="113"/>
      <c r="U708" s="113"/>
      <c r="V708" s="113"/>
      <c r="W708" s="113"/>
      <c r="X708" s="113"/>
      <c r="Y708" s="113"/>
    </row>
    <row r="709" spans="1:25" s="114" customFormat="1" ht="13.5" customHeight="1">
      <c r="A709" s="111"/>
      <c r="B709" s="111"/>
      <c r="C709" s="111"/>
      <c r="D709" s="111"/>
      <c r="E709" s="111"/>
      <c r="F709" s="111"/>
      <c r="G709" s="112"/>
      <c r="H709" s="111"/>
      <c r="I709" s="112"/>
      <c r="J709" s="113"/>
      <c r="K709" s="113"/>
      <c r="L709" s="113"/>
      <c r="M709" s="113"/>
      <c r="N709" s="113"/>
      <c r="O709" s="113"/>
      <c r="P709" s="113"/>
      <c r="Q709" s="113"/>
      <c r="R709" s="113"/>
      <c r="S709" s="113"/>
      <c r="T709" s="113"/>
      <c r="U709" s="113"/>
      <c r="V709" s="113"/>
      <c r="W709" s="113"/>
      <c r="X709" s="113"/>
      <c r="Y709" s="113"/>
    </row>
    <row r="710" spans="1:25" s="114" customFormat="1" ht="13.5" customHeight="1">
      <c r="A710" s="111"/>
      <c r="B710" s="111"/>
      <c r="C710" s="111"/>
      <c r="D710" s="111"/>
      <c r="E710" s="111"/>
      <c r="F710" s="111"/>
      <c r="G710" s="112"/>
      <c r="H710" s="111"/>
      <c r="I710" s="112"/>
      <c r="J710" s="113"/>
      <c r="K710" s="113"/>
      <c r="L710" s="113"/>
      <c r="M710" s="113"/>
      <c r="N710" s="113"/>
      <c r="O710" s="113"/>
      <c r="P710" s="113"/>
      <c r="Q710" s="113"/>
      <c r="R710" s="113"/>
      <c r="S710" s="113"/>
      <c r="T710" s="113"/>
      <c r="U710" s="113"/>
      <c r="V710" s="113"/>
      <c r="W710" s="113"/>
      <c r="X710" s="113"/>
      <c r="Y710" s="113"/>
    </row>
    <row r="711" spans="1:25" s="114" customFormat="1" ht="13.5" customHeight="1">
      <c r="A711" s="111"/>
      <c r="B711" s="111"/>
      <c r="C711" s="111"/>
      <c r="D711" s="111"/>
      <c r="E711" s="111"/>
      <c r="F711" s="111"/>
      <c r="G711" s="112"/>
      <c r="H711" s="111"/>
      <c r="I711" s="112"/>
      <c r="J711" s="113"/>
      <c r="K711" s="113"/>
      <c r="L711" s="113"/>
      <c r="M711" s="113"/>
      <c r="N711" s="113"/>
      <c r="O711" s="113"/>
      <c r="P711" s="113"/>
      <c r="Q711" s="113"/>
      <c r="R711" s="113"/>
      <c r="S711" s="113"/>
      <c r="T711" s="113"/>
      <c r="U711" s="113"/>
      <c r="V711" s="113"/>
      <c r="W711" s="113"/>
      <c r="X711" s="113"/>
      <c r="Y711" s="113"/>
    </row>
    <row r="712" spans="1:25" s="114" customFormat="1" ht="13.5" customHeight="1">
      <c r="A712" s="111"/>
      <c r="B712" s="111"/>
      <c r="C712" s="111"/>
      <c r="D712" s="111"/>
      <c r="E712" s="111"/>
      <c r="F712" s="111"/>
      <c r="G712" s="112"/>
      <c r="H712" s="111"/>
      <c r="I712" s="112"/>
      <c r="J712" s="113"/>
      <c r="K712" s="113"/>
      <c r="L712" s="113"/>
      <c r="M712" s="113"/>
      <c r="N712" s="113"/>
      <c r="O712" s="113"/>
      <c r="P712" s="113"/>
      <c r="Q712" s="113"/>
      <c r="R712" s="113"/>
      <c r="S712" s="113"/>
      <c r="T712" s="113"/>
      <c r="U712" s="113"/>
      <c r="V712" s="113"/>
      <c r="W712" s="113"/>
      <c r="X712" s="113"/>
      <c r="Y712" s="113"/>
    </row>
    <row r="713" spans="1:25" s="114" customFormat="1" ht="13.5" customHeight="1">
      <c r="A713" s="111"/>
      <c r="B713" s="111"/>
      <c r="C713" s="111"/>
      <c r="D713" s="111"/>
      <c r="E713" s="111"/>
      <c r="F713" s="111"/>
      <c r="G713" s="112"/>
      <c r="H713" s="111"/>
      <c r="I713" s="112"/>
      <c r="J713" s="113"/>
      <c r="K713" s="113"/>
      <c r="L713" s="113"/>
      <c r="M713" s="113"/>
      <c r="N713" s="113"/>
      <c r="O713" s="113"/>
      <c r="P713" s="113"/>
      <c r="Q713" s="113"/>
      <c r="R713" s="113"/>
      <c r="S713" s="113"/>
      <c r="T713" s="113"/>
      <c r="U713" s="113"/>
      <c r="V713" s="113"/>
      <c r="W713" s="113"/>
      <c r="X713" s="113"/>
      <c r="Y713" s="113"/>
    </row>
    <row r="714" spans="1:25" s="114" customFormat="1" ht="13.5" customHeight="1">
      <c r="A714" s="111"/>
      <c r="B714" s="111"/>
      <c r="C714" s="111"/>
      <c r="D714" s="111"/>
      <c r="E714" s="111"/>
      <c r="F714" s="111"/>
      <c r="G714" s="112"/>
      <c r="H714" s="111"/>
      <c r="I714" s="112"/>
      <c r="J714" s="113"/>
      <c r="K714" s="113"/>
      <c r="L714" s="113"/>
      <c r="M714" s="113"/>
      <c r="N714" s="113"/>
      <c r="O714" s="113"/>
      <c r="P714" s="113"/>
      <c r="Q714" s="113"/>
      <c r="R714" s="113"/>
      <c r="S714" s="113"/>
      <c r="T714" s="113"/>
      <c r="U714" s="113"/>
      <c r="V714" s="113"/>
      <c r="W714" s="113"/>
      <c r="X714" s="113"/>
      <c r="Y714" s="113"/>
    </row>
    <row r="715" spans="1:25" s="114" customFormat="1" ht="13.5" customHeight="1">
      <c r="A715" s="111"/>
      <c r="B715" s="111"/>
      <c r="C715" s="111"/>
      <c r="D715" s="111"/>
      <c r="E715" s="111"/>
      <c r="F715" s="111"/>
      <c r="G715" s="112"/>
      <c r="H715" s="111"/>
      <c r="I715" s="112"/>
      <c r="J715" s="113"/>
      <c r="K715" s="113"/>
      <c r="L715" s="113"/>
      <c r="M715" s="113"/>
      <c r="N715" s="113"/>
      <c r="O715" s="113"/>
      <c r="P715" s="113"/>
      <c r="Q715" s="113"/>
      <c r="R715" s="113"/>
      <c r="S715" s="113"/>
      <c r="T715" s="113"/>
      <c r="U715" s="113"/>
      <c r="V715" s="113"/>
      <c r="W715" s="113"/>
      <c r="X715" s="113"/>
      <c r="Y715" s="113"/>
    </row>
    <row r="716" spans="1:25" s="114" customFormat="1" ht="13.5" customHeight="1">
      <c r="A716" s="111"/>
      <c r="B716" s="111"/>
      <c r="C716" s="111"/>
      <c r="D716" s="111"/>
      <c r="E716" s="111"/>
      <c r="F716" s="111"/>
      <c r="G716" s="112"/>
      <c r="H716" s="111"/>
      <c r="I716" s="112"/>
      <c r="J716" s="113"/>
      <c r="K716" s="113"/>
      <c r="L716" s="113"/>
      <c r="M716" s="113"/>
      <c r="N716" s="113"/>
      <c r="O716" s="113"/>
      <c r="P716" s="113"/>
      <c r="Q716" s="113"/>
      <c r="R716" s="113"/>
      <c r="S716" s="113"/>
      <c r="T716" s="113"/>
      <c r="U716" s="113"/>
      <c r="V716" s="113"/>
      <c r="W716" s="113"/>
      <c r="X716" s="113"/>
      <c r="Y716" s="113"/>
    </row>
    <row r="717" spans="1:25" s="114" customFormat="1" ht="13.5" customHeight="1">
      <c r="A717" s="111"/>
      <c r="B717" s="111"/>
      <c r="C717" s="111"/>
      <c r="D717" s="111"/>
      <c r="E717" s="111"/>
      <c r="F717" s="111"/>
      <c r="G717" s="112"/>
      <c r="H717" s="111"/>
      <c r="I717" s="112"/>
      <c r="J717" s="113"/>
      <c r="K717" s="113"/>
      <c r="L717" s="113"/>
      <c r="M717" s="113"/>
      <c r="N717" s="113"/>
      <c r="O717" s="113"/>
      <c r="P717" s="113"/>
      <c r="Q717" s="113"/>
      <c r="R717" s="113"/>
      <c r="S717" s="113"/>
      <c r="T717" s="113"/>
      <c r="U717" s="113"/>
      <c r="V717" s="113"/>
      <c r="W717" s="113"/>
      <c r="X717" s="113"/>
      <c r="Y717" s="113"/>
    </row>
    <row r="718" spans="1:25" s="114" customFormat="1" ht="13.5" customHeight="1">
      <c r="A718" s="111"/>
      <c r="B718" s="111"/>
      <c r="C718" s="111"/>
      <c r="D718" s="111"/>
      <c r="E718" s="111"/>
      <c r="F718" s="111"/>
      <c r="G718" s="112"/>
      <c r="H718" s="111"/>
      <c r="I718" s="112"/>
      <c r="J718" s="113"/>
      <c r="K718" s="113"/>
      <c r="L718" s="113"/>
      <c r="M718" s="113"/>
      <c r="N718" s="113"/>
      <c r="O718" s="113"/>
      <c r="P718" s="113"/>
      <c r="Q718" s="113"/>
      <c r="R718" s="113"/>
      <c r="S718" s="113"/>
      <c r="T718" s="113"/>
      <c r="U718" s="113"/>
      <c r="V718" s="113"/>
      <c r="W718" s="113"/>
      <c r="X718" s="113"/>
      <c r="Y718" s="113"/>
    </row>
    <row r="719" spans="1:25" s="114" customFormat="1" ht="13.5" customHeight="1">
      <c r="A719" s="111"/>
      <c r="B719" s="111"/>
      <c r="C719" s="111"/>
      <c r="D719" s="111"/>
      <c r="E719" s="111"/>
      <c r="F719" s="111"/>
      <c r="G719" s="112"/>
      <c r="H719" s="111"/>
      <c r="I719" s="112"/>
      <c r="J719" s="113"/>
      <c r="K719" s="113"/>
      <c r="L719" s="113"/>
      <c r="M719" s="113"/>
      <c r="N719" s="113"/>
      <c r="O719" s="113"/>
      <c r="P719" s="113"/>
      <c r="Q719" s="113"/>
      <c r="R719" s="113"/>
      <c r="S719" s="113"/>
      <c r="T719" s="113"/>
      <c r="U719" s="113"/>
      <c r="V719" s="113"/>
      <c r="W719" s="113"/>
      <c r="X719" s="113"/>
      <c r="Y719" s="113"/>
    </row>
    <row r="720" spans="1:25" s="114" customFormat="1" ht="13.5" customHeight="1">
      <c r="A720" s="111"/>
      <c r="B720" s="111"/>
      <c r="C720" s="111"/>
      <c r="D720" s="111"/>
      <c r="E720" s="111"/>
      <c r="F720" s="111"/>
      <c r="G720" s="112"/>
      <c r="H720" s="111"/>
      <c r="I720" s="112"/>
      <c r="J720" s="113"/>
      <c r="K720" s="113"/>
      <c r="L720" s="113"/>
      <c r="M720" s="113"/>
      <c r="N720" s="113"/>
      <c r="O720" s="113"/>
      <c r="P720" s="113"/>
      <c r="Q720" s="113"/>
      <c r="R720" s="113"/>
      <c r="S720" s="113"/>
      <c r="T720" s="113"/>
      <c r="U720" s="113"/>
      <c r="V720" s="113"/>
      <c r="W720" s="113"/>
      <c r="X720" s="113"/>
      <c r="Y720" s="113"/>
    </row>
    <row r="721" spans="1:25" s="114" customFormat="1" ht="13.5" customHeight="1">
      <c r="A721" s="111"/>
      <c r="B721" s="111"/>
      <c r="C721" s="111"/>
      <c r="D721" s="111"/>
      <c r="E721" s="111"/>
      <c r="F721" s="111"/>
      <c r="G721" s="112"/>
      <c r="H721" s="111"/>
      <c r="I721" s="112"/>
      <c r="J721" s="113"/>
      <c r="K721" s="113"/>
      <c r="L721" s="113"/>
      <c r="M721" s="113"/>
      <c r="N721" s="113"/>
      <c r="O721" s="113"/>
      <c r="P721" s="113"/>
      <c r="Q721" s="113"/>
      <c r="R721" s="113"/>
      <c r="S721" s="113"/>
      <c r="T721" s="113"/>
      <c r="U721" s="113"/>
      <c r="V721" s="113"/>
      <c r="W721" s="113"/>
      <c r="X721" s="113"/>
      <c r="Y721" s="113"/>
    </row>
    <row r="722" spans="1:25" s="114" customFormat="1" ht="13.5" customHeight="1">
      <c r="A722" s="111"/>
      <c r="B722" s="111"/>
      <c r="C722" s="111"/>
      <c r="D722" s="111"/>
      <c r="E722" s="111"/>
      <c r="F722" s="111"/>
      <c r="G722" s="112"/>
      <c r="H722" s="111"/>
      <c r="I722" s="112"/>
      <c r="J722" s="113"/>
      <c r="K722" s="113"/>
      <c r="L722" s="113"/>
      <c r="M722" s="113"/>
      <c r="N722" s="113"/>
      <c r="O722" s="113"/>
      <c r="P722" s="113"/>
      <c r="Q722" s="113"/>
      <c r="R722" s="113"/>
      <c r="S722" s="113"/>
      <c r="T722" s="113"/>
      <c r="U722" s="113"/>
      <c r="V722" s="113"/>
      <c r="W722" s="113"/>
      <c r="X722" s="113"/>
      <c r="Y722" s="113"/>
    </row>
    <row r="723" spans="1:25" s="114" customFormat="1" ht="13.5" customHeight="1">
      <c r="A723" s="111"/>
      <c r="B723" s="111"/>
      <c r="C723" s="111"/>
      <c r="D723" s="111"/>
      <c r="E723" s="111"/>
      <c r="F723" s="111"/>
      <c r="G723" s="112"/>
      <c r="H723" s="111"/>
      <c r="I723" s="112"/>
      <c r="J723" s="113"/>
      <c r="K723" s="113"/>
      <c r="L723" s="113"/>
      <c r="M723" s="113"/>
      <c r="N723" s="113"/>
      <c r="O723" s="113"/>
      <c r="P723" s="113"/>
      <c r="Q723" s="113"/>
      <c r="R723" s="113"/>
      <c r="S723" s="113"/>
      <c r="T723" s="113"/>
      <c r="U723" s="113"/>
      <c r="V723" s="113"/>
      <c r="W723" s="113"/>
      <c r="X723" s="113"/>
      <c r="Y723" s="113"/>
    </row>
    <row r="724" spans="1:25" s="114" customFormat="1" ht="13.5" customHeight="1">
      <c r="A724" s="111"/>
      <c r="B724" s="111"/>
      <c r="C724" s="111"/>
      <c r="D724" s="111"/>
      <c r="E724" s="111"/>
      <c r="F724" s="111"/>
      <c r="G724" s="112"/>
      <c r="H724" s="111"/>
      <c r="I724" s="112"/>
      <c r="J724" s="113"/>
      <c r="K724" s="113"/>
      <c r="L724" s="113"/>
      <c r="M724" s="113"/>
      <c r="N724" s="113"/>
      <c r="O724" s="113"/>
      <c r="P724" s="113"/>
      <c r="Q724" s="113"/>
      <c r="R724" s="113"/>
      <c r="S724" s="113"/>
      <c r="T724" s="113"/>
      <c r="U724" s="113"/>
      <c r="V724" s="113"/>
      <c r="W724" s="113"/>
      <c r="X724" s="113"/>
      <c r="Y724" s="113"/>
    </row>
    <row r="725" spans="1:25" s="114" customFormat="1" ht="13.5" customHeight="1">
      <c r="A725" s="111"/>
      <c r="B725" s="111"/>
      <c r="C725" s="111"/>
      <c r="D725" s="111"/>
      <c r="E725" s="111"/>
      <c r="F725" s="111"/>
      <c r="G725" s="112"/>
      <c r="H725" s="111"/>
      <c r="I725" s="112"/>
      <c r="J725" s="113"/>
      <c r="K725" s="113"/>
      <c r="L725" s="113"/>
      <c r="M725" s="113"/>
      <c r="N725" s="113"/>
      <c r="O725" s="113"/>
      <c r="P725" s="113"/>
      <c r="Q725" s="113"/>
      <c r="R725" s="113"/>
      <c r="S725" s="113"/>
      <c r="T725" s="113"/>
      <c r="U725" s="113"/>
      <c r="V725" s="113"/>
      <c r="W725" s="113"/>
      <c r="X725" s="113"/>
      <c r="Y725" s="113"/>
    </row>
    <row r="726" spans="1:25" s="114" customFormat="1" ht="13.5" customHeight="1">
      <c r="A726" s="111"/>
      <c r="B726" s="111"/>
      <c r="C726" s="111"/>
      <c r="D726" s="111"/>
      <c r="E726" s="111"/>
      <c r="F726" s="111"/>
      <c r="G726" s="112"/>
      <c r="H726" s="111"/>
      <c r="I726" s="112"/>
      <c r="J726" s="113"/>
      <c r="K726" s="113"/>
      <c r="L726" s="113"/>
      <c r="M726" s="113"/>
      <c r="N726" s="113"/>
      <c r="O726" s="113"/>
      <c r="P726" s="113"/>
      <c r="Q726" s="113"/>
      <c r="R726" s="113"/>
      <c r="S726" s="113"/>
      <c r="T726" s="113"/>
      <c r="U726" s="113"/>
      <c r="V726" s="113"/>
      <c r="W726" s="113"/>
      <c r="X726" s="113"/>
      <c r="Y726" s="113"/>
    </row>
    <row r="727" spans="1:25" s="114" customFormat="1" ht="13.5" customHeight="1">
      <c r="A727" s="111"/>
      <c r="B727" s="111"/>
      <c r="C727" s="111"/>
      <c r="D727" s="111"/>
      <c r="E727" s="111"/>
      <c r="F727" s="111"/>
      <c r="G727" s="112"/>
      <c r="H727" s="111"/>
      <c r="I727" s="112"/>
      <c r="J727" s="113"/>
      <c r="K727" s="113"/>
      <c r="L727" s="113"/>
      <c r="M727" s="113"/>
      <c r="N727" s="113"/>
      <c r="O727" s="113"/>
      <c r="P727" s="113"/>
      <c r="Q727" s="113"/>
      <c r="R727" s="113"/>
      <c r="S727" s="113"/>
      <c r="T727" s="113"/>
      <c r="U727" s="113"/>
      <c r="V727" s="113"/>
      <c r="W727" s="113"/>
      <c r="X727" s="113"/>
      <c r="Y727" s="113"/>
    </row>
    <row r="728" spans="1:25" s="114" customFormat="1" ht="13.5" customHeight="1">
      <c r="A728" s="111"/>
      <c r="B728" s="111"/>
      <c r="C728" s="111"/>
      <c r="D728" s="111"/>
      <c r="E728" s="111"/>
      <c r="F728" s="111"/>
      <c r="G728" s="112"/>
      <c r="H728" s="111"/>
      <c r="I728" s="112"/>
      <c r="J728" s="113"/>
      <c r="K728" s="113"/>
      <c r="L728" s="113"/>
      <c r="M728" s="113"/>
      <c r="N728" s="113"/>
      <c r="O728" s="113"/>
      <c r="P728" s="113"/>
      <c r="Q728" s="113"/>
      <c r="R728" s="113"/>
      <c r="S728" s="113"/>
      <c r="T728" s="113"/>
      <c r="U728" s="113"/>
      <c r="V728" s="113"/>
      <c r="W728" s="113"/>
      <c r="X728" s="113"/>
      <c r="Y728" s="113"/>
    </row>
    <row r="729" spans="1:25" s="114" customFormat="1" ht="13.5" customHeight="1">
      <c r="A729" s="111"/>
      <c r="B729" s="111"/>
      <c r="C729" s="111"/>
      <c r="D729" s="111"/>
      <c r="E729" s="111"/>
      <c r="F729" s="111"/>
      <c r="G729" s="112"/>
      <c r="H729" s="111"/>
      <c r="I729" s="112"/>
      <c r="J729" s="113"/>
      <c r="K729" s="113"/>
      <c r="L729" s="113"/>
      <c r="M729" s="113"/>
      <c r="N729" s="113"/>
      <c r="O729" s="113"/>
      <c r="P729" s="113"/>
      <c r="Q729" s="113"/>
      <c r="R729" s="113"/>
      <c r="S729" s="113"/>
      <c r="T729" s="113"/>
      <c r="U729" s="113"/>
      <c r="V729" s="113"/>
      <c r="W729" s="113"/>
      <c r="X729" s="113"/>
      <c r="Y729" s="113"/>
    </row>
    <row r="730" spans="1:25" s="114" customFormat="1" ht="13.5" customHeight="1">
      <c r="A730" s="111"/>
      <c r="B730" s="111"/>
      <c r="C730" s="111"/>
      <c r="D730" s="111"/>
      <c r="E730" s="111"/>
      <c r="F730" s="111"/>
      <c r="G730" s="112"/>
      <c r="H730" s="111"/>
      <c r="I730" s="112"/>
      <c r="J730" s="113"/>
      <c r="K730" s="113"/>
      <c r="L730" s="113"/>
      <c r="M730" s="113"/>
      <c r="N730" s="113"/>
      <c r="O730" s="113"/>
      <c r="P730" s="113"/>
      <c r="Q730" s="113"/>
      <c r="R730" s="113"/>
      <c r="S730" s="113"/>
      <c r="T730" s="113"/>
      <c r="U730" s="113"/>
      <c r="V730" s="113"/>
      <c r="W730" s="113"/>
      <c r="X730" s="113"/>
      <c r="Y730" s="113"/>
    </row>
    <row r="731" spans="1:25" s="114" customFormat="1" ht="13.5" customHeight="1">
      <c r="A731" s="111"/>
      <c r="B731" s="111"/>
      <c r="C731" s="111"/>
      <c r="D731" s="111"/>
      <c r="E731" s="111"/>
      <c r="F731" s="111"/>
      <c r="G731" s="112"/>
      <c r="H731" s="111"/>
      <c r="I731" s="112"/>
      <c r="J731" s="113"/>
      <c r="K731" s="113"/>
      <c r="L731" s="113"/>
      <c r="M731" s="113"/>
      <c r="N731" s="113"/>
      <c r="O731" s="113"/>
      <c r="P731" s="113"/>
      <c r="Q731" s="113"/>
      <c r="R731" s="113"/>
      <c r="S731" s="113"/>
      <c r="T731" s="113"/>
      <c r="U731" s="113"/>
      <c r="V731" s="113"/>
      <c r="W731" s="113"/>
      <c r="X731" s="113"/>
      <c r="Y731" s="113"/>
    </row>
    <row r="732" spans="1:25" s="114" customFormat="1" ht="13.5" customHeight="1">
      <c r="A732" s="111"/>
      <c r="B732" s="111"/>
      <c r="C732" s="111"/>
      <c r="D732" s="111"/>
      <c r="E732" s="111"/>
      <c r="F732" s="111"/>
      <c r="G732" s="112"/>
      <c r="H732" s="111"/>
      <c r="I732" s="112"/>
      <c r="J732" s="113"/>
      <c r="K732" s="113"/>
      <c r="L732" s="113"/>
      <c r="M732" s="113"/>
      <c r="N732" s="113"/>
      <c r="O732" s="113"/>
      <c r="P732" s="113"/>
      <c r="Q732" s="113"/>
      <c r="R732" s="113"/>
      <c r="S732" s="113"/>
      <c r="T732" s="113"/>
      <c r="U732" s="113"/>
      <c r="V732" s="113"/>
      <c r="W732" s="113"/>
      <c r="X732" s="113"/>
      <c r="Y732" s="113"/>
    </row>
    <row r="733" spans="1:25" s="114" customFormat="1" ht="13.5" customHeight="1">
      <c r="A733" s="111"/>
      <c r="B733" s="111"/>
      <c r="C733" s="111"/>
      <c r="D733" s="111"/>
      <c r="E733" s="111"/>
      <c r="F733" s="111"/>
      <c r="G733" s="112"/>
      <c r="H733" s="111"/>
      <c r="I733" s="112"/>
      <c r="J733" s="113"/>
      <c r="K733" s="113"/>
      <c r="L733" s="113"/>
      <c r="M733" s="113"/>
      <c r="N733" s="113"/>
      <c r="O733" s="113"/>
      <c r="P733" s="113"/>
      <c r="Q733" s="113"/>
      <c r="R733" s="113"/>
      <c r="S733" s="113"/>
      <c r="T733" s="113"/>
      <c r="U733" s="113"/>
      <c r="V733" s="113"/>
      <c r="W733" s="113"/>
      <c r="X733" s="113"/>
      <c r="Y733" s="113"/>
    </row>
    <row r="734" spans="1:25" s="114" customFormat="1" ht="13.5" customHeight="1">
      <c r="A734" s="111"/>
      <c r="B734" s="111"/>
      <c r="C734" s="111"/>
      <c r="D734" s="111"/>
      <c r="E734" s="111"/>
      <c r="F734" s="111"/>
      <c r="G734" s="112"/>
      <c r="H734" s="111"/>
      <c r="I734" s="112"/>
      <c r="J734" s="113"/>
      <c r="K734" s="113"/>
      <c r="L734" s="113"/>
      <c r="M734" s="113"/>
      <c r="N734" s="113"/>
      <c r="O734" s="113"/>
      <c r="P734" s="113"/>
      <c r="Q734" s="113"/>
      <c r="R734" s="113"/>
      <c r="S734" s="113"/>
      <c r="T734" s="113"/>
      <c r="U734" s="113"/>
      <c r="V734" s="113"/>
      <c r="W734" s="113"/>
      <c r="X734" s="113"/>
      <c r="Y734" s="113"/>
    </row>
    <row r="735" spans="1:25" s="114" customFormat="1" ht="13.5" customHeight="1">
      <c r="A735" s="111"/>
      <c r="B735" s="111"/>
      <c r="C735" s="111"/>
      <c r="D735" s="111"/>
      <c r="E735" s="111"/>
      <c r="F735" s="111"/>
      <c r="G735" s="112"/>
      <c r="H735" s="111"/>
      <c r="I735" s="112"/>
      <c r="J735" s="113"/>
      <c r="K735" s="113"/>
      <c r="L735" s="113"/>
      <c r="M735" s="113"/>
      <c r="N735" s="113"/>
      <c r="O735" s="113"/>
      <c r="P735" s="113"/>
      <c r="Q735" s="113"/>
      <c r="R735" s="113"/>
      <c r="S735" s="113"/>
      <c r="T735" s="113"/>
      <c r="U735" s="113"/>
      <c r="V735" s="113"/>
      <c r="W735" s="113"/>
      <c r="X735" s="113"/>
      <c r="Y735" s="113"/>
    </row>
    <row r="736" spans="1:25" s="114" customFormat="1" ht="13.5" customHeight="1">
      <c r="A736" s="111"/>
      <c r="B736" s="111"/>
      <c r="C736" s="111"/>
      <c r="D736" s="111"/>
      <c r="E736" s="111"/>
      <c r="F736" s="111"/>
      <c r="G736" s="112"/>
      <c r="H736" s="111"/>
      <c r="I736" s="112"/>
      <c r="J736" s="113"/>
      <c r="K736" s="113"/>
      <c r="L736" s="113"/>
      <c r="M736" s="113"/>
      <c r="N736" s="113"/>
      <c r="O736" s="113"/>
      <c r="P736" s="113"/>
      <c r="Q736" s="113"/>
      <c r="R736" s="113"/>
      <c r="S736" s="113"/>
      <c r="T736" s="113"/>
      <c r="U736" s="113"/>
      <c r="V736" s="113"/>
      <c r="W736" s="113"/>
      <c r="X736" s="113"/>
      <c r="Y736" s="113"/>
    </row>
    <row r="737" spans="1:25" s="114" customFormat="1" ht="13.5" customHeight="1">
      <c r="A737" s="111"/>
      <c r="B737" s="111"/>
      <c r="C737" s="111"/>
      <c r="D737" s="111"/>
      <c r="E737" s="111"/>
      <c r="F737" s="111"/>
      <c r="G737" s="112"/>
      <c r="H737" s="111"/>
      <c r="I737" s="112"/>
      <c r="J737" s="113"/>
      <c r="K737" s="113"/>
      <c r="L737" s="113"/>
      <c r="M737" s="113"/>
      <c r="N737" s="113"/>
      <c r="O737" s="113"/>
      <c r="P737" s="113"/>
      <c r="Q737" s="113"/>
      <c r="R737" s="113"/>
      <c r="S737" s="113"/>
      <c r="T737" s="113"/>
      <c r="U737" s="113"/>
      <c r="V737" s="113"/>
      <c r="W737" s="113"/>
      <c r="X737" s="113"/>
      <c r="Y737" s="113"/>
    </row>
    <row r="738" spans="1:25" s="114" customFormat="1" ht="13.5" customHeight="1">
      <c r="A738" s="111"/>
      <c r="B738" s="111"/>
      <c r="C738" s="111"/>
      <c r="D738" s="111"/>
      <c r="E738" s="111"/>
      <c r="F738" s="111"/>
      <c r="G738" s="112"/>
      <c r="H738" s="111"/>
      <c r="I738" s="112"/>
      <c r="J738" s="113"/>
      <c r="K738" s="113"/>
      <c r="L738" s="113"/>
      <c r="M738" s="113"/>
      <c r="N738" s="113"/>
      <c r="O738" s="113"/>
      <c r="P738" s="113"/>
      <c r="Q738" s="113"/>
      <c r="R738" s="113"/>
      <c r="S738" s="113"/>
      <c r="T738" s="113"/>
      <c r="U738" s="113"/>
      <c r="V738" s="113"/>
      <c r="W738" s="113"/>
      <c r="X738" s="113"/>
      <c r="Y738" s="113"/>
    </row>
    <row r="739" spans="1:25" s="114" customFormat="1" ht="13.5" customHeight="1">
      <c r="A739" s="111"/>
      <c r="B739" s="111"/>
      <c r="C739" s="111"/>
      <c r="D739" s="111"/>
      <c r="E739" s="111"/>
      <c r="F739" s="111"/>
      <c r="G739" s="112"/>
      <c r="H739" s="111"/>
      <c r="I739" s="112"/>
      <c r="J739" s="113"/>
      <c r="K739" s="113"/>
      <c r="L739" s="113"/>
      <c r="M739" s="113"/>
      <c r="N739" s="113"/>
      <c r="O739" s="113"/>
      <c r="P739" s="113"/>
      <c r="Q739" s="113"/>
      <c r="R739" s="113"/>
      <c r="S739" s="113"/>
      <c r="T739" s="113"/>
      <c r="U739" s="113"/>
      <c r="V739" s="113"/>
      <c r="W739" s="113"/>
      <c r="X739" s="113"/>
      <c r="Y739" s="113"/>
    </row>
    <row r="740" spans="1:25" s="114" customFormat="1" ht="13.5" customHeight="1">
      <c r="A740" s="111"/>
      <c r="B740" s="111"/>
      <c r="C740" s="111"/>
      <c r="D740" s="111"/>
      <c r="E740" s="111"/>
      <c r="F740" s="111"/>
      <c r="G740" s="112"/>
      <c r="H740" s="111"/>
      <c r="I740" s="112"/>
      <c r="J740" s="113"/>
      <c r="K740" s="113"/>
      <c r="L740" s="113"/>
      <c r="M740" s="113"/>
      <c r="N740" s="113"/>
      <c r="O740" s="113"/>
      <c r="P740" s="113"/>
      <c r="Q740" s="113"/>
      <c r="R740" s="113"/>
      <c r="S740" s="113"/>
      <c r="T740" s="113"/>
      <c r="U740" s="113"/>
      <c r="V740" s="113"/>
      <c r="W740" s="113"/>
      <c r="X740" s="113"/>
      <c r="Y740" s="113"/>
    </row>
    <row r="741" spans="1:25" s="114" customFormat="1" ht="13.5" customHeight="1">
      <c r="A741" s="111"/>
      <c r="B741" s="111"/>
      <c r="C741" s="111"/>
      <c r="D741" s="111"/>
      <c r="E741" s="111"/>
      <c r="F741" s="111"/>
      <c r="G741" s="112"/>
      <c r="H741" s="111"/>
      <c r="I741" s="112"/>
      <c r="J741" s="113"/>
      <c r="K741" s="113"/>
      <c r="L741" s="113"/>
      <c r="M741" s="113"/>
      <c r="N741" s="113"/>
      <c r="O741" s="113"/>
      <c r="P741" s="113"/>
      <c r="Q741" s="113"/>
      <c r="R741" s="113"/>
      <c r="S741" s="113"/>
      <c r="T741" s="113"/>
      <c r="U741" s="113"/>
      <c r="V741" s="113"/>
      <c r="W741" s="113"/>
      <c r="X741" s="113"/>
      <c r="Y741" s="113"/>
    </row>
    <row r="742" spans="1:25" s="114" customFormat="1" ht="13.5" customHeight="1">
      <c r="A742" s="111"/>
      <c r="B742" s="111"/>
      <c r="C742" s="111"/>
      <c r="D742" s="111"/>
      <c r="E742" s="111"/>
      <c r="F742" s="111"/>
      <c r="G742" s="112"/>
      <c r="H742" s="111"/>
      <c r="I742" s="112"/>
      <c r="J742" s="113"/>
      <c r="K742" s="113"/>
      <c r="L742" s="113"/>
      <c r="M742" s="113"/>
      <c r="N742" s="113"/>
      <c r="O742" s="113"/>
      <c r="P742" s="113"/>
      <c r="Q742" s="113"/>
      <c r="R742" s="113"/>
      <c r="S742" s="113"/>
      <c r="T742" s="113"/>
      <c r="U742" s="113"/>
      <c r="V742" s="113"/>
      <c r="W742" s="113"/>
      <c r="X742" s="113"/>
      <c r="Y742" s="113"/>
    </row>
    <row r="743" spans="1:25" s="114" customFormat="1" ht="13.5" customHeight="1">
      <c r="A743" s="111"/>
      <c r="B743" s="111"/>
      <c r="C743" s="111"/>
      <c r="D743" s="111"/>
      <c r="E743" s="111"/>
      <c r="F743" s="111"/>
      <c r="G743" s="112"/>
      <c r="H743" s="111"/>
      <c r="I743" s="112"/>
      <c r="J743" s="113"/>
      <c r="K743" s="113"/>
      <c r="L743" s="113"/>
      <c r="M743" s="113"/>
      <c r="N743" s="113"/>
      <c r="O743" s="113"/>
      <c r="P743" s="113"/>
      <c r="Q743" s="113"/>
      <c r="R743" s="113"/>
      <c r="S743" s="113"/>
      <c r="T743" s="113"/>
      <c r="U743" s="113"/>
      <c r="V743" s="113"/>
      <c r="W743" s="113"/>
      <c r="X743" s="113"/>
      <c r="Y743" s="113"/>
    </row>
    <row r="744" spans="1:25" s="114" customFormat="1" ht="13.5" customHeight="1">
      <c r="A744" s="111"/>
      <c r="B744" s="111"/>
      <c r="C744" s="111"/>
      <c r="D744" s="111"/>
      <c r="E744" s="111"/>
      <c r="F744" s="111"/>
      <c r="G744" s="112"/>
      <c r="H744" s="111"/>
      <c r="I744" s="112"/>
      <c r="J744" s="113"/>
      <c r="K744" s="113"/>
      <c r="L744" s="113"/>
      <c r="M744" s="113"/>
      <c r="N744" s="113"/>
      <c r="O744" s="113"/>
      <c r="P744" s="113"/>
      <c r="Q744" s="113"/>
      <c r="R744" s="113"/>
      <c r="S744" s="113"/>
      <c r="T744" s="113"/>
      <c r="U744" s="113"/>
      <c r="V744" s="113"/>
      <c r="W744" s="113"/>
      <c r="X744" s="113"/>
      <c r="Y744" s="113"/>
    </row>
    <row r="745" spans="1:25" s="114" customFormat="1" ht="13.5" customHeight="1">
      <c r="A745" s="111"/>
      <c r="B745" s="111"/>
      <c r="C745" s="111"/>
      <c r="D745" s="111"/>
      <c r="E745" s="111"/>
      <c r="F745" s="111"/>
      <c r="G745" s="112"/>
      <c r="H745" s="111"/>
      <c r="I745" s="112"/>
      <c r="J745" s="113"/>
      <c r="K745" s="113"/>
      <c r="L745" s="113"/>
      <c r="M745" s="113"/>
      <c r="N745" s="113"/>
      <c r="O745" s="113"/>
      <c r="P745" s="113"/>
      <c r="Q745" s="113"/>
      <c r="R745" s="113"/>
      <c r="S745" s="113"/>
      <c r="T745" s="113"/>
      <c r="U745" s="113"/>
      <c r="V745" s="113"/>
      <c r="W745" s="113"/>
      <c r="X745" s="113"/>
      <c r="Y745" s="113"/>
    </row>
    <row r="746" spans="1:25" s="114" customFormat="1" ht="13.5" customHeight="1">
      <c r="A746" s="111"/>
      <c r="B746" s="111"/>
      <c r="C746" s="111"/>
      <c r="D746" s="111"/>
      <c r="E746" s="111"/>
      <c r="F746" s="111"/>
      <c r="G746" s="112"/>
      <c r="H746" s="111"/>
      <c r="I746" s="112"/>
      <c r="J746" s="113"/>
      <c r="K746" s="113"/>
      <c r="L746" s="113"/>
      <c r="M746" s="113"/>
      <c r="N746" s="113"/>
      <c r="O746" s="113"/>
      <c r="P746" s="113"/>
      <c r="Q746" s="113"/>
      <c r="R746" s="113"/>
      <c r="S746" s="113"/>
      <c r="T746" s="113"/>
      <c r="U746" s="113"/>
      <c r="V746" s="113"/>
      <c r="W746" s="113"/>
      <c r="X746" s="113"/>
      <c r="Y746" s="113"/>
    </row>
    <row r="747" spans="1:25" s="114" customFormat="1" ht="13.5" customHeight="1">
      <c r="A747" s="111"/>
      <c r="B747" s="111"/>
      <c r="C747" s="111"/>
      <c r="D747" s="111"/>
      <c r="E747" s="111"/>
      <c r="F747" s="111"/>
      <c r="G747" s="112"/>
      <c r="H747" s="111"/>
      <c r="I747" s="112"/>
      <c r="J747" s="113"/>
      <c r="K747" s="113"/>
      <c r="L747" s="113"/>
      <c r="M747" s="113"/>
      <c r="N747" s="113"/>
      <c r="O747" s="113"/>
      <c r="P747" s="113"/>
      <c r="Q747" s="113"/>
      <c r="R747" s="113"/>
      <c r="S747" s="113"/>
      <c r="T747" s="113"/>
      <c r="U747" s="113"/>
      <c r="V747" s="113"/>
      <c r="W747" s="113"/>
      <c r="X747" s="113"/>
      <c r="Y747" s="113"/>
    </row>
    <row r="748" spans="1:25" s="114" customFormat="1" ht="13.5" customHeight="1">
      <c r="A748" s="111"/>
      <c r="B748" s="111"/>
      <c r="C748" s="111"/>
      <c r="D748" s="111"/>
      <c r="E748" s="111"/>
      <c r="F748" s="111"/>
      <c r="G748" s="112"/>
      <c r="H748" s="111"/>
      <c r="I748" s="112"/>
      <c r="J748" s="113"/>
      <c r="K748" s="113"/>
      <c r="L748" s="113"/>
      <c r="M748" s="113"/>
      <c r="N748" s="113"/>
      <c r="O748" s="113"/>
      <c r="P748" s="113"/>
      <c r="Q748" s="113"/>
      <c r="R748" s="113"/>
      <c r="S748" s="113"/>
      <c r="T748" s="113"/>
      <c r="U748" s="113"/>
      <c r="V748" s="113"/>
      <c r="W748" s="113"/>
      <c r="X748" s="113"/>
      <c r="Y748" s="113"/>
    </row>
    <row r="749" spans="1:25" s="114" customFormat="1" ht="13.5" customHeight="1">
      <c r="A749" s="111"/>
      <c r="B749" s="111"/>
      <c r="C749" s="111"/>
      <c r="D749" s="111"/>
      <c r="E749" s="111"/>
      <c r="F749" s="111"/>
      <c r="G749" s="112"/>
      <c r="H749" s="111"/>
      <c r="I749" s="112"/>
      <c r="J749" s="113"/>
      <c r="K749" s="113"/>
      <c r="L749" s="113"/>
      <c r="M749" s="113"/>
      <c r="N749" s="113"/>
      <c r="O749" s="113"/>
      <c r="P749" s="113"/>
      <c r="Q749" s="113"/>
      <c r="R749" s="113"/>
      <c r="S749" s="113"/>
      <c r="T749" s="113"/>
      <c r="U749" s="113"/>
      <c r="V749" s="113"/>
      <c r="W749" s="113"/>
      <c r="X749" s="113"/>
      <c r="Y749" s="113"/>
    </row>
    <row r="750" spans="1:25" s="114" customFormat="1" ht="13.5" customHeight="1">
      <c r="A750" s="111"/>
      <c r="B750" s="111"/>
      <c r="C750" s="111"/>
      <c r="D750" s="111"/>
      <c r="E750" s="111"/>
      <c r="F750" s="111"/>
      <c r="G750" s="112"/>
      <c r="H750" s="111"/>
      <c r="I750" s="112"/>
      <c r="J750" s="113"/>
      <c r="K750" s="113"/>
      <c r="L750" s="113"/>
      <c r="M750" s="113"/>
      <c r="N750" s="113"/>
      <c r="O750" s="113"/>
      <c r="P750" s="113"/>
      <c r="Q750" s="113"/>
      <c r="R750" s="113"/>
      <c r="S750" s="113"/>
      <c r="T750" s="113"/>
      <c r="U750" s="113"/>
      <c r="V750" s="113"/>
      <c r="W750" s="113"/>
      <c r="X750" s="113"/>
      <c r="Y750" s="113"/>
    </row>
    <row r="751" spans="1:25" s="114" customFormat="1" ht="13.5" customHeight="1">
      <c r="A751" s="111"/>
      <c r="B751" s="111"/>
      <c r="C751" s="111"/>
      <c r="D751" s="111"/>
      <c r="E751" s="111"/>
      <c r="F751" s="111"/>
      <c r="G751" s="112"/>
      <c r="H751" s="111"/>
      <c r="I751" s="112"/>
      <c r="J751" s="113"/>
      <c r="K751" s="113"/>
      <c r="L751" s="113"/>
      <c r="M751" s="113"/>
      <c r="N751" s="113"/>
      <c r="O751" s="113"/>
      <c r="P751" s="113"/>
      <c r="Q751" s="113"/>
      <c r="R751" s="113"/>
      <c r="S751" s="113"/>
      <c r="T751" s="113"/>
      <c r="U751" s="113"/>
      <c r="V751" s="113"/>
      <c r="W751" s="113"/>
      <c r="X751" s="113"/>
      <c r="Y751" s="113"/>
    </row>
    <row r="752" spans="1:25" s="114" customFormat="1" ht="13.5" customHeight="1">
      <c r="A752" s="111"/>
      <c r="B752" s="111"/>
      <c r="C752" s="111"/>
      <c r="D752" s="111"/>
      <c r="E752" s="111"/>
      <c r="F752" s="111"/>
      <c r="G752" s="112"/>
      <c r="H752" s="111"/>
      <c r="I752" s="112"/>
      <c r="J752" s="113"/>
      <c r="K752" s="113"/>
      <c r="L752" s="113"/>
      <c r="M752" s="113"/>
      <c r="N752" s="113"/>
      <c r="O752" s="113"/>
      <c r="P752" s="113"/>
      <c r="Q752" s="113"/>
      <c r="R752" s="113"/>
      <c r="S752" s="113"/>
      <c r="T752" s="113"/>
      <c r="U752" s="113"/>
      <c r="V752" s="113"/>
      <c r="W752" s="113"/>
      <c r="X752" s="113"/>
      <c r="Y752" s="113"/>
    </row>
    <row r="753" spans="1:25" s="114" customFormat="1" ht="13.5" customHeight="1">
      <c r="A753" s="111"/>
      <c r="B753" s="111"/>
      <c r="C753" s="111"/>
      <c r="D753" s="111"/>
      <c r="E753" s="111"/>
      <c r="F753" s="111"/>
      <c r="G753" s="112"/>
      <c r="H753" s="111"/>
      <c r="I753" s="112"/>
      <c r="J753" s="113"/>
      <c r="K753" s="113"/>
      <c r="L753" s="113"/>
      <c r="M753" s="113"/>
      <c r="N753" s="113"/>
      <c r="O753" s="113"/>
      <c r="P753" s="113"/>
      <c r="Q753" s="113"/>
      <c r="R753" s="113"/>
      <c r="S753" s="113"/>
      <c r="T753" s="113"/>
      <c r="U753" s="113"/>
      <c r="V753" s="113"/>
      <c r="W753" s="113"/>
      <c r="X753" s="113"/>
      <c r="Y753" s="113"/>
    </row>
    <row r="754" spans="1:25" s="114" customFormat="1" ht="13.5" customHeight="1">
      <c r="A754" s="111"/>
      <c r="B754" s="111"/>
      <c r="C754" s="111"/>
      <c r="D754" s="111"/>
      <c r="E754" s="111"/>
      <c r="F754" s="111"/>
      <c r="G754" s="112"/>
      <c r="H754" s="111"/>
      <c r="I754" s="112"/>
      <c r="J754" s="113"/>
      <c r="K754" s="113"/>
      <c r="L754" s="113"/>
      <c r="M754" s="113"/>
      <c r="N754" s="113"/>
      <c r="O754" s="113"/>
      <c r="P754" s="113"/>
      <c r="Q754" s="113"/>
      <c r="R754" s="113"/>
      <c r="S754" s="113"/>
      <c r="T754" s="113"/>
      <c r="U754" s="113"/>
      <c r="V754" s="113"/>
      <c r="W754" s="113"/>
      <c r="X754" s="113"/>
      <c r="Y754" s="113"/>
    </row>
    <row r="755" spans="1:25" s="114" customFormat="1" ht="13.5" customHeight="1">
      <c r="A755" s="111"/>
      <c r="B755" s="111"/>
      <c r="C755" s="111"/>
      <c r="D755" s="111"/>
      <c r="E755" s="111"/>
      <c r="F755" s="111"/>
      <c r="G755" s="112"/>
      <c r="H755" s="111"/>
      <c r="I755" s="112"/>
      <c r="J755" s="113"/>
      <c r="K755" s="113"/>
      <c r="L755" s="113"/>
      <c r="M755" s="113"/>
      <c r="N755" s="113"/>
      <c r="O755" s="113"/>
      <c r="P755" s="113"/>
      <c r="Q755" s="113"/>
      <c r="R755" s="113"/>
      <c r="S755" s="113"/>
      <c r="T755" s="113"/>
      <c r="U755" s="113"/>
      <c r="V755" s="113"/>
      <c r="W755" s="113"/>
      <c r="X755" s="113"/>
      <c r="Y755" s="113"/>
    </row>
    <row r="756" spans="1:25" s="114" customFormat="1" ht="13.5" customHeight="1">
      <c r="A756" s="111"/>
      <c r="B756" s="111"/>
      <c r="C756" s="111"/>
      <c r="D756" s="111"/>
      <c r="E756" s="111"/>
      <c r="F756" s="111"/>
      <c r="G756" s="112"/>
      <c r="H756" s="111"/>
      <c r="I756" s="112"/>
      <c r="J756" s="113"/>
      <c r="K756" s="113"/>
      <c r="L756" s="113"/>
      <c r="M756" s="113"/>
      <c r="N756" s="113"/>
      <c r="O756" s="113"/>
      <c r="P756" s="113"/>
      <c r="Q756" s="113"/>
      <c r="R756" s="113"/>
      <c r="S756" s="113"/>
      <c r="T756" s="113"/>
      <c r="U756" s="113"/>
      <c r="V756" s="113"/>
      <c r="W756" s="113"/>
      <c r="X756" s="113"/>
      <c r="Y756" s="113"/>
    </row>
    <row r="757" spans="1:25" s="114" customFormat="1" ht="13.5" customHeight="1">
      <c r="A757" s="111"/>
      <c r="B757" s="111"/>
      <c r="C757" s="111"/>
      <c r="D757" s="111"/>
      <c r="E757" s="111"/>
      <c r="F757" s="111"/>
      <c r="G757" s="112"/>
      <c r="H757" s="111"/>
      <c r="I757" s="112"/>
      <c r="J757" s="113"/>
      <c r="K757" s="113"/>
      <c r="L757" s="113"/>
      <c r="M757" s="113"/>
      <c r="N757" s="113"/>
      <c r="O757" s="113"/>
      <c r="P757" s="113"/>
      <c r="Q757" s="113"/>
      <c r="R757" s="113"/>
      <c r="S757" s="113"/>
      <c r="T757" s="113"/>
      <c r="U757" s="113"/>
      <c r="V757" s="113"/>
      <c r="W757" s="113"/>
      <c r="X757" s="113"/>
      <c r="Y757" s="113"/>
    </row>
    <row r="758" spans="1:25" s="114" customFormat="1" ht="13.5" customHeight="1">
      <c r="A758" s="111"/>
      <c r="B758" s="111"/>
      <c r="C758" s="111"/>
      <c r="D758" s="111"/>
      <c r="E758" s="111"/>
      <c r="F758" s="111"/>
      <c r="G758" s="112"/>
      <c r="H758" s="111"/>
      <c r="I758" s="112"/>
      <c r="J758" s="113"/>
      <c r="K758" s="113"/>
      <c r="L758" s="113"/>
      <c r="M758" s="113"/>
      <c r="N758" s="113"/>
      <c r="O758" s="113"/>
      <c r="P758" s="113"/>
      <c r="Q758" s="113"/>
      <c r="R758" s="113"/>
      <c r="S758" s="113"/>
      <c r="T758" s="113"/>
      <c r="U758" s="113"/>
      <c r="V758" s="113"/>
      <c r="W758" s="113"/>
      <c r="X758" s="113"/>
      <c r="Y758" s="113"/>
    </row>
    <row r="759" spans="1:25" s="114" customFormat="1" ht="13.5" customHeight="1">
      <c r="A759" s="111"/>
      <c r="B759" s="111"/>
      <c r="C759" s="111"/>
      <c r="D759" s="111"/>
      <c r="E759" s="111"/>
      <c r="F759" s="111"/>
      <c r="G759" s="112"/>
      <c r="H759" s="111"/>
      <c r="I759" s="112"/>
      <c r="J759" s="113"/>
      <c r="K759" s="113"/>
      <c r="L759" s="113"/>
      <c r="M759" s="113"/>
      <c r="N759" s="113"/>
      <c r="O759" s="113"/>
      <c r="P759" s="113"/>
      <c r="Q759" s="113"/>
      <c r="R759" s="113"/>
      <c r="S759" s="113"/>
      <c r="T759" s="113"/>
      <c r="U759" s="113"/>
      <c r="V759" s="113"/>
      <c r="W759" s="113"/>
      <c r="X759" s="113"/>
      <c r="Y759" s="113"/>
    </row>
    <row r="760" spans="1:25" s="114" customFormat="1" ht="13.5" customHeight="1">
      <c r="A760" s="111"/>
      <c r="B760" s="111"/>
      <c r="C760" s="111"/>
      <c r="D760" s="111"/>
      <c r="E760" s="111"/>
      <c r="F760" s="111"/>
      <c r="G760" s="112"/>
      <c r="H760" s="111"/>
      <c r="I760" s="112"/>
      <c r="J760" s="113"/>
      <c r="K760" s="113"/>
      <c r="L760" s="113"/>
      <c r="M760" s="113"/>
      <c r="N760" s="113"/>
      <c r="O760" s="113"/>
      <c r="P760" s="113"/>
      <c r="Q760" s="113"/>
      <c r="R760" s="113"/>
      <c r="S760" s="113"/>
      <c r="T760" s="113"/>
      <c r="U760" s="113"/>
      <c r="V760" s="113"/>
      <c r="W760" s="113"/>
      <c r="X760" s="113"/>
      <c r="Y760" s="113"/>
    </row>
    <row r="761" spans="1:25" s="114" customFormat="1" ht="13.5" customHeight="1">
      <c r="A761" s="111"/>
      <c r="B761" s="111"/>
      <c r="C761" s="111"/>
      <c r="D761" s="111"/>
      <c r="E761" s="111"/>
      <c r="F761" s="111"/>
      <c r="G761" s="112"/>
      <c r="H761" s="111"/>
      <c r="I761" s="112"/>
      <c r="J761" s="113"/>
      <c r="K761" s="113"/>
      <c r="L761" s="113"/>
      <c r="M761" s="113"/>
      <c r="N761" s="113"/>
      <c r="O761" s="113"/>
      <c r="P761" s="113"/>
      <c r="Q761" s="113"/>
      <c r="R761" s="113"/>
      <c r="S761" s="113"/>
      <c r="T761" s="113"/>
      <c r="U761" s="113"/>
      <c r="V761" s="113"/>
      <c r="W761" s="113"/>
      <c r="X761" s="113"/>
      <c r="Y761" s="113"/>
    </row>
    <row r="762" spans="1:25" s="114" customFormat="1" ht="13.5" customHeight="1">
      <c r="A762" s="111"/>
      <c r="B762" s="111"/>
      <c r="C762" s="111"/>
      <c r="D762" s="111"/>
      <c r="E762" s="111"/>
      <c r="F762" s="111"/>
      <c r="G762" s="112"/>
      <c r="H762" s="111"/>
      <c r="I762" s="112"/>
      <c r="J762" s="113"/>
      <c r="K762" s="113"/>
      <c r="L762" s="113"/>
      <c r="M762" s="113"/>
      <c r="N762" s="113"/>
      <c r="O762" s="113"/>
      <c r="P762" s="113"/>
      <c r="Q762" s="113"/>
      <c r="R762" s="113"/>
      <c r="S762" s="113"/>
      <c r="T762" s="113"/>
      <c r="U762" s="113"/>
      <c r="V762" s="113"/>
      <c r="W762" s="113"/>
      <c r="X762" s="113"/>
      <c r="Y762" s="113"/>
    </row>
    <row r="763" spans="1:25" s="114" customFormat="1" ht="13.5" customHeight="1">
      <c r="A763" s="111"/>
      <c r="B763" s="111"/>
      <c r="C763" s="111"/>
      <c r="D763" s="111"/>
      <c r="E763" s="111"/>
      <c r="F763" s="111"/>
      <c r="G763" s="112"/>
      <c r="H763" s="111"/>
      <c r="I763" s="112"/>
      <c r="J763" s="113"/>
      <c r="K763" s="113"/>
      <c r="L763" s="113"/>
      <c r="M763" s="113"/>
      <c r="N763" s="113"/>
      <c r="O763" s="113"/>
      <c r="P763" s="113"/>
      <c r="Q763" s="113"/>
      <c r="R763" s="113"/>
      <c r="S763" s="113"/>
      <c r="T763" s="113"/>
      <c r="U763" s="113"/>
      <c r="V763" s="113"/>
      <c r="W763" s="113"/>
      <c r="X763" s="113"/>
      <c r="Y763" s="113"/>
    </row>
    <row r="764" spans="1:25" s="114" customFormat="1" ht="13.5" customHeight="1">
      <c r="A764" s="111"/>
      <c r="B764" s="111"/>
      <c r="C764" s="111"/>
      <c r="D764" s="111"/>
      <c r="E764" s="111"/>
      <c r="F764" s="111"/>
      <c r="G764" s="112"/>
      <c r="H764" s="111"/>
      <c r="I764" s="112"/>
      <c r="J764" s="113"/>
      <c r="K764" s="113"/>
      <c r="L764" s="113"/>
      <c r="M764" s="113"/>
      <c r="N764" s="113"/>
      <c r="O764" s="113"/>
      <c r="P764" s="113"/>
      <c r="Q764" s="113"/>
      <c r="R764" s="113"/>
      <c r="S764" s="113"/>
      <c r="T764" s="113"/>
      <c r="U764" s="113"/>
      <c r="V764" s="113"/>
      <c r="W764" s="113"/>
      <c r="X764" s="113"/>
      <c r="Y764" s="113"/>
    </row>
    <row r="765" spans="1:25" s="114" customFormat="1" ht="13.5" customHeight="1">
      <c r="A765" s="111"/>
      <c r="B765" s="111"/>
      <c r="C765" s="111"/>
      <c r="D765" s="111"/>
      <c r="E765" s="111"/>
      <c r="F765" s="111"/>
      <c r="G765" s="112"/>
      <c r="H765" s="111"/>
      <c r="I765" s="112"/>
      <c r="J765" s="113"/>
      <c r="K765" s="113"/>
      <c r="L765" s="113"/>
      <c r="M765" s="113"/>
      <c r="N765" s="113"/>
      <c r="O765" s="113"/>
      <c r="P765" s="113"/>
      <c r="Q765" s="113"/>
      <c r="R765" s="113"/>
      <c r="S765" s="113"/>
      <c r="T765" s="113"/>
      <c r="U765" s="113"/>
      <c r="V765" s="113"/>
      <c r="W765" s="113"/>
      <c r="X765" s="113"/>
      <c r="Y765" s="113"/>
    </row>
    <row r="766" spans="1:25" s="114" customFormat="1" ht="13.5" customHeight="1">
      <c r="A766" s="111"/>
      <c r="B766" s="111"/>
      <c r="C766" s="111"/>
      <c r="D766" s="111"/>
      <c r="E766" s="111"/>
      <c r="F766" s="111"/>
      <c r="G766" s="112"/>
      <c r="H766" s="111"/>
      <c r="I766" s="112"/>
      <c r="J766" s="113"/>
      <c r="K766" s="113"/>
      <c r="L766" s="113"/>
      <c r="M766" s="113"/>
      <c r="N766" s="113"/>
      <c r="O766" s="113"/>
      <c r="P766" s="113"/>
      <c r="Q766" s="113"/>
      <c r="R766" s="113"/>
      <c r="S766" s="113"/>
      <c r="T766" s="113"/>
      <c r="U766" s="113"/>
      <c r="V766" s="113"/>
      <c r="W766" s="113"/>
      <c r="X766" s="113"/>
      <c r="Y766" s="113"/>
    </row>
    <row r="767" spans="1:25" s="114" customFormat="1" ht="13.5" customHeight="1">
      <c r="A767" s="111"/>
      <c r="B767" s="111"/>
      <c r="C767" s="111"/>
      <c r="D767" s="111"/>
      <c r="E767" s="111"/>
      <c r="F767" s="111"/>
      <c r="G767" s="112"/>
      <c r="H767" s="111"/>
      <c r="I767" s="112"/>
      <c r="J767" s="113"/>
      <c r="K767" s="113"/>
      <c r="L767" s="113"/>
      <c r="M767" s="113"/>
      <c r="N767" s="113"/>
      <c r="O767" s="113"/>
      <c r="P767" s="113"/>
      <c r="Q767" s="113"/>
      <c r="R767" s="113"/>
      <c r="S767" s="113"/>
      <c r="T767" s="113"/>
      <c r="U767" s="113"/>
      <c r="V767" s="113"/>
      <c r="W767" s="113"/>
      <c r="X767" s="113"/>
      <c r="Y767" s="113"/>
    </row>
    <row r="768" spans="1:25" s="114" customFormat="1" ht="13.5" customHeight="1">
      <c r="A768" s="111"/>
      <c r="B768" s="111"/>
      <c r="C768" s="111"/>
      <c r="D768" s="111"/>
      <c r="E768" s="111"/>
      <c r="F768" s="111"/>
      <c r="G768" s="112"/>
      <c r="H768" s="111"/>
      <c r="I768" s="112"/>
      <c r="J768" s="113"/>
      <c r="K768" s="113"/>
      <c r="L768" s="113"/>
      <c r="M768" s="113"/>
      <c r="N768" s="113"/>
      <c r="O768" s="113"/>
      <c r="P768" s="113"/>
      <c r="Q768" s="113"/>
      <c r="R768" s="113"/>
      <c r="S768" s="113"/>
      <c r="T768" s="113"/>
      <c r="U768" s="113"/>
      <c r="V768" s="113"/>
      <c r="W768" s="113"/>
      <c r="X768" s="113"/>
      <c r="Y768" s="113"/>
    </row>
    <row r="769" spans="1:25" s="114" customFormat="1" ht="13.5" customHeight="1">
      <c r="A769" s="111"/>
      <c r="B769" s="111"/>
      <c r="C769" s="111"/>
      <c r="D769" s="111"/>
      <c r="E769" s="111"/>
      <c r="F769" s="111"/>
      <c r="G769" s="112"/>
      <c r="H769" s="111"/>
      <c r="I769" s="112"/>
      <c r="J769" s="113"/>
      <c r="K769" s="113"/>
      <c r="L769" s="113"/>
      <c r="M769" s="113"/>
      <c r="N769" s="113"/>
      <c r="O769" s="113"/>
      <c r="P769" s="113"/>
      <c r="Q769" s="113"/>
      <c r="R769" s="113"/>
      <c r="S769" s="113"/>
      <c r="T769" s="113"/>
      <c r="U769" s="113"/>
      <c r="V769" s="113"/>
      <c r="W769" s="113"/>
      <c r="X769" s="113"/>
      <c r="Y769" s="113"/>
    </row>
    <row r="770" spans="1:25" s="114" customFormat="1" ht="13.5" customHeight="1">
      <c r="A770" s="111"/>
      <c r="B770" s="111"/>
      <c r="C770" s="111"/>
      <c r="D770" s="111"/>
      <c r="E770" s="111"/>
      <c r="F770" s="111"/>
      <c r="G770" s="112"/>
      <c r="H770" s="111"/>
      <c r="I770" s="112"/>
      <c r="J770" s="113"/>
      <c r="K770" s="113"/>
      <c r="L770" s="113"/>
      <c r="M770" s="113"/>
      <c r="N770" s="113"/>
      <c r="O770" s="113"/>
      <c r="P770" s="113"/>
      <c r="Q770" s="113"/>
      <c r="R770" s="113"/>
      <c r="S770" s="113"/>
      <c r="T770" s="113"/>
      <c r="U770" s="113"/>
      <c r="V770" s="113"/>
      <c r="W770" s="113"/>
      <c r="X770" s="113"/>
      <c r="Y770" s="113"/>
    </row>
    <row r="771" spans="1:25" s="114" customFormat="1" ht="13.5" customHeight="1">
      <c r="A771" s="111"/>
      <c r="B771" s="111"/>
      <c r="C771" s="111"/>
      <c r="D771" s="111"/>
      <c r="E771" s="111"/>
      <c r="F771" s="111"/>
      <c r="G771" s="112"/>
      <c r="H771" s="111"/>
      <c r="I771" s="112"/>
      <c r="J771" s="113"/>
      <c r="K771" s="113"/>
      <c r="L771" s="113"/>
      <c r="M771" s="113"/>
      <c r="N771" s="113"/>
      <c r="O771" s="113"/>
      <c r="P771" s="113"/>
      <c r="Q771" s="113"/>
      <c r="R771" s="113"/>
      <c r="S771" s="113"/>
      <c r="T771" s="113"/>
      <c r="U771" s="113"/>
      <c r="V771" s="113"/>
      <c r="W771" s="113"/>
      <c r="X771" s="113"/>
      <c r="Y771" s="113"/>
    </row>
    <row r="772" spans="1:25" s="114" customFormat="1" ht="13.5" customHeight="1">
      <c r="A772" s="111"/>
      <c r="B772" s="111"/>
      <c r="C772" s="111"/>
      <c r="D772" s="111"/>
      <c r="E772" s="111"/>
      <c r="F772" s="111"/>
      <c r="G772" s="112"/>
      <c r="H772" s="111"/>
      <c r="I772" s="112"/>
      <c r="J772" s="113"/>
      <c r="K772" s="113"/>
      <c r="L772" s="113"/>
      <c r="M772" s="113"/>
      <c r="N772" s="113"/>
      <c r="O772" s="113"/>
      <c r="P772" s="113"/>
      <c r="Q772" s="113"/>
      <c r="R772" s="113"/>
      <c r="S772" s="113"/>
      <c r="T772" s="113"/>
      <c r="U772" s="113"/>
      <c r="V772" s="113"/>
      <c r="W772" s="113"/>
      <c r="X772" s="113"/>
      <c r="Y772" s="113"/>
    </row>
    <row r="773" spans="1:25" s="114" customFormat="1" ht="13.5" customHeight="1">
      <c r="A773" s="111"/>
      <c r="B773" s="111"/>
      <c r="C773" s="111"/>
      <c r="D773" s="111"/>
      <c r="E773" s="111"/>
      <c r="F773" s="111"/>
      <c r="G773" s="112"/>
      <c r="H773" s="111"/>
      <c r="I773" s="112"/>
      <c r="J773" s="113"/>
      <c r="K773" s="113"/>
      <c r="L773" s="113"/>
      <c r="M773" s="113"/>
      <c r="N773" s="113"/>
      <c r="O773" s="113"/>
      <c r="P773" s="113"/>
      <c r="Q773" s="113"/>
      <c r="R773" s="113"/>
      <c r="S773" s="113"/>
      <c r="T773" s="113"/>
      <c r="U773" s="113"/>
      <c r="V773" s="113"/>
      <c r="W773" s="113"/>
      <c r="X773" s="113"/>
      <c r="Y773" s="113"/>
    </row>
    <row r="774" spans="1:25" s="114" customFormat="1" ht="13.5" customHeight="1">
      <c r="A774" s="111"/>
      <c r="B774" s="111"/>
      <c r="C774" s="111"/>
      <c r="D774" s="111"/>
      <c r="E774" s="111"/>
      <c r="F774" s="111"/>
      <c r="G774" s="112"/>
      <c r="H774" s="111"/>
      <c r="I774" s="112"/>
      <c r="J774" s="113"/>
      <c r="K774" s="113"/>
      <c r="L774" s="113"/>
      <c r="M774" s="113"/>
      <c r="N774" s="113"/>
      <c r="O774" s="113"/>
      <c r="P774" s="113"/>
      <c r="Q774" s="113"/>
      <c r="R774" s="113"/>
      <c r="S774" s="113"/>
      <c r="T774" s="113"/>
      <c r="U774" s="113"/>
      <c r="V774" s="113"/>
      <c r="W774" s="113"/>
      <c r="X774" s="113"/>
      <c r="Y774" s="113"/>
    </row>
    <row r="775" spans="1:25" s="114" customFormat="1" ht="13.5" customHeight="1">
      <c r="A775" s="111"/>
      <c r="B775" s="111"/>
      <c r="C775" s="111"/>
      <c r="D775" s="111"/>
      <c r="E775" s="111"/>
      <c r="F775" s="111"/>
      <c r="G775" s="112"/>
      <c r="H775" s="111"/>
      <c r="I775" s="112"/>
      <c r="J775" s="113"/>
      <c r="K775" s="113"/>
      <c r="L775" s="113"/>
      <c r="M775" s="113"/>
      <c r="N775" s="113"/>
      <c r="O775" s="113"/>
      <c r="P775" s="113"/>
      <c r="Q775" s="113"/>
      <c r="R775" s="113"/>
      <c r="S775" s="113"/>
      <c r="T775" s="113"/>
      <c r="U775" s="113"/>
      <c r="V775" s="113"/>
      <c r="W775" s="113"/>
      <c r="X775" s="113"/>
      <c r="Y775" s="113"/>
    </row>
    <row r="776" spans="1:25" s="114" customFormat="1" ht="13.5" customHeight="1">
      <c r="A776" s="111"/>
      <c r="B776" s="111"/>
      <c r="C776" s="111"/>
      <c r="D776" s="111"/>
      <c r="E776" s="111"/>
      <c r="F776" s="111"/>
      <c r="G776" s="112"/>
      <c r="H776" s="111"/>
      <c r="I776" s="112"/>
      <c r="J776" s="113"/>
      <c r="K776" s="113"/>
      <c r="L776" s="113"/>
      <c r="M776" s="113"/>
      <c r="N776" s="113"/>
      <c r="O776" s="113"/>
      <c r="P776" s="113"/>
      <c r="Q776" s="113"/>
      <c r="R776" s="113"/>
      <c r="S776" s="113"/>
      <c r="T776" s="113"/>
      <c r="U776" s="113"/>
      <c r="V776" s="113"/>
      <c r="W776" s="113"/>
      <c r="X776" s="113"/>
      <c r="Y776" s="113"/>
    </row>
    <row r="777" spans="1:25" s="114" customFormat="1" ht="13.5" customHeight="1">
      <c r="A777" s="111"/>
      <c r="B777" s="111"/>
      <c r="C777" s="111"/>
      <c r="D777" s="111"/>
      <c r="E777" s="111"/>
      <c r="F777" s="111"/>
      <c r="G777" s="112"/>
      <c r="H777" s="111"/>
      <c r="I777" s="112"/>
      <c r="J777" s="113"/>
      <c r="K777" s="113"/>
      <c r="L777" s="113"/>
      <c r="M777" s="113"/>
      <c r="N777" s="113"/>
      <c r="O777" s="113"/>
      <c r="P777" s="113"/>
      <c r="Q777" s="113"/>
      <c r="R777" s="113"/>
      <c r="S777" s="113"/>
      <c r="T777" s="113"/>
      <c r="U777" s="113"/>
      <c r="V777" s="113"/>
      <c r="W777" s="113"/>
      <c r="X777" s="113"/>
      <c r="Y777" s="113"/>
    </row>
    <row r="778" spans="1:25" s="114" customFormat="1" ht="13.5" customHeight="1">
      <c r="A778" s="111"/>
      <c r="B778" s="111"/>
      <c r="C778" s="111"/>
      <c r="D778" s="111"/>
      <c r="E778" s="111"/>
      <c r="F778" s="111"/>
      <c r="G778" s="112"/>
      <c r="H778" s="111"/>
      <c r="I778" s="112"/>
      <c r="J778" s="113"/>
      <c r="K778" s="113"/>
      <c r="L778" s="113"/>
      <c r="M778" s="113"/>
      <c r="N778" s="113"/>
      <c r="O778" s="113"/>
      <c r="P778" s="113"/>
      <c r="Q778" s="113"/>
      <c r="R778" s="113"/>
      <c r="S778" s="113"/>
      <c r="T778" s="113"/>
      <c r="U778" s="113"/>
      <c r="V778" s="113"/>
      <c r="W778" s="113"/>
      <c r="X778" s="113"/>
      <c r="Y778" s="113"/>
    </row>
    <row r="779" spans="1:25" s="114" customFormat="1" ht="13.5" customHeight="1">
      <c r="A779" s="111"/>
      <c r="B779" s="111"/>
      <c r="C779" s="111"/>
      <c r="D779" s="111"/>
      <c r="E779" s="111"/>
      <c r="F779" s="111"/>
      <c r="G779" s="112"/>
      <c r="H779" s="111"/>
      <c r="I779" s="112"/>
      <c r="J779" s="113"/>
      <c r="K779" s="113"/>
      <c r="L779" s="113"/>
      <c r="M779" s="113"/>
      <c r="N779" s="113"/>
      <c r="O779" s="113"/>
      <c r="P779" s="113"/>
      <c r="Q779" s="113"/>
      <c r="R779" s="113"/>
      <c r="S779" s="113"/>
      <c r="T779" s="113"/>
      <c r="U779" s="113"/>
      <c r="V779" s="113"/>
      <c r="W779" s="113"/>
      <c r="X779" s="113"/>
      <c r="Y779" s="113"/>
    </row>
    <row r="780" spans="1:25" s="114" customFormat="1" ht="13.5" customHeight="1">
      <c r="A780" s="111"/>
      <c r="B780" s="111"/>
      <c r="C780" s="111"/>
      <c r="D780" s="111"/>
      <c r="E780" s="111"/>
      <c r="F780" s="111"/>
      <c r="G780" s="112"/>
      <c r="H780" s="111"/>
      <c r="I780" s="112"/>
      <c r="J780" s="113"/>
      <c r="K780" s="113"/>
      <c r="L780" s="113"/>
      <c r="M780" s="113"/>
      <c r="N780" s="113"/>
      <c r="O780" s="113"/>
      <c r="P780" s="113"/>
      <c r="Q780" s="113"/>
      <c r="R780" s="113"/>
      <c r="S780" s="113"/>
      <c r="T780" s="113"/>
      <c r="U780" s="113"/>
      <c r="V780" s="113"/>
      <c r="W780" s="113"/>
      <c r="X780" s="113"/>
      <c r="Y780" s="113"/>
    </row>
    <row r="781" spans="1:25" s="114" customFormat="1" ht="13.5" customHeight="1">
      <c r="A781" s="111"/>
      <c r="B781" s="111"/>
      <c r="C781" s="111"/>
      <c r="D781" s="111"/>
      <c r="E781" s="111"/>
      <c r="F781" s="111"/>
      <c r="G781" s="112"/>
      <c r="H781" s="111"/>
      <c r="I781" s="112"/>
      <c r="J781" s="113"/>
      <c r="K781" s="113"/>
      <c r="L781" s="113"/>
      <c r="M781" s="113"/>
      <c r="N781" s="113"/>
      <c r="O781" s="113"/>
      <c r="P781" s="113"/>
      <c r="Q781" s="113"/>
      <c r="R781" s="113"/>
      <c r="S781" s="113"/>
      <c r="T781" s="113"/>
      <c r="U781" s="113"/>
      <c r="V781" s="113"/>
      <c r="W781" s="113"/>
      <c r="X781" s="113"/>
      <c r="Y781" s="113"/>
    </row>
    <row r="782" spans="1:25" s="114" customFormat="1" ht="13.5" customHeight="1">
      <c r="A782" s="111"/>
      <c r="B782" s="111"/>
      <c r="C782" s="111"/>
      <c r="D782" s="111"/>
      <c r="E782" s="111"/>
      <c r="F782" s="111"/>
      <c r="G782" s="112"/>
      <c r="H782" s="111"/>
      <c r="I782" s="112"/>
      <c r="J782" s="113"/>
      <c r="K782" s="113"/>
      <c r="L782" s="113"/>
      <c r="M782" s="113"/>
      <c r="N782" s="113"/>
      <c r="O782" s="113"/>
      <c r="P782" s="113"/>
      <c r="Q782" s="113"/>
      <c r="R782" s="113"/>
      <c r="S782" s="113"/>
      <c r="T782" s="113"/>
      <c r="U782" s="113"/>
      <c r="V782" s="113"/>
      <c r="W782" s="113"/>
      <c r="X782" s="113"/>
      <c r="Y782" s="113"/>
    </row>
    <row r="783" spans="1:25" s="114" customFormat="1" ht="13.5" customHeight="1">
      <c r="A783" s="111"/>
      <c r="B783" s="111"/>
      <c r="C783" s="111"/>
      <c r="D783" s="111"/>
      <c r="E783" s="111"/>
      <c r="F783" s="111"/>
      <c r="G783" s="112"/>
      <c r="H783" s="111"/>
      <c r="I783" s="112"/>
      <c r="J783" s="113"/>
      <c r="K783" s="113"/>
      <c r="L783" s="113"/>
      <c r="M783" s="113"/>
      <c r="N783" s="113"/>
      <c r="O783" s="113"/>
      <c r="P783" s="113"/>
      <c r="Q783" s="113"/>
      <c r="R783" s="113"/>
      <c r="S783" s="113"/>
      <c r="T783" s="113"/>
      <c r="U783" s="113"/>
      <c r="V783" s="113"/>
      <c r="W783" s="113"/>
      <c r="X783" s="113"/>
      <c r="Y783" s="113"/>
    </row>
    <row r="784" spans="1:25" s="114" customFormat="1" ht="13.5" customHeight="1">
      <c r="A784" s="111"/>
      <c r="B784" s="111"/>
      <c r="C784" s="111"/>
      <c r="D784" s="111"/>
      <c r="E784" s="111"/>
      <c r="F784" s="111"/>
      <c r="G784" s="112"/>
      <c r="H784" s="111"/>
      <c r="I784" s="112"/>
      <c r="J784" s="113"/>
      <c r="K784" s="113"/>
      <c r="L784" s="113"/>
      <c r="M784" s="113"/>
      <c r="N784" s="113"/>
      <c r="O784" s="113"/>
      <c r="P784" s="113"/>
      <c r="Q784" s="113"/>
      <c r="R784" s="113"/>
      <c r="S784" s="113"/>
      <c r="T784" s="113"/>
      <c r="U784" s="113"/>
      <c r="V784" s="113"/>
      <c r="W784" s="113"/>
      <c r="X784" s="113"/>
      <c r="Y784" s="113"/>
    </row>
    <row r="785" spans="1:25" s="114" customFormat="1" ht="13.5" customHeight="1">
      <c r="A785" s="111"/>
      <c r="B785" s="111"/>
      <c r="C785" s="111"/>
      <c r="D785" s="111"/>
      <c r="E785" s="111"/>
      <c r="F785" s="111"/>
      <c r="G785" s="112"/>
      <c r="H785" s="111"/>
      <c r="I785" s="112"/>
      <c r="J785" s="113"/>
      <c r="K785" s="113"/>
      <c r="L785" s="113"/>
      <c r="M785" s="113"/>
      <c r="N785" s="113"/>
      <c r="O785" s="113"/>
      <c r="P785" s="113"/>
      <c r="Q785" s="113"/>
      <c r="R785" s="113"/>
      <c r="S785" s="113"/>
      <c r="T785" s="113"/>
      <c r="U785" s="113"/>
      <c r="V785" s="113"/>
      <c r="W785" s="113"/>
      <c r="X785" s="113"/>
      <c r="Y785" s="113"/>
    </row>
    <row r="786" spans="1:25" s="114" customFormat="1" ht="13.5" customHeight="1">
      <c r="A786" s="111"/>
      <c r="B786" s="111"/>
      <c r="C786" s="111"/>
      <c r="D786" s="111"/>
      <c r="E786" s="111"/>
      <c r="F786" s="111"/>
      <c r="G786" s="112"/>
      <c r="H786" s="111"/>
      <c r="I786" s="112"/>
      <c r="J786" s="113"/>
      <c r="K786" s="113"/>
      <c r="L786" s="113"/>
      <c r="M786" s="113"/>
      <c r="N786" s="113"/>
      <c r="O786" s="113"/>
      <c r="P786" s="113"/>
      <c r="Q786" s="113"/>
      <c r="R786" s="113"/>
      <c r="S786" s="113"/>
      <c r="T786" s="113"/>
      <c r="U786" s="113"/>
      <c r="V786" s="113"/>
      <c r="W786" s="113"/>
      <c r="X786" s="113"/>
      <c r="Y786" s="113"/>
    </row>
    <row r="787" spans="1:25" s="114" customFormat="1" ht="13.5" customHeight="1">
      <c r="A787" s="111"/>
      <c r="B787" s="111"/>
      <c r="C787" s="111"/>
      <c r="D787" s="111"/>
      <c r="E787" s="111"/>
      <c r="F787" s="111"/>
      <c r="G787" s="112"/>
      <c r="H787" s="111"/>
      <c r="I787" s="112"/>
      <c r="J787" s="113"/>
      <c r="K787" s="113"/>
      <c r="L787" s="113"/>
      <c r="M787" s="113"/>
      <c r="N787" s="113"/>
      <c r="O787" s="113"/>
      <c r="P787" s="113"/>
      <c r="Q787" s="113"/>
      <c r="R787" s="113"/>
      <c r="S787" s="113"/>
      <c r="T787" s="113"/>
      <c r="U787" s="113"/>
      <c r="V787" s="113"/>
      <c r="W787" s="113"/>
      <c r="X787" s="113"/>
      <c r="Y787" s="113"/>
    </row>
    <row r="788" spans="1:25" s="114" customFormat="1" ht="13.5" customHeight="1">
      <c r="A788" s="111"/>
      <c r="B788" s="111"/>
      <c r="C788" s="111"/>
      <c r="D788" s="111"/>
      <c r="E788" s="111"/>
      <c r="F788" s="111"/>
      <c r="G788" s="112"/>
      <c r="H788" s="111"/>
      <c r="I788" s="112"/>
      <c r="J788" s="113"/>
      <c r="K788" s="113"/>
      <c r="L788" s="113"/>
      <c r="M788" s="113"/>
      <c r="N788" s="113"/>
      <c r="O788" s="113"/>
      <c r="P788" s="113"/>
      <c r="Q788" s="113"/>
      <c r="R788" s="113"/>
      <c r="S788" s="113"/>
      <c r="T788" s="113"/>
      <c r="U788" s="113"/>
      <c r="V788" s="113"/>
      <c r="W788" s="113"/>
      <c r="X788" s="113"/>
      <c r="Y788" s="113"/>
    </row>
    <row r="789" spans="1:25" s="114" customFormat="1" ht="13.5" customHeight="1">
      <c r="A789" s="111"/>
      <c r="B789" s="111"/>
      <c r="C789" s="111"/>
      <c r="D789" s="111"/>
      <c r="E789" s="111"/>
      <c r="F789" s="111"/>
      <c r="G789" s="112"/>
      <c r="H789" s="111"/>
      <c r="I789" s="112"/>
      <c r="J789" s="113"/>
      <c r="K789" s="113"/>
      <c r="L789" s="113"/>
      <c r="M789" s="113"/>
      <c r="N789" s="113"/>
      <c r="O789" s="113"/>
      <c r="P789" s="113"/>
      <c r="Q789" s="113"/>
      <c r="R789" s="113"/>
      <c r="S789" s="113"/>
      <c r="T789" s="113"/>
      <c r="U789" s="113"/>
      <c r="V789" s="113"/>
      <c r="W789" s="113"/>
      <c r="X789" s="113"/>
      <c r="Y789" s="113"/>
    </row>
    <row r="790" spans="1:25" s="114" customFormat="1" ht="13.5" customHeight="1">
      <c r="A790" s="111"/>
      <c r="B790" s="111"/>
      <c r="C790" s="111"/>
      <c r="D790" s="111"/>
      <c r="E790" s="111"/>
      <c r="F790" s="111"/>
      <c r="G790" s="112"/>
      <c r="H790" s="111"/>
      <c r="I790" s="112"/>
      <c r="J790" s="113"/>
      <c r="K790" s="113"/>
      <c r="L790" s="113"/>
      <c r="M790" s="113"/>
      <c r="N790" s="113"/>
      <c r="O790" s="113"/>
      <c r="P790" s="113"/>
      <c r="Q790" s="113"/>
      <c r="R790" s="113"/>
      <c r="S790" s="113"/>
      <c r="T790" s="113"/>
      <c r="U790" s="113"/>
      <c r="V790" s="113"/>
      <c r="W790" s="113"/>
      <c r="X790" s="113"/>
      <c r="Y790" s="113"/>
    </row>
    <row r="791" spans="1:25" s="114" customFormat="1" ht="13.5" customHeight="1">
      <c r="A791" s="111"/>
      <c r="B791" s="111"/>
      <c r="C791" s="111"/>
      <c r="D791" s="111"/>
      <c r="E791" s="111"/>
      <c r="F791" s="111"/>
      <c r="G791" s="112"/>
      <c r="H791" s="111"/>
      <c r="I791" s="112"/>
      <c r="J791" s="113"/>
      <c r="K791" s="113"/>
      <c r="L791" s="113"/>
      <c r="M791" s="113"/>
      <c r="N791" s="113"/>
      <c r="O791" s="113"/>
      <c r="P791" s="113"/>
      <c r="Q791" s="113"/>
      <c r="R791" s="113"/>
      <c r="S791" s="113"/>
      <c r="T791" s="113"/>
      <c r="U791" s="113"/>
      <c r="V791" s="113"/>
      <c r="W791" s="113"/>
      <c r="X791" s="113"/>
      <c r="Y791" s="113"/>
    </row>
    <row r="792" spans="1:25" s="114" customFormat="1" ht="13.5" customHeight="1">
      <c r="A792" s="111"/>
      <c r="B792" s="111"/>
      <c r="C792" s="111"/>
      <c r="D792" s="111"/>
      <c r="E792" s="111"/>
      <c r="F792" s="111"/>
      <c r="G792" s="112"/>
      <c r="H792" s="111"/>
      <c r="I792" s="112"/>
      <c r="J792" s="113"/>
      <c r="K792" s="113"/>
      <c r="L792" s="113"/>
      <c r="M792" s="113"/>
      <c r="N792" s="113"/>
      <c r="O792" s="113"/>
      <c r="P792" s="113"/>
      <c r="Q792" s="113"/>
      <c r="R792" s="113"/>
      <c r="S792" s="113"/>
      <c r="T792" s="113"/>
      <c r="U792" s="113"/>
      <c r="V792" s="113"/>
      <c r="W792" s="113"/>
      <c r="X792" s="113"/>
      <c r="Y792" s="113"/>
    </row>
    <row r="793" spans="1:25" s="114" customFormat="1" ht="13.5" customHeight="1">
      <c r="A793" s="111"/>
      <c r="B793" s="111"/>
      <c r="C793" s="111"/>
      <c r="D793" s="111"/>
      <c r="E793" s="111"/>
      <c r="F793" s="111"/>
      <c r="G793" s="112"/>
      <c r="H793" s="111"/>
      <c r="I793" s="112"/>
      <c r="J793" s="113"/>
      <c r="K793" s="113"/>
      <c r="L793" s="113"/>
      <c r="M793" s="113"/>
      <c r="N793" s="113"/>
      <c r="O793" s="113"/>
      <c r="P793" s="113"/>
      <c r="Q793" s="113"/>
      <c r="R793" s="113"/>
      <c r="S793" s="113"/>
      <c r="T793" s="113"/>
      <c r="U793" s="113"/>
      <c r="V793" s="113"/>
      <c r="W793" s="113"/>
      <c r="X793" s="113"/>
      <c r="Y793" s="113"/>
    </row>
    <row r="794" spans="1:25" s="114" customFormat="1" ht="13.5" customHeight="1">
      <c r="A794" s="111"/>
      <c r="B794" s="111"/>
      <c r="C794" s="111"/>
      <c r="D794" s="111"/>
      <c r="E794" s="111"/>
      <c r="F794" s="111"/>
      <c r="G794" s="112"/>
      <c r="H794" s="111"/>
      <c r="I794" s="112"/>
      <c r="J794" s="113"/>
      <c r="K794" s="113"/>
      <c r="L794" s="113"/>
      <c r="M794" s="113"/>
      <c r="N794" s="113"/>
      <c r="O794" s="113"/>
      <c r="P794" s="113"/>
      <c r="Q794" s="113"/>
      <c r="R794" s="113"/>
      <c r="S794" s="113"/>
      <c r="T794" s="113"/>
      <c r="U794" s="113"/>
      <c r="V794" s="113"/>
      <c r="W794" s="113"/>
      <c r="X794" s="113"/>
      <c r="Y794" s="113"/>
    </row>
    <row r="795" spans="1:25" s="114" customFormat="1" ht="13.5" customHeight="1">
      <c r="A795" s="111"/>
      <c r="B795" s="111"/>
      <c r="C795" s="111"/>
      <c r="D795" s="111"/>
      <c r="E795" s="111"/>
      <c r="F795" s="111"/>
      <c r="G795" s="112"/>
      <c r="H795" s="111"/>
      <c r="I795" s="112"/>
      <c r="J795" s="113"/>
      <c r="K795" s="113"/>
      <c r="L795" s="113"/>
      <c r="M795" s="113"/>
      <c r="N795" s="113"/>
      <c r="O795" s="113"/>
      <c r="P795" s="113"/>
      <c r="Q795" s="113"/>
      <c r="R795" s="113"/>
      <c r="S795" s="113"/>
      <c r="T795" s="113"/>
      <c r="U795" s="113"/>
      <c r="V795" s="113"/>
      <c r="W795" s="113"/>
      <c r="X795" s="113"/>
      <c r="Y795" s="113"/>
    </row>
    <row r="796" spans="1:25" s="114" customFormat="1" ht="13.5" customHeight="1">
      <c r="A796" s="111"/>
      <c r="B796" s="111"/>
      <c r="C796" s="111"/>
      <c r="D796" s="111"/>
      <c r="E796" s="111"/>
      <c r="F796" s="111"/>
      <c r="G796" s="112"/>
      <c r="H796" s="111"/>
      <c r="I796" s="112"/>
      <c r="J796" s="113"/>
      <c r="K796" s="113"/>
      <c r="L796" s="113"/>
      <c r="M796" s="113"/>
      <c r="N796" s="113"/>
      <c r="O796" s="113"/>
      <c r="P796" s="113"/>
      <c r="Q796" s="113"/>
      <c r="R796" s="113"/>
      <c r="S796" s="113"/>
      <c r="T796" s="113"/>
      <c r="U796" s="113"/>
      <c r="V796" s="113"/>
      <c r="W796" s="113"/>
      <c r="X796" s="113"/>
      <c r="Y796" s="113"/>
    </row>
    <row r="797" spans="1:25" s="114" customFormat="1" ht="13.5" customHeight="1">
      <c r="A797" s="111"/>
      <c r="B797" s="111"/>
      <c r="C797" s="111"/>
      <c r="D797" s="111"/>
      <c r="E797" s="111"/>
      <c r="F797" s="111"/>
      <c r="G797" s="112"/>
      <c r="H797" s="111"/>
      <c r="I797" s="112"/>
      <c r="J797" s="113"/>
      <c r="K797" s="113"/>
      <c r="L797" s="113"/>
      <c r="M797" s="113"/>
      <c r="N797" s="113"/>
      <c r="O797" s="113"/>
      <c r="P797" s="113"/>
      <c r="Q797" s="113"/>
      <c r="R797" s="113"/>
      <c r="S797" s="113"/>
      <c r="T797" s="113"/>
      <c r="U797" s="113"/>
      <c r="V797" s="113"/>
      <c r="W797" s="113"/>
      <c r="X797" s="113"/>
      <c r="Y797" s="113"/>
    </row>
    <row r="798" spans="1:25" s="114" customFormat="1" ht="13.5" customHeight="1">
      <c r="A798" s="111"/>
      <c r="B798" s="111"/>
      <c r="C798" s="111"/>
      <c r="D798" s="111"/>
      <c r="E798" s="111"/>
      <c r="F798" s="111"/>
      <c r="G798" s="112"/>
      <c r="H798" s="111"/>
      <c r="I798" s="112"/>
      <c r="J798" s="113"/>
      <c r="K798" s="113"/>
      <c r="L798" s="113"/>
      <c r="M798" s="113"/>
      <c r="N798" s="113"/>
      <c r="O798" s="113"/>
      <c r="P798" s="113"/>
      <c r="Q798" s="113"/>
      <c r="R798" s="113"/>
      <c r="S798" s="113"/>
      <c r="T798" s="113"/>
      <c r="U798" s="113"/>
      <c r="V798" s="113"/>
      <c r="W798" s="113"/>
      <c r="X798" s="113"/>
      <c r="Y798" s="113"/>
    </row>
    <row r="799" spans="1:25" s="114" customFormat="1" ht="13.5" customHeight="1">
      <c r="A799" s="111"/>
      <c r="B799" s="111"/>
      <c r="C799" s="111"/>
      <c r="D799" s="111"/>
      <c r="E799" s="111"/>
      <c r="F799" s="111"/>
      <c r="G799" s="112"/>
      <c r="H799" s="111"/>
      <c r="I799" s="112"/>
      <c r="J799" s="113"/>
      <c r="K799" s="113"/>
      <c r="L799" s="113"/>
      <c r="M799" s="113"/>
      <c r="N799" s="113"/>
      <c r="O799" s="113"/>
      <c r="P799" s="113"/>
      <c r="Q799" s="113"/>
      <c r="R799" s="113"/>
      <c r="S799" s="113"/>
      <c r="T799" s="113"/>
      <c r="U799" s="113"/>
      <c r="V799" s="113"/>
      <c r="W799" s="113"/>
      <c r="X799" s="113"/>
      <c r="Y799" s="113"/>
    </row>
    <row r="800" spans="1:25" s="114" customFormat="1" ht="13.5" customHeight="1">
      <c r="A800" s="111"/>
      <c r="B800" s="111"/>
      <c r="C800" s="111"/>
      <c r="D800" s="111"/>
      <c r="E800" s="111"/>
      <c r="F800" s="111"/>
      <c r="G800" s="112"/>
      <c r="H800" s="111"/>
      <c r="I800" s="112"/>
      <c r="J800" s="113"/>
      <c r="K800" s="113"/>
      <c r="L800" s="113"/>
      <c r="M800" s="113"/>
      <c r="N800" s="113"/>
      <c r="O800" s="113"/>
      <c r="P800" s="113"/>
      <c r="Q800" s="113"/>
      <c r="R800" s="113"/>
      <c r="S800" s="113"/>
      <c r="T800" s="113"/>
      <c r="U800" s="113"/>
      <c r="V800" s="113"/>
      <c r="W800" s="113"/>
      <c r="X800" s="113"/>
      <c r="Y800" s="113"/>
    </row>
    <row r="801" spans="1:25" s="114" customFormat="1" ht="13.5" customHeight="1">
      <c r="A801" s="111"/>
      <c r="B801" s="111"/>
      <c r="C801" s="111"/>
      <c r="D801" s="111"/>
      <c r="E801" s="111"/>
      <c r="F801" s="111"/>
      <c r="G801" s="112"/>
      <c r="H801" s="111"/>
      <c r="I801" s="112"/>
      <c r="J801" s="113"/>
      <c r="K801" s="113"/>
      <c r="L801" s="113"/>
      <c r="M801" s="113"/>
      <c r="N801" s="113"/>
      <c r="O801" s="113"/>
      <c r="P801" s="113"/>
      <c r="Q801" s="113"/>
      <c r="R801" s="113"/>
      <c r="S801" s="113"/>
      <c r="T801" s="113"/>
      <c r="U801" s="113"/>
      <c r="V801" s="113"/>
      <c r="W801" s="113"/>
      <c r="X801" s="113"/>
      <c r="Y801" s="113"/>
    </row>
    <row r="802" spans="1:25" s="114" customFormat="1" ht="13.5" customHeight="1">
      <c r="A802" s="111"/>
      <c r="B802" s="111"/>
      <c r="C802" s="111"/>
      <c r="D802" s="111"/>
      <c r="E802" s="111"/>
      <c r="F802" s="111"/>
      <c r="G802" s="112"/>
      <c r="H802" s="111"/>
      <c r="I802" s="112"/>
      <c r="J802" s="113"/>
      <c r="K802" s="113"/>
      <c r="L802" s="113"/>
      <c r="M802" s="113"/>
      <c r="N802" s="113"/>
      <c r="O802" s="113"/>
      <c r="P802" s="113"/>
      <c r="Q802" s="113"/>
      <c r="R802" s="113"/>
      <c r="S802" s="113"/>
      <c r="T802" s="113"/>
      <c r="U802" s="113"/>
      <c r="V802" s="113"/>
      <c r="W802" s="113"/>
      <c r="X802" s="113"/>
      <c r="Y802" s="113"/>
    </row>
    <row r="803" spans="1:25" s="114" customFormat="1" ht="13.5" customHeight="1">
      <c r="A803" s="111"/>
      <c r="B803" s="111"/>
      <c r="C803" s="111"/>
      <c r="D803" s="111"/>
      <c r="E803" s="111"/>
      <c r="F803" s="111"/>
      <c r="G803" s="112"/>
      <c r="H803" s="111"/>
      <c r="I803" s="112"/>
      <c r="J803" s="113"/>
      <c r="K803" s="113"/>
      <c r="L803" s="113"/>
      <c r="M803" s="113"/>
      <c r="N803" s="113"/>
      <c r="O803" s="113"/>
      <c r="P803" s="113"/>
      <c r="Q803" s="113"/>
      <c r="R803" s="113"/>
      <c r="S803" s="113"/>
      <c r="T803" s="113"/>
      <c r="U803" s="113"/>
      <c r="V803" s="113"/>
      <c r="W803" s="113"/>
      <c r="X803" s="113"/>
      <c r="Y803" s="113"/>
    </row>
    <row r="804" spans="1:25" s="114" customFormat="1" ht="13.5" customHeight="1">
      <c r="A804" s="111"/>
      <c r="B804" s="111"/>
      <c r="C804" s="111"/>
      <c r="D804" s="111"/>
      <c r="E804" s="111"/>
      <c r="F804" s="111"/>
      <c r="G804" s="112"/>
      <c r="H804" s="111"/>
      <c r="I804" s="112"/>
      <c r="J804" s="113"/>
      <c r="K804" s="113"/>
      <c r="L804" s="113"/>
      <c r="M804" s="113"/>
      <c r="N804" s="113"/>
      <c r="O804" s="113"/>
      <c r="P804" s="113"/>
      <c r="Q804" s="113"/>
      <c r="R804" s="113"/>
      <c r="S804" s="113"/>
      <c r="T804" s="113"/>
      <c r="U804" s="113"/>
      <c r="V804" s="113"/>
      <c r="W804" s="113"/>
      <c r="X804" s="113"/>
      <c r="Y804" s="113"/>
    </row>
    <row r="805" spans="1:25" s="114" customFormat="1" ht="13.5" customHeight="1">
      <c r="A805" s="111"/>
      <c r="B805" s="111"/>
      <c r="C805" s="111"/>
      <c r="D805" s="111"/>
      <c r="E805" s="111"/>
      <c r="F805" s="111"/>
      <c r="G805" s="112"/>
      <c r="H805" s="111"/>
      <c r="I805" s="112"/>
      <c r="J805" s="113"/>
      <c r="K805" s="113"/>
      <c r="L805" s="113"/>
      <c r="M805" s="113"/>
      <c r="N805" s="113"/>
      <c r="O805" s="113"/>
      <c r="P805" s="113"/>
      <c r="Q805" s="113"/>
      <c r="R805" s="113"/>
      <c r="S805" s="113"/>
      <c r="T805" s="113"/>
      <c r="U805" s="113"/>
      <c r="V805" s="113"/>
      <c r="W805" s="113"/>
      <c r="X805" s="113"/>
      <c r="Y805" s="113"/>
    </row>
    <row r="806" spans="1:25" s="114" customFormat="1" ht="13.5" customHeight="1">
      <c r="A806" s="111"/>
      <c r="B806" s="111"/>
      <c r="C806" s="111"/>
      <c r="D806" s="111"/>
      <c r="E806" s="111"/>
      <c r="F806" s="111"/>
      <c r="G806" s="112"/>
      <c r="H806" s="111"/>
      <c r="I806" s="112"/>
      <c r="J806" s="113"/>
      <c r="K806" s="113"/>
      <c r="L806" s="113"/>
      <c r="M806" s="113"/>
      <c r="N806" s="113"/>
      <c r="O806" s="113"/>
      <c r="P806" s="113"/>
      <c r="Q806" s="113"/>
      <c r="R806" s="113"/>
      <c r="S806" s="113"/>
      <c r="T806" s="113"/>
      <c r="U806" s="113"/>
      <c r="V806" s="113"/>
      <c r="W806" s="113"/>
      <c r="X806" s="113"/>
      <c r="Y806" s="113"/>
    </row>
    <row r="807" spans="1:25" s="114" customFormat="1" ht="13.5" customHeight="1">
      <c r="A807" s="111"/>
      <c r="B807" s="111"/>
      <c r="C807" s="111"/>
      <c r="D807" s="111"/>
      <c r="E807" s="111"/>
      <c r="F807" s="111"/>
      <c r="G807" s="112"/>
      <c r="H807" s="111"/>
      <c r="I807" s="112"/>
      <c r="J807" s="113"/>
      <c r="K807" s="113"/>
      <c r="L807" s="113"/>
      <c r="M807" s="113"/>
      <c r="N807" s="113"/>
      <c r="O807" s="113"/>
      <c r="P807" s="113"/>
      <c r="Q807" s="113"/>
      <c r="R807" s="113"/>
      <c r="S807" s="113"/>
      <c r="T807" s="113"/>
      <c r="U807" s="113"/>
      <c r="V807" s="113"/>
      <c r="W807" s="113"/>
      <c r="X807" s="113"/>
      <c r="Y807" s="113"/>
    </row>
    <row r="808" spans="1:25" s="114" customFormat="1" ht="13.5" customHeight="1">
      <c r="A808" s="111"/>
      <c r="B808" s="111"/>
      <c r="C808" s="111"/>
      <c r="D808" s="111"/>
      <c r="E808" s="111"/>
      <c r="F808" s="111"/>
      <c r="G808" s="112"/>
      <c r="H808" s="111"/>
      <c r="I808" s="112"/>
      <c r="J808" s="113"/>
      <c r="K808" s="113"/>
      <c r="L808" s="113"/>
      <c r="M808" s="113"/>
      <c r="N808" s="113"/>
      <c r="O808" s="113"/>
      <c r="P808" s="113"/>
      <c r="Q808" s="113"/>
      <c r="R808" s="113"/>
      <c r="S808" s="113"/>
      <c r="T808" s="113"/>
      <c r="U808" s="113"/>
      <c r="V808" s="113"/>
      <c r="W808" s="113"/>
      <c r="X808" s="113"/>
      <c r="Y808" s="113"/>
    </row>
    <row r="809" spans="1:25" s="114" customFormat="1" ht="13.5" customHeight="1">
      <c r="A809" s="111"/>
      <c r="B809" s="111"/>
      <c r="C809" s="111"/>
      <c r="D809" s="111"/>
      <c r="E809" s="111"/>
      <c r="F809" s="111"/>
      <c r="G809" s="112"/>
      <c r="H809" s="111"/>
      <c r="I809" s="112"/>
      <c r="J809" s="113"/>
      <c r="K809" s="113"/>
      <c r="L809" s="113"/>
      <c r="M809" s="113"/>
      <c r="N809" s="113"/>
      <c r="O809" s="113"/>
      <c r="P809" s="113"/>
      <c r="Q809" s="113"/>
      <c r="R809" s="113"/>
      <c r="S809" s="113"/>
      <c r="T809" s="113"/>
      <c r="U809" s="113"/>
      <c r="V809" s="113"/>
      <c r="W809" s="113"/>
      <c r="X809" s="113"/>
      <c r="Y809" s="113"/>
    </row>
    <row r="810" spans="1:25" s="114" customFormat="1" ht="13.5" customHeight="1">
      <c r="A810" s="111"/>
      <c r="B810" s="111"/>
      <c r="C810" s="111"/>
      <c r="D810" s="111"/>
      <c r="E810" s="111"/>
      <c r="F810" s="111"/>
      <c r="G810" s="112"/>
      <c r="H810" s="111"/>
      <c r="I810" s="112"/>
      <c r="J810" s="113"/>
      <c r="K810" s="113"/>
      <c r="L810" s="113"/>
      <c r="M810" s="113"/>
      <c r="N810" s="113"/>
      <c r="O810" s="113"/>
      <c r="P810" s="113"/>
      <c r="Q810" s="113"/>
      <c r="R810" s="113"/>
      <c r="S810" s="113"/>
      <c r="T810" s="113"/>
      <c r="U810" s="113"/>
      <c r="V810" s="113"/>
      <c r="W810" s="113"/>
      <c r="X810" s="113"/>
      <c r="Y810" s="113"/>
    </row>
    <row r="811" spans="1:25" s="114" customFormat="1" ht="13.5" customHeight="1">
      <c r="A811" s="111"/>
      <c r="B811" s="111"/>
      <c r="C811" s="111"/>
      <c r="D811" s="111"/>
      <c r="E811" s="111"/>
      <c r="F811" s="111"/>
      <c r="G811" s="112"/>
      <c r="H811" s="111"/>
      <c r="I811" s="112"/>
      <c r="J811" s="113"/>
      <c r="K811" s="113"/>
      <c r="L811" s="113"/>
      <c r="M811" s="113"/>
      <c r="N811" s="113"/>
      <c r="O811" s="113"/>
      <c r="P811" s="113"/>
      <c r="Q811" s="113"/>
      <c r="R811" s="113"/>
      <c r="S811" s="113"/>
      <c r="T811" s="113"/>
      <c r="U811" s="113"/>
      <c r="V811" s="113"/>
      <c r="W811" s="113"/>
      <c r="X811" s="113"/>
      <c r="Y811" s="113"/>
    </row>
    <row r="812" spans="1:25" s="114" customFormat="1" ht="13.5" customHeight="1">
      <c r="A812" s="111"/>
      <c r="B812" s="111"/>
      <c r="C812" s="111"/>
      <c r="D812" s="111"/>
      <c r="E812" s="111"/>
      <c r="F812" s="111"/>
      <c r="G812" s="112"/>
      <c r="H812" s="111"/>
      <c r="I812" s="112"/>
      <c r="J812" s="113"/>
      <c r="K812" s="113"/>
      <c r="L812" s="113"/>
      <c r="M812" s="113"/>
      <c r="N812" s="113"/>
      <c r="O812" s="113"/>
      <c r="P812" s="113"/>
      <c r="Q812" s="113"/>
      <c r="R812" s="113"/>
      <c r="S812" s="113"/>
      <c r="T812" s="113"/>
      <c r="U812" s="113"/>
      <c r="V812" s="113"/>
      <c r="W812" s="113"/>
      <c r="X812" s="113"/>
      <c r="Y812" s="113"/>
    </row>
    <row r="813" spans="1:25" s="114" customFormat="1" ht="13.5" customHeight="1">
      <c r="A813" s="111"/>
      <c r="B813" s="111"/>
      <c r="C813" s="111"/>
      <c r="D813" s="111"/>
      <c r="E813" s="111"/>
      <c r="F813" s="111"/>
      <c r="G813" s="112"/>
      <c r="H813" s="111"/>
      <c r="I813" s="112"/>
      <c r="J813" s="113"/>
      <c r="K813" s="113"/>
      <c r="L813" s="113"/>
      <c r="M813" s="113"/>
      <c r="N813" s="113"/>
      <c r="O813" s="113"/>
      <c r="P813" s="113"/>
      <c r="Q813" s="113"/>
      <c r="R813" s="113"/>
      <c r="S813" s="113"/>
      <c r="T813" s="113"/>
      <c r="U813" s="113"/>
      <c r="V813" s="113"/>
      <c r="W813" s="113"/>
      <c r="X813" s="113"/>
      <c r="Y813" s="113"/>
    </row>
    <row r="814" spans="1:25" s="114" customFormat="1" ht="13.5" customHeight="1">
      <c r="A814" s="111"/>
      <c r="B814" s="111"/>
      <c r="C814" s="111"/>
      <c r="D814" s="111"/>
      <c r="E814" s="111"/>
      <c r="F814" s="111"/>
      <c r="G814" s="112"/>
      <c r="H814" s="111"/>
      <c r="I814" s="112"/>
      <c r="J814" s="113"/>
      <c r="K814" s="113"/>
      <c r="L814" s="113"/>
      <c r="M814" s="113"/>
      <c r="N814" s="113"/>
      <c r="O814" s="113"/>
      <c r="P814" s="113"/>
      <c r="Q814" s="113"/>
      <c r="R814" s="113"/>
      <c r="S814" s="113"/>
      <c r="T814" s="113"/>
      <c r="U814" s="113"/>
      <c r="V814" s="113"/>
      <c r="W814" s="113"/>
      <c r="X814" s="113"/>
      <c r="Y814" s="113"/>
    </row>
    <row r="815" spans="1:25" s="114" customFormat="1" ht="13.5" customHeight="1">
      <c r="A815" s="111"/>
      <c r="B815" s="111"/>
      <c r="C815" s="111"/>
      <c r="D815" s="111"/>
      <c r="E815" s="111"/>
      <c r="F815" s="111"/>
      <c r="G815" s="112"/>
      <c r="H815" s="111"/>
      <c r="I815" s="112"/>
      <c r="J815" s="113"/>
      <c r="K815" s="113"/>
      <c r="L815" s="113"/>
      <c r="M815" s="113"/>
      <c r="N815" s="113"/>
      <c r="O815" s="113"/>
      <c r="P815" s="113"/>
      <c r="Q815" s="113"/>
      <c r="R815" s="113"/>
      <c r="S815" s="113"/>
      <c r="T815" s="113"/>
      <c r="U815" s="113"/>
      <c r="V815" s="113"/>
      <c r="W815" s="113"/>
      <c r="X815" s="113"/>
      <c r="Y815" s="113"/>
    </row>
    <row r="816" spans="1:25" s="114" customFormat="1" ht="13.5" customHeight="1">
      <c r="A816" s="111"/>
      <c r="B816" s="111"/>
      <c r="C816" s="111"/>
      <c r="D816" s="111"/>
      <c r="E816" s="111"/>
      <c r="F816" s="111"/>
      <c r="G816" s="112"/>
      <c r="H816" s="111"/>
      <c r="I816" s="112"/>
      <c r="J816" s="113"/>
      <c r="K816" s="113"/>
      <c r="L816" s="113"/>
      <c r="M816" s="113"/>
      <c r="N816" s="113"/>
      <c r="O816" s="113"/>
      <c r="P816" s="113"/>
      <c r="Q816" s="113"/>
      <c r="R816" s="113"/>
      <c r="S816" s="113"/>
      <c r="T816" s="113"/>
      <c r="U816" s="113"/>
      <c r="V816" s="113"/>
      <c r="W816" s="113"/>
      <c r="X816" s="113"/>
      <c r="Y816" s="113"/>
    </row>
    <row r="817" spans="1:25" s="114" customFormat="1" ht="13.5" customHeight="1">
      <c r="A817" s="111"/>
      <c r="B817" s="111"/>
      <c r="C817" s="111"/>
      <c r="D817" s="111"/>
      <c r="E817" s="111"/>
      <c r="F817" s="111"/>
      <c r="G817" s="112"/>
      <c r="H817" s="111"/>
      <c r="I817" s="112"/>
      <c r="J817" s="113"/>
      <c r="K817" s="113"/>
      <c r="L817" s="113"/>
      <c r="M817" s="113"/>
      <c r="N817" s="113"/>
      <c r="O817" s="113"/>
      <c r="P817" s="113"/>
      <c r="Q817" s="113"/>
      <c r="R817" s="113"/>
      <c r="S817" s="113"/>
      <c r="T817" s="113"/>
      <c r="U817" s="113"/>
      <c r="V817" s="113"/>
      <c r="W817" s="113"/>
      <c r="X817" s="113"/>
      <c r="Y817" s="113"/>
    </row>
    <row r="818" spans="1:25" s="114" customFormat="1" ht="13.5" customHeight="1">
      <c r="A818" s="111"/>
      <c r="B818" s="111"/>
      <c r="C818" s="111"/>
      <c r="D818" s="111"/>
      <c r="E818" s="111"/>
      <c r="F818" s="111"/>
      <c r="G818" s="112"/>
      <c r="H818" s="111"/>
      <c r="I818" s="112"/>
      <c r="J818" s="113"/>
      <c r="K818" s="113"/>
      <c r="L818" s="113"/>
      <c r="M818" s="113"/>
      <c r="N818" s="113"/>
      <c r="O818" s="113"/>
      <c r="P818" s="113"/>
      <c r="Q818" s="113"/>
      <c r="R818" s="113"/>
      <c r="S818" s="113"/>
      <c r="T818" s="113"/>
      <c r="U818" s="113"/>
      <c r="V818" s="113"/>
      <c r="W818" s="113"/>
      <c r="X818" s="113"/>
      <c r="Y818" s="113"/>
    </row>
    <row r="819" spans="1:25" s="114" customFormat="1" ht="13.5" customHeight="1">
      <c r="A819" s="111"/>
      <c r="B819" s="111"/>
      <c r="C819" s="111"/>
      <c r="D819" s="111"/>
      <c r="E819" s="111"/>
      <c r="F819" s="111"/>
      <c r="G819" s="112"/>
      <c r="H819" s="111"/>
      <c r="I819" s="112"/>
      <c r="J819" s="113"/>
      <c r="K819" s="113"/>
      <c r="L819" s="113"/>
      <c r="M819" s="113"/>
      <c r="N819" s="113"/>
      <c r="O819" s="113"/>
      <c r="P819" s="113"/>
      <c r="Q819" s="113"/>
      <c r="R819" s="113"/>
      <c r="S819" s="113"/>
      <c r="T819" s="113"/>
      <c r="U819" s="113"/>
      <c r="V819" s="113"/>
      <c r="W819" s="113"/>
      <c r="X819" s="113"/>
      <c r="Y819" s="113"/>
    </row>
    <row r="820" spans="1:25" s="114" customFormat="1" ht="13.5" customHeight="1">
      <c r="A820" s="111"/>
      <c r="B820" s="111"/>
      <c r="C820" s="111"/>
      <c r="D820" s="111"/>
      <c r="E820" s="111"/>
      <c r="F820" s="111"/>
      <c r="G820" s="112"/>
      <c r="H820" s="111"/>
      <c r="I820" s="112"/>
      <c r="J820" s="113"/>
      <c r="K820" s="113"/>
      <c r="L820" s="113"/>
      <c r="M820" s="113"/>
      <c r="N820" s="113"/>
      <c r="O820" s="113"/>
      <c r="P820" s="113"/>
      <c r="Q820" s="113"/>
      <c r="R820" s="113"/>
      <c r="S820" s="113"/>
      <c r="T820" s="113"/>
      <c r="U820" s="113"/>
      <c r="V820" s="113"/>
      <c r="W820" s="113"/>
      <c r="X820" s="113"/>
      <c r="Y820" s="113"/>
    </row>
    <row r="821" spans="1:25" s="114" customFormat="1" ht="13.5" customHeight="1">
      <c r="A821" s="111"/>
      <c r="B821" s="111"/>
      <c r="C821" s="111"/>
      <c r="D821" s="111"/>
      <c r="E821" s="111"/>
      <c r="F821" s="111"/>
      <c r="G821" s="112"/>
      <c r="H821" s="111"/>
      <c r="I821" s="112"/>
      <c r="J821" s="113"/>
      <c r="K821" s="113"/>
      <c r="L821" s="113"/>
      <c r="M821" s="113"/>
      <c r="N821" s="113"/>
      <c r="O821" s="113"/>
      <c r="P821" s="113"/>
      <c r="Q821" s="113"/>
      <c r="R821" s="113"/>
      <c r="S821" s="113"/>
      <c r="T821" s="113"/>
      <c r="U821" s="113"/>
      <c r="V821" s="113"/>
      <c r="W821" s="113"/>
      <c r="X821" s="113"/>
      <c r="Y821" s="113"/>
    </row>
    <row r="822" spans="1:25" s="114" customFormat="1" ht="13.5" customHeight="1">
      <c r="A822" s="111"/>
      <c r="B822" s="111"/>
      <c r="C822" s="111"/>
      <c r="D822" s="111"/>
      <c r="E822" s="111"/>
      <c r="F822" s="111"/>
      <c r="G822" s="112"/>
      <c r="H822" s="111"/>
      <c r="I822" s="112"/>
      <c r="J822" s="113"/>
      <c r="K822" s="113"/>
      <c r="L822" s="113"/>
      <c r="M822" s="113"/>
      <c r="N822" s="113"/>
      <c r="O822" s="113"/>
      <c r="P822" s="113"/>
      <c r="Q822" s="113"/>
      <c r="R822" s="113"/>
      <c r="S822" s="113"/>
      <c r="T822" s="113"/>
      <c r="U822" s="113"/>
      <c r="V822" s="113"/>
      <c r="W822" s="113"/>
      <c r="X822" s="113"/>
      <c r="Y822" s="113"/>
    </row>
    <row r="823" spans="1:25" s="114" customFormat="1" ht="13.5" customHeight="1">
      <c r="A823" s="111"/>
      <c r="B823" s="111"/>
      <c r="C823" s="111"/>
      <c r="D823" s="111"/>
      <c r="E823" s="111"/>
      <c r="F823" s="111"/>
      <c r="G823" s="112"/>
      <c r="H823" s="111"/>
      <c r="I823" s="112"/>
      <c r="J823" s="113"/>
      <c r="K823" s="113"/>
      <c r="L823" s="113"/>
      <c r="M823" s="113"/>
      <c r="N823" s="113"/>
      <c r="O823" s="113"/>
      <c r="P823" s="113"/>
      <c r="Q823" s="113"/>
      <c r="R823" s="113"/>
      <c r="S823" s="113"/>
      <c r="T823" s="113"/>
      <c r="U823" s="113"/>
      <c r="V823" s="113"/>
      <c r="W823" s="113"/>
      <c r="X823" s="113"/>
      <c r="Y823" s="113"/>
    </row>
    <row r="824" spans="1:25" s="114" customFormat="1" ht="13.5" customHeight="1">
      <c r="A824" s="111"/>
      <c r="B824" s="111"/>
      <c r="C824" s="111"/>
      <c r="D824" s="111"/>
      <c r="E824" s="111"/>
      <c r="F824" s="111"/>
      <c r="G824" s="112"/>
      <c r="H824" s="111"/>
      <c r="I824" s="112"/>
      <c r="J824" s="113"/>
      <c r="K824" s="113"/>
      <c r="L824" s="113"/>
      <c r="M824" s="113"/>
      <c r="N824" s="113"/>
      <c r="O824" s="113"/>
      <c r="P824" s="113"/>
      <c r="Q824" s="113"/>
      <c r="R824" s="113"/>
      <c r="S824" s="113"/>
      <c r="T824" s="113"/>
      <c r="U824" s="113"/>
      <c r="V824" s="113"/>
      <c r="W824" s="113"/>
      <c r="X824" s="113"/>
      <c r="Y824" s="113"/>
    </row>
    <row r="825" spans="1:25" s="114" customFormat="1" ht="13.5" customHeight="1">
      <c r="A825" s="111"/>
      <c r="B825" s="111"/>
      <c r="C825" s="111"/>
      <c r="D825" s="111"/>
      <c r="E825" s="111"/>
      <c r="F825" s="111"/>
      <c r="G825" s="112"/>
      <c r="H825" s="111"/>
      <c r="I825" s="112"/>
      <c r="J825" s="113"/>
      <c r="K825" s="113"/>
      <c r="L825" s="113"/>
      <c r="M825" s="113"/>
      <c r="N825" s="113"/>
      <c r="O825" s="113"/>
      <c r="P825" s="113"/>
      <c r="Q825" s="113"/>
      <c r="R825" s="113"/>
      <c r="S825" s="113"/>
      <c r="T825" s="113"/>
      <c r="U825" s="113"/>
      <c r="V825" s="113"/>
      <c r="W825" s="113"/>
      <c r="X825" s="113"/>
      <c r="Y825" s="113"/>
    </row>
    <row r="826" spans="1:25" s="114" customFormat="1" ht="13.5" customHeight="1">
      <c r="A826" s="111"/>
      <c r="B826" s="111"/>
      <c r="C826" s="111"/>
      <c r="D826" s="111"/>
      <c r="E826" s="111"/>
      <c r="F826" s="111"/>
      <c r="G826" s="112"/>
      <c r="H826" s="111"/>
      <c r="I826" s="112"/>
      <c r="J826" s="113"/>
      <c r="K826" s="113"/>
      <c r="L826" s="113"/>
      <c r="M826" s="113"/>
      <c r="N826" s="113"/>
      <c r="O826" s="113"/>
      <c r="P826" s="113"/>
      <c r="Q826" s="113"/>
      <c r="R826" s="113"/>
      <c r="S826" s="113"/>
      <c r="T826" s="113"/>
      <c r="U826" s="113"/>
      <c r="V826" s="113"/>
      <c r="W826" s="113"/>
      <c r="X826" s="113"/>
      <c r="Y826" s="113"/>
    </row>
    <row r="827" spans="1:25" s="114" customFormat="1" ht="13.5" customHeight="1">
      <c r="A827" s="111"/>
      <c r="B827" s="111"/>
      <c r="C827" s="111"/>
      <c r="D827" s="111"/>
      <c r="E827" s="111"/>
      <c r="F827" s="111"/>
      <c r="G827" s="112"/>
      <c r="H827" s="111"/>
      <c r="I827" s="112"/>
      <c r="J827" s="113"/>
      <c r="K827" s="113"/>
      <c r="L827" s="113"/>
      <c r="M827" s="113"/>
      <c r="N827" s="113"/>
      <c r="O827" s="113"/>
      <c r="P827" s="113"/>
      <c r="Q827" s="113"/>
      <c r="R827" s="113"/>
      <c r="S827" s="113"/>
      <c r="T827" s="113"/>
      <c r="U827" s="113"/>
      <c r="V827" s="113"/>
      <c r="W827" s="113"/>
      <c r="X827" s="113"/>
      <c r="Y827" s="113"/>
    </row>
    <row r="828" spans="1:25" s="114" customFormat="1" ht="13.5" customHeight="1">
      <c r="A828" s="111"/>
      <c r="B828" s="111"/>
      <c r="C828" s="111"/>
      <c r="D828" s="111"/>
      <c r="E828" s="111"/>
      <c r="F828" s="111"/>
      <c r="G828" s="112"/>
      <c r="H828" s="111"/>
      <c r="I828" s="112"/>
      <c r="J828" s="113"/>
      <c r="K828" s="113"/>
      <c r="L828" s="113"/>
      <c r="M828" s="113"/>
      <c r="N828" s="113"/>
      <c r="O828" s="113"/>
      <c r="P828" s="113"/>
      <c r="Q828" s="113"/>
      <c r="R828" s="113"/>
      <c r="S828" s="113"/>
      <c r="T828" s="113"/>
      <c r="U828" s="113"/>
      <c r="V828" s="113"/>
      <c r="W828" s="113"/>
      <c r="X828" s="113"/>
      <c r="Y828" s="113"/>
    </row>
    <row r="829" spans="1:25" s="114" customFormat="1" ht="13.5" customHeight="1">
      <c r="A829" s="111"/>
      <c r="B829" s="111"/>
      <c r="C829" s="111"/>
      <c r="D829" s="111"/>
      <c r="E829" s="111"/>
      <c r="F829" s="111"/>
      <c r="G829" s="112"/>
      <c r="H829" s="111"/>
      <c r="I829" s="112"/>
      <c r="J829" s="113"/>
      <c r="K829" s="113"/>
      <c r="L829" s="113"/>
      <c r="M829" s="113"/>
      <c r="N829" s="113"/>
      <c r="O829" s="113"/>
      <c r="P829" s="113"/>
      <c r="Q829" s="113"/>
      <c r="R829" s="113"/>
      <c r="S829" s="113"/>
      <c r="T829" s="113"/>
      <c r="U829" s="113"/>
      <c r="V829" s="113"/>
      <c r="W829" s="113"/>
      <c r="X829" s="113"/>
      <c r="Y829" s="113"/>
    </row>
    <row r="830" spans="1:25" s="114" customFormat="1" ht="13.5" customHeight="1">
      <c r="A830" s="111"/>
      <c r="B830" s="111"/>
      <c r="C830" s="111"/>
      <c r="D830" s="111"/>
      <c r="E830" s="111"/>
      <c r="F830" s="111"/>
      <c r="G830" s="112"/>
      <c r="H830" s="111"/>
      <c r="I830" s="112"/>
      <c r="J830" s="113"/>
      <c r="K830" s="113"/>
      <c r="L830" s="113"/>
      <c r="M830" s="113"/>
      <c r="N830" s="113"/>
      <c r="O830" s="113"/>
      <c r="P830" s="113"/>
      <c r="Q830" s="113"/>
      <c r="R830" s="113"/>
      <c r="S830" s="113"/>
      <c r="T830" s="113"/>
      <c r="U830" s="113"/>
      <c r="V830" s="113"/>
      <c r="W830" s="113"/>
      <c r="X830" s="113"/>
      <c r="Y830" s="113"/>
    </row>
    <row r="831" spans="1:25" s="114" customFormat="1" ht="13.5" customHeight="1">
      <c r="A831" s="111"/>
      <c r="B831" s="111"/>
      <c r="C831" s="111"/>
      <c r="D831" s="111"/>
      <c r="E831" s="111"/>
      <c r="F831" s="111"/>
      <c r="G831" s="112"/>
      <c r="H831" s="111"/>
      <c r="I831" s="112"/>
      <c r="J831" s="113"/>
      <c r="K831" s="113"/>
      <c r="L831" s="113"/>
      <c r="M831" s="113"/>
      <c r="N831" s="113"/>
      <c r="O831" s="113"/>
      <c r="P831" s="113"/>
      <c r="Q831" s="113"/>
      <c r="R831" s="113"/>
      <c r="S831" s="113"/>
      <c r="T831" s="113"/>
      <c r="U831" s="113"/>
      <c r="V831" s="113"/>
      <c r="W831" s="113"/>
      <c r="X831" s="113"/>
      <c r="Y831" s="113"/>
    </row>
    <row r="832" spans="1:25" s="114" customFormat="1" ht="13.5" customHeight="1">
      <c r="A832" s="111"/>
      <c r="B832" s="111"/>
      <c r="C832" s="111"/>
      <c r="D832" s="111"/>
      <c r="E832" s="111"/>
      <c r="F832" s="111"/>
      <c r="G832" s="112"/>
      <c r="H832" s="111"/>
      <c r="I832" s="112"/>
      <c r="J832" s="113"/>
      <c r="K832" s="113"/>
      <c r="L832" s="113"/>
      <c r="M832" s="113"/>
      <c r="N832" s="113"/>
      <c r="O832" s="113"/>
      <c r="P832" s="113"/>
      <c r="Q832" s="113"/>
      <c r="R832" s="113"/>
      <c r="S832" s="113"/>
      <c r="T832" s="113"/>
      <c r="U832" s="113"/>
      <c r="V832" s="113"/>
      <c r="W832" s="113"/>
      <c r="X832" s="113"/>
      <c r="Y832" s="113"/>
    </row>
    <row r="833" spans="1:25" s="114" customFormat="1" ht="13.5" customHeight="1">
      <c r="A833" s="111"/>
      <c r="B833" s="111"/>
      <c r="C833" s="111"/>
      <c r="D833" s="111"/>
      <c r="E833" s="111"/>
      <c r="F833" s="111"/>
      <c r="G833" s="112"/>
      <c r="H833" s="111"/>
      <c r="I833" s="112"/>
      <c r="J833" s="113"/>
      <c r="K833" s="113"/>
      <c r="L833" s="113"/>
      <c r="M833" s="113"/>
      <c r="N833" s="113"/>
      <c r="O833" s="113"/>
      <c r="P833" s="113"/>
      <c r="Q833" s="113"/>
      <c r="R833" s="113"/>
      <c r="S833" s="113"/>
      <c r="T833" s="113"/>
      <c r="U833" s="113"/>
      <c r="V833" s="113"/>
      <c r="W833" s="113"/>
      <c r="X833" s="113"/>
      <c r="Y833" s="113"/>
    </row>
    <row r="834" spans="1:25" s="114" customFormat="1" ht="13.5" customHeight="1">
      <c r="A834" s="111"/>
      <c r="B834" s="111"/>
      <c r="C834" s="111"/>
      <c r="D834" s="111"/>
      <c r="E834" s="111"/>
      <c r="F834" s="111"/>
      <c r="G834" s="112"/>
      <c r="H834" s="111"/>
      <c r="I834" s="112"/>
      <c r="J834" s="113"/>
      <c r="K834" s="113"/>
      <c r="L834" s="113"/>
      <c r="M834" s="113"/>
      <c r="N834" s="113"/>
      <c r="O834" s="113"/>
      <c r="P834" s="113"/>
      <c r="Q834" s="113"/>
      <c r="R834" s="113"/>
      <c r="S834" s="113"/>
      <c r="T834" s="113"/>
      <c r="U834" s="113"/>
      <c r="V834" s="113"/>
      <c r="W834" s="113"/>
      <c r="X834" s="113"/>
      <c r="Y834" s="113"/>
    </row>
    <row r="835" spans="1:25" s="114" customFormat="1" ht="13.5" customHeight="1">
      <c r="A835" s="111"/>
      <c r="B835" s="111"/>
      <c r="C835" s="111"/>
      <c r="D835" s="111"/>
      <c r="E835" s="111"/>
      <c r="F835" s="111"/>
      <c r="G835" s="112"/>
      <c r="H835" s="111"/>
      <c r="I835" s="112"/>
      <c r="J835" s="113"/>
      <c r="K835" s="113"/>
      <c r="L835" s="113"/>
      <c r="M835" s="113"/>
      <c r="N835" s="113"/>
      <c r="O835" s="113"/>
      <c r="P835" s="113"/>
      <c r="Q835" s="113"/>
      <c r="R835" s="113"/>
      <c r="S835" s="113"/>
      <c r="T835" s="113"/>
      <c r="U835" s="113"/>
      <c r="V835" s="113"/>
      <c r="W835" s="113"/>
      <c r="X835" s="113"/>
      <c r="Y835" s="113"/>
    </row>
    <row r="836" spans="1:25" s="114" customFormat="1" ht="13.5" customHeight="1">
      <c r="A836" s="111"/>
      <c r="B836" s="111"/>
      <c r="C836" s="111"/>
      <c r="D836" s="111"/>
      <c r="E836" s="111"/>
      <c r="F836" s="111"/>
      <c r="G836" s="112"/>
      <c r="H836" s="111"/>
      <c r="I836" s="112"/>
      <c r="J836" s="113"/>
      <c r="K836" s="113"/>
      <c r="L836" s="113"/>
      <c r="M836" s="113"/>
      <c r="N836" s="113"/>
      <c r="O836" s="113"/>
      <c r="P836" s="113"/>
      <c r="Q836" s="113"/>
      <c r="R836" s="113"/>
      <c r="S836" s="113"/>
      <c r="T836" s="113"/>
      <c r="U836" s="113"/>
      <c r="V836" s="113"/>
      <c r="W836" s="113"/>
      <c r="X836" s="113"/>
      <c r="Y836" s="113"/>
    </row>
    <row r="837" spans="1:25" s="114" customFormat="1" ht="13.5" customHeight="1">
      <c r="A837" s="111"/>
      <c r="B837" s="111"/>
      <c r="C837" s="111"/>
      <c r="D837" s="111"/>
      <c r="E837" s="111"/>
      <c r="F837" s="111"/>
      <c r="G837" s="112"/>
      <c r="H837" s="111"/>
      <c r="I837" s="112"/>
      <c r="J837" s="113"/>
      <c r="K837" s="113"/>
      <c r="L837" s="113"/>
      <c r="M837" s="113"/>
      <c r="N837" s="113"/>
      <c r="O837" s="113"/>
      <c r="P837" s="113"/>
      <c r="Q837" s="113"/>
      <c r="R837" s="113"/>
      <c r="S837" s="113"/>
      <c r="T837" s="113"/>
      <c r="U837" s="113"/>
      <c r="V837" s="113"/>
      <c r="W837" s="113"/>
      <c r="X837" s="113"/>
      <c r="Y837" s="113"/>
    </row>
    <row r="838" spans="1:25" s="114" customFormat="1" ht="13.5" customHeight="1">
      <c r="A838" s="111"/>
      <c r="B838" s="111"/>
      <c r="C838" s="111"/>
      <c r="D838" s="111"/>
      <c r="E838" s="111"/>
      <c r="F838" s="111"/>
      <c r="G838" s="112"/>
      <c r="H838" s="111"/>
      <c r="I838" s="112"/>
      <c r="J838" s="113"/>
      <c r="K838" s="113"/>
      <c r="L838" s="113"/>
      <c r="M838" s="113"/>
      <c r="N838" s="113"/>
      <c r="O838" s="113"/>
      <c r="P838" s="113"/>
      <c r="Q838" s="113"/>
      <c r="R838" s="113"/>
      <c r="S838" s="113"/>
      <c r="T838" s="113"/>
      <c r="U838" s="113"/>
      <c r="V838" s="113"/>
      <c r="W838" s="113"/>
      <c r="X838" s="113"/>
      <c r="Y838" s="113"/>
    </row>
    <row r="839" spans="1:25" s="114" customFormat="1" ht="13.5" customHeight="1">
      <c r="A839" s="111"/>
      <c r="B839" s="111"/>
      <c r="C839" s="111"/>
      <c r="D839" s="111"/>
      <c r="E839" s="111"/>
      <c r="F839" s="111"/>
      <c r="G839" s="112"/>
      <c r="H839" s="111"/>
      <c r="I839" s="112"/>
      <c r="J839" s="113"/>
      <c r="K839" s="113"/>
      <c r="L839" s="113"/>
      <c r="M839" s="113"/>
      <c r="N839" s="113"/>
      <c r="O839" s="113"/>
      <c r="P839" s="113"/>
      <c r="Q839" s="113"/>
      <c r="R839" s="113"/>
      <c r="S839" s="113"/>
      <c r="T839" s="113"/>
      <c r="U839" s="113"/>
      <c r="V839" s="113"/>
      <c r="W839" s="113"/>
      <c r="X839" s="113"/>
      <c r="Y839" s="113"/>
    </row>
    <row r="840" spans="1:25" s="114" customFormat="1" ht="13.5" customHeight="1">
      <c r="A840" s="111"/>
      <c r="B840" s="111"/>
      <c r="C840" s="111"/>
      <c r="D840" s="111"/>
      <c r="E840" s="111"/>
      <c r="F840" s="111"/>
      <c r="G840" s="112"/>
      <c r="H840" s="111"/>
      <c r="I840" s="112"/>
      <c r="J840" s="113"/>
      <c r="K840" s="113"/>
      <c r="L840" s="113"/>
      <c r="M840" s="113"/>
      <c r="N840" s="113"/>
      <c r="O840" s="113"/>
      <c r="P840" s="113"/>
      <c r="Q840" s="113"/>
      <c r="R840" s="113"/>
      <c r="S840" s="113"/>
      <c r="T840" s="113"/>
      <c r="U840" s="113"/>
      <c r="V840" s="113"/>
      <c r="W840" s="113"/>
      <c r="X840" s="113"/>
      <c r="Y840" s="113"/>
    </row>
    <row r="841" spans="1:25" s="114" customFormat="1" ht="13.5" customHeight="1">
      <c r="A841" s="111"/>
      <c r="B841" s="111"/>
      <c r="C841" s="111"/>
      <c r="D841" s="111"/>
      <c r="E841" s="111"/>
      <c r="F841" s="111"/>
      <c r="G841" s="112"/>
      <c r="H841" s="111"/>
      <c r="I841" s="112"/>
      <c r="J841" s="113"/>
      <c r="K841" s="113"/>
      <c r="L841" s="113"/>
      <c r="M841" s="113"/>
      <c r="N841" s="113"/>
      <c r="O841" s="113"/>
      <c r="P841" s="113"/>
      <c r="Q841" s="113"/>
      <c r="R841" s="113"/>
      <c r="S841" s="113"/>
      <c r="T841" s="113"/>
      <c r="U841" s="113"/>
      <c r="V841" s="113"/>
      <c r="W841" s="113"/>
      <c r="X841" s="113"/>
      <c r="Y841" s="113"/>
    </row>
    <row r="842" spans="1:25" s="114" customFormat="1" ht="13.5" customHeight="1">
      <c r="A842" s="111"/>
      <c r="B842" s="111"/>
      <c r="C842" s="111"/>
      <c r="D842" s="111"/>
      <c r="E842" s="111"/>
      <c r="F842" s="111"/>
      <c r="G842" s="112"/>
      <c r="H842" s="111"/>
      <c r="I842" s="112"/>
      <c r="J842" s="113"/>
      <c r="K842" s="113"/>
      <c r="L842" s="113"/>
      <c r="M842" s="113"/>
      <c r="N842" s="113"/>
      <c r="O842" s="113"/>
      <c r="P842" s="113"/>
      <c r="Q842" s="113"/>
      <c r="R842" s="113"/>
      <c r="S842" s="113"/>
      <c r="T842" s="113"/>
      <c r="U842" s="113"/>
      <c r="V842" s="113"/>
      <c r="W842" s="113"/>
      <c r="X842" s="113"/>
      <c r="Y842" s="113"/>
    </row>
    <row r="843" spans="1:25" s="114" customFormat="1" ht="13.5" customHeight="1">
      <c r="A843" s="111"/>
      <c r="B843" s="111"/>
      <c r="C843" s="111"/>
      <c r="D843" s="111"/>
      <c r="E843" s="111"/>
      <c r="F843" s="111"/>
      <c r="G843" s="112"/>
      <c r="H843" s="111"/>
      <c r="I843" s="112"/>
      <c r="J843" s="113"/>
      <c r="K843" s="113"/>
      <c r="L843" s="113"/>
      <c r="M843" s="113"/>
      <c r="N843" s="113"/>
      <c r="O843" s="113"/>
      <c r="P843" s="113"/>
      <c r="Q843" s="113"/>
      <c r="R843" s="113"/>
      <c r="S843" s="113"/>
      <c r="T843" s="113"/>
      <c r="U843" s="113"/>
      <c r="V843" s="113"/>
      <c r="W843" s="113"/>
      <c r="X843" s="113"/>
      <c r="Y843" s="113"/>
    </row>
    <row r="844" spans="1:25" s="114" customFormat="1" ht="13.5" customHeight="1">
      <c r="A844" s="111"/>
      <c r="B844" s="111"/>
      <c r="C844" s="111"/>
      <c r="D844" s="111"/>
      <c r="E844" s="111"/>
      <c r="F844" s="111"/>
      <c r="G844" s="112"/>
      <c r="H844" s="111"/>
      <c r="I844" s="112"/>
      <c r="J844" s="113"/>
      <c r="K844" s="113"/>
      <c r="L844" s="113"/>
      <c r="M844" s="113"/>
      <c r="N844" s="113"/>
      <c r="O844" s="113"/>
      <c r="P844" s="113"/>
      <c r="Q844" s="113"/>
      <c r="R844" s="113"/>
      <c r="S844" s="113"/>
      <c r="T844" s="113"/>
      <c r="U844" s="113"/>
      <c r="V844" s="113"/>
      <c r="W844" s="113"/>
      <c r="X844" s="113"/>
      <c r="Y844" s="113"/>
    </row>
    <row r="845" spans="1:25" s="114" customFormat="1" ht="13.5" customHeight="1">
      <c r="A845" s="111"/>
      <c r="B845" s="111"/>
      <c r="C845" s="111"/>
      <c r="D845" s="111"/>
      <c r="E845" s="111"/>
      <c r="F845" s="111"/>
      <c r="G845" s="112"/>
      <c r="H845" s="111"/>
      <c r="I845" s="112"/>
      <c r="J845" s="113"/>
      <c r="K845" s="113"/>
      <c r="L845" s="113"/>
      <c r="M845" s="113"/>
      <c r="N845" s="113"/>
      <c r="O845" s="113"/>
      <c r="P845" s="113"/>
      <c r="Q845" s="113"/>
      <c r="R845" s="113"/>
      <c r="S845" s="113"/>
      <c r="T845" s="113"/>
      <c r="U845" s="113"/>
      <c r="V845" s="113"/>
      <c r="W845" s="113"/>
      <c r="X845" s="113"/>
      <c r="Y845" s="113"/>
    </row>
    <row r="846" spans="1:25" s="114" customFormat="1" ht="13.5" customHeight="1">
      <c r="A846" s="111"/>
      <c r="B846" s="111"/>
      <c r="C846" s="111"/>
      <c r="D846" s="111"/>
      <c r="E846" s="111"/>
      <c r="F846" s="111"/>
      <c r="G846" s="112"/>
      <c r="H846" s="111"/>
      <c r="I846" s="112"/>
      <c r="J846" s="113"/>
      <c r="K846" s="113"/>
      <c r="L846" s="113"/>
      <c r="M846" s="113"/>
      <c r="N846" s="113"/>
      <c r="O846" s="113"/>
      <c r="P846" s="113"/>
      <c r="Q846" s="113"/>
      <c r="R846" s="113"/>
      <c r="S846" s="113"/>
      <c r="T846" s="113"/>
      <c r="U846" s="113"/>
      <c r="V846" s="113"/>
      <c r="W846" s="113"/>
      <c r="X846" s="113"/>
      <c r="Y846" s="113"/>
    </row>
    <row r="847" spans="1:25" s="114" customFormat="1" ht="13.5" customHeight="1">
      <c r="A847" s="111"/>
      <c r="B847" s="111"/>
      <c r="C847" s="111"/>
      <c r="D847" s="111"/>
      <c r="E847" s="111"/>
      <c r="F847" s="111"/>
      <c r="G847" s="112"/>
      <c r="H847" s="111"/>
      <c r="I847" s="112"/>
      <c r="J847" s="113"/>
      <c r="K847" s="113"/>
      <c r="L847" s="113"/>
      <c r="M847" s="113"/>
      <c r="N847" s="113"/>
      <c r="O847" s="113"/>
      <c r="P847" s="113"/>
      <c r="Q847" s="113"/>
      <c r="R847" s="113"/>
      <c r="S847" s="113"/>
      <c r="T847" s="113"/>
      <c r="U847" s="113"/>
      <c r="V847" s="113"/>
      <c r="W847" s="113"/>
      <c r="X847" s="113"/>
      <c r="Y847" s="113"/>
    </row>
    <row r="848" spans="1:25" s="114" customFormat="1" ht="13.5" customHeight="1">
      <c r="A848" s="111"/>
      <c r="B848" s="111"/>
      <c r="C848" s="111"/>
      <c r="D848" s="111"/>
      <c r="E848" s="111"/>
      <c r="F848" s="111"/>
      <c r="G848" s="112"/>
      <c r="H848" s="111"/>
      <c r="I848" s="112"/>
      <c r="J848" s="113"/>
      <c r="K848" s="113"/>
      <c r="L848" s="113"/>
      <c r="M848" s="113"/>
      <c r="N848" s="113"/>
      <c r="O848" s="113"/>
      <c r="P848" s="113"/>
      <c r="Q848" s="113"/>
      <c r="R848" s="113"/>
      <c r="S848" s="113"/>
      <c r="T848" s="113"/>
      <c r="U848" s="113"/>
      <c r="V848" s="113"/>
      <c r="W848" s="113"/>
      <c r="X848" s="113"/>
      <c r="Y848" s="113"/>
    </row>
    <row r="849" spans="1:25" s="114" customFormat="1" ht="13.5" customHeight="1">
      <c r="A849" s="111"/>
      <c r="B849" s="111"/>
      <c r="C849" s="111"/>
      <c r="D849" s="111"/>
      <c r="E849" s="111"/>
      <c r="F849" s="111"/>
      <c r="G849" s="112"/>
      <c r="H849" s="111"/>
      <c r="I849" s="112"/>
      <c r="J849" s="113"/>
      <c r="K849" s="113"/>
      <c r="L849" s="113"/>
      <c r="M849" s="113"/>
      <c r="N849" s="113"/>
      <c r="O849" s="113"/>
      <c r="P849" s="113"/>
      <c r="Q849" s="113"/>
      <c r="R849" s="113"/>
      <c r="S849" s="113"/>
      <c r="T849" s="113"/>
      <c r="U849" s="113"/>
      <c r="V849" s="113"/>
      <c r="W849" s="113"/>
      <c r="X849" s="113"/>
      <c r="Y849" s="113"/>
    </row>
    <row r="850" spans="1:25" s="114" customFormat="1" ht="13.5" customHeight="1">
      <c r="A850" s="111"/>
      <c r="B850" s="111"/>
      <c r="C850" s="111"/>
      <c r="D850" s="111"/>
      <c r="E850" s="111"/>
      <c r="F850" s="111"/>
      <c r="G850" s="112"/>
      <c r="H850" s="111"/>
      <c r="I850" s="112"/>
      <c r="J850" s="113"/>
      <c r="K850" s="113"/>
      <c r="L850" s="113"/>
      <c r="M850" s="113"/>
      <c r="N850" s="113"/>
      <c r="O850" s="113"/>
      <c r="P850" s="113"/>
      <c r="Q850" s="113"/>
      <c r="R850" s="113"/>
      <c r="S850" s="113"/>
      <c r="T850" s="113"/>
      <c r="U850" s="113"/>
      <c r="V850" s="113"/>
      <c r="W850" s="113"/>
      <c r="X850" s="113"/>
      <c r="Y850" s="113"/>
    </row>
    <row r="851" spans="1:25" s="114" customFormat="1" ht="13.5" customHeight="1">
      <c r="A851" s="111"/>
      <c r="B851" s="111"/>
      <c r="C851" s="111"/>
      <c r="D851" s="111"/>
      <c r="E851" s="111"/>
      <c r="F851" s="111"/>
      <c r="G851" s="112"/>
      <c r="H851" s="111"/>
      <c r="I851" s="112"/>
      <c r="J851" s="113"/>
      <c r="K851" s="113"/>
      <c r="L851" s="113"/>
      <c r="M851" s="113"/>
      <c r="N851" s="113"/>
      <c r="O851" s="113"/>
      <c r="P851" s="113"/>
      <c r="Q851" s="113"/>
      <c r="R851" s="113"/>
      <c r="S851" s="113"/>
      <c r="T851" s="113"/>
      <c r="U851" s="113"/>
      <c r="V851" s="113"/>
      <c r="W851" s="113"/>
      <c r="X851" s="113"/>
      <c r="Y851" s="113"/>
    </row>
    <row r="852" spans="1:25" s="114" customFormat="1" ht="13.5" customHeight="1">
      <c r="A852" s="111"/>
      <c r="B852" s="111"/>
      <c r="C852" s="111"/>
      <c r="D852" s="111"/>
      <c r="E852" s="111"/>
      <c r="F852" s="111"/>
      <c r="G852" s="112"/>
      <c r="H852" s="111"/>
      <c r="I852" s="112"/>
      <c r="J852" s="113"/>
      <c r="K852" s="113"/>
      <c r="L852" s="113"/>
      <c r="M852" s="113"/>
      <c r="N852" s="113"/>
      <c r="O852" s="113"/>
      <c r="P852" s="113"/>
      <c r="Q852" s="113"/>
      <c r="R852" s="113"/>
      <c r="S852" s="113"/>
      <c r="T852" s="113"/>
      <c r="U852" s="113"/>
      <c r="V852" s="113"/>
      <c r="W852" s="113"/>
      <c r="X852" s="113"/>
      <c r="Y852" s="113"/>
    </row>
    <row r="853" spans="1:25" s="114" customFormat="1" ht="13.5" customHeight="1">
      <c r="A853" s="111"/>
      <c r="B853" s="111"/>
      <c r="C853" s="111"/>
      <c r="D853" s="111"/>
      <c r="E853" s="111"/>
      <c r="F853" s="111"/>
      <c r="G853" s="112"/>
      <c r="H853" s="111"/>
      <c r="I853" s="112"/>
      <c r="J853" s="113"/>
      <c r="K853" s="113"/>
      <c r="L853" s="113"/>
      <c r="M853" s="113"/>
      <c r="N853" s="113"/>
      <c r="O853" s="113"/>
      <c r="P853" s="113"/>
      <c r="Q853" s="113"/>
      <c r="R853" s="113"/>
      <c r="S853" s="113"/>
      <c r="T853" s="113"/>
      <c r="U853" s="113"/>
      <c r="V853" s="113"/>
      <c r="W853" s="113"/>
      <c r="X853" s="113"/>
      <c r="Y853" s="113"/>
    </row>
    <row r="854" spans="1:25" s="114" customFormat="1" ht="13.5" customHeight="1">
      <c r="A854" s="111"/>
      <c r="B854" s="111"/>
      <c r="C854" s="111"/>
      <c r="D854" s="111"/>
      <c r="E854" s="111"/>
      <c r="F854" s="111"/>
      <c r="G854" s="112"/>
      <c r="H854" s="111"/>
      <c r="I854" s="112"/>
      <c r="J854" s="113"/>
      <c r="K854" s="113"/>
      <c r="L854" s="113"/>
      <c r="M854" s="113"/>
      <c r="N854" s="113"/>
      <c r="O854" s="113"/>
      <c r="P854" s="113"/>
      <c r="Q854" s="113"/>
      <c r="R854" s="113"/>
      <c r="S854" s="113"/>
      <c r="T854" s="113"/>
      <c r="U854" s="113"/>
      <c r="V854" s="113"/>
      <c r="W854" s="113"/>
      <c r="X854" s="113"/>
      <c r="Y854" s="113"/>
    </row>
    <row r="855" spans="1:25" s="114" customFormat="1" ht="13.5" customHeight="1">
      <c r="A855" s="111"/>
      <c r="B855" s="111"/>
      <c r="C855" s="111"/>
      <c r="D855" s="111"/>
      <c r="E855" s="111"/>
      <c r="F855" s="111"/>
      <c r="G855" s="112"/>
      <c r="H855" s="111"/>
      <c r="I855" s="112"/>
      <c r="J855" s="113"/>
      <c r="K855" s="113"/>
      <c r="L855" s="113"/>
      <c r="M855" s="113"/>
      <c r="N855" s="113"/>
      <c r="O855" s="113"/>
      <c r="P855" s="113"/>
      <c r="Q855" s="113"/>
      <c r="R855" s="113"/>
      <c r="S855" s="113"/>
      <c r="T855" s="113"/>
      <c r="U855" s="113"/>
      <c r="V855" s="113"/>
      <c r="W855" s="113"/>
      <c r="X855" s="113"/>
      <c r="Y855" s="113"/>
    </row>
    <row r="856" spans="1:25" s="114" customFormat="1" ht="13.5" customHeight="1">
      <c r="A856" s="111"/>
      <c r="B856" s="111"/>
      <c r="C856" s="111"/>
      <c r="D856" s="111"/>
      <c r="E856" s="111"/>
      <c r="F856" s="111"/>
      <c r="G856" s="112"/>
      <c r="H856" s="111"/>
      <c r="I856" s="112"/>
      <c r="J856" s="113"/>
      <c r="K856" s="113"/>
      <c r="L856" s="113"/>
      <c r="M856" s="113"/>
      <c r="N856" s="113"/>
      <c r="O856" s="113"/>
      <c r="P856" s="113"/>
      <c r="Q856" s="113"/>
      <c r="R856" s="113"/>
      <c r="S856" s="113"/>
      <c r="T856" s="113"/>
      <c r="U856" s="113"/>
      <c r="V856" s="113"/>
      <c r="W856" s="113"/>
      <c r="X856" s="113"/>
      <c r="Y856" s="113"/>
    </row>
    <row r="857" spans="1:25" s="114" customFormat="1" ht="13.5" customHeight="1">
      <c r="A857" s="111"/>
      <c r="B857" s="111"/>
      <c r="C857" s="111"/>
      <c r="D857" s="111"/>
      <c r="E857" s="111"/>
      <c r="F857" s="111"/>
      <c r="G857" s="112"/>
      <c r="H857" s="111"/>
      <c r="I857" s="112"/>
      <c r="J857" s="113"/>
      <c r="K857" s="113"/>
      <c r="L857" s="113"/>
      <c r="M857" s="113"/>
      <c r="N857" s="113"/>
      <c r="O857" s="113"/>
      <c r="P857" s="113"/>
      <c r="Q857" s="113"/>
      <c r="R857" s="113"/>
      <c r="S857" s="113"/>
      <c r="T857" s="113"/>
      <c r="U857" s="113"/>
      <c r="V857" s="113"/>
      <c r="W857" s="113"/>
      <c r="X857" s="113"/>
      <c r="Y857" s="113"/>
    </row>
    <row r="858" spans="1:25" s="114" customFormat="1" ht="13.5" customHeight="1">
      <c r="A858" s="111"/>
      <c r="B858" s="111"/>
      <c r="C858" s="111"/>
      <c r="D858" s="111"/>
      <c r="E858" s="111"/>
      <c r="F858" s="111"/>
      <c r="G858" s="112"/>
      <c r="H858" s="111"/>
      <c r="I858" s="112"/>
      <c r="J858" s="113"/>
      <c r="K858" s="113"/>
      <c r="L858" s="113"/>
      <c r="M858" s="113"/>
      <c r="N858" s="113"/>
      <c r="O858" s="113"/>
      <c r="P858" s="113"/>
      <c r="Q858" s="113"/>
      <c r="R858" s="113"/>
      <c r="S858" s="113"/>
      <c r="T858" s="113"/>
      <c r="U858" s="113"/>
      <c r="V858" s="113"/>
      <c r="W858" s="113"/>
      <c r="X858" s="113"/>
      <c r="Y858" s="113"/>
    </row>
    <row r="859" spans="1:25" s="114" customFormat="1" ht="13.5" customHeight="1">
      <c r="A859" s="111"/>
      <c r="B859" s="111"/>
      <c r="C859" s="111"/>
      <c r="D859" s="111"/>
      <c r="E859" s="111"/>
      <c r="F859" s="111"/>
      <c r="G859" s="112"/>
      <c r="H859" s="111"/>
      <c r="I859" s="112"/>
      <c r="J859" s="113"/>
      <c r="K859" s="113"/>
      <c r="L859" s="113"/>
      <c r="M859" s="113"/>
      <c r="N859" s="113"/>
      <c r="O859" s="113"/>
      <c r="P859" s="113"/>
      <c r="Q859" s="113"/>
      <c r="R859" s="113"/>
      <c r="S859" s="113"/>
      <c r="T859" s="113"/>
      <c r="U859" s="113"/>
      <c r="V859" s="113"/>
      <c r="W859" s="113"/>
      <c r="X859" s="113"/>
      <c r="Y859" s="113"/>
    </row>
    <row r="860" spans="1:25" s="114" customFormat="1" ht="13.5" customHeight="1">
      <c r="A860" s="111"/>
      <c r="B860" s="111"/>
      <c r="C860" s="111"/>
      <c r="D860" s="111"/>
      <c r="E860" s="111"/>
      <c r="F860" s="111"/>
      <c r="G860" s="112"/>
      <c r="H860" s="111"/>
      <c r="I860" s="112"/>
      <c r="J860" s="113"/>
      <c r="K860" s="113"/>
      <c r="L860" s="113"/>
      <c r="M860" s="113"/>
      <c r="N860" s="113"/>
      <c r="O860" s="113"/>
      <c r="P860" s="113"/>
      <c r="Q860" s="113"/>
      <c r="R860" s="113"/>
      <c r="S860" s="113"/>
      <c r="T860" s="113"/>
      <c r="U860" s="113"/>
      <c r="V860" s="113"/>
      <c r="W860" s="113"/>
      <c r="X860" s="113"/>
      <c r="Y860" s="113"/>
    </row>
    <row r="861" spans="1:25" s="114" customFormat="1" ht="13.5" customHeight="1">
      <c r="A861" s="111"/>
      <c r="B861" s="111"/>
      <c r="C861" s="111"/>
      <c r="D861" s="111"/>
      <c r="E861" s="111"/>
      <c r="F861" s="111"/>
      <c r="G861" s="112"/>
      <c r="H861" s="111"/>
      <c r="I861" s="112"/>
      <c r="J861" s="113"/>
      <c r="K861" s="113"/>
      <c r="L861" s="113"/>
      <c r="M861" s="113"/>
      <c r="N861" s="113"/>
      <c r="O861" s="113"/>
      <c r="P861" s="113"/>
      <c r="Q861" s="113"/>
      <c r="R861" s="113"/>
      <c r="S861" s="113"/>
      <c r="T861" s="113"/>
      <c r="U861" s="113"/>
      <c r="V861" s="113"/>
      <c r="W861" s="113"/>
      <c r="X861" s="113"/>
      <c r="Y861" s="113"/>
    </row>
    <row r="862" spans="1:25" s="114" customFormat="1" ht="13.5" customHeight="1">
      <c r="A862" s="111"/>
      <c r="B862" s="111"/>
      <c r="C862" s="111"/>
      <c r="D862" s="111"/>
      <c r="E862" s="111"/>
      <c r="F862" s="111"/>
      <c r="G862" s="112"/>
      <c r="H862" s="111"/>
      <c r="I862" s="112"/>
      <c r="J862" s="113"/>
      <c r="K862" s="113"/>
      <c r="L862" s="113"/>
      <c r="M862" s="113"/>
      <c r="N862" s="113"/>
      <c r="O862" s="113"/>
      <c r="P862" s="113"/>
      <c r="Q862" s="113"/>
      <c r="R862" s="113"/>
      <c r="S862" s="113"/>
      <c r="T862" s="113"/>
      <c r="U862" s="113"/>
      <c r="V862" s="113"/>
      <c r="W862" s="113"/>
      <c r="X862" s="113"/>
      <c r="Y862" s="113"/>
    </row>
    <row r="863" spans="1:25" s="114" customFormat="1" ht="13.5" customHeight="1">
      <c r="A863" s="111"/>
      <c r="B863" s="111"/>
      <c r="C863" s="111"/>
      <c r="D863" s="111"/>
      <c r="E863" s="111"/>
      <c r="F863" s="111"/>
      <c r="G863" s="112"/>
      <c r="H863" s="111"/>
      <c r="I863" s="112"/>
      <c r="J863" s="113"/>
      <c r="K863" s="113"/>
      <c r="L863" s="113"/>
      <c r="M863" s="113"/>
      <c r="N863" s="113"/>
      <c r="O863" s="113"/>
      <c r="P863" s="113"/>
      <c r="Q863" s="113"/>
      <c r="R863" s="113"/>
      <c r="S863" s="113"/>
      <c r="T863" s="113"/>
      <c r="U863" s="113"/>
      <c r="V863" s="113"/>
      <c r="W863" s="113"/>
      <c r="X863" s="113"/>
      <c r="Y863" s="113"/>
    </row>
    <row r="864" spans="1:25" s="114" customFormat="1" ht="13.5" customHeight="1">
      <c r="A864" s="111"/>
      <c r="B864" s="111"/>
      <c r="C864" s="111"/>
      <c r="D864" s="111"/>
      <c r="E864" s="111"/>
      <c r="F864" s="111"/>
      <c r="G864" s="112"/>
      <c r="H864" s="111"/>
      <c r="I864" s="112"/>
      <c r="J864" s="113"/>
      <c r="K864" s="113"/>
      <c r="L864" s="113"/>
      <c r="M864" s="113"/>
      <c r="N864" s="113"/>
      <c r="O864" s="113"/>
      <c r="P864" s="113"/>
      <c r="Q864" s="113"/>
      <c r="R864" s="113"/>
      <c r="S864" s="113"/>
      <c r="T864" s="113"/>
      <c r="U864" s="113"/>
      <c r="V864" s="113"/>
      <c r="W864" s="113"/>
      <c r="X864" s="113"/>
      <c r="Y864" s="113"/>
    </row>
    <row r="865" spans="1:25" s="114" customFormat="1" ht="13.5" customHeight="1">
      <c r="A865" s="111"/>
      <c r="B865" s="111"/>
      <c r="C865" s="111"/>
      <c r="D865" s="111"/>
      <c r="E865" s="111"/>
      <c r="F865" s="111"/>
      <c r="G865" s="112"/>
      <c r="H865" s="111"/>
      <c r="I865" s="112"/>
      <c r="J865" s="113"/>
      <c r="K865" s="113"/>
      <c r="L865" s="113"/>
      <c r="M865" s="113"/>
      <c r="N865" s="113"/>
      <c r="O865" s="113"/>
      <c r="P865" s="113"/>
      <c r="Q865" s="113"/>
      <c r="R865" s="113"/>
      <c r="S865" s="113"/>
      <c r="T865" s="113"/>
      <c r="U865" s="113"/>
      <c r="V865" s="113"/>
      <c r="W865" s="113"/>
      <c r="X865" s="113"/>
      <c r="Y865" s="113"/>
    </row>
    <row r="866" spans="1:25" s="114" customFormat="1" ht="13.5" customHeight="1">
      <c r="A866" s="111"/>
      <c r="B866" s="111"/>
      <c r="C866" s="111"/>
      <c r="D866" s="111"/>
      <c r="E866" s="111"/>
      <c r="F866" s="111"/>
      <c r="G866" s="112"/>
      <c r="H866" s="111"/>
      <c r="I866" s="112"/>
      <c r="J866" s="113"/>
      <c r="K866" s="113"/>
      <c r="L866" s="113"/>
      <c r="M866" s="113"/>
      <c r="N866" s="113"/>
      <c r="O866" s="113"/>
      <c r="P866" s="113"/>
      <c r="Q866" s="113"/>
      <c r="R866" s="113"/>
      <c r="S866" s="113"/>
      <c r="T866" s="113"/>
      <c r="U866" s="113"/>
      <c r="V866" s="113"/>
      <c r="W866" s="113"/>
      <c r="X866" s="113"/>
      <c r="Y866" s="113"/>
    </row>
    <row r="867" spans="1:25" s="114" customFormat="1" ht="13.5" customHeight="1">
      <c r="A867" s="111"/>
      <c r="B867" s="111"/>
      <c r="C867" s="111"/>
      <c r="D867" s="111"/>
      <c r="E867" s="111"/>
      <c r="F867" s="111"/>
      <c r="G867" s="112"/>
      <c r="H867" s="111"/>
      <c r="I867" s="112"/>
      <c r="J867" s="113"/>
      <c r="K867" s="113"/>
      <c r="L867" s="113"/>
      <c r="M867" s="113"/>
      <c r="N867" s="113"/>
      <c r="O867" s="113"/>
      <c r="P867" s="113"/>
      <c r="Q867" s="113"/>
      <c r="R867" s="113"/>
      <c r="S867" s="113"/>
      <c r="T867" s="113"/>
      <c r="U867" s="113"/>
      <c r="V867" s="113"/>
      <c r="W867" s="113"/>
      <c r="X867" s="113"/>
      <c r="Y867" s="113"/>
    </row>
    <row r="868" spans="1:25" s="114" customFormat="1" ht="13.5" customHeight="1">
      <c r="A868" s="111"/>
      <c r="B868" s="111"/>
      <c r="C868" s="111"/>
      <c r="D868" s="111"/>
      <c r="E868" s="111"/>
      <c r="F868" s="111"/>
      <c r="G868" s="112"/>
      <c r="H868" s="111"/>
      <c r="I868" s="112"/>
      <c r="J868" s="113"/>
      <c r="K868" s="113"/>
      <c r="L868" s="113"/>
      <c r="M868" s="113"/>
      <c r="N868" s="113"/>
      <c r="O868" s="113"/>
      <c r="P868" s="113"/>
      <c r="Q868" s="113"/>
      <c r="R868" s="113"/>
      <c r="S868" s="113"/>
      <c r="T868" s="113"/>
      <c r="U868" s="113"/>
      <c r="V868" s="113"/>
      <c r="W868" s="113"/>
      <c r="X868" s="113"/>
      <c r="Y868" s="113"/>
    </row>
    <row r="869" spans="1:25" s="114" customFormat="1" ht="13.5" customHeight="1">
      <c r="A869" s="111"/>
      <c r="B869" s="111"/>
      <c r="C869" s="111"/>
      <c r="D869" s="111"/>
      <c r="E869" s="111"/>
      <c r="F869" s="111"/>
      <c r="G869" s="112"/>
      <c r="H869" s="111"/>
      <c r="I869" s="112"/>
      <c r="J869" s="113"/>
      <c r="K869" s="113"/>
      <c r="L869" s="113"/>
      <c r="M869" s="113"/>
      <c r="N869" s="113"/>
      <c r="O869" s="113"/>
      <c r="P869" s="113"/>
      <c r="Q869" s="113"/>
      <c r="R869" s="113"/>
      <c r="S869" s="113"/>
      <c r="T869" s="113"/>
      <c r="U869" s="113"/>
      <c r="V869" s="113"/>
      <c r="W869" s="113"/>
      <c r="X869" s="113"/>
      <c r="Y869" s="113"/>
    </row>
    <row r="870" spans="1:25" s="114" customFormat="1" ht="13.5" customHeight="1">
      <c r="A870" s="111"/>
      <c r="B870" s="111"/>
      <c r="C870" s="111"/>
      <c r="D870" s="111"/>
      <c r="E870" s="111"/>
      <c r="F870" s="111"/>
      <c r="G870" s="112"/>
      <c r="H870" s="111"/>
      <c r="I870" s="112"/>
      <c r="J870" s="113"/>
      <c r="K870" s="113"/>
      <c r="L870" s="113"/>
      <c r="M870" s="113"/>
      <c r="N870" s="113"/>
      <c r="O870" s="113"/>
      <c r="P870" s="113"/>
      <c r="Q870" s="113"/>
      <c r="R870" s="113"/>
      <c r="S870" s="113"/>
      <c r="T870" s="113"/>
      <c r="U870" s="113"/>
      <c r="V870" s="113"/>
      <c r="W870" s="113"/>
      <c r="X870" s="113"/>
      <c r="Y870" s="113"/>
    </row>
    <row r="871" spans="1:25" s="114" customFormat="1" ht="13.5" customHeight="1">
      <c r="A871" s="111"/>
      <c r="B871" s="111"/>
      <c r="C871" s="111"/>
      <c r="D871" s="111"/>
      <c r="E871" s="111"/>
      <c r="F871" s="111"/>
      <c r="G871" s="112"/>
      <c r="H871" s="111"/>
      <c r="I871" s="112"/>
      <c r="J871" s="113"/>
      <c r="K871" s="113"/>
      <c r="L871" s="113"/>
      <c r="M871" s="113"/>
      <c r="N871" s="113"/>
      <c r="O871" s="113"/>
      <c r="P871" s="113"/>
      <c r="Q871" s="113"/>
      <c r="R871" s="113"/>
      <c r="S871" s="113"/>
      <c r="T871" s="113"/>
      <c r="U871" s="113"/>
      <c r="V871" s="113"/>
      <c r="W871" s="113"/>
      <c r="X871" s="113"/>
      <c r="Y871" s="113"/>
    </row>
    <row r="872" spans="1:25" s="114" customFormat="1" ht="13.5" customHeight="1">
      <c r="A872" s="111"/>
      <c r="B872" s="111"/>
      <c r="C872" s="111"/>
      <c r="D872" s="111"/>
      <c r="E872" s="111"/>
      <c r="F872" s="111"/>
      <c r="G872" s="112"/>
      <c r="H872" s="111"/>
      <c r="I872" s="112"/>
      <c r="J872" s="113"/>
      <c r="K872" s="113"/>
      <c r="L872" s="113"/>
      <c r="M872" s="113"/>
      <c r="N872" s="113"/>
      <c r="O872" s="113"/>
      <c r="P872" s="113"/>
      <c r="Q872" s="113"/>
      <c r="R872" s="113"/>
      <c r="S872" s="113"/>
      <c r="T872" s="113"/>
      <c r="U872" s="113"/>
      <c r="V872" s="113"/>
      <c r="W872" s="113"/>
      <c r="X872" s="113"/>
      <c r="Y872" s="113"/>
    </row>
    <row r="873" spans="1:25" s="114" customFormat="1" ht="13.5" customHeight="1">
      <c r="A873" s="111"/>
      <c r="B873" s="111"/>
      <c r="C873" s="111"/>
      <c r="D873" s="111"/>
      <c r="E873" s="111"/>
      <c r="F873" s="111"/>
      <c r="G873" s="112"/>
      <c r="H873" s="111"/>
      <c r="I873" s="112"/>
      <c r="J873" s="113"/>
      <c r="K873" s="113"/>
      <c r="L873" s="113"/>
      <c r="M873" s="113"/>
      <c r="N873" s="113"/>
      <c r="O873" s="113"/>
      <c r="P873" s="113"/>
      <c r="Q873" s="113"/>
      <c r="R873" s="113"/>
      <c r="S873" s="113"/>
      <c r="T873" s="113"/>
      <c r="U873" s="113"/>
      <c r="V873" s="113"/>
      <c r="W873" s="113"/>
      <c r="X873" s="113"/>
      <c r="Y873" s="113"/>
    </row>
    <row r="874" spans="1:25" s="114" customFormat="1" ht="13.5" customHeight="1">
      <c r="A874" s="111"/>
      <c r="B874" s="111"/>
      <c r="C874" s="111"/>
      <c r="D874" s="111"/>
      <c r="E874" s="111"/>
      <c r="F874" s="111"/>
      <c r="G874" s="112"/>
      <c r="H874" s="111"/>
      <c r="I874" s="112"/>
      <c r="J874" s="113"/>
      <c r="K874" s="113"/>
      <c r="L874" s="113"/>
      <c r="M874" s="113"/>
      <c r="N874" s="113"/>
      <c r="O874" s="113"/>
      <c r="P874" s="113"/>
      <c r="Q874" s="113"/>
      <c r="R874" s="113"/>
      <c r="S874" s="113"/>
      <c r="T874" s="113"/>
      <c r="U874" s="113"/>
      <c r="V874" s="113"/>
      <c r="W874" s="113"/>
      <c r="X874" s="113"/>
      <c r="Y874" s="113"/>
    </row>
    <row r="875" spans="1:25" s="114" customFormat="1" ht="13.5" customHeight="1">
      <c r="A875" s="111"/>
      <c r="B875" s="111"/>
      <c r="C875" s="111"/>
      <c r="D875" s="111"/>
      <c r="E875" s="111"/>
      <c r="F875" s="111"/>
      <c r="G875" s="112"/>
      <c r="H875" s="111"/>
      <c r="I875" s="112"/>
      <c r="J875" s="113"/>
      <c r="K875" s="113"/>
      <c r="L875" s="113"/>
      <c r="M875" s="113"/>
      <c r="N875" s="113"/>
      <c r="O875" s="113"/>
      <c r="P875" s="113"/>
      <c r="Q875" s="113"/>
      <c r="R875" s="113"/>
      <c r="S875" s="113"/>
      <c r="T875" s="113"/>
      <c r="U875" s="113"/>
      <c r="V875" s="113"/>
      <c r="W875" s="113"/>
      <c r="X875" s="113"/>
      <c r="Y875" s="113"/>
    </row>
    <row r="876" spans="1:25" s="114" customFormat="1" ht="13.5" customHeight="1">
      <c r="A876" s="111"/>
      <c r="B876" s="111"/>
      <c r="C876" s="111"/>
      <c r="D876" s="111"/>
      <c r="E876" s="111"/>
      <c r="F876" s="111"/>
      <c r="G876" s="112"/>
      <c r="H876" s="111"/>
      <c r="I876" s="112"/>
      <c r="J876" s="113"/>
      <c r="K876" s="113"/>
      <c r="L876" s="113"/>
      <c r="M876" s="113"/>
      <c r="N876" s="113"/>
      <c r="O876" s="113"/>
      <c r="P876" s="113"/>
      <c r="Q876" s="113"/>
      <c r="R876" s="113"/>
      <c r="S876" s="113"/>
      <c r="T876" s="113"/>
      <c r="U876" s="113"/>
      <c r="V876" s="113"/>
      <c r="W876" s="113"/>
      <c r="X876" s="113"/>
      <c r="Y876" s="113"/>
    </row>
    <row r="877" spans="1:25" s="114" customFormat="1" ht="13.5" customHeight="1">
      <c r="A877" s="111"/>
      <c r="B877" s="111"/>
      <c r="C877" s="111"/>
      <c r="D877" s="111"/>
      <c r="E877" s="111"/>
      <c r="F877" s="111"/>
      <c r="G877" s="112"/>
      <c r="H877" s="111"/>
      <c r="I877" s="112"/>
      <c r="J877" s="113"/>
      <c r="K877" s="113"/>
      <c r="L877" s="113"/>
      <c r="M877" s="113"/>
      <c r="N877" s="113"/>
      <c r="O877" s="113"/>
      <c r="P877" s="113"/>
      <c r="Q877" s="113"/>
      <c r="R877" s="113"/>
      <c r="S877" s="113"/>
      <c r="T877" s="113"/>
      <c r="U877" s="113"/>
      <c r="V877" s="113"/>
      <c r="W877" s="113"/>
      <c r="X877" s="113"/>
      <c r="Y877" s="113"/>
    </row>
    <row r="878" spans="1:25" s="114" customFormat="1" ht="13.5" customHeight="1">
      <c r="A878" s="111"/>
      <c r="B878" s="111"/>
      <c r="C878" s="111"/>
      <c r="D878" s="111"/>
      <c r="E878" s="111"/>
      <c r="F878" s="111"/>
      <c r="G878" s="112"/>
      <c r="H878" s="111"/>
      <c r="I878" s="112"/>
      <c r="J878" s="113"/>
      <c r="K878" s="113"/>
      <c r="L878" s="113"/>
      <c r="M878" s="113"/>
      <c r="N878" s="113"/>
      <c r="O878" s="113"/>
      <c r="P878" s="113"/>
      <c r="Q878" s="113"/>
      <c r="R878" s="113"/>
      <c r="S878" s="113"/>
      <c r="T878" s="113"/>
      <c r="U878" s="113"/>
      <c r="V878" s="113"/>
      <c r="W878" s="113"/>
      <c r="X878" s="113"/>
      <c r="Y878" s="113"/>
    </row>
    <row r="879" spans="1:25" s="114" customFormat="1" ht="13.5" customHeight="1">
      <c r="A879" s="111"/>
      <c r="B879" s="111"/>
      <c r="C879" s="111"/>
      <c r="D879" s="111"/>
      <c r="E879" s="111"/>
      <c r="F879" s="111"/>
      <c r="G879" s="112"/>
      <c r="H879" s="111"/>
      <c r="I879" s="112"/>
      <c r="J879" s="113"/>
      <c r="K879" s="113"/>
      <c r="L879" s="113"/>
      <c r="M879" s="113"/>
      <c r="N879" s="113"/>
      <c r="O879" s="113"/>
      <c r="P879" s="113"/>
      <c r="Q879" s="113"/>
      <c r="R879" s="113"/>
      <c r="S879" s="113"/>
      <c r="T879" s="113"/>
      <c r="U879" s="113"/>
      <c r="V879" s="113"/>
      <c r="W879" s="113"/>
      <c r="X879" s="113"/>
      <c r="Y879" s="113"/>
    </row>
    <row r="880" spans="1:25" s="114" customFormat="1" ht="13.5" customHeight="1">
      <c r="A880" s="111"/>
      <c r="B880" s="111"/>
      <c r="C880" s="111"/>
      <c r="D880" s="111"/>
      <c r="E880" s="111"/>
      <c r="F880" s="111"/>
      <c r="G880" s="112"/>
      <c r="H880" s="111"/>
      <c r="I880" s="112"/>
      <c r="J880" s="113"/>
      <c r="K880" s="113"/>
      <c r="L880" s="113"/>
      <c r="M880" s="113"/>
      <c r="N880" s="113"/>
      <c r="O880" s="113"/>
      <c r="P880" s="113"/>
      <c r="Q880" s="113"/>
      <c r="R880" s="113"/>
      <c r="S880" s="113"/>
      <c r="T880" s="113"/>
      <c r="U880" s="113"/>
      <c r="V880" s="113"/>
      <c r="W880" s="113"/>
      <c r="X880" s="113"/>
      <c r="Y880" s="113"/>
    </row>
    <row r="881" spans="1:25" s="114" customFormat="1" ht="13.5" customHeight="1">
      <c r="A881" s="111"/>
      <c r="B881" s="111"/>
      <c r="C881" s="111"/>
      <c r="D881" s="111"/>
      <c r="E881" s="111"/>
      <c r="F881" s="111"/>
      <c r="G881" s="112"/>
      <c r="H881" s="111"/>
      <c r="I881" s="112"/>
      <c r="J881" s="113"/>
      <c r="K881" s="113"/>
      <c r="L881" s="113"/>
      <c r="M881" s="113"/>
      <c r="N881" s="113"/>
      <c r="O881" s="113"/>
      <c r="P881" s="113"/>
      <c r="Q881" s="113"/>
      <c r="R881" s="113"/>
      <c r="S881" s="113"/>
      <c r="T881" s="113"/>
      <c r="U881" s="113"/>
      <c r="V881" s="113"/>
      <c r="W881" s="113"/>
      <c r="X881" s="113"/>
      <c r="Y881" s="113"/>
    </row>
    <row r="882" spans="1:25" s="114" customFormat="1" ht="13.5" customHeight="1">
      <c r="A882" s="111"/>
      <c r="B882" s="111"/>
      <c r="C882" s="111"/>
      <c r="D882" s="111"/>
      <c r="E882" s="111"/>
      <c r="F882" s="111"/>
      <c r="G882" s="112"/>
      <c r="H882" s="111"/>
      <c r="I882" s="112"/>
      <c r="J882" s="113"/>
      <c r="K882" s="113"/>
      <c r="L882" s="113"/>
      <c r="M882" s="113"/>
      <c r="N882" s="113"/>
      <c r="O882" s="113"/>
      <c r="P882" s="113"/>
      <c r="Q882" s="113"/>
      <c r="R882" s="113"/>
      <c r="S882" s="113"/>
      <c r="T882" s="113"/>
      <c r="U882" s="113"/>
      <c r="V882" s="113"/>
      <c r="W882" s="113"/>
      <c r="X882" s="113"/>
      <c r="Y882" s="113"/>
    </row>
    <row r="883" spans="1:25" s="114" customFormat="1" ht="13.5" customHeight="1">
      <c r="A883" s="111"/>
      <c r="B883" s="111"/>
      <c r="C883" s="111"/>
      <c r="D883" s="111"/>
      <c r="E883" s="111"/>
      <c r="F883" s="111"/>
      <c r="G883" s="112"/>
      <c r="H883" s="111"/>
      <c r="I883" s="112"/>
      <c r="J883" s="113"/>
      <c r="K883" s="113"/>
      <c r="L883" s="113"/>
      <c r="M883" s="113"/>
      <c r="N883" s="113"/>
      <c r="O883" s="113"/>
      <c r="P883" s="113"/>
      <c r="Q883" s="113"/>
      <c r="R883" s="113"/>
      <c r="S883" s="113"/>
      <c r="T883" s="113"/>
      <c r="U883" s="113"/>
      <c r="V883" s="113"/>
      <c r="W883" s="113"/>
      <c r="X883" s="113"/>
      <c r="Y883" s="113"/>
    </row>
    <row r="884" spans="1:25" s="114" customFormat="1" ht="13.5" customHeight="1">
      <c r="A884" s="111"/>
      <c r="B884" s="111"/>
      <c r="C884" s="111"/>
      <c r="D884" s="111"/>
      <c r="E884" s="111"/>
      <c r="F884" s="111"/>
      <c r="G884" s="112"/>
      <c r="H884" s="111"/>
      <c r="I884" s="112"/>
      <c r="J884" s="113"/>
      <c r="K884" s="113"/>
      <c r="L884" s="113"/>
      <c r="M884" s="113"/>
      <c r="N884" s="113"/>
      <c r="O884" s="113"/>
      <c r="P884" s="113"/>
      <c r="Q884" s="113"/>
      <c r="R884" s="113"/>
      <c r="S884" s="113"/>
      <c r="T884" s="113"/>
      <c r="U884" s="113"/>
      <c r="V884" s="113"/>
      <c r="W884" s="113"/>
      <c r="X884" s="113"/>
      <c r="Y884" s="113"/>
    </row>
    <row r="885" spans="1:25" s="114" customFormat="1" ht="13.5" customHeight="1">
      <c r="A885" s="111"/>
      <c r="B885" s="111"/>
      <c r="C885" s="111"/>
      <c r="D885" s="111"/>
      <c r="E885" s="111"/>
      <c r="F885" s="111"/>
      <c r="G885" s="112"/>
      <c r="H885" s="111"/>
      <c r="I885" s="112"/>
      <c r="J885" s="113"/>
      <c r="K885" s="113"/>
      <c r="L885" s="113"/>
      <c r="M885" s="113"/>
      <c r="N885" s="113"/>
      <c r="O885" s="113"/>
      <c r="P885" s="113"/>
      <c r="Q885" s="113"/>
      <c r="R885" s="113"/>
      <c r="S885" s="113"/>
      <c r="T885" s="113"/>
      <c r="U885" s="113"/>
      <c r="V885" s="113"/>
      <c r="W885" s="113"/>
      <c r="X885" s="113"/>
      <c r="Y885" s="113"/>
    </row>
    <row r="886" spans="1:25" s="114" customFormat="1" ht="13.5" customHeight="1">
      <c r="A886" s="111"/>
      <c r="B886" s="111"/>
      <c r="C886" s="111"/>
      <c r="D886" s="111"/>
      <c r="E886" s="111"/>
      <c r="F886" s="111"/>
      <c r="G886" s="112"/>
      <c r="H886" s="111"/>
      <c r="I886" s="112"/>
      <c r="J886" s="113"/>
      <c r="K886" s="113"/>
      <c r="L886" s="113"/>
      <c r="M886" s="113"/>
      <c r="N886" s="113"/>
      <c r="O886" s="113"/>
      <c r="P886" s="113"/>
      <c r="Q886" s="113"/>
      <c r="R886" s="113"/>
      <c r="S886" s="113"/>
      <c r="T886" s="113"/>
      <c r="U886" s="113"/>
      <c r="V886" s="113"/>
      <c r="W886" s="113"/>
      <c r="X886" s="113"/>
      <c r="Y886" s="113"/>
    </row>
    <row r="887" spans="1:25" s="114" customFormat="1" ht="13.5" customHeight="1">
      <c r="A887" s="111"/>
      <c r="B887" s="111"/>
      <c r="C887" s="111"/>
      <c r="D887" s="111"/>
      <c r="E887" s="111"/>
      <c r="F887" s="111"/>
      <c r="G887" s="112"/>
      <c r="H887" s="111"/>
      <c r="I887" s="112"/>
      <c r="J887" s="113"/>
      <c r="K887" s="113"/>
      <c r="L887" s="113"/>
      <c r="M887" s="113"/>
      <c r="N887" s="113"/>
      <c r="O887" s="113"/>
      <c r="P887" s="113"/>
      <c r="Q887" s="113"/>
      <c r="R887" s="113"/>
      <c r="S887" s="113"/>
      <c r="T887" s="113"/>
      <c r="U887" s="113"/>
      <c r="V887" s="113"/>
      <c r="W887" s="113"/>
      <c r="X887" s="113"/>
      <c r="Y887" s="113"/>
    </row>
    <row r="888" spans="1:25" s="114" customFormat="1" ht="13.5" customHeight="1">
      <c r="A888" s="111"/>
      <c r="B888" s="111"/>
      <c r="C888" s="111"/>
      <c r="D888" s="111"/>
      <c r="E888" s="111"/>
      <c r="F888" s="111"/>
      <c r="G888" s="112"/>
      <c r="H888" s="111"/>
      <c r="I888" s="112"/>
      <c r="J888" s="113"/>
      <c r="K888" s="113"/>
      <c r="L888" s="113"/>
      <c r="M888" s="113"/>
      <c r="N888" s="113"/>
      <c r="O888" s="113"/>
      <c r="P888" s="113"/>
      <c r="Q888" s="113"/>
      <c r="R888" s="113"/>
      <c r="S888" s="113"/>
      <c r="T888" s="113"/>
      <c r="U888" s="113"/>
      <c r="V888" s="113"/>
      <c r="W888" s="113"/>
      <c r="X888" s="113"/>
      <c r="Y888" s="113"/>
    </row>
    <row r="889" spans="1:25" s="114" customFormat="1" ht="13.5" customHeight="1">
      <c r="A889" s="111"/>
      <c r="B889" s="111"/>
      <c r="C889" s="111"/>
      <c r="D889" s="111"/>
      <c r="E889" s="111"/>
      <c r="F889" s="111"/>
      <c r="G889" s="112"/>
      <c r="H889" s="111"/>
      <c r="I889" s="112"/>
      <c r="J889" s="113"/>
      <c r="K889" s="113"/>
      <c r="L889" s="113"/>
      <c r="M889" s="113"/>
      <c r="N889" s="113"/>
      <c r="O889" s="113"/>
      <c r="P889" s="113"/>
      <c r="Q889" s="113"/>
      <c r="R889" s="113"/>
      <c r="S889" s="113"/>
      <c r="T889" s="113"/>
      <c r="U889" s="113"/>
      <c r="V889" s="113"/>
      <c r="W889" s="113"/>
      <c r="X889" s="113"/>
      <c r="Y889" s="113"/>
    </row>
    <row r="890" spans="1:25" s="114" customFormat="1" ht="13.5" customHeight="1">
      <c r="A890" s="111"/>
      <c r="B890" s="111"/>
      <c r="C890" s="111"/>
      <c r="D890" s="111"/>
      <c r="E890" s="111"/>
      <c r="F890" s="111"/>
      <c r="G890" s="112"/>
      <c r="H890" s="111"/>
      <c r="I890" s="112"/>
      <c r="J890" s="113"/>
      <c r="K890" s="113"/>
      <c r="L890" s="113"/>
      <c r="M890" s="113"/>
      <c r="N890" s="113"/>
      <c r="O890" s="113"/>
      <c r="P890" s="113"/>
      <c r="Q890" s="113"/>
      <c r="R890" s="113"/>
      <c r="S890" s="113"/>
      <c r="T890" s="113"/>
      <c r="U890" s="113"/>
      <c r="V890" s="113"/>
      <c r="W890" s="113"/>
      <c r="X890" s="113"/>
      <c r="Y890" s="113"/>
    </row>
    <row r="891" spans="1:25" s="114" customFormat="1" ht="13.5" customHeight="1">
      <c r="A891" s="111"/>
      <c r="B891" s="111"/>
      <c r="C891" s="111"/>
      <c r="D891" s="111"/>
      <c r="E891" s="111"/>
      <c r="F891" s="111"/>
      <c r="G891" s="112"/>
      <c r="H891" s="111"/>
      <c r="I891" s="112"/>
      <c r="J891" s="113"/>
      <c r="K891" s="113"/>
      <c r="L891" s="113"/>
      <c r="M891" s="113"/>
      <c r="N891" s="113"/>
      <c r="O891" s="113"/>
      <c r="P891" s="113"/>
      <c r="Q891" s="113"/>
      <c r="R891" s="113"/>
      <c r="S891" s="113"/>
      <c r="T891" s="113"/>
      <c r="U891" s="113"/>
      <c r="V891" s="113"/>
      <c r="W891" s="113"/>
      <c r="X891" s="113"/>
      <c r="Y891" s="113"/>
    </row>
    <row r="892" spans="1:25" s="114" customFormat="1" ht="13.5" customHeight="1">
      <c r="A892" s="111"/>
      <c r="B892" s="111"/>
      <c r="C892" s="111"/>
      <c r="D892" s="111"/>
      <c r="E892" s="111"/>
      <c r="F892" s="111"/>
      <c r="G892" s="112"/>
      <c r="H892" s="111"/>
      <c r="I892" s="112"/>
      <c r="J892" s="113"/>
      <c r="K892" s="113"/>
      <c r="L892" s="113"/>
      <c r="M892" s="113"/>
      <c r="N892" s="113"/>
      <c r="O892" s="113"/>
      <c r="P892" s="113"/>
      <c r="Q892" s="113"/>
      <c r="R892" s="113"/>
      <c r="S892" s="113"/>
      <c r="T892" s="113"/>
      <c r="U892" s="113"/>
      <c r="V892" s="113"/>
      <c r="W892" s="113"/>
      <c r="X892" s="113"/>
      <c r="Y892" s="113"/>
    </row>
    <row r="893" spans="1:25" s="114" customFormat="1" ht="13.5" customHeight="1">
      <c r="A893" s="111"/>
      <c r="B893" s="111"/>
      <c r="C893" s="111"/>
      <c r="D893" s="111"/>
      <c r="E893" s="111"/>
      <c r="F893" s="111"/>
      <c r="G893" s="112"/>
      <c r="H893" s="111"/>
      <c r="I893" s="112"/>
      <c r="J893" s="113"/>
      <c r="K893" s="113"/>
      <c r="L893" s="113"/>
      <c r="M893" s="113"/>
      <c r="N893" s="113"/>
      <c r="O893" s="113"/>
      <c r="P893" s="113"/>
      <c r="Q893" s="113"/>
      <c r="R893" s="113"/>
      <c r="S893" s="113"/>
      <c r="T893" s="113"/>
      <c r="U893" s="113"/>
      <c r="V893" s="113"/>
      <c r="W893" s="113"/>
      <c r="X893" s="113"/>
      <c r="Y893" s="113"/>
    </row>
    <row r="894" spans="1:25" s="114" customFormat="1" ht="13.5" customHeight="1">
      <c r="A894" s="111"/>
      <c r="B894" s="111"/>
      <c r="C894" s="111"/>
      <c r="D894" s="111"/>
      <c r="E894" s="111"/>
      <c r="F894" s="111"/>
      <c r="G894" s="112"/>
      <c r="H894" s="111"/>
      <c r="I894" s="112"/>
      <c r="J894" s="113"/>
      <c r="K894" s="113"/>
      <c r="L894" s="113"/>
      <c r="M894" s="113"/>
      <c r="N894" s="113"/>
      <c r="O894" s="113"/>
      <c r="P894" s="113"/>
      <c r="Q894" s="113"/>
      <c r="R894" s="113"/>
      <c r="S894" s="113"/>
      <c r="T894" s="113"/>
      <c r="U894" s="113"/>
      <c r="V894" s="113"/>
      <c r="W894" s="113"/>
      <c r="X894" s="113"/>
      <c r="Y894" s="113"/>
    </row>
    <row r="895" spans="1:25" s="114" customFormat="1" ht="13.5" customHeight="1">
      <c r="A895" s="111"/>
      <c r="B895" s="111"/>
      <c r="C895" s="111"/>
      <c r="D895" s="111"/>
      <c r="E895" s="111"/>
      <c r="F895" s="111"/>
      <c r="G895" s="112"/>
      <c r="H895" s="111"/>
      <c r="I895" s="112"/>
      <c r="J895" s="113"/>
      <c r="K895" s="113"/>
      <c r="L895" s="113"/>
      <c r="M895" s="113"/>
      <c r="N895" s="113"/>
      <c r="O895" s="113"/>
      <c r="P895" s="113"/>
      <c r="Q895" s="113"/>
      <c r="R895" s="113"/>
      <c r="S895" s="113"/>
      <c r="T895" s="113"/>
      <c r="U895" s="113"/>
      <c r="V895" s="113"/>
      <c r="W895" s="113"/>
      <c r="X895" s="113"/>
      <c r="Y895" s="113"/>
    </row>
    <row r="896" spans="1:25" s="114" customFormat="1" ht="13.5" customHeight="1">
      <c r="A896" s="111"/>
      <c r="B896" s="111"/>
      <c r="C896" s="111"/>
      <c r="D896" s="111"/>
      <c r="E896" s="111"/>
      <c r="F896" s="111"/>
      <c r="G896" s="112"/>
      <c r="H896" s="111"/>
      <c r="I896" s="112"/>
      <c r="J896" s="113"/>
      <c r="K896" s="113"/>
      <c r="L896" s="113"/>
      <c r="M896" s="113"/>
      <c r="N896" s="113"/>
      <c r="O896" s="113"/>
      <c r="P896" s="113"/>
      <c r="Q896" s="113"/>
      <c r="R896" s="113"/>
      <c r="S896" s="113"/>
      <c r="T896" s="113"/>
      <c r="U896" s="113"/>
      <c r="V896" s="113"/>
      <c r="W896" s="113"/>
      <c r="X896" s="113"/>
      <c r="Y896" s="113"/>
    </row>
    <row r="897" spans="1:25" s="114" customFormat="1" ht="13.5" customHeight="1">
      <c r="A897" s="111"/>
      <c r="B897" s="111"/>
      <c r="C897" s="111"/>
      <c r="D897" s="111"/>
      <c r="E897" s="111"/>
      <c r="F897" s="111"/>
      <c r="G897" s="112"/>
      <c r="H897" s="111"/>
      <c r="I897" s="112"/>
      <c r="J897" s="113"/>
      <c r="K897" s="113"/>
      <c r="L897" s="113"/>
      <c r="M897" s="113"/>
      <c r="N897" s="113"/>
      <c r="O897" s="113"/>
      <c r="P897" s="113"/>
      <c r="Q897" s="113"/>
      <c r="R897" s="113"/>
      <c r="S897" s="113"/>
      <c r="T897" s="113"/>
      <c r="U897" s="113"/>
      <c r="V897" s="113"/>
      <c r="W897" s="113"/>
      <c r="X897" s="113"/>
      <c r="Y897" s="113"/>
    </row>
    <row r="898" spans="1:25" s="114" customFormat="1" ht="13.5" customHeight="1">
      <c r="A898" s="111"/>
      <c r="B898" s="111"/>
      <c r="C898" s="111"/>
      <c r="D898" s="111"/>
      <c r="E898" s="111"/>
      <c r="F898" s="111"/>
      <c r="G898" s="112"/>
      <c r="H898" s="111"/>
      <c r="I898" s="112"/>
      <c r="J898" s="113"/>
      <c r="K898" s="113"/>
      <c r="L898" s="113"/>
      <c r="M898" s="113"/>
      <c r="N898" s="113"/>
      <c r="O898" s="113"/>
      <c r="P898" s="113"/>
      <c r="Q898" s="113"/>
      <c r="R898" s="113"/>
      <c r="S898" s="113"/>
      <c r="T898" s="113"/>
      <c r="U898" s="113"/>
      <c r="V898" s="113"/>
      <c r="W898" s="113"/>
      <c r="X898" s="113"/>
      <c r="Y898" s="113"/>
    </row>
    <row r="899" spans="1:25" s="114" customFormat="1" ht="13.5" customHeight="1">
      <c r="A899" s="111"/>
      <c r="B899" s="111"/>
      <c r="C899" s="111"/>
      <c r="D899" s="111"/>
      <c r="E899" s="111"/>
      <c r="F899" s="111"/>
      <c r="G899" s="112"/>
      <c r="H899" s="111"/>
      <c r="I899" s="112"/>
      <c r="J899" s="113"/>
      <c r="K899" s="113"/>
      <c r="L899" s="113"/>
      <c r="M899" s="113"/>
      <c r="N899" s="113"/>
      <c r="O899" s="113"/>
      <c r="P899" s="113"/>
      <c r="Q899" s="113"/>
      <c r="R899" s="113"/>
      <c r="S899" s="113"/>
      <c r="T899" s="113"/>
      <c r="U899" s="113"/>
      <c r="V899" s="113"/>
      <c r="W899" s="113"/>
      <c r="X899" s="113"/>
      <c r="Y899" s="113"/>
    </row>
    <row r="900" spans="1:25" s="114" customFormat="1" ht="13.5" customHeight="1">
      <c r="A900" s="111"/>
      <c r="B900" s="111"/>
      <c r="C900" s="111"/>
      <c r="D900" s="111"/>
      <c r="E900" s="111"/>
      <c r="F900" s="111"/>
      <c r="G900" s="112"/>
      <c r="H900" s="111"/>
      <c r="I900" s="112"/>
      <c r="J900" s="113"/>
      <c r="K900" s="113"/>
      <c r="L900" s="113"/>
      <c r="M900" s="113"/>
      <c r="N900" s="113"/>
      <c r="O900" s="113"/>
      <c r="P900" s="113"/>
      <c r="Q900" s="113"/>
      <c r="R900" s="113"/>
      <c r="S900" s="113"/>
      <c r="T900" s="113"/>
      <c r="U900" s="113"/>
      <c r="V900" s="113"/>
      <c r="W900" s="113"/>
      <c r="X900" s="113"/>
      <c r="Y900" s="113"/>
    </row>
    <row r="901" spans="1:25" s="114" customFormat="1" ht="13.5" customHeight="1">
      <c r="A901" s="111"/>
      <c r="B901" s="111"/>
      <c r="C901" s="111"/>
      <c r="D901" s="111"/>
      <c r="E901" s="111"/>
      <c r="F901" s="111"/>
      <c r="G901" s="112"/>
      <c r="H901" s="111"/>
      <c r="I901" s="112"/>
      <c r="J901" s="113"/>
      <c r="K901" s="113"/>
      <c r="L901" s="113"/>
      <c r="M901" s="113"/>
      <c r="N901" s="113"/>
      <c r="O901" s="113"/>
      <c r="P901" s="113"/>
      <c r="Q901" s="113"/>
      <c r="R901" s="113"/>
      <c r="S901" s="113"/>
      <c r="T901" s="113"/>
      <c r="U901" s="113"/>
      <c r="V901" s="113"/>
      <c r="W901" s="113"/>
      <c r="X901" s="113"/>
      <c r="Y901" s="113"/>
    </row>
    <row r="902" spans="1:25" s="114" customFormat="1" ht="13.5" customHeight="1">
      <c r="A902" s="111"/>
      <c r="B902" s="111"/>
      <c r="C902" s="111"/>
      <c r="D902" s="111"/>
      <c r="E902" s="111"/>
      <c r="F902" s="111"/>
      <c r="G902" s="112"/>
      <c r="H902" s="111"/>
      <c r="I902" s="112"/>
      <c r="J902" s="113"/>
      <c r="K902" s="113"/>
      <c r="L902" s="113"/>
      <c r="M902" s="113"/>
      <c r="N902" s="113"/>
      <c r="O902" s="113"/>
      <c r="P902" s="113"/>
      <c r="Q902" s="113"/>
      <c r="R902" s="113"/>
      <c r="S902" s="113"/>
      <c r="T902" s="113"/>
      <c r="U902" s="113"/>
      <c r="V902" s="113"/>
      <c r="W902" s="113"/>
      <c r="X902" s="113"/>
      <c r="Y902" s="113"/>
    </row>
    <row r="903" spans="1:25" s="114" customFormat="1" ht="13.5" customHeight="1">
      <c r="A903" s="111"/>
      <c r="B903" s="111"/>
      <c r="C903" s="111"/>
      <c r="D903" s="111"/>
      <c r="E903" s="111"/>
      <c r="F903" s="111"/>
      <c r="G903" s="112"/>
      <c r="H903" s="111"/>
      <c r="I903" s="112"/>
      <c r="J903" s="113"/>
      <c r="K903" s="113"/>
      <c r="L903" s="113"/>
      <c r="M903" s="113"/>
      <c r="N903" s="113"/>
      <c r="O903" s="113"/>
      <c r="P903" s="113"/>
      <c r="Q903" s="113"/>
      <c r="R903" s="113"/>
      <c r="S903" s="113"/>
      <c r="T903" s="113"/>
      <c r="U903" s="113"/>
      <c r="V903" s="113"/>
      <c r="W903" s="113"/>
      <c r="X903" s="113"/>
      <c r="Y903" s="113"/>
    </row>
    <row r="904" spans="1:25" s="114" customFormat="1" ht="13.5" customHeight="1">
      <c r="A904" s="111"/>
      <c r="B904" s="111"/>
      <c r="C904" s="111"/>
      <c r="D904" s="111"/>
      <c r="E904" s="111"/>
      <c r="F904" s="111"/>
      <c r="G904" s="112"/>
      <c r="H904" s="111"/>
      <c r="I904" s="112"/>
      <c r="J904" s="113"/>
      <c r="K904" s="113"/>
      <c r="L904" s="113"/>
      <c r="M904" s="113"/>
      <c r="N904" s="113"/>
      <c r="O904" s="113"/>
      <c r="P904" s="113"/>
      <c r="Q904" s="113"/>
      <c r="R904" s="113"/>
      <c r="S904" s="113"/>
      <c r="T904" s="113"/>
      <c r="U904" s="113"/>
      <c r="V904" s="113"/>
      <c r="W904" s="113"/>
      <c r="X904" s="113"/>
      <c r="Y904" s="113"/>
    </row>
    <row r="905" spans="1:25" s="114" customFormat="1" ht="13.5" customHeight="1">
      <c r="A905" s="111"/>
      <c r="B905" s="111"/>
      <c r="C905" s="111"/>
      <c r="D905" s="111"/>
      <c r="E905" s="111"/>
      <c r="F905" s="111"/>
      <c r="G905" s="112"/>
      <c r="H905" s="111"/>
      <c r="I905" s="112"/>
      <c r="J905" s="113"/>
      <c r="K905" s="113"/>
      <c r="L905" s="113"/>
      <c r="M905" s="113"/>
      <c r="N905" s="113"/>
      <c r="O905" s="113"/>
      <c r="P905" s="113"/>
      <c r="Q905" s="113"/>
      <c r="R905" s="113"/>
      <c r="S905" s="113"/>
      <c r="T905" s="113"/>
      <c r="U905" s="113"/>
      <c r="V905" s="113"/>
      <c r="W905" s="113"/>
      <c r="X905" s="113"/>
      <c r="Y905" s="113"/>
    </row>
    <row r="906" spans="1:25" s="114" customFormat="1" ht="13.5" customHeight="1">
      <c r="A906" s="111"/>
      <c r="B906" s="111"/>
      <c r="C906" s="111"/>
      <c r="D906" s="111"/>
      <c r="E906" s="111"/>
      <c r="F906" s="111"/>
      <c r="G906" s="112"/>
      <c r="H906" s="111"/>
      <c r="I906" s="112"/>
      <c r="J906" s="113"/>
      <c r="K906" s="113"/>
      <c r="L906" s="113"/>
      <c r="M906" s="113"/>
      <c r="N906" s="113"/>
      <c r="O906" s="113"/>
      <c r="P906" s="113"/>
      <c r="Q906" s="113"/>
      <c r="R906" s="113"/>
      <c r="S906" s="113"/>
      <c r="T906" s="113"/>
      <c r="U906" s="113"/>
      <c r="V906" s="113"/>
      <c r="W906" s="113"/>
      <c r="X906" s="113"/>
      <c r="Y906" s="113"/>
    </row>
    <row r="907" spans="1:25" s="114" customFormat="1" ht="13.5" customHeight="1">
      <c r="A907" s="111"/>
      <c r="B907" s="111"/>
      <c r="C907" s="111"/>
      <c r="D907" s="111"/>
      <c r="E907" s="111"/>
      <c r="F907" s="111"/>
      <c r="G907" s="112"/>
      <c r="H907" s="111"/>
      <c r="I907" s="112"/>
      <c r="J907" s="113"/>
      <c r="K907" s="113"/>
      <c r="L907" s="113"/>
      <c r="M907" s="113"/>
      <c r="N907" s="113"/>
      <c r="O907" s="113"/>
      <c r="P907" s="113"/>
      <c r="Q907" s="113"/>
      <c r="R907" s="113"/>
      <c r="S907" s="113"/>
      <c r="T907" s="113"/>
      <c r="U907" s="113"/>
      <c r="V907" s="113"/>
      <c r="W907" s="113"/>
      <c r="X907" s="113"/>
      <c r="Y907" s="113"/>
    </row>
    <row r="908" spans="1:25" s="114" customFormat="1" ht="13.5" customHeight="1">
      <c r="A908" s="111"/>
      <c r="B908" s="111"/>
      <c r="C908" s="111"/>
      <c r="D908" s="111"/>
      <c r="E908" s="111"/>
      <c r="F908" s="111"/>
      <c r="G908" s="112"/>
      <c r="H908" s="111"/>
      <c r="I908" s="112"/>
      <c r="J908" s="113"/>
      <c r="K908" s="113"/>
      <c r="L908" s="113"/>
      <c r="M908" s="113"/>
      <c r="N908" s="113"/>
      <c r="O908" s="113"/>
      <c r="P908" s="113"/>
      <c r="Q908" s="113"/>
      <c r="R908" s="113"/>
      <c r="S908" s="113"/>
      <c r="T908" s="113"/>
      <c r="U908" s="113"/>
      <c r="V908" s="113"/>
      <c r="W908" s="113"/>
      <c r="X908" s="113"/>
      <c r="Y908" s="113"/>
    </row>
    <row r="909" spans="1:25" s="114" customFormat="1" ht="13.5" customHeight="1">
      <c r="A909" s="111"/>
      <c r="B909" s="111"/>
      <c r="C909" s="111"/>
      <c r="D909" s="111"/>
      <c r="E909" s="111"/>
      <c r="F909" s="111"/>
      <c r="G909" s="112"/>
      <c r="H909" s="111"/>
      <c r="I909" s="112"/>
      <c r="J909" s="113"/>
      <c r="K909" s="113"/>
      <c r="L909" s="113"/>
      <c r="M909" s="113"/>
      <c r="N909" s="113"/>
      <c r="O909" s="113"/>
      <c r="P909" s="113"/>
      <c r="Q909" s="113"/>
      <c r="R909" s="113"/>
      <c r="S909" s="113"/>
      <c r="T909" s="113"/>
      <c r="U909" s="113"/>
      <c r="V909" s="113"/>
      <c r="W909" s="113"/>
      <c r="X909" s="113"/>
      <c r="Y909" s="113"/>
    </row>
    <row r="910" spans="1:25" s="114" customFormat="1" ht="13.5" customHeight="1">
      <c r="A910" s="111"/>
      <c r="B910" s="111"/>
      <c r="C910" s="111"/>
      <c r="D910" s="111"/>
      <c r="E910" s="111"/>
      <c r="F910" s="111"/>
      <c r="G910" s="112"/>
      <c r="H910" s="111"/>
      <c r="I910" s="112"/>
      <c r="J910" s="113"/>
      <c r="K910" s="113"/>
      <c r="L910" s="113"/>
      <c r="M910" s="113"/>
      <c r="N910" s="113"/>
      <c r="O910" s="113"/>
      <c r="P910" s="113"/>
      <c r="Q910" s="113"/>
      <c r="R910" s="113"/>
      <c r="S910" s="113"/>
      <c r="T910" s="113"/>
      <c r="U910" s="113"/>
      <c r="V910" s="113"/>
      <c r="W910" s="113"/>
      <c r="X910" s="113"/>
      <c r="Y910" s="113"/>
    </row>
    <row r="911" spans="1:25" s="114" customFormat="1" ht="13.5" customHeight="1">
      <c r="A911" s="111"/>
      <c r="B911" s="111"/>
      <c r="C911" s="111"/>
      <c r="D911" s="111"/>
      <c r="E911" s="111"/>
      <c r="F911" s="111"/>
      <c r="G911" s="112"/>
      <c r="H911" s="111"/>
      <c r="I911" s="112"/>
      <c r="J911" s="113"/>
      <c r="K911" s="113"/>
      <c r="L911" s="113"/>
      <c r="M911" s="113"/>
      <c r="N911" s="113"/>
      <c r="O911" s="113"/>
      <c r="P911" s="113"/>
      <c r="Q911" s="113"/>
      <c r="R911" s="113"/>
      <c r="S911" s="113"/>
      <c r="T911" s="113"/>
      <c r="U911" s="113"/>
      <c r="V911" s="113"/>
      <c r="W911" s="113"/>
      <c r="X911" s="113"/>
      <c r="Y911" s="113"/>
    </row>
    <row r="912" spans="1:25" s="114" customFormat="1" ht="13.5" customHeight="1">
      <c r="A912" s="111"/>
      <c r="B912" s="111"/>
      <c r="C912" s="111"/>
      <c r="D912" s="111"/>
      <c r="E912" s="111"/>
      <c r="F912" s="111"/>
      <c r="G912" s="112"/>
      <c r="H912" s="111"/>
      <c r="I912" s="112"/>
      <c r="J912" s="113"/>
      <c r="K912" s="113"/>
      <c r="L912" s="113"/>
      <c r="M912" s="113"/>
      <c r="N912" s="113"/>
      <c r="O912" s="113"/>
      <c r="P912" s="113"/>
      <c r="Q912" s="113"/>
      <c r="R912" s="113"/>
      <c r="S912" s="113"/>
      <c r="T912" s="113"/>
      <c r="U912" s="113"/>
      <c r="V912" s="113"/>
      <c r="W912" s="113"/>
      <c r="X912" s="113"/>
      <c r="Y912" s="113"/>
    </row>
    <row r="913" spans="1:25" s="114" customFormat="1" ht="13.5" customHeight="1">
      <c r="A913" s="111"/>
      <c r="B913" s="111"/>
      <c r="C913" s="111"/>
      <c r="D913" s="111"/>
      <c r="E913" s="111"/>
      <c r="F913" s="111"/>
      <c r="G913" s="112"/>
      <c r="H913" s="111"/>
      <c r="I913" s="112"/>
      <c r="J913" s="113"/>
      <c r="K913" s="113"/>
      <c r="L913" s="113"/>
      <c r="M913" s="113"/>
      <c r="N913" s="113"/>
      <c r="O913" s="113"/>
      <c r="P913" s="113"/>
      <c r="Q913" s="113"/>
      <c r="R913" s="113"/>
      <c r="S913" s="113"/>
      <c r="T913" s="113"/>
      <c r="U913" s="113"/>
      <c r="V913" s="113"/>
      <c r="W913" s="113"/>
      <c r="X913" s="113"/>
      <c r="Y913" s="113"/>
    </row>
    <row r="914" spans="1:25" s="114" customFormat="1" ht="13.5" customHeight="1">
      <c r="A914" s="111"/>
      <c r="B914" s="111"/>
      <c r="C914" s="111"/>
      <c r="D914" s="111"/>
      <c r="E914" s="111"/>
      <c r="F914" s="111"/>
      <c r="G914" s="112"/>
      <c r="H914" s="111"/>
      <c r="I914" s="112"/>
      <c r="J914" s="113"/>
      <c r="K914" s="113"/>
      <c r="L914" s="113"/>
      <c r="M914" s="113"/>
      <c r="N914" s="113"/>
      <c r="O914" s="113"/>
      <c r="P914" s="113"/>
      <c r="Q914" s="113"/>
      <c r="R914" s="113"/>
      <c r="S914" s="113"/>
      <c r="T914" s="113"/>
      <c r="U914" s="113"/>
      <c r="V914" s="113"/>
      <c r="W914" s="113"/>
      <c r="X914" s="113"/>
      <c r="Y914" s="113"/>
    </row>
    <row r="915" spans="1:25" s="114" customFormat="1" ht="13.5" customHeight="1">
      <c r="A915" s="111"/>
      <c r="B915" s="111"/>
      <c r="C915" s="111"/>
      <c r="D915" s="111"/>
      <c r="E915" s="111"/>
      <c r="F915" s="111"/>
      <c r="G915" s="112"/>
      <c r="H915" s="111"/>
      <c r="I915" s="112"/>
      <c r="J915" s="113"/>
      <c r="K915" s="113"/>
      <c r="L915" s="113"/>
      <c r="M915" s="113"/>
      <c r="N915" s="113"/>
      <c r="O915" s="113"/>
      <c r="P915" s="113"/>
      <c r="Q915" s="113"/>
      <c r="R915" s="113"/>
      <c r="S915" s="113"/>
      <c r="T915" s="113"/>
      <c r="U915" s="113"/>
      <c r="V915" s="113"/>
      <c r="W915" s="113"/>
      <c r="X915" s="113"/>
      <c r="Y915" s="113"/>
    </row>
    <row r="916" spans="1:25" s="114" customFormat="1" ht="13.5" customHeight="1">
      <c r="A916" s="111"/>
      <c r="B916" s="111"/>
      <c r="C916" s="111"/>
      <c r="D916" s="111"/>
      <c r="E916" s="111"/>
      <c r="F916" s="111"/>
      <c r="G916" s="112"/>
      <c r="H916" s="111"/>
      <c r="I916" s="112"/>
      <c r="J916" s="113"/>
      <c r="K916" s="113"/>
      <c r="L916" s="113"/>
      <c r="M916" s="113"/>
      <c r="N916" s="113"/>
      <c r="O916" s="113"/>
      <c r="P916" s="113"/>
      <c r="Q916" s="113"/>
      <c r="R916" s="113"/>
      <c r="S916" s="113"/>
      <c r="T916" s="113"/>
      <c r="U916" s="113"/>
      <c r="V916" s="113"/>
      <c r="W916" s="113"/>
      <c r="X916" s="113"/>
      <c r="Y916" s="113"/>
    </row>
    <row r="917" spans="1:25" s="114" customFormat="1" ht="13.5" customHeight="1">
      <c r="A917" s="111"/>
      <c r="B917" s="111"/>
      <c r="C917" s="111"/>
      <c r="D917" s="111"/>
      <c r="E917" s="111"/>
      <c r="F917" s="111"/>
      <c r="G917" s="112"/>
      <c r="H917" s="111"/>
      <c r="I917" s="112"/>
      <c r="J917" s="113"/>
      <c r="K917" s="113"/>
      <c r="L917" s="113"/>
      <c r="M917" s="113"/>
      <c r="N917" s="113"/>
      <c r="O917" s="113"/>
      <c r="P917" s="113"/>
      <c r="Q917" s="113"/>
      <c r="R917" s="113"/>
      <c r="S917" s="113"/>
      <c r="T917" s="113"/>
      <c r="U917" s="113"/>
      <c r="V917" s="113"/>
      <c r="W917" s="113"/>
      <c r="X917" s="113"/>
      <c r="Y917" s="113"/>
    </row>
    <row r="918" spans="1:25" s="114" customFormat="1" ht="13.5" customHeight="1">
      <c r="A918" s="111"/>
      <c r="B918" s="111"/>
      <c r="C918" s="111"/>
      <c r="D918" s="111"/>
      <c r="E918" s="111"/>
      <c r="F918" s="111"/>
      <c r="G918" s="112"/>
      <c r="H918" s="111"/>
      <c r="I918" s="112"/>
      <c r="J918" s="113"/>
      <c r="K918" s="113"/>
      <c r="L918" s="113"/>
      <c r="M918" s="113"/>
      <c r="N918" s="113"/>
      <c r="O918" s="113"/>
      <c r="P918" s="113"/>
      <c r="Q918" s="113"/>
      <c r="R918" s="113"/>
      <c r="S918" s="113"/>
      <c r="T918" s="113"/>
      <c r="U918" s="113"/>
      <c r="V918" s="113"/>
      <c r="W918" s="113"/>
      <c r="X918" s="113"/>
      <c r="Y918" s="113"/>
    </row>
    <row r="919" spans="1:25" s="114" customFormat="1" ht="13.5" customHeight="1">
      <c r="A919" s="111"/>
      <c r="B919" s="111"/>
      <c r="C919" s="111"/>
      <c r="D919" s="111"/>
      <c r="E919" s="111"/>
      <c r="F919" s="111"/>
      <c r="G919" s="112"/>
      <c r="H919" s="111"/>
      <c r="I919" s="112"/>
      <c r="J919" s="113"/>
      <c r="K919" s="113"/>
      <c r="L919" s="113"/>
      <c r="M919" s="113"/>
      <c r="N919" s="113"/>
      <c r="O919" s="113"/>
      <c r="P919" s="113"/>
      <c r="Q919" s="113"/>
      <c r="R919" s="113"/>
      <c r="S919" s="113"/>
      <c r="T919" s="113"/>
      <c r="U919" s="113"/>
      <c r="V919" s="113"/>
      <c r="W919" s="113"/>
      <c r="X919" s="113"/>
      <c r="Y919" s="113"/>
    </row>
    <row r="920" spans="1:25" s="114" customFormat="1" ht="13.5" customHeight="1">
      <c r="A920" s="111"/>
      <c r="B920" s="111"/>
      <c r="C920" s="111"/>
      <c r="D920" s="111"/>
      <c r="E920" s="111"/>
      <c r="F920" s="111"/>
      <c r="G920" s="112"/>
      <c r="H920" s="111"/>
      <c r="I920" s="112"/>
      <c r="J920" s="113"/>
      <c r="K920" s="113"/>
      <c r="L920" s="113"/>
      <c r="M920" s="113"/>
      <c r="N920" s="113"/>
      <c r="O920" s="113"/>
      <c r="P920" s="113"/>
      <c r="Q920" s="113"/>
      <c r="R920" s="113"/>
      <c r="S920" s="113"/>
      <c r="T920" s="113"/>
      <c r="U920" s="113"/>
      <c r="V920" s="113"/>
      <c r="W920" s="113"/>
      <c r="X920" s="113"/>
      <c r="Y920" s="113"/>
    </row>
    <row r="921" spans="1:25" s="114" customFormat="1" ht="13.5" customHeight="1">
      <c r="A921" s="111"/>
      <c r="B921" s="111"/>
      <c r="C921" s="111"/>
      <c r="D921" s="111"/>
      <c r="E921" s="111"/>
      <c r="F921" s="111"/>
      <c r="G921" s="112"/>
      <c r="H921" s="111"/>
      <c r="I921" s="112"/>
      <c r="J921" s="113"/>
      <c r="K921" s="113"/>
      <c r="L921" s="113"/>
      <c r="M921" s="113"/>
      <c r="N921" s="113"/>
      <c r="O921" s="113"/>
      <c r="P921" s="113"/>
      <c r="Q921" s="113"/>
      <c r="R921" s="113"/>
      <c r="S921" s="113"/>
      <c r="T921" s="113"/>
      <c r="U921" s="113"/>
      <c r="V921" s="113"/>
      <c r="W921" s="113"/>
      <c r="X921" s="113"/>
      <c r="Y921" s="113"/>
    </row>
    <row r="922" spans="1:25" s="114" customFormat="1" ht="13.5" customHeight="1">
      <c r="A922" s="111"/>
      <c r="B922" s="111"/>
      <c r="C922" s="111"/>
      <c r="D922" s="111"/>
      <c r="E922" s="111"/>
      <c r="F922" s="111"/>
      <c r="G922" s="112"/>
      <c r="H922" s="111"/>
      <c r="I922" s="112"/>
      <c r="J922" s="113"/>
      <c r="K922" s="113"/>
      <c r="L922" s="113"/>
      <c r="M922" s="113"/>
      <c r="N922" s="113"/>
      <c r="O922" s="113"/>
      <c r="P922" s="113"/>
      <c r="Q922" s="113"/>
      <c r="R922" s="113"/>
      <c r="S922" s="113"/>
      <c r="T922" s="113"/>
      <c r="U922" s="113"/>
      <c r="V922" s="113"/>
      <c r="W922" s="113"/>
      <c r="X922" s="113"/>
      <c r="Y922" s="113"/>
    </row>
    <row r="923" spans="1:25" s="114" customFormat="1" ht="13.5" customHeight="1">
      <c r="A923" s="111"/>
      <c r="B923" s="111"/>
      <c r="C923" s="111"/>
      <c r="D923" s="111"/>
      <c r="E923" s="111"/>
      <c r="F923" s="111"/>
      <c r="G923" s="112"/>
      <c r="H923" s="111"/>
      <c r="I923" s="112"/>
      <c r="J923" s="113"/>
      <c r="K923" s="113"/>
      <c r="L923" s="113"/>
      <c r="M923" s="113"/>
      <c r="N923" s="113"/>
      <c r="O923" s="113"/>
      <c r="P923" s="113"/>
      <c r="Q923" s="113"/>
      <c r="R923" s="113"/>
      <c r="S923" s="113"/>
      <c r="T923" s="113"/>
      <c r="U923" s="113"/>
      <c r="V923" s="113"/>
      <c r="W923" s="113"/>
      <c r="X923" s="113"/>
      <c r="Y923" s="113"/>
    </row>
    <row r="924" spans="1:25" s="114" customFormat="1" ht="13.5" customHeight="1">
      <c r="A924" s="111"/>
      <c r="B924" s="111"/>
      <c r="C924" s="111"/>
      <c r="D924" s="111"/>
      <c r="E924" s="111"/>
      <c r="F924" s="111"/>
      <c r="G924" s="112"/>
      <c r="H924" s="111"/>
      <c r="I924" s="112"/>
      <c r="J924" s="113"/>
      <c r="K924" s="113"/>
      <c r="L924" s="113"/>
      <c r="M924" s="113"/>
      <c r="N924" s="113"/>
      <c r="O924" s="113"/>
      <c r="P924" s="113"/>
      <c r="Q924" s="113"/>
      <c r="R924" s="113"/>
      <c r="S924" s="113"/>
      <c r="T924" s="113"/>
      <c r="U924" s="113"/>
      <c r="V924" s="113"/>
      <c r="W924" s="113"/>
      <c r="X924" s="113"/>
      <c r="Y924" s="113"/>
    </row>
    <row r="925" spans="1:25" s="114" customFormat="1" ht="13.5" customHeight="1">
      <c r="A925" s="111"/>
      <c r="B925" s="111"/>
      <c r="C925" s="111"/>
      <c r="D925" s="111"/>
      <c r="E925" s="111"/>
      <c r="F925" s="111"/>
      <c r="G925" s="112"/>
      <c r="H925" s="111"/>
      <c r="I925" s="112"/>
      <c r="J925" s="113"/>
      <c r="K925" s="113"/>
      <c r="L925" s="113"/>
      <c r="M925" s="113"/>
      <c r="N925" s="113"/>
      <c r="O925" s="113"/>
      <c r="P925" s="113"/>
      <c r="Q925" s="113"/>
      <c r="R925" s="113"/>
      <c r="S925" s="113"/>
      <c r="T925" s="113"/>
      <c r="U925" s="113"/>
      <c r="V925" s="113"/>
      <c r="W925" s="113"/>
      <c r="X925" s="113"/>
      <c r="Y925" s="113"/>
    </row>
    <row r="926" spans="1:25" s="114" customFormat="1" ht="13.5" customHeight="1">
      <c r="A926" s="111"/>
      <c r="B926" s="111"/>
      <c r="C926" s="111"/>
      <c r="D926" s="111"/>
      <c r="E926" s="111"/>
      <c r="F926" s="111"/>
      <c r="G926" s="112"/>
      <c r="H926" s="111"/>
      <c r="I926" s="112"/>
      <c r="J926" s="113"/>
      <c r="K926" s="113"/>
      <c r="L926" s="113"/>
      <c r="M926" s="113"/>
      <c r="N926" s="113"/>
      <c r="O926" s="113"/>
      <c r="P926" s="113"/>
      <c r="Q926" s="113"/>
      <c r="R926" s="113"/>
      <c r="S926" s="113"/>
      <c r="T926" s="113"/>
      <c r="U926" s="113"/>
      <c r="V926" s="113"/>
      <c r="W926" s="113"/>
      <c r="X926" s="113"/>
      <c r="Y926" s="113"/>
    </row>
    <row r="927" spans="1:25" s="114" customFormat="1" ht="13.5" customHeight="1">
      <c r="A927" s="111"/>
      <c r="B927" s="111"/>
      <c r="C927" s="111"/>
      <c r="D927" s="111"/>
      <c r="E927" s="111"/>
      <c r="F927" s="111"/>
      <c r="G927" s="112"/>
      <c r="H927" s="111"/>
      <c r="I927" s="112"/>
      <c r="J927" s="113"/>
      <c r="K927" s="113"/>
      <c r="L927" s="113"/>
      <c r="M927" s="113"/>
      <c r="N927" s="113"/>
      <c r="O927" s="113"/>
      <c r="P927" s="113"/>
      <c r="Q927" s="113"/>
      <c r="R927" s="113"/>
      <c r="S927" s="113"/>
      <c r="T927" s="113"/>
      <c r="U927" s="113"/>
      <c r="V927" s="113"/>
      <c r="W927" s="113"/>
      <c r="X927" s="113"/>
      <c r="Y927" s="113"/>
    </row>
    <row r="928" spans="1:25" s="114" customFormat="1" ht="13.5" customHeight="1">
      <c r="A928" s="111"/>
      <c r="B928" s="111"/>
      <c r="C928" s="111"/>
      <c r="D928" s="111"/>
      <c r="E928" s="111"/>
      <c r="F928" s="111"/>
      <c r="G928" s="112"/>
      <c r="H928" s="111"/>
      <c r="I928" s="112"/>
      <c r="J928" s="113"/>
      <c r="K928" s="113"/>
      <c r="L928" s="113"/>
      <c r="M928" s="113"/>
      <c r="N928" s="113"/>
      <c r="O928" s="113"/>
      <c r="P928" s="113"/>
      <c r="Q928" s="113"/>
      <c r="R928" s="113"/>
      <c r="S928" s="113"/>
      <c r="T928" s="113"/>
      <c r="U928" s="113"/>
      <c r="V928" s="113"/>
      <c r="W928" s="113"/>
      <c r="X928" s="113"/>
      <c r="Y928" s="113"/>
    </row>
    <row r="929" spans="1:25" s="114" customFormat="1" ht="13.5" customHeight="1">
      <c r="A929" s="111"/>
      <c r="B929" s="111"/>
      <c r="C929" s="111"/>
      <c r="D929" s="111"/>
      <c r="E929" s="111"/>
      <c r="F929" s="111"/>
      <c r="G929" s="112"/>
      <c r="H929" s="111"/>
      <c r="I929" s="112"/>
      <c r="J929" s="113"/>
      <c r="K929" s="113"/>
      <c r="L929" s="113"/>
      <c r="M929" s="113"/>
      <c r="N929" s="113"/>
      <c r="O929" s="113"/>
      <c r="P929" s="113"/>
      <c r="Q929" s="113"/>
      <c r="R929" s="113"/>
      <c r="S929" s="113"/>
      <c r="T929" s="113"/>
      <c r="U929" s="113"/>
      <c r="V929" s="113"/>
      <c r="W929" s="113"/>
      <c r="X929" s="113"/>
      <c r="Y929" s="113"/>
    </row>
    <row r="930" spans="1:25" s="114" customFormat="1" ht="13.5" customHeight="1">
      <c r="A930" s="111"/>
      <c r="B930" s="111"/>
      <c r="C930" s="111"/>
      <c r="D930" s="111"/>
      <c r="E930" s="111"/>
      <c r="F930" s="111"/>
      <c r="G930" s="112"/>
      <c r="H930" s="111"/>
      <c r="I930" s="112"/>
      <c r="J930" s="113"/>
      <c r="K930" s="113"/>
      <c r="L930" s="113"/>
      <c r="M930" s="113"/>
      <c r="N930" s="113"/>
      <c r="O930" s="113"/>
      <c r="P930" s="113"/>
      <c r="Q930" s="113"/>
      <c r="R930" s="113"/>
      <c r="S930" s="113"/>
      <c r="T930" s="113"/>
      <c r="U930" s="113"/>
      <c r="V930" s="113"/>
      <c r="W930" s="113"/>
      <c r="X930" s="113"/>
      <c r="Y930" s="113"/>
    </row>
    <row r="931" spans="1:25" s="114" customFormat="1" ht="13.5" customHeight="1">
      <c r="A931" s="111"/>
      <c r="B931" s="111"/>
      <c r="C931" s="111"/>
      <c r="D931" s="111"/>
      <c r="E931" s="111"/>
      <c r="F931" s="111"/>
      <c r="G931" s="112"/>
      <c r="H931" s="111"/>
      <c r="I931" s="112"/>
      <c r="J931" s="113"/>
      <c r="K931" s="113"/>
      <c r="L931" s="113"/>
      <c r="M931" s="113"/>
      <c r="N931" s="113"/>
      <c r="O931" s="113"/>
      <c r="P931" s="113"/>
      <c r="Q931" s="113"/>
      <c r="R931" s="113"/>
      <c r="S931" s="113"/>
      <c r="T931" s="113"/>
      <c r="U931" s="113"/>
      <c r="V931" s="113"/>
      <c r="W931" s="113"/>
      <c r="X931" s="113"/>
      <c r="Y931" s="113"/>
    </row>
    <row r="932" spans="1:25" s="114" customFormat="1" ht="13.5" customHeight="1">
      <c r="A932" s="111"/>
      <c r="B932" s="111"/>
      <c r="C932" s="111"/>
      <c r="D932" s="111"/>
      <c r="E932" s="111"/>
      <c r="F932" s="111"/>
      <c r="G932" s="112"/>
      <c r="H932" s="111"/>
      <c r="I932" s="112"/>
      <c r="J932" s="113"/>
      <c r="K932" s="113"/>
      <c r="L932" s="113"/>
      <c r="M932" s="113"/>
      <c r="N932" s="113"/>
      <c r="O932" s="113"/>
      <c r="P932" s="113"/>
      <c r="Q932" s="113"/>
      <c r="R932" s="113"/>
      <c r="S932" s="113"/>
      <c r="T932" s="113"/>
      <c r="U932" s="113"/>
      <c r="V932" s="113"/>
      <c r="W932" s="113"/>
      <c r="X932" s="113"/>
      <c r="Y932" s="113"/>
    </row>
    <row r="933" spans="1:25" s="114" customFormat="1" ht="13.5" customHeight="1">
      <c r="A933" s="111"/>
      <c r="B933" s="111"/>
      <c r="C933" s="111"/>
      <c r="D933" s="111"/>
      <c r="E933" s="111"/>
      <c r="F933" s="111"/>
      <c r="G933" s="112"/>
      <c r="H933" s="111"/>
      <c r="I933" s="112"/>
      <c r="J933" s="113"/>
      <c r="K933" s="113"/>
      <c r="L933" s="113"/>
      <c r="M933" s="113"/>
      <c r="N933" s="113"/>
      <c r="O933" s="113"/>
      <c r="P933" s="113"/>
      <c r="Q933" s="113"/>
      <c r="R933" s="113"/>
      <c r="S933" s="113"/>
      <c r="T933" s="113"/>
      <c r="U933" s="113"/>
      <c r="V933" s="113"/>
      <c r="W933" s="113"/>
      <c r="X933" s="113"/>
      <c r="Y933" s="113"/>
    </row>
    <row r="934" spans="1:25" s="114" customFormat="1" ht="13.5" customHeight="1">
      <c r="A934" s="111"/>
      <c r="B934" s="111"/>
      <c r="C934" s="111"/>
      <c r="D934" s="111"/>
      <c r="E934" s="111"/>
      <c r="F934" s="111"/>
      <c r="G934" s="112"/>
      <c r="H934" s="111"/>
      <c r="I934" s="112"/>
      <c r="J934" s="113"/>
      <c r="K934" s="113"/>
      <c r="L934" s="113"/>
      <c r="M934" s="113"/>
      <c r="N934" s="113"/>
      <c r="O934" s="113"/>
      <c r="P934" s="113"/>
      <c r="Q934" s="113"/>
      <c r="R934" s="113"/>
      <c r="S934" s="113"/>
      <c r="T934" s="113"/>
      <c r="U934" s="113"/>
      <c r="V934" s="113"/>
      <c r="W934" s="113"/>
      <c r="X934" s="113"/>
      <c r="Y934" s="113"/>
    </row>
    <row r="935" spans="1:25" s="114" customFormat="1" ht="13.5" customHeight="1">
      <c r="A935" s="111"/>
      <c r="B935" s="111"/>
      <c r="C935" s="111"/>
      <c r="D935" s="111"/>
      <c r="E935" s="111"/>
      <c r="F935" s="111"/>
      <c r="G935" s="112"/>
      <c r="H935" s="111"/>
      <c r="I935" s="112"/>
      <c r="J935" s="113"/>
      <c r="K935" s="113"/>
      <c r="L935" s="113"/>
      <c r="M935" s="113"/>
      <c r="N935" s="113"/>
      <c r="O935" s="113"/>
      <c r="P935" s="113"/>
      <c r="Q935" s="113"/>
      <c r="R935" s="113"/>
      <c r="S935" s="113"/>
      <c r="T935" s="113"/>
      <c r="U935" s="113"/>
      <c r="V935" s="113"/>
      <c r="W935" s="113"/>
      <c r="X935" s="113"/>
      <c r="Y935" s="113"/>
    </row>
    <row r="936" spans="1:25" s="114" customFormat="1" ht="13.5" customHeight="1">
      <c r="A936" s="111"/>
      <c r="B936" s="111"/>
      <c r="C936" s="111"/>
      <c r="D936" s="111"/>
      <c r="E936" s="111"/>
      <c r="F936" s="111"/>
      <c r="G936" s="112"/>
      <c r="H936" s="111"/>
      <c r="I936" s="112"/>
      <c r="J936" s="113"/>
      <c r="K936" s="113"/>
      <c r="L936" s="113"/>
      <c r="M936" s="113"/>
      <c r="N936" s="113"/>
      <c r="O936" s="113"/>
      <c r="P936" s="113"/>
      <c r="Q936" s="113"/>
      <c r="R936" s="113"/>
      <c r="S936" s="113"/>
      <c r="T936" s="113"/>
      <c r="U936" s="113"/>
      <c r="V936" s="113"/>
      <c r="W936" s="113"/>
      <c r="X936" s="113"/>
      <c r="Y936" s="113"/>
    </row>
    <row r="937" spans="1:25" s="114" customFormat="1" ht="13.5" customHeight="1">
      <c r="A937" s="111"/>
      <c r="B937" s="111"/>
      <c r="C937" s="111"/>
      <c r="D937" s="111"/>
      <c r="E937" s="111"/>
      <c r="F937" s="111"/>
      <c r="G937" s="112"/>
      <c r="H937" s="111"/>
      <c r="I937" s="112"/>
      <c r="J937" s="113"/>
      <c r="K937" s="113"/>
      <c r="L937" s="113"/>
      <c r="M937" s="113"/>
      <c r="N937" s="113"/>
      <c r="O937" s="113"/>
      <c r="P937" s="113"/>
      <c r="Q937" s="113"/>
      <c r="R937" s="113"/>
      <c r="S937" s="113"/>
      <c r="T937" s="113"/>
      <c r="U937" s="113"/>
      <c r="V937" s="113"/>
      <c r="W937" s="113"/>
      <c r="X937" s="113"/>
      <c r="Y937" s="113"/>
    </row>
    <row r="938" spans="1:25" s="114" customFormat="1" ht="13.5" customHeight="1">
      <c r="A938" s="111"/>
      <c r="B938" s="111"/>
      <c r="C938" s="111"/>
      <c r="D938" s="111"/>
      <c r="E938" s="111"/>
      <c r="F938" s="111"/>
      <c r="G938" s="112"/>
      <c r="H938" s="111"/>
      <c r="I938" s="112"/>
      <c r="J938" s="113"/>
      <c r="K938" s="113"/>
      <c r="L938" s="113"/>
      <c r="M938" s="113"/>
      <c r="N938" s="113"/>
      <c r="O938" s="113"/>
      <c r="P938" s="113"/>
      <c r="Q938" s="113"/>
      <c r="R938" s="113"/>
      <c r="S938" s="113"/>
      <c r="T938" s="113"/>
      <c r="U938" s="113"/>
      <c r="V938" s="113"/>
      <c r="W938" s="113"/>
      <c r="X938" s="113"/>
      <c r="Y938" s="113"/>
    </row>
    <row r="939" spans="1:25" s="114" customFormat="1" ht="13.5" customHeight="1">
      <c r="A939" s="111"/>
      <c r="B939" s="111"/>
      <c r="C939" s="111"/>
      <c r="D939" s="111"/>
      <c r="E939" s="111"/>
      <c r="F939" s="111"/>
      <c r="G939" s="112"/>
      <c r="H939" s="111"/>
      <c r="I939" s="112"/>
      <c r="J939" s="113"/>
      <c r="K939" s="113"/>
      <c r="L939" s="113"/>
      <c r="M939" s="113"/>
      <c r="N939" s="113"/>
      <c r="O939" s="113"/>
      <c r="P939" s="113"/>
      <c r="Q939" s="113"/>
      <c r="R939" s="113"/>
      <c r="S939" s="113"/>
      <c r="T939" s="113"/>
      <c r="U939" s="113"/>
      <c r="V939" s="113"/>
      <c r="W939" s="113"/>
      <c r="X939" s="113"/>
      <c r="Y939" s="113"/>
    </row>
    <row r="940" spans="1:25" s="114" customFormat="1" ht="13.5" customHeight="1">
      <c r="A940" s="111"/>
      <c r="B940" s="111"/>
      <c r="C940" s="111"/>
      <c r="D940" s="111"/>
      <c r="E940" s="111"/>
      <c r="F940" s="111"/>
      <c r="G940" s="112"/>
      <c r="H940" s="111"/>
      <c r="I940" s="112"/>
      <c r="J940" s="113"/>
      <c r="K940" s="113"/>
      <c r="L940" s="113"/>
      <c r="M940" s="113"/>
      <c r="N940" s="113"/>
      <c r="O940" s="113"/>
      <c r="P940" s="113"/>
      <c r="Q940" s="113"/>
      <c r="R940" s="113"/>
      <c r="S940" s="113"/>
      <c r="T940" s="113"/>
      <c r="U940" s="113"/>
      <c r="V940" s="113"/>
      <c r="W940" s="113"/>
      <c r="X940" s="113"/>
      <c r="Y940" s="113"/>
    </row>
    <row r="941" spans="1:25" s="114" customFormat="1" ht="13.5" customHeight="1">
      <c r="A941" s="111"/>
      <c r="B941" s="111"/>
      <c r="C941" s="111"/>
      <c r="D941" s="111"/>
      <c r="E941" s="111"/>
      <c r="F941" s="111"/>
      <c r="G941" s="112"/>
      <c r="H941" s="111"/>
      <c r="I941" s="112"/>
      <c r="J941" s="113"/>
      <c r="K941" s="113"/>
      <c r="L941" s="113"/>
      <c r="M941" s="113"/>
      <c r="N941" s="113"/>
      <c r="O941" s="113"/>
      <c r="P941" s="113"/>
      <c r="Q941" s="113"/>
      <c r="R941" s="113"/>
      <c r="S941" s="113"/>
      <c r="T941" s="113"/>
      <c r="U941" s="113"/>
      <c r="V941" s="113"/>
      <c r="W941" s="113"/>
      <c r="X941" s="113"/>
      <c r="Y941" s="113"/>
    </row>
    <row r="942" spans="1:25" s="114" customFormat="1" ht="13.5" customHeight="1">
      <c r="A942" s="111"/>
      <c r="B942" s="111"/>
      <c r="C942" s="111"/>
      <c r="D942" s="111"/>
      <c r="E942" s="111"/>
      <c r="F942" s="111"/>
      <c r="G942" s="112"/>
      <c r="H942" s="111"/>
      <c r="I942" s="112"/>
      <c r="J942" s="113"/>
      <c r="K942" s="113"/>
      <c r="L942" s="113"/>
      <c r="M942" s="113"/>
      <c r="N942" s="113"/>
      <c r="O942" s="113"/>
      <c r="P942" s="113"/>
      <c r="Q942" s="113"/>
      <c r="R942" s="113"/>
      <c r="S942" s="113"/>
      <c r="T942" s="113"/>
      <c r="U942" s="113"/>
      <c r="V942" s="113"/>
      <c r="W942" s="113"/>
      <c r="X942" s="113"/>
      <c r="Y942" s="113"/>
    </row>
    <row r="943" spans="1:25" s="114" customFormat="1" ht="13.5" customHeight="1">
      <c r="A943" s="111"/>
      <c r="B943" s="111"/>
      <c r="C943" s="111"/>
      <c r="D943" s="111"/>
      <c r="E943" s="111"/>
      <c r="F943" s="111"/>
      <c r="G943" s="112"/>
      <c r="H943" s="111"/>
      <c r="I943" s="112"/>
      <c r="J943" s="113"/>
      <c r="K943" s="113"/>
      <c r="L943" s="113"/>
      <c r="M943" s="113"/>
      <c r="N943" s="113"/>
      <c r="O943" s="113"/>
      <c r="P943" s="113"/>
      <c r="Q943" s="113"/>
      <c r="R943" s="113"/>
      <c r="S943" s="113"/>
      <c r="T943" s="113"/>
      <c r="U943" s="113"/>
      <c r="V943" s="113"/>
      <c r="W943" s="113"/>
      <c r="X943" s="113"/>
      <c r="Y943" s="113"/>
    </row>
    <row r="944" spans="1:25" s="114" customFormat="1" ht="13.5" customHeight="1">
      <c r="A944" s="111"/>
      <c r="B944" s="111"/>
      <c r="C944" s="111"/>
      <c r="D944" s="111"/>
      <c r="E944" s="111"/>
      <c r="F944" s="111"/>
      <c r="G944" s="112"/>
      <c r="H944" s="111"/>
      <c r="I944" s="112"/>
      <c r="J944" s="113"/>
      <c r="K944" s="113"/>
      <c r="L944" s="113"/>
      <c r="M944" s="113"/>
      <c r="N944" s="113"/>
      <c r="O944" s="113"/>
      <c r="P944" s="113"/>
      <c r="Q944" s="113"/>
      <c r="R944" s="113"/>
      <c r="S944" s="113"/>
      <c r="T944" s="113"/>
      <c r="U944" s="113"/>
      <c r="V944" s="113"/>
      <c r="W944" s="113"/>
      <c r="X944" s="113"/>
      <c r="Y944" s="113"/>
    </row>
    <row r="945" spans="1:25" s="114" customFormat="1" ht="13.5" customHeight="1">
      <c r="A945" s="111"/>
      <c r="B945" s="111"/>
      <c r="C945" s="111"/>
      <c r="D945" s="111"/>
      <c r="E945" s="111"/>
      <c r="F945" s="111"/>
      <c r="G945" s="112"/>
      <c r="H945" s="111"/>
      <c r="I945" s="112"/>
      <c r="J945" s="113"/>
      <c r="K945" s="113"/>
      <c r="L945" s="113"/>
      <c r="M945" s="113"/>
      <c r="N945" s="113"/>
      <c r="O945" s="113"/>
      <c r="P945" s="113"/>
      <c r="Q945" s="113"/>
      <c r="R945" s="113"/>
      <c r="S945" s="113"/>
      <c r="T945" s="113"/>
      <c r="U945" s="113"/>
      <c r="V945" s="113"/>
      <c r="W945" s="113"/>
      <c r="X945" s="113"/>
      <c r="Y945" s="113"/>
    </row>
    <row r="946" spans="1:25" s="114" customFormat="1" ht="13.5" customHeight="1">
      <c r="A946" s="111"/>
      <c r="B946" s="111"/>
      <c r="C946" s="111"/>
      <c r="D946" s="111"/>
      <c r="E946" s="111"/>
      <c r="F946" s="111"/>
      <c r="G946" s="112"/>
      <c r="H946" s="111"/>
      <c r="I946" s="112"/>
      <c r="J946" s="113"/>
      <c r="K946" s="113"/>
      <c r="L946" s="113"/>
      <c r="M946" s="113"/>
      <c r="N946" s="113"/>
      <c r="O946" s="113"/>
      <c r="P946" s="113"/>
      <c r="Q946" s="113"/>
      <c r="R946" s="113"/>
      <c r="S946" s="113"/>
      <c r="T946" s="113"/>
      <c r="U946" s="113"/>
      <c r="V946" s="113"/>
      <c r="W946" s="113"/>
      <c r="X946" s="113"/>
      <c r="Y946" s="113"/>
    </row>
    <row r="947" spans="1:25" s="114" customFormat="1" ht="13.5" customHeight="1">
      <c r="A947" s="111"/>
      <c r="B947" s="111"/>
      <c r="C947" s="111"/>
      <c r="D947" s="111"/>
      <c r="E947" s="111"/>
      <c r="F947" s="111"/>
      <c r="G947" s="112"/>
      <c r="H947" s="111"/>
      <c r="I947" s="112"/>
      <c r="J947" s="113"/>
      <c r="K947" s="113"/>
      <c r="L947" s="113"/>
      <c r="M947" s="113"/>
      <c r="N947" s="113"/>
      <c r="O947" s="113"/>
      <c r="P947" s="113"/>
      <c r="Q947" s="113"/>
      <c r="R947" s="113"/>
      <c r="S947" s="113"/>
      <c r="T947" s="113"/>
      <c r="U947" s="113"/>
      <c r="V947" s="113"/>
      <c r="W947" s="113"/>
      <c r="X947" s="113"/>
      <c r="Y947" s="113"/>
    </row>
    <row r="948" spans="1:25" s="114" customFormat="1" ht="13.5" customHeight="1">
      <c r="A948" s="111"/>
      <c r="B948" s="111"/>
      <c r="C948" s="111"/>
      <c r="D948" s="111"/>
      <c r="E948" s="111"/>
      <c r="F948" s="111"/>
      <c r="G948" s="112"/>
      <c r="H948" s="111"/>
      <c r="I948" s="112"/>
      <c r="J948" s="113"/>
      <c r="K948" s="113"/>
      <c r="L948" s="113"/>
      <c r="M948" s="113"/>
      <c r="N948" s="113"/>
      <c r="O948" s="113"/>
      <c r="P948" s="113"/>
      <c r="Q948" s="113"/>
      <c r="R948" s="113"/>
      <c r="S948" s="113"/>
      <c r="T948" s="113"/>
      <c r="U948" s="113"/>
      <c r="V948" s="113"/>
      <c r="W948" s="113"/>
      <c r="X948" s="113"/>
      <c r="Y948" s="113"/>
    </row>
    <row r="949" spans="1:25" s="114" customFormat="1" ht="13.5" customHeight="1">
      <c r="A949" s="111"/>
      <c r="B949" s="111"/>
      <c r="C949" s="111"/>
      <c r="D949" s="111"/>
      <c r="E949" s="111"/>
      <c r="F949" s="111"/>
      <c r="G949" s="112"/>
      <c r="H949" s="111"/>
      <c r="I949" s="112"/>
      <c r="J949" s="113"/>
      <c r="K949" s="113"/>
      <c r="L949" s="113"/>
      <c r="M949" s="113"/>
      <c r="N949" s="113"/>
      <c r="O949" s="113"/>
      <c r="P949" s="113"/>
      <c r="Q949" s="113"/>
      <c r="R949" s="113"/>
      <c r="S949" s="113"/>
      <c r="T949" s="113"/>
      <c r="U949" s="113"/>
      <c r="V949" s="113"/>
      <c r="W949" s="113"/>
      <c r="X949" s="113"/>
      <c r="Y949" s="113"/>
    </row>
    <row r="950" spans="1:25" s="114" customFormat="1" ht="13.5" customHeight="1">
      <c r="A950" s="111"/>
      <c r="B950" s="111"/>
      <c r="C950" s="111"/>
      <c r="D950" s="111"/>
      <c r="E950" s="111"/>
      <c r="F950" s="111"/>
      <c r="G950" s="112"/>
      <c r="H950" s="111"/>
      <c r="I950" s="112"/>
      <c r="J950" s="113"/>
      <c r="K950" s="113"/>
      <c r="L950" s="113"/>
      <c r="M950" s="113"/>
      <c r="N950" s="113"/>
      <c r="O950" s="113"/>
      <c r="P950" s="113"/>
      <c r="Q950" s="113"/>
      <c r="R950" s="113"/>
      <c r="S950" s="113"/>
      <c r="T950" s="113"/>
      <c r="U950" s="113"/>
      <c r="V950" s="113"/>
      <c r="W950" s="113"/>
      <c r="X950" s="113"/>
      <c r="Y950" s="113"/>
    </row>
    <row r="951" spans="1:25" s="114" customFormat="1" ht="13.5" customHeight="1">
      <c r="A951" s="111"/>
      <c r="B951" s="111"/>
      <c r="C951" s="111"/>
      <c r="D951" s="111"/>
      <c r="E951" s="111"/>
      <c r="F951" s="111"/>
      <c r="G951" s="112"/>
      <c r="H951" s="111"/>
      <c r="I951" s="112"/>
      <c r="J951" s="113"/>
      <c r="K951" s="113"/>
      <c r="L951" s="113"/>
      <c r="M951" s="113"/>
      <c r="N951" s="113"/>
      <c r="O951" s="113"/>
      <c r="P951" s="113"/>
      <c r="Q951" s="113"/>
      <c r="R951" s="113"/>
      <c r="S951" s="113"/>
      <c r="T951" s="113"/>
      <c r="U951" s="113"/>
      <c r="V951" s="113"/>
      <c r="W951" s="113"/>
      <c r="X951" s="113"/>
      <c r="Y951" s="113"/>
    </row>
    <row r="952" spans="1:25" s="114" customFormat="1" ht="13.5" customHeight="1">
      <c r="A952" s="111"/>
      <c r="B952" s="111"/>
      <c r="C952" s="111"/>
      <c r="D952" s="111"/>
      <c r="E952" s="111"/>
      <c r="F952" s="111"/>
      <c r="G952" s="112"/>
      <c r="H952" s="111"/>
      <c r="I952" s="112"/>
      <c r="J952" s="113"/>
      <c r="K952" s="113"/>
      <c r="L952" s="113"/>
      <c r="M952" s="113"/>
      <c r="N952" s="113"/>
      <c r="O952" s="113"/>
      <c r="P952" s="113"/>
      <c r="Q952" s="113"/>
      <c r="R952" s="113"/>
      <c r="S952" s="113"/>
      <c r="T952" s="113"/>
      <c r="U952" s="113"/>
      <c r="V952" s="113"/>
      <c r="W952" s="113"/>
      <c r="X952" s="113"/>
      <c r="Y952" s="113"/>
    </row>
    <row r="953" spans="1:25" s="114" customFormat="1" ht="13.5" customHeight="1">
      <c r="A953" s="111"/>
      <c r="B953" s="111"/>
      <c r="C953" s="111"/>
      <c r="D953" s="111"/>
      <c r="E953" s="111"/>
      <c r="F953" s="111"/>
      <c r="G953" s="112"/>
      <c r="H953" s="111"/>
      <c r="I953" s="112"/>
      <c r="J953" s="113"/>
      <c r="K953" s="113"/>
      <c r="L953" s="113"/>
      <c r="M953" s="113"/>
      <c r="N953" s="113"/>
      <c r="O953" s="113"/>
      <c r="P953" s="113"/>
      <c r="Q953" s="113"/>
      <c r="R953" s="113"/>
      <c r="S953" s="113"/>
      <c r="T953" s="113"/>
      <c r="U953" s="113"/>
      <c r="V953" s="113"/>
      <c r="W953" s="113"/>
      <c r="X953" s="113"/>
      <c r="Y953" s="113"/>
    </row>
    <row r="954" spans="1:25" s="114" customFormat="1" ht="13.5" customHeight="1">
      <c r="A954" s="111"/>
      <c r="B954" s="111"/>
      <c r="C954" s="111"/>
      <c r="D954" s="111"/>
      <c r="E954" s="111"/>
      <c r="F954" s="111"/>
      <c r="G954" s="112"/>
      <c r="H954" s="111"/>
      <c r="I954" s="112"/>
      <c r="J954" s="113"/>
      <c r="K954" s="113"/>
      <c r="L954" s="113"/>
      <c r="M954" s="113"/>
      <c r="N954" s="113"/>
      <c r="O954" s="113"/>
      <c r="P954" s="113"/>
      <c r="Q954" s="113"/>
      <c r="R954" s="113"/>
      <c r="S954" s="113"/>
      <c r="T954" s="113"/>
      <c r="U954" s="113"/>
      <c r="V954" s="113"/>
      <c r="W954" s="113"/>
      <c r="X954" s="113"/>
      <c r="Y954" s="113"/>
    </row>
    <row r="955" spans="1:25" s="114" customFormat="1" ht="13.5" customHeight="1">
      <c r="A955" s="111"/>
      <c r="B955" s="111"/>
      <c r="C955" s="111"/>
      <c r="D955" s="111"/>
      <c r="E955" s="111"/>
      <c r="F955" s="111"/>
      <c r="G955" s="112"/>
      <c r="H955" s="111"/>
      <c r="I955" s="112"/>
      <c r="J955" s="113"/>
      <c r="K955" s="113"/>
      <c r="L955" s="113"/>
      <c r="M955" s="113"/>
      <c r="N955" s="113"/>
      <c r="O955" s="113"/>
      <c r="P955" s="113"/>
      <c r="Q955" s="113"/>
      <c r="R955" s="113"/>
      <c r="S955" s="113"/>
      <c r="T955" s="113"/>
      <c r="U955" s="113"/>
      <c r="V955" s="113"/>
      <c r="W955" s="113"/>
      <c r="X955" s="113"/>
      <c r="Y955" s="113"/>
    </row>
    <row r="956" spans="1:25" s="114" customFormat="1" ht="13.5" customHeight="1">
      <c r="A956" s="111"/>
      <c r="B956" s="111"/>
      <c r="C956" s="111"/>
      <c r="D956" s="111"/>
      <c r="E956" s="111"/>
      <c r="F956" s="111"/>
      <c r="G956" s="112"/>
      <c r="H956" s="111"/>
      <c r="I956" s="112"/>
      <c r="J956" s="113"/>
      <c r="K956" s="113"/>
      <c r="L956" s="113"/>
      <c r="M956" s="113"/>
      <c r="N956" s="113"/>
      <c r="O956" s="113"/>
      <c r="P956" s="113"/>
      <c r="Q956" s="113"/>
      <c r="R956" s="113"/>
      <c r="S956" s="113"/>
      <c r="T956" s="113"/>
      <c r="U956" s="113"/>
      <c r="V956" s="113"/>
      <c r="W956" s="113"/>
      <c r="X956" s="113"/>
      <c r="Y956" s="113"/>
    </row>
    <row r="957" spans="1:25" s="114" customFormat="1" ht="13.5" customHeight="1">
      <c r="A957" s="111"/>
      <c r="B957" s="111"/>
      <c r="C957" s="111"/>
      <c r="D957" s="111"/>
      <c r="E957" s="111"/>
      <c r="F957" s="111"/>
      <c r="G957" s="112"/>
      <c r="H957" s="111"/>
      <c r="I957" s="112"/>
      <c r="J957" s="113"/>
      <c r="K957" s="113"/>
      <c r="L957" s="113"/>
      <c r="M957" s="113"/>
      <c r="N957" s="113"/>
      <c r="O957" s="113"/>
      <c r="P957" s="113"/>
      <c r="Q957" s="113"/>
      <c r="R957" s="113"/>
      <c r="S957" s="113"/>
      <c r="T957" s="113"/>
      <c r="U957" s="113"/>
      <c r="V957" s="113"/>
      <c r="W957" s="113"/>
      <c r="X957" s="113"/>
      <c r="Y957" s="113"/>
    </row>
    <row r="958" spans="1:25" s="114" customFormat="1" ht="13.5" customHeight="1">
      <c r="A958" s="111"/>
      <c r="B958" s="111"/>
      <c r="C958" s="111"/>
      <c r="D958" s="111"/>
      <c r="E958" s="111"/>
      <c r="F958" s="111"/>
      <c r="G958" s="112"/>
      <c r="H958" s="111"/>
      <c r="I958" s="112"/>
      <c r="J958" s="113"/>
      <c r="K958" s="113"/>
      <c r="L958" s="113"/>
      <c r="M958" s="113"/>
      <c r="N958" s="113"/>
      <c r="O958" s="113"/>
      <c r="P958" s="113"/>
      <c r="Q958" s="113"/>
      <c r="R958" s="113"/>
      <c r="S958" s="113"/>
      <c r="T958" s="113"/>
      <c r="U958" s="113"/>
      <c r="V958" s="113"/>
      <c r="W958" s="113"/>
      <c r="X958" s="113"/>
      <c r="Y958" s="113"/>
    </row>
    <row r="959" spans="1:25" s="114" customFormat="1" ht="13.5" customHeight="1">
      <c r="A959" s="111"/>
      <c r="B959" s="111"/>
      <c r="C959" s="111"/>
      <c r="D959" s="111"/>
      <c r="E959" s="111"/>
      <c r="F959" s="111"/>
      <c r="G959" s="112"/>
      <c r="H959" s="111"/>
      <c r="I959" s="112"/>
      <c r="J959" s="113"/>
      <c r="K959" s="113"/>
      <c r="L959" s="113"/>
      <c r="M959" s="113"/>
      <c r="N959" s="113"/>
      <c r="O959" s="113"/>
      <c r="P959" s="113"/>
      <c r="Q959" s="113"/>
      <c r="R959" s="113"/>
      <c r="S959" s="113"/>
      <c r="T959" s="113"/>
      <c r="U959" s="113"/>
      <c r="V959" s="113"/>
      <c r="W959" s="113"/>
      <c r="X959" s="113"/>
      <c r="Y959" s="113"/>
    </row>
    <row r="960" spans="1:25" s="114" customFormat="1" ht="13.5" customHeight="1">
      <c r="A960" s="111"/>
      <c r="B960" s="111"/>
      <c r="C960" s="111"/>
      <c r="D960" s="111"/>
      <c r="E960" s="111"/>
      <c r="F960" s="111"/>
      <c r="G960" s="112"/>
      <c r="H960" s="111"/>
      <c r="I960" s="112"/>
      <c r="J960" s="113"/>
      <c r="K960" s="113"/>
      <c r="L960" s="113"/>
      <c r="M960" s="113"/>
      <c r="N960" s="113"/>
      <c r="O960" s="113"/>
      <c r="P960" s="113"/>
      <c r="Q960" s="113"/>
      <c r="R960" s="113"/>
      <c r="S960" s="113"/>
      <c r="T960" s="113"/>
      <c r="U960" s="113"/>
      <c r="V960" s="113"/>
      <c r="W960" s="113"/>
      <c r="X960" s="113"/>
      <c r="Y960" s="113"/>
    </row>
    <row r="961" spans="1:25" s="114" customFormat="1" ht="13.5" customHeight="1">
      <c r="A961" s="111"/>
      <c r="B961" s="111"/>
      <c r="C961" s="111"/>
      <c r="D961" s="111"/>
      <c r="E961" s="111"/>
      <c r="F961" s="111"/>
      <c r="G961" s="112"/>
      <c r="H961" s="111"/>
      <c r="I961" s="112"/>
      <c r="J961" s="113"/>
      <c r="K961" s="113"/>
      <c r="L961" s="113"/>
      <c r="M961" s="113"/>
      <c r="N961" s="113"/>
      <c r="O961" s="113"/>
      <c r="P961" s="113"/>
      <c r="Q961" s="113"/>
      <c r="R961" s="113"/>
      <c r="S961" s="113"/>
      <c r="T961" s="113"/>
      <c r="U961" s="113"/>
      <c r="V961" s="113"/>
      <c r="W961" s="113"/>
      <c r="X961" s="113"/>
      <c r="Y961" s="113"/>
    </row>
    <row r="962" spans="1:25" s="114" customFormat="1" ht="13.5" customHeight="1">
      <c r="A962" s="111"/>
      <c r="B962" s="111"/>
      <c r="C962" s="111"/>
      <c r="D962" s="111"/>
      <c r="E962" s="111"/>
      <c r="F962" s="111"/>
      <c r="G962" s="112"/>
      <c r="H962" s="111"/>
      <c r="I962" s="112"/>
      <c r="J962" s="113"/>
      <c r="K962" s="113"/>
      <c r="L962" s="113"/>
      <c r="M962" s="113"/>
      <c r="N962" s="113"/>
      <c r="O962" s="113"/>
      <c r="P962" s="113"/>
      <c r="Q962" s="113"/>
      <c r="R962" s="113"/>
      <c r="S962" s="113"/>
      <c r="T962" s="113"/>
      <c r="U962" s="113"/>
      <c r="V962" s="113"/>
      <c r="W962" s="113"/>
      <c r="X962" s="113"/>
      <c r="Y962" s="113"/>
    </row>
    <row r="963" spans="1:25" s="114" customFormat="1" ht="13.5" customHeight="1">
      <c r="A963" s="111"/>
      <c r="B963" s="111"/>
      <c r="C963" s="111"/>
      <c r="D963" s="111"/>
      <c r="E963" s="111"/>
      <c r="F963" s="111"/>
      <c r="G963" s="112"/>
      <c r="H963" s="111"/>
      <c r="I963" s="112"/>
      <c r="J963" s="113"/>
      <c r="K963" s="113"/>
      <c r="L963" s="113"/>
      <c r="M963" s="113"/>
      <c r="N963" s="113"/>
      <c r="O963" s="113"/>
      <c r="P963" s="113"/>
      <c r="Q963" s="113"/>
      <c r="R963" s="113"/>
      <c r="S963" s="113"/>
      <c r="T963" s="113"/>
      <c r="U963" s="113"/>
      <c r="V963" s="113"/>
      <c r="W963" s="113"/>
      <c r="X963" s="113"/>
      <c r="Y963" s="113"/>
    </row>
    <row r="964" spans="1:25" s="114" customFormat="1" ht="13.5" customHeight="1">
      <c r="A964" s="111"/>
      <c r="B964" s="111"/>
      <c r="C964" s="111"/>
      <c r="D964" s="111"/>
      <c r="E964" s="111"/>
      <c r="F964" s="111"/>
      <c r="G964" s="112"/>
      <c r="H964" s="111"/>
      <c r="I964" s="112"/>
      <c r="J964" s="113"/>
      <c r="K964" s="113"/>
      <c r="L964" s="113"/>
      <c r="M964" s="113"/>
      <c r="N964" s="113"/>
      <c r="O964" s="113"/>
      <c r="P964" s="113"/>
      <c r="Q964" s="113"/>
      <c r="R964" s="113"/>
      <c r="S964" s="113"/>
      <c r="T964" s="113"/>
      <c r="U964" s="113"/>
      <c r="V964" s="113"/>
      <c r="W964" s="113"/>
      <c r="X964" s="113"/>
      <c r="Y964" s="113"/>
    </row>
    <row r="965" spans="1:25" s="114" customFormat="1" ht="13.5" customHeight="1">
      <c r="A965" s="111"/>
      <c r="B965" s="111"/>
      <c r="C965" s="111"/>
      <c r="D965" s="111"/>
      <c r="E965" s="111"/>
      <c r="F965" s="111"/>
      <c r="G965" s="112"/>
      <c r="H965" s="111"/>
      <c r="I965" s="112"/>
      <c r="J965" s="113"/>
      <c r="K965" s="113"/>
      <c r="L965" s="113"/>
      <c r="M965" s="113"/>
      <c r="N965" s="113"/>
      <c r="O965" s="113"/>
      <c r="P965" s="113"/>
      <c r="Q965" s="113"/>
      <c r="R965" s="113"/>
      <c r="S965" s="113"/>
      <c r="T965" s="113"/>
      <c r="U965" s="113"/>
      <c r="V965" s="113"/>
      <c r="W965" s="113"/>
      <c r="X965" s="113"/>
      <c r="Y965" s="113"/>
    </row>
    <row r="966" spans="1:25" s="114" customFormat="1" ht="13.5" customHeight="1">
      <c r="A966" s="111"/>
      <c r="B966" s="111"/>
      <c r="C966" s="111"/>
      <c r="D966" s="111"/>
      <c r="E966" s="111"/>
      <c r="F966" s="111"/>
      <c r="G966" s="112"/>
      <c r="H966" s="111"/>
      <c r="I966" s="112"/>
      <c r="J966" s="113"/>
      <c r="K966" s="113"/>
      <c r="L966" s="113"/>
      <c r="M966" s="113"/>
      <c r="N966" s="113"/>
      <c r="O966" s="113"/>
      <c r="P966" s="113"/>
      <c r="Q966" s="113"/>
      <c r="R966" s="113"/>
      <c r="S966" s="113"/>
      <c r="T966" s="113"/>
      <c r="U966" s="113"/>
      <c r="V966" s="113"/>
      <c r="W966" s="113"/>
      <c r="X966" s="113"/>
      <c r="Y966" s="113"/>
    </row>
    <row r="967" spans="1:25" s="114" customFormat="1" ht="13.5" customHeight="1">
      <c r="A967" s="111"/>
      <c r="B967" s="111"/>
      <c r="C967" s="111"/>
      <c r="D967" s="111"/>
      <c r="E967" s="111"/>
      <c r="F967" s="111"/>
      <c r="G967" s="112"/>
      <c r="H967" s="111"/>
      <c r="I967" s="112"/>
      <c r="J967" s="113"/>
      <c r="K967" s="113"/>
      <c r="L967" s="113"/>
      <c r="M967" s="113"/>
      <c r="N967" s="113"/>
      <c r="O967" s="113"/>
      <c r="P967" s="113"/>
      <c r="Q967" s="113"/>
      <c r="R967" s="113"/>
      <c r="S967" s="113"/>
      <c r="T967" s="113"/>
      <c r="U967" s="113"/>
      <c r="V967" s="113"/>
      <c r="W967" s="113"/>
      <c r="X967" s="113"/>
      <c r="Y967" s="113"/>
    </row>
    <row r="968" spans="1:25" s="114" customFormat="1" ht="13.5" customHeight="1">
      <c r="A968" s="111"/>
      <c r="B968" s="111"/>
      <c r="C968" s="111"/>
      <c r="D968" s="111"/>
      <c r="E968" s="111"/>
      <c r="F968" s="111"/>
      <c r="G968" s="112"/>
      <c r="H968" s="111"/>
      <c r="I968" s="112"/>
      <c r="J968" s="113"/>
      <c r="K968" s="113"/>
      <c r="L968" s="113"/>
      <c r="M968" s="113"/>
      <c r="N968" s="113"/>
      <c r="O968" s="113"/>
      <c r="P968" s="113"/>
      <c r="Q968" s="113"/>
      <c r="R968" s="113"/>
      <c r="S968" s="113"/>
      <c r="T968" s="113"/>
      <c r="U968" s="113"/>
      <c r="V968" s="113"/>
      <c r="W968" s="113"/>
      <c r="X968" s="113"/>
      <c r="Y968" s="113"/>
    </row>
    <row r="969" spans="1:25" s="114" customFormat="1" ht="13.5" customHeight="1">
      <c r="A969" s="111"/>
      <c r="B969" s="111"/>
      <c r="C969" s="111"/>
      <c r="D969" s="111"/>
      <c r="E969" s="111"/>
      <c r="F969" s="111"/>
      <c r="G969" s="112"/>
      <c r="H969" s="111"/>
      <c r="I969" s="112"/>
      <c r="J969" s="113"/>
      <c r="K969" s="113"/>
      <c r="L969" s="113"/>
      <c r="M969" s="113"/>
      <c r="N969" s="113"/>
      <c r="O969" s="113"/>
      <c r="P969" s="113"/>
      <c r="Q969" s="113"/>
      <c r="R969" s="113"/>
      <c r="S969" s="113"/>
      <c r="T969" s="113"/>
      <c r="U969" s="113"/>
      <c r="V969" s="113"/>
      <c r="W969" s="113"/>
      <c r="X969" s="113"/>
      <c r="Y969" s="113"/>
    </row>
    <row r="970" spans="1:25" s="114" customFormat="1" ht="13.5" customHeight="1">
      <c r="A970" s="111"/>
      <c r="B970" s="111"/>
      <c r="C970" s="111"/>
      <c r="D970" s="111"/>
      <c r="E970" s="111"/>
      <c r="F970" s="111"/>
      <c r="G970" s="112"/>
      <c r="H970" s="111"/>
      <c r="I970" s="112"/>
      <c r="J970" s="113"/>
      <c r="K970" s="113"/>
      <c r="L970" s="113"/>
      <c r="M970" s="113"/>
      <c r="N970" s="113"/>
      <c r="O970" s="113"/>
      <c r="P970" s="113"/>
      <c r="Q970" s="113"/>
      <c r="R970" s="113"/>
      <c r="S970" s="113"/>
      <c r="T970" s="113"/>
      <c r="U970" s="113"/>
      <c r="V970" s="113"/>
      <c r="W970" s="113"/>
      <c r="X970" s="113"/>
      <c r="Y970" s="113"/>
    </row>
    <row r="971" spans="1:25" s="114" customFormat="1" ht="13.5" customHeight="1">
      <c r="A971" s="111"/>
      <c r="B971" s="111"/>
      <c r="C971" s="111"/>
      <c r="D971" s="111"/>
      <c r="E971" s="111"/>
      <c r="F971" s="111"/>
      <c r="G971" s="112"/>
      <c r="H971" s="111"/>
      <c r="I971" s="112"/>
      <c r="J971" s="113"/>
      <c r="K971" s="113"/>
      <c r="L971" s="113"/>
      <c r="M971" s="113"/>
      <c r="N971" s="113"/>
      <c r="O971" s="113"/>
      <c r="P971" s="113"/>
      <c r="Q971" s="113"/>
      <c r="R971" s="113"/>
      <c r="S971" s="113"/>
      <c r="T971" s="113"/>
      <c r="U971" s="113"/>
      <c r="V971" s="113"/>
      <c r="W971" s="113"/>
      <c r="X971" s="113"/>
      <c r="Y971" s="113"/>
    </row>
    <row r="972" spans="1:25" s="114" customFormat="1" ht="13.5" customHeight="1">
      <c r="A972" s="111"/>
      <c r="B972" s="111"/>
      <c r="C972" s="111"/>
      <c r="D972" s="111"/>
      <c r="E972" s="111"/>
      <c r="F972" s="111"/>
      <c r="G972" s="112"/>
      <c r="H972" s="111"/>
      <c r="I972" s="112"/>
      <c r="J972" s="113"/>
      <c r="K972" s="113"/>
      <c r="L972" s="113"/>
      <c r="M972" s="113"/>
      <c r="N972" s="113"/>
      <c r="O972" s="113"/>
      <c r="P972" s="113"/>
      <c r="Q972" s="113"/>
      <c r="R972" s="113"/>
      <c r="S972" s="113"/>
      <c r="T972" s="113"/>
      <c r="U972" s="113"/>
      <c r="V972" s="113"/>
      <c r="W972" s="113"/>
      <c r="X972" s="113"/>
      <c r="Y972" s="113"/>
    </row>
    <row r="973" spans="1:25" s="114" customFormat="1" ht="13.5" customHeight="1">
      <c r="A973" s="111"/>
      <c r="B973" s="111"/>
      <c r="C973" s="111"/>
      <c r="D973" s="111"/>
      <c r="E973" s="111"/>
      <c r="F973" s="111"/>
      <c r="G973" s="112"/>
      <c r="H973" s="111"/>
      <c r="I973" s="112"/>
      <c r="J973" s="113"/>
      <c r="K973" s="113"/>
      <c r="L973" s="113"/>
      <c r="M973" s="113"/>
      <c r="N973" s="113"/>
      <c r="O973" s="113"/>
      <c r="P973" s="113"/>
      <c r="Q973" s="113"/>
      <c r="R973" s="113"/>
      <c r="S973" s="113"/>
      <c r="T973" s="113"/>
      <c r="U973" s="113"/>
      <c r="V973" s="113"/>
      <c r="W973" s="113"/>
      <c r="X973" s="113"/>
      <c r="Y973" s="113"/>
    </row>
    <row r="974" spans="1:25" s="114" customFormat="1" ht="13.5" customHeight="1">
      <c r="A974" s="111"/>
      <c r="B974" s="111"/>
      <c r="C974" s="111"/>
      <c r="D974" s="111"/>
      <c r="E974" s="111"/>
      <c r="F974" s="111"/>
      <c r="G974" s="112"/>
      <c r="H974" s="111"/>
      <c r="I974" s="112"/>
      <c r="J974" s="113"/>
      <c r="K974" s="113"/>
      <c r="L974" s="113"/>
      <c r="M974" s="113"/>
      <c r="N974" s="113"/>
      <c r="O974" s="113"/>
      <c r="P974" s="113"/>
      <c r="Q974" s="113"/>
      <c r="R974" s="113"/>
      <c r="S974" s="113"/>
      <c r="T974" s="113"/>
      <c r="U974" s="113"/>
      <c r="V974" s="113"/>
      <c r="W974" s="113"/>
      <c r="X974" s="113"/>
      <c r="Y974" s="113"/>
    </row>
    <row r="975" spans="1:25" s="114" customFormat="1" ht="13.5" customHeight="1">
      <c r="A975" s="111"/>
      <c r="B975" s="111"/>
      <c r="C975" s="111"/>
      <c r="D975" s="111"/>
      <c r="E975" s="111"/>
      <c r="F975" s="111"/>
      <c r="G975" s="112"/>
      <c r="H975" s="111"/>
      <c r="I975" s="112"/>
      <c r="J975" s="113"/>
      <c r="K975" s="113"/>
      <c r="L975" s="113"/>
      <c r="M975" s="113"/>
      <c r="N975" s="113"/>
      <c r="O975" s="113"/>
      <c r="P975" s="113"/>
      <c r="Q975" s="113"/>
      <c r="R975" s="113"/>
      <c r="S975" s="113"/>
      <c r="T975" s="113"/>
      <c r="U975" s="113"/>
      <c r="V975" s="113"/>
      <c r="W975" s="113"/>
      <c r="X975" s="113"/>
      <c r="Y975" s="113"/>
    </row>
    <row r="976" spans="1:25" s="114" customFormat="1" ht="13.5" customHeight="1">
      <c r="A976" s="111"/>
      <c r="B976" s="111"/>
      <c r="C976" s="111"/>
      <c r="D976" s="111"/>
      <c r="E976" s="111"/>
      <c r="F976" s="111"/>
      <c r="G976" s="112"/>
      <c r="H976" s="111"/>
      <c r="I976" s="112"/>
      <c r="J976" s="113"/>
      <c r="K976" s="113"/>
      <c r="L976" s="113"/>
      <c r="M976" s="113"/>
      <c r="N976" s="113"/>
      <c r="O976" s="113"/>
      <c r="P976" s="113"/>
      <c r="Q976" s="113"/>
      <c r="R976" s="113"/>
      <c r="S976" s="113"/>
      <c r="T976" s="113"/>
      <c r="U976" s="113"/>
      <c r="V976" s="113"/>
      <c r="W976" s="113"/>
      <c r="X976" s="113"/>
      <c r="Y976" s="113"/>
    </row>
    <row r="977" spans="1:25" s="114" customFormat="1" ht="13.5" customHeight="1">
      <c r="A977" s="111"/>
      <c r="B977" s="111"/>
      <c r="C977" s="111"/>
      <c r="D977" s="111"/>
      <c r="E977" s="111"/>
      <c r="F977" s="111"/>
      <c r="G977" s="112"/>
      <c r="H977" s="111"/>
      <c r="I977" s="112"/>
      <c r="J977" s="113"/>
      <c r="K977" s="113"/>
      <c r="L977" s="113"/>
      <c r="M977" s="113"/>
      <c r="N977" s="113"/>
      <c r="O977" s="113"/>
      <c r="P977" s="113"/>
      <c r="Q977" s="113"/>
      <c r="R977" s="113"/>
      <c r="S977" s="113"/>
      <c r="T977" s="113"/>
      <c r="U977" s="113"/>
      <c r="V977" s="113"/>
      <c r="W977" s="113"/>
      <c r="X977" s="113"/>
      <c r="Y977" s="113"/>
    </row>
    <row r="978" spans="1:25" s="114" customFormat="1" ht="13.5" customHeight="1">
      <c r="A978" s="111"/>
      <c r="B978" s="111"/>
      <c r="C978" s="111"/>
      <c r="D978" s="111"/>
      <c r="E978" s="111"/>
      <c r="F978" s="111"/>
      <c r="G978" s="112"/>
      <c r="H978" s="111"/>
      <c r="I978" s="112"/>
      <c r="J978" s="113"/>
      <c r="K978" s="113"/>
      <c r="L978" s="113"/>
      <c r="M978" s="113"/>
      <c r="N978" s="113"/>
      <c r="O978" s="113"/>
      <c r="P978" s="113"/>
      <c r="Q978" s="113"/>
      <c r="R978" s="113"/>
      <c r="S978" s="113"/>
      <c r="T978" s="113"/>
      <c r="U978" s="113"/>
      <c r="V978" s="113"/>
      <c r="W978" s="113"/>
      <c r="X978" s="113"/>
      <c r="Y978" s="113"/>
    </row>
    <row r="979" spans="1:25" s="114" customFormat="1" ht="13.5" customHeight="1">
      <c r="A979" s="111"/>
      <c r="B979" s="111"/>
      <c r="C979" s="111"/>
      <c r="D979" s="111"/>
      <c r="E979" s="111"/>
      <c r="F979" s="111"/>
      <c r="G979" s="112"/>
      <c r="H979" s="111"/>
      <c r="I979" s="112"/>
      <c r="J979" s="113"/>
      <c r="K979" s="113"/>
      <c r="L979" s="113"/>
      <c r="M979" s="113"/>
      <c r="N979" s="113"/>
      <c r="O979" s="113"/>
      <c r="P979" s="113"/>
      <c r="Q979" s="113"/>
      <c r="R979" s="113"/>
      <c r="S979" s="113"/>
      <c r="T979" s="113"/>
      <c r="U979" s="113"/>
      <c r="V979" s="113"/>
      <c r="W979" s="113"/>
      <c r="X979" s="113"/>
      <c r="Y979" s="113"/>
    </row>
    <row r="980" spans="1:25" s="114" customFormat="1" ht="13.5" customHeight="1">
      <c r="A980" s="111"/>
      <c r="B980" s="111"/>
      <c r="C980" s="111"/>
      <c r="D980" s="111"/>
      <c r="E980" s="111"/>
      <c r="F980" s="111"/>
      <c r="G980" s="112"/>
      <c r="H980" s="111"/>
      <c r="I980" s="112"/>
      <c r="J980" s="113"/>
      <c r="K980" s="113"/>
      <c r="L980" s="113"/>
      <c r="M980" s="113"/>
      <c r="N980" s="113"/>
      <c r="O980" s="113"/>
      <c r="P980" s="113"/>
      <c r="Q980" s="113"/>
      <c r="R980" s="113"/>
      <c r="S980" s="113"/>
      <c r="T980" s="113"/>
      <c r="U980" s="113"/>
      <c r="V980" s="113"/>
      <c r="W980" s="113"/>
      <c r="X980" s="113"/>
      <c r="Y980" s="113"/>
    </row>
    <row r="981" spans="1:25" s="114" customFormat="1" ht="13.5" customHeight="1">
      <c r="A981" s="111"/>
      <c r="B981" s="111"/>
      <c r="C981" s="111"/>
      <c r="D981" s="111"/>
      <c r="E981" s="111"/>
      <c r="F981" s="111"/>
      <c r="G981" s="112"/>
      <c r="H981" s="111"/>
      <c r="I981" s="112"/>
      <c r="J981" s="113"/>
      <c r="K981" s="113"/>
      <c r="L981" s="113"/>
      <c r="M981" s="113"/>
      <c r="N981" s="113"/>
      <c r="O981" s="113"/>
      <c r="P981" s="113"/>
      <c r="Q981" s="113"/>
      <c r="R981" s="113"/>
      <c r="S981" s="113"/>
      <c r="T981" s="113"/>
      <c r="U981" s="113"/>
      <c r="V981" s="113"/>
      <c r="W981" s="113"/>
      <c r="X981" s="113"/>
      <c r="Y981" s="113"/>
    </row>
    <row r="982" spans="1:25" s="114" customFormat="1" ht="13.5" customHeight="1">
      <c r="A982" s="111"/>
      <c r="B982" s="111"/>
      <c r="C982" s="111"/>
      <c r="D982" s="111"/>
      <c r="E982" s="111"/>
      <c r="F982" s="111"/>
      <c r="G982" s="112"/>
      <c r="H982" s="111"/>
      <c r="I982" s="112"/>
      <c r="J982" s="113"/>
      <c r="K982" s="113"/>
      <c r="L982" s="113"/>
      <c r="M982" s="113"/>
      <c r="N982" s="113"/>
      <c r="O982" s="113"/>
      <c r="P982" s="113"/>
      <c r="Q982" s="113"/>
      <c r="R982" s="113"/>
      <c r="S982" s="113"/>
      <c r="T982" s="113"/>
      <c r="U982" s="113"/>
      <c r="V982" s="113"/>
      <c r="W982" s="113"/>
      <c r="X982" s="113"/>
      <c r="Y982" s="113"/>
    </row>
    <row r="983" spans="1:25" s="114" customFormat="1" ht="13.5" customHeight="1">
      <c r="A983" s="111"/>
      <c r="B983" s="111"/>
      <c r="C983" s="111"/>
      <c r="D983" s="111"/>
      <c r="E983" s="111"/>
      <c r="F983" s="111"/>
      <c r="G983" s="112"/>
      <c r="H983" s="111"/>
      <c r="I983" s="112"/>
      <c r="J983" s="113"/>
      <c r="K983" s="113"/>
      <c r="L983" s="113"/>
      <c r="M983" s="113"/>
      <c r="N983" s="113"/>
      <c r="O983" s="113"/>
      <c r="P983" s="113"/>
      <c r="Q983" s="113"/>
      <c r="R983" s="113"/>
      <c r="S983" s="113"/>
      <c r="T983" s="113"/>
      <c r="U983" s="113"/>
      <c r="V983" s="113"/>
      <c r="W983" s="113"/>
      <c r="X983" s="113"/>
      <c r="Y983" s="113"/>
    </row>
    <row r="984" spans="1:25" s="114" customFormat="1" ht="13.5" customHeight="1">
      <c r="A984" s="111"/>
      <c r="B984" s="111"/>
      <c r="C984" s="111"/>
      <c r="D984" s="111"/>
      <c r="E984" s="111"/>
      <c r="F984" s="111"/>
      <c r="G984" s="112"/>
      <c r="H984" s="111"/>
      <c r="I984" s="112"/>
      <c r="J984" s="113"/>
      <c r="K984" s="113"/>
      <c r="L984" s="113"/>
      <c r="M984" s="113"/>
      <c r="N984" s="113"/>
      <c r="O984" s="113"/>
      <c r="P984" s="113"/>
      <c r="Q984" s="113"/>
      <c r="R984" s="113"/>
      <c r="S984" s="113"/>
      <c r="T984" s="113"/>
      <c r="U984" s="113"/>
      <c r="V984" s="113"/>
      <c r="W984" s="113"/>
      <c r="X984" s="113"/>
      <c r="Y984" s="113"/>
    </row>
    <row r="985" spans="1:25" s="114" customFormat="1" ht="13.5" customHeight="1">
      <c r="A985" s="111"/>
      <c r="B985" s="111"/>
      <c r="C985" s="111"/>
      <c r="D985" s="111"/>
      <c r="E985" s="111"/>
      <c r="F985" s="111"/>
      <c r="G985" s="112"/>
      <c r="H985" s="111"/>
      <c r="I985" s="112"/>
      <c r="J985" s="113"/>
      <c r="K985" s="113"/>
      <c r="L985" s="113"/>
      <c r="M985" s="113"/>
      <c r="N985" s="113"/>
      <c r="O985" s="113"/>
      <c r="P985" s="113"/>
      <c r="Q985" s="113"/>
      <c r="R985" s="113"/>
      <c r="S985" s="113"/>
      <c r="T985" s="113"/>
      <c r="U985" s="113"/>
      <c r="V985" s="113"/>
      <c r="W985" s="113"/>
      <c r="X985" s="113"/>
      <c r="Y985" s="113"/>
    </row>
    <row r="986" spans="1:25" s="114" customFormat="1" ht="13.5" customHeight="1">
      <c r="A986" s="111"/>
      <c r="B986" s="111"/>
      <c r="C986" s="111"/>
      <c r="D986" s="111"/>
      <c r="E986" s="111"/>
      <c r="F986" s="111"/>
      <c r="G986" s="112"/>
      <c r="H986" s="111"/>
      <c r="I986" s="112"/>
      <c r="J986" s="113"/>
      <c r="K986" s="113"/>
      <c r="L986" s="113"/>
      <c r="M986" s="113"/>
      <c r="N986" s="113"/>
      <c r="O986" s="113"/>
      <c r="P986" s="113"/>
      <c r="Q986" s="113"/>
      <c r="R986" s="113"/>
      <c r="S986" s="113"/>
      <c r="T986" s="113"/>
      <c r="U986" s="113"/>
      <c r="V986" s="113"/>
      <c r="W986" s="113"/>
      <c r="X986" s="113"/>
      <c r="Y986" s="113"/>
    </row>
    <row r="987" spans="1:25" s="114" customFormat="1" ht="13.5" customHeight="1">
      <c r="A987" s="111"/>
      <c r="B987" s="111"/>
      <c r="C987" s="111"/>
      <c r="D987" s="111"/>
      <c r="E987" s="111"/>
      <c r="F987" s="111"/>
      <c r="G987" s="112"/>
      <c r="H987" s="111"/>
      <c r="I987" s="112"/>
      <c r="J987" s="113"/>
      <c r="K987" s="113"/>
      <c r="L987" s="113"/>
      <c r="M987" s="113"/>
      <c r="N987" s="113"/>
      <c r="O987" s="113"/>
      <c r="P987" s="113"/>
      <c r="Q987" s="113"/>
      <c r="R987" s="113"/>
      <c r="S987" s="113"/>
      <c r="T987" s="113"/>
      <c r="U987" s="113"/>
      <c r="V987" s="113"/>
      <c r="W987" s="113"/>
      <c r="X987" s="113"/>
      <c r="Y987" s="113"/>
    </row>
    <row r="988" spans="1:25" s="114" customFormat="1" ht="13.5" customHeight="1">
      <c r="A988" s="111"/>
      <c r="B988" s="111"/>
      <c r="C988" s="111"/>
      <c r="D988" s="111"/>
      <c r="E988" s="111"/>
      <c r="F988" s="111"/>
      <c r="G988" s="112"/>
      <c r="H988" s="111"/>
      <c r="I988" s="112"/>
      <c r="J988" s="113"/>
      <c r="K988" s="113"/>
      <c r="L988" s="113"/>
      <c r="M988" s="113"/>
      <c r="N988" s="113"/>
      <c r="O988" s="113"/>
      <c r="P988" s="113"/>
      <c r="Q988" s="113"/>
      <c r="R988" s="113"/>
      <c r="S988" s="113"/>
      <c r="T988" s="113"/>
      <c r="U988" s="113"/>
      <c r="V988" s="113"/>
      <c r="W988" s="113"/>
      <c r="X988" s="113"/>
      <c r="Y988" s="113"/>
    </row>
    <row r="989" spans="1:25" s="114" customFormat="1" ht="13.5" customHeight="1">
      <c r="A989" s="111"/>
      <c r="B989" s="111"/>
      <c r="C989" s="111"/>
      <c r="D989" s="111"/>
      <c r="E989" s="111"/>
      <c r="F989" s="111"/>
      <c r="G989" s="112"/>
      <c r="H989" s="111"/>
      <c r="I989" s="112"/>
      <c r="J989" s="113"/>
      <c r="K989" s="113"/>
      <c r="L989" s="113"/>
      <c r="M989" s="113"/>
      <c r="N989" s="113"/>
      <c r="O989" s="113"/>
      <c r="P989" s="113"/>
      <c r="Q989" s="113"/>
      <c r="R989" s="113"/>
      <c r="S989" s="113"/>
      <c r="T989" s="113"/>
      <c r="U989" s="113"/>
      <c r="V989" s="113"/>
      <c r="W989" s="113"/>
      <c r="X989" s="113"/>
      <c r="Y989" s="113"/>
    </row>
    <row r="990" spans="1:25" s="114" customFormat="1" ht="13.5" customHeight="1">
      <c r="A990" s="111"/>
      <c r="B990" s="111"/>
      <c r="C990" s="111"/>
      <c r="D990" s="111"/>
      <c r="E990" s="111"/>
      <c r="F990" s="111"/>
      <c r="G990" s="112"/>
      <c r="H990" s="111"/>
      <c r="I990" s="112"/>
      <c r="J990" s="113"/>
      <c r="K990" s="113"/>
      <c r="L990" s="113"/>
      <c r="M990" s="113"/>
      <c r="N990" s="113"/>
      <c r="O990" s="113"/>
      <c r="P990" s="113"/>
      <c r="Q990" s="113"/>
      <c r="R990" s="113"/>
      <c r="S990" s="113"/>
      <c r="T990" s="113"/>
      <c r="U990" s="113"/>
      <c r="V990" s="113"/>
      <c r="W990" s="113"/>
      <c r="X990" s="113"/>
      <c r="Y990" s="113"/>
    </row>
    <row r="991" spans="1:25" s="114" customFormat="1" ht="13.5" customHeight="1">
      <c r="A991" s="111"/>
      <c r="B991" s="111"/>
      <c r="C991" s="111"/>
      <c r="D991" s="111"/>
      <c r="E991" s="111"/>
      <c r="F991" s="111"/>
      <c r="G991" s="112"/>
      <c r="H991" s="111"/>
      <c r="I991" s="112"/>
      <c r="J991" s="113"/>
      <c r="K991" s="113"/>
      <c r="L991" s="113"/>
      <c r="M991" s="113"/>
      <c r="N991" s="113"/>
      <c r="O991" s="113"/>
      <c r="P991" s="113"/>
      <c r="Q991" s="113"/>
      <c r="R991" s="113"/>
      <c r="S991" s="113"/>
      <c r="T991" s="113"/>
      <c r="U991" s="113"/>
      <c r="V991" s="113"/>
      <c r="W991" s="113"/>
      <c r="X991" s="113"/>
      <c r="Y991" s="113"/>
    </row>
    <row r="992" spans="1:25" s="114" customFormat="1" ht="13.5" customHeight="1">
      <c r="A992" s="111"/>
      <c r="B992" s="111"/>
      <c r="C992" s="111"/>
      <c r="D992" s="111"/>
      <c r="E992" s="111"/>
      <c r="F992" s="111"/>
      <c r="G992" s="112"/>
      <c r="H992" s="111"/>
      <c r="I992" s="112"/>
      <c r="J992" s="113"/>
      <c r="K992" s="113"/>
      <c r="L992" s="113"/>
      <c r="M992" s="113"/>
      <c r="N992" s="113"/>
      <c r="O992" s="113"/>
      <c r="P992" s="113"/>
      <c r="Q992" s="113"/>
      <c r="R992" s="113"/>
      <c r="S992" s="113"/>
      <c r="T992" s="113"/>
      <c r="U992" s="113"/>
      <c r="V992" s="113"/>
      <c r="W992" s="113"/>
      <c r="X992" s="113"/>
      <c r="Y992" s="113"/>
    </row>
    <row r="993" spans="1:25" s="114" customFormat="1" ht="13.5" customHeight="1">
      <c r="A993" s="111"/>
      <c r="B993" s="111"/>
      <c r="C993" s="111"/>
      <c r="D993" s="111"/>
      <c r="E993" s="111"/>
      <c r="F993" s="111"/>
      <c r="G993" s="112"/>
      <c r="H993" s="111"/>
      <c r="I993" s="112"/>
      <c r="J993" s="113"/>
      <c r="K993" s="113"/>
      <c r="L993" s="113"/>
      <c r="M993" s="113"/>
      <c r="N993" s="113"/>
      <c r="O993" s="113"/>
      <c r="P993" s="113"/>
      <c r="Q993" s="113"/>
      <c r="R993" s="113"/>
      <c r="S993" s="113"/>
      <c r="T993" s="113"/>
      <c r="U993" s="113"/>
      <c r="V993" s="113"/>
      <c r="W993" s="113"/>
      <c r="X993" s="113"/>
      <c r="Y993" s="113"/>
    </row>
    <row r="994" spans="1:25" s="114" customFormat="1" ht="13.5" customHeight="1">
      <c r="A994" s="111"/>
      <c r="B994" s="111"/>
      <c r="C994" s="111"/>
      <c r="D994" s="111"/>
      <c r="E994" s="111"/>
      <c r="F994" s="111"/>
      <c r="G994" s="112"/>
      <c r="H994" s="111"/>
      <c r="I994" s="112"/>
      <c r="J994" s="113"/>
      <c r="K994" s="113"/>
      <c r="L994" s="113"/>
      <c r="M994" s="113"/>
      <c r="N994" s="113"/>
      <c r="O994" s="113"/>
      <c r="P994" s="113"/>
      <c r="Q994" s="113"/>
      <c r="R994" s="113"/>
      <c r="S994" s="113"/>
      <c r="T994" s="113"/>
      <c r="U994" s="113"/>
      <c r="V994" s="113"/>
      <c r="W994" s="113"/>
      <c r="X994" s="113"/>
      <c r="Y994" s="113"/>
    </row>
    <row r="995" spans="1:25" s="114" customFormat="1" ht="13.5" customHeight="1">
      <c r="A995" s="111"/>
      <c r="B995" s="111"/>
      <c r="C995" s="111"/>
      <c r="D995" s="111"/>
      <c r="E995" s="111"/>
      <c r="F995" s="111"/>
      <c r="G995" s="112"/>
      <c r="H995" s="111"/>
      <c r="I995" s="112"/>
      <c r="J995" s="113"/>
      <c r="K995" s="113"/>
      <c r="L995" s="113"/>
      <c r="M995" s="113"/>
      <c r="N995" s="113"/>
      <c r="O995" s="113"/>
      <c r="P995" s="113"/>
      <c r="Q995" s="113"/>
      <c r="R995" s="113"/>
      <c r="S995" s="113"/>
      <c r="T995" s="113"/>
      <c r="U995" s="113"/>
      <c r="V995" s="113"/>
      <c r="W995" s="113"/>
      <c r="X995" s="113"/>
      <c r="Y995" s="113"/>
    </row>
    <row r="996" spans="1:25" s="114" customFormat="1" ht="13.5" customHeight="1">
      <c r="A996" s="111"/>
      <c r="B996" s="111"/>
      <c r="C996" s="111"/>
      <c r="D996" s="111"/>
      <c r="E996" s="111"/>
      <c r="F996" s="111"/>
      <c r="G996" s="112"/>
      <c r="H996" s="111"/>
      <c r="I996" s="112"/>
      <c r="J996" s="113"/>
      <c r="K996" s="113"/>
      <c r="L996" s="113"/>
      <c r="M996" s="113"/>
      <c r="N996" s="113"/>
      <c r="O996" s="113"/>
      <c r="P996" s="113"/>
      <c r="Q996" s="113"/>
      <c r="R996" s="113"/>
      <c r="S996" s="113"/>
      <c r="T996" s="113"/>
      <c r="U996" s="113"/>
      <c r="V996" s="113"/>
      <c r="W996" s="113"/>
      <c r="X996" s="113"/>
      <c r="Y996" s="113"/>
    </row>
    <row r="997" spans="1:25" s="114" customFormat="1" ht="13.5" customHeight="1">
      <c r="A997" s="111"/>
      <c r="B997" s="111"/>
      <c r="C997" s="111"/>
      <c r="D997" s="111"/>
      <c r="E997" s="111"/>
      <c r="F997" s="111"/>
      <c r="G997" s="112"/>
      <c r="H997" s="111"/>
      <c r="I997" s="112"/>
      <c r="J997" s="113"/>
      <c r="K997" s="113"/>
      <c r="L997" s="113"/>
      <c r="M997" s="113"/>
      <c r="N997" s="113"/>
      <c r="O997" s="113"/>
      <c r="P997" s="113"/>
      <c r="Q997" s="113"/>
      <c r="R997" s="113"/>
      <c r="S997" s="113"/>
      <c r="T997" s="113"/>
      <c r="U997" s="113"/>
      <c r="V997" s="113"/>
      <c r="W997" s="113"/>
      <c r="X997" s="113"/>
      <c r="Y997" s="113"/>
    </row>
    <row r="998" spans="1:25" s="114" customFormat="1" ht="13.5" customHeight="1">
      <c r="A998" s="111"/>
      <c r="B998" s="111"/>
      <c r="C998" s="111"/>
      <c r="D998" s="111"/>
      <c r="E998" s="111"/>
      <c r="F998" s="111"/>
      <c r="G998" s="112"/>
      <c r="H998" s="111"/>
      <c r="I998" s="112"/>
      <c r="J998" s="113"/>
      <c r="K998" s="113"/>
      <c r="L998" s="113"/>
      <c r="M998" s="113"/>
      <c r="N998" s="113"/>
      <c r="O998" s="113"/>
      <c r="P998" s="113"/>
      <c r="Q998" s="113"/>
      <c r="R998" s="113"/>
      <c r="S998" s="113"/>
      <c r="T998" s="113"/>
      <c r="U998" s="113"/>
      <c r="V998" s="113"/>
      <c r="W998" s="113"/>
      <c r="X998" s="113"/>
      <c r="Y998" s="113"/>
    </row>
    <row r="999" spans="1:25" s="114" customFormat="1" ht="13.5" customHeight="1">
      <c r="A999" s="111"/>
      <c r="B999" s="111"/>
      <c r="C999" s="111"/>
      <c r="D999" s="111"/>
      <c r="E999" s="111"/>
      <c r="F999" s="111"/>
      <c r="G999" s="112"/>
      <c r="H999" s="111"/>
      <c r="I999" s="112"/>
      <c r="J999" s="113"/>
      <c r="K999" s="113"/>
      <c r="L999" s="113"/>
      <c r="M999" s="113"/>
      <c r="N999" s="113"/>
      <c r="O999" s="113"/>
      <c r="P999" s="113"/>
      <c r="Q999" s="113"/>
      <c r="R999" s="113"/>
      <c r="S999" s="113"/>
      <c r="T999" s="113"/>
      <c r="U999" s="113"/>
      <c r="V999" s="113"/>
      <c r="W999" s="113"/>
      <c r="X999" s="113"/>
      <c r="Y999" s="113"/>
    </row>
    <row r="1000" spans="1:25" s="114" customFormat="1" ht="13.5" customHeight="1">
      <c r="A1000" s="111"/>
      <c r="B1000" s="111"/>
      <c r="C1000" s="111"/>
      <c r="D1000" s="111"/>
      <c r="E1000" s="111"/>
      <c r="F1000" s="111"/>
      <c r="G1000" s="112"/>
      <c r="H1000" s="111"/>
      <c r="I1000" s="112"/>
      <c r="J1000" s="113"/>
      <c r="K1000" s="113"/>
      <c r="L1000" s="113"/>
      <c r="M1000" s="113"/>
      <c r="N1000" s="113"/>
      <c r="O1000" s="113"/>
      <c r="P1000" s="113"/>
      <c r="Q1000" s="113"/>
      <c r="R1000" s="113"/>
      <c r="S1000" s="113"/>
      <c r="T1000" s="113"/>
      <c r="U1000" s="113"/>
      <c r="V1000" s="113"/>
      <c r="W1000" s="113"/>
      <c r="X1000" s="113"/>
      <c r="Y1000" s="113"/>
    </row>
    <row r="1001" spans="1:25" s="114" customFormat="1" ht="13.5" customHeight="1">
      <c r="A1001" s="111"/>
      <c r="B1001" s="111"/>
      <c r="C1001" s="111"/>
      <c r="D1001" s="111"/>
      <c r="E1001" s="111"/>
      <c r="F1001" s="111"/>
      <c r="G1001" s="112"/>
      <c r="H1001" s="111"/>
      <c r="I1001" s="112"/>
      <c r="J1001" s="113"/>
      <c r="K1001" s="113"/>
      <c r="L1001" s="113"/>
      <c r="M1001" s="113"/>
      <c r="N1001" s="113"/>
      <c r="O1001" s="113"/>
      <c r="P1001" s="113"/>
      <c r="Q1001" s="113"/>
      <c r="R1001" s="113"/>
      <c r="S1001" s="113"/>
      <c r="T1001" s="113"/>
      <c r="U1001" s="113"/>
      <c r="V1001" s="113"/>
      <c r="W1001" s="113"/>
      <c r="X1001" s="113"/>
      <c r="Y1001" s="113"/>
    </row>
    <row r="1002" spans="1:25" s="114" customFormat="1" ht="13.5" customHeight="1">
      <c r="A1002" s="111"/>
      <c r="B1002" s="111"/>
      <c r="C1002" s="111"/>
      <c r="D1002" s="111"/>
      <c r="E1002" s="111"/>
      <c r="F1002" s="111"/>
      <c r="G1002" s="112"/>
      <c r="H1002" s="111"/>
      <c r="I1002" s="112"/>
      <c r="J1002" s="113"/>
      <c r="K1002" s="113"/>
      <c r="L1002" s="113"/>
      <c r="M1002" s="113"/>
      <c r="N1002" s="113"/>
      <c r="O1002" s="113"/>
      <c r="P1002" s="113"/>
      <c r="Q1002" s="113"/>
      <c r="R1002" s="113"/>
      <c r="S1002" s="113"/>
      <c r="T1002" s="113"/>
      <c r="U1002" s="113"/>
      <c r="V1002" s="113"/>
      <c r="W1002" s="113"/>
      <c r="X1002" s="113"/>
      <c r="Y1002" s="113"/>
    </row>
    <row r="1003" spans="1:25" s="114" customFormat="1" ht="13.5" customHeight="1">
      <c r="A1003" s="111"/>
      <c r="B1003" s="111"/>
      <c r="C1003" s="111"/>
      <c r="D1003" s="111"/>
      <c r="E1003" s="111"/>
      <c r="F1003" s="111"/>
      <c r="G1003" s="112"/>
      <c r="H1003" s="111"/>
      <c r="I1003" s="112"/>
      <c r="J1003" s="113"/>
      <c r="K1003" s="113"/>
      <c r="L1003" s="113"/>
      <c r="M1003" s="113"/>
      <c r="N1003" s="113"/>
      <c r="O1003" s="113"/>
      <c r="P1003" s="113"/>
      <c r="Q1003" s="113"/>
      <c r="R1003" s="113"/>
      <c r="S1003" s="113"/>
      <c r="T1003" s="113"/>
      <c r="U1003" s="113"/>
      <c r="V1003" s="113"/>
      <c r="W1003" s="113"/>
      <c r="X1003" s="113"/>
      <c r="Y1003" s="113"/>
    </row>
    <row r="1004" spans="1:25" s="114" customFormat="1" ht="13.5" customHeight="1">
      <c r="A1004" s="111"/>
      <c r="B1004" s="111"/>
      <c r="C1004" s="111"/>
      <c r="D1004" s="111"/>
      <c r="E1004" s="111"/>
      <c r="F1004" s="111"/>
      <c r="G1004" s="112"/>
      <c r="H1004" s="111"/>
      <c r="I1004" s="112"/>
      <c r="J1004" s="113"/>
      <c r="K1004" s="113"/>
      <c r="L1004" s="113"/>
      <c r="M1004" s="113"/>
      <c r="N1004" s="113"/>
      <c r="O1004" s="113"/>
      <c r="P1004" s="113"/>
      <c r="Q1004" s="113"/>
      <c r="R1004" s="113"/>
      <c r="S1004" s="113"/>
      <c r="T1004" s="113"/>
      <c r="U1004" s="113"/>
      <c r="V1004" s="113"/>
      <c r="W1004" s="113"/>
      <c r="X1004" s="113"/>
      <c r="Y1004" s="113"/>
    </row>
    <row r="1005" spans="1:25" s="114" customFormat="1" ht="13.5" customHeight="1">
      <c r="A1005" s="111"/>
      <c r="B1005" s="111"/>
      <c r="C1005" s="111"/>
      <c r="D1005" s="111"/>
      <c r="E1005" s="111"/>
      <c r="F1005" s="111"/>
      <c r="G1005" s="112"/>
      <c r="H1005" s="111"/>
      <c r="I1005" s="112"/>
      <c r="J1005" s="113"/>
      <c r="K1005" s="113"/>
      <c r="L1005" s="113"/>
      <c r="M1005" s="113"/>
      <c r="N1005" s="113"/>
      <c r="O1005" s="113"/>
      <c r="P1005" s="113"/>
      <c r="Q1005" s="113"/>
      <c r="R1005" s="113"/>
      <c r="S1005" s="113"/>
      <c r="T1005" s="113"/>
      <c r="U1005" s="113"/>
      <c r="V1005" s="113"/>
      <c r="W1005" s="113"/>
      <c r="X1005" s="113"/>
      <c r="Y1005" s="113"/>
    </row>
    <row r="1006" spans="1:25" s="114" customFormat="1" ht="13.5" customHeight="1">
      <c r="A1006" s="111"/>
      <c r="B1006" s="111"/>
      <c r="C1006" s="111"/>
      <c r="D1006" s="111"/>
      <c r="E1006" s="111"/>
      <c r="F1006" s="111"/>
      <c r="G1006" s="112"/>
      <c r="H1006" s="111"/>
      <c r="I1006" s="112"/>
      <c r="J1006" s="113"/>
      <c r="K1006" s="113"/>
      <c r="L1006" s="113"/>
      <c r="M1006" s="113"/>
      <c r="N1006" s="113"/>
      <c r="O1006" s="113"/>
      <c r="P1006" s="113"/>
      <c r="Q1006" s="113"/>
      <c r="R1006" s="113"/>
      <c r="S1006" s="113"/>
      <c r="T1006" s="113"/>
      <c r="U1006" s="113"/>
      <c r="V1006" s="113"/>
      <c r="W1006" s="113"/>
      <c r="X1006" s="113"/>
      <c r="Y1006" s="113"/>
    </row>
    <row r="1007" spans="1:25" s="114" customFormat="1" ht="13.5" customHeight="1">
      <c r="A1007" s="111"/>
      <c r="B1007" s="111"/>
      <c r="C1007" s="111"/>
      <c r="D1007" s="111"/>
      <c r="E1007" s="111"/>
      <c r="F1007" s="111"/>
      <c r="G1007" s="112"/>
      <c r="H1007" s="111"/>
      <c r="I1007" s="112"/>
      <c r="J1007" s="113"/>
      <c r="K1007" s="113"/>
      <c r="L1007" s="113"/>
      <c r="M1007" s="113"/>
      <c r="N1007" s="113"/>
      <c r="O1007" s="113"/>
      <c r="P1007" s="113"/>
      <c r="Q1007" s="113"/>
      <c r="R1007" s="113"/>
      <c r="S1007" s="113"/>
      <c r="T1007" s="113"/>
      <c r="U1007" s="113"/>
      <c r="V1007" s="113"/>
      <c r="W1007" s="113"/>
      <c r="X1007" s="113"/>
      <c r="Y1007" s="113"/>
    </row>
    <row r="1008" spans="1:25" s="114" customFormat="1" ht="13.5" customHeight="1">
      <c r="A1008" s="111"/>
      <c r="B1008" s="111"/>
      <c r="C1008" s="111"/>
      <c r="D1008" s="111"/>
      <c r="E1008" s="111"/>
      <c r="F1008" s="111"/>
      <c r="G1008" s="112"/>
      <c r="H1008" s="111"/>
      <c r="I1008" s="112"/>
      <c r="J1008" s="113"/>
      <c r="K1008" s="113"/>
      <c r="L1008" s="113"/>
      <c r="M1008" s="113"/>
      <c r="N1008" s="113"/>
      <c r="O1008" s="113"/>
      <c r="P1008" s="113"/>
      <c r="Q1008" s="113"/>
      <c r="R1008" s="113"/>
      <c r="S1008" s="113"/>
      <c r="T1008" s="113"/>
      <c r="U1008" s="113"/>
      <c r="V1008" s="113"/>
      <c r="W1008" s="113"/>
      <c r="X1008" s="113"/>
      <c r="Y1008" s="113"/>
    </row>
    <row r="1009" spans="1:25" s="114" customFormat="1" ht="13.5" customHeight="1">
      <c r="A1009" s="111"/>
      <c r="B1009" s="111"/>
      <c r="C1009" s="111"/>
      <c r="D1009" s="111"/>
      <c r="E1009" s="111"/>
      <c r="F1009" s="111"/>
      <c r="G1009" s="112"/>
      <c r="H1009" s="111"/>
      <c r="I1009" s="112"/>
      <c r="J1009" s="113"/>
      <c r="K1009" s="113"/>
      <c r="L1009" s="113"/>
      <c r="M1009" s="113"/>
      <c r="N1009" s="113"/>
      <c r="O1009" s="113"/>
      <c r="P1009" s="113"/>
      <c r="Q1009" s="113"/>
      <c r="R1009" s="113"/>
      <c r="S1009" s="113"/>
      <c r="T1009" s="113"/>
      <c r="U1009" s="113"/>
      <c r="V1009" s="113"/>
      <c r="W1009" s="113"/>
      <c r="X1009" s="113"/>
      <c r="Y1009" s="113"/>
    </row>
    <row r="1010" spans="1:25" s="114" customFormat="1" ht="13.5" customHeight="1">
      <c r="A1010" s="111"/>
      <c r="B1010" s="111"/>
      <c r="C1010" s="111"/>
      <c r="D1010" s="111"/>
      <c r="E1010" s="111"/>
      <c r="F1010" s="111"/>
      <c r="G1010" s="112"/>
      <c r="H1010" s="111"/>
      <c r="I1010" s="112"/>
      <c r="J1010" s="113"/>
      <c r="K1010" s="113"/>
      <c r="L1010" s="113"/>
      <c r="M1010" s="113"/>
      <c r="N1010" s="113"/>
      <c r="O1010" s="113"/>
      <c r="P1010" s="113"/>
      <c r="Q1010" s="113"/>
      <c r="R1010" s="113"/>
      <c r="S1010" s="113"/>
      <c r="T1010" s="113"/>
      <c r="U1010" s="113"/>
      <c r="V1010" s="113"/>
      <c r="W1010" s="113"/>
      <c r="X1010" s="113"/>
      <c r="Y1010" s="113"/>
    </row>
    <row r="1011" spans="1:25" s="114" customFormat="1" ht="13.5" customHeight="1">
      <c r="A1011" s="111"/>
      <c r="B1011" s="111"/>
      <c r="C1011" s="111"/>
      <c r="D1011" s="111"/>
      <c r="E1011" s="111"/>
      <c r="F1011" s="111"/>
      <c r="G1011" s="112"/>
      <c r="H1011" s="111"/>
      <c r="I1011" s="112"/>
      <c r="J1011" s="113"/>
      <c r="K1011" s="113"/>
      <c r="L1011" s="113"/>
      <c r="M1011" s="113"/>
      <c r="N1011" s="113"/>
      <c r="O1011" s="113"/>
      <c r="P1011" s="113"/>
      <c r="Q1011" s="113"/>
      <c r="R1011" s="113"/>
      <c r="S1011" s="113"/>
      <c r="T1011" s="113"/>
      <c r="U1011" s="113"/>
      <c r="V1011" s="113"/>
      <c r="W1011" s="113"/>
      <c r="X1011" s="113"/>
      <c r="Y1011" s="113"/>
    </row>
    <row r="1012" spans="1:25" s="114" customFormat="1" ht="13.5" customHeight="1">
      <c r="A1012" s="111"/>
      <c r="B1012" s="111"/>
      <c r="C1012" s="111"/>
      <c r="D1012" s="111"/>
      <c r="E1012" s="111"/>
      <c r="F1012" s="111"/>
      <c r="G1012" s="112"/>
      <c r="H1012" s="111"/>
      <c r="I1012" s="112"/>
      <c r="J1012" s="113"/>
      <c r="K1012" s="113"/>
      <c r="L1012" s="113"/>
      <c r="M1012" s="113"/>
      <c r="N1012" s="113"/>
      <c r="O1012" s="113"/>
      <c r="P1012" s="113"/>
      <c r="Q1012" s="113"/>
      <c r="R1012" s="113"/>
      <c r="S1012" s="113"/>
      <c r="T1012" s="113"/>
      <c r="U1012" s="113"/>
      <c r="V1012" s="113"/>
      <c r="W1012" s="113"/>
      <c r="X1012" s="113"/>
      <c r="Y1012" s="113"/>
    </row>
    <row r="1013" spans="1:25" s="114" customFormat="1" ht="13.5" customHeight="1">
      <c r="A1013" s="111"/>
      <c r="B1013" s="111"/>
      <c r="C1013" s="111"/>
      <c r="D1013" s="111"/>
      <c r="E1013" s="111"/>
      <c r="F1013" s="111"/>
      <c r="G1013" s="112"/>
      <c r="H1013" s="111"/>
      <c r="I1013" s="112"/>
      <c r="J1013" s="113"/>
      <c r="K1013" s="113"/>
      <c r="L1013" s="113"/>
      <c r="M1013" s="113"/>
      <c r="N1013" s="113"/>
      <c r="O1013" s="113"/>
      <c r="P1013" s="113"/>
      <c r="Q1013" s="113"/>
      <c r="R1013" s="113"/>
      <c r="S1013" s="113"/>
      <c r="T1013" s="113"/>
      <c r="U1013" s="113"/>
      <c r="V1013" s="113"/>
      <c r="W1013" s="113"/>
      <c r="X1013" s="113"/>
      <c r="Y1013" s="113"/>
    </row>
    <row r="1014" spans="1:25" s="114" customFormat="1" ht="13.5" customHeight="1">
      <c r="A1014" s="111"/>
      <c r="B1014" s="111"/>
      <c r="C1014" s="111"/>
      <c r="D1014" s="111"/>
      <c r="E1014" s="111"/>
      <c r="F1014" s="111"/>
      <c r="G1014" s="112"/>
      <c r="H1014" s="111"/>
      <c r="I1014" s="112"/>
      <c r="J1014" s="113"/>
      <c r="K1014" s="113"/>
      <c r="L1014" s="113"/>
      <c r="M1014" s="113"/>
      <c r="N1014" s="113"/>
      <c r="O1014" s="113"/>
      <c r="P1014" s="113"/>
      <c r="Q1014" s="113"/>
      <c r="R1014" s="113"/>
      <c r="S1014" s="113"/>
      <c r="T1014" s="113"/>
      <c r="U1014" s="113"/>
      <c r="V1014" s="113"/>
      <c r="W1014" s="113"/>
      <c r="X1014" s="113"/>
      <c r="Y1014" s="113"/>
    </row>
    <row r="1015" spans="1:25" s="114" customFormat="1" ht="13.5" customHeight="1">
      <c r="A1015" s="111"/>
      <c r="B1015" s="111"/>
      <c r="C1015" s="111"/>
      <c r="D1015" s="111"/>
      <c r="E1015" s="111"/>
      <c r="F1015" s="111"/>
      <c r="G1015" s="112"/>
      <c r="H1015" s="111"/>
      <c r="I1015" s="112"/>
      <c r="J1015" s="113"/>
      <c r="K1015" s="113"/>
      <c r="L1015" s="113"/>
      <c r="M1015" s="113"/>
      <c r="N1015" s="113"/>
      <c r="O1015" s="113"/>
      <c r="P1015" s="113"/>
      <c r="Q1015" s="113"/>
      <c r="R1015" s="113"/>
      <c r="S1015" s="113"/>
      <c r="T1015" s="113"/>
      <c r="U1015" s="113"/>
      <c r="V1015" s="113"/>
      <c r="W1015" s="113"/>
      <c r="X1015" s="113"/>
      <c r="Y1015" s="113"/>
    </row>
    <row r="1016" spans="1:25" s="114" customFormat="1" ht="13.5" customHeight="1">
      <c r="A1016" s="111"/>
      <c r="B1016" s="111"/>
      <c r="C1016" s="111"/>
      <c r="D1016" s="111"/>
      <c r="E1016" s="111"/>
      <c r="F1016" s="111"/>
      <c r="G1016" s="112"/>
      <c r="H1016" s="111"/>
      <c r="I1016" s="112"/>
      <c r="J1016" s="113"/>
      <c r="K1016" s="113"/>
      <c r="L1016" s="113"/>
      <c r="M1016" s="113"/>
      <c r="N1016" s="113"/>
      <c r="O1016" s="113"/>
      <c r="P1016" s="113"/>
      <c r="Q1016" s="113"/>
      <c r="R1016" s="113"/>
      <c r="S1016" s="113"/>
      <c r="T1016" s="113"/>
      <c r="U1016" s="113"/>
      <c r="V1016" s="113"/>
      <c r="W1016" s="113"/>
      <c r="X1016" s="113"/>
      <c r="Y1016" s="113"/>
    </row>
  </sheetData>
  <sheetProtection selectLockedCells="1" selectUnlockedCells="1"/>
  <mergeCells count="24">
    <mergeCell ref="L86:N86"/>
    <mergeCell ref="C89:D89"/>
    <mergeCell ref="B100:H100"/>
    <mergeCell ref="C101:D101"/>
    <mergeCell ref="C233:D233"/>
    <mergeCell ref="C122:D122"/>
    <mergeCell ref="B133:H133"/>
    <mergeCell ref="C134:D134"/>
    <mergeCell ref="B152:H152"/>
    <mergeCell ref="B158:F158"/>
    <mergeCell ref="C159:D159"/>
    <mergeCell ref="B178:F178"/>
    <mergeCell ref="C179:D179"/>
    <mergeCell ref="C204:F204"/>
    <mergeCell ref="C205:D205"/>
    <mergeCell ref="C232:F232"/>
    <mergeCell ref="B121:H121"/>
    <mergeCell ref="E2:I5"/>
    <mergeCell ref="E7:I7"/>
    <mergeCell ref="B22:C22"/>
    <mergeCell ref="B23:B24"/>
    <mergeCell ref="B36:C36"/>
    <mergeCell ref="B45:C47"/>
    <mergeCell ref="B86:H86"/>
  </mergeCells>
  <conditionalFormatting sqref="C24">
    <cfRule type="expression" dxfId="114" priority="1">
      <formula>$C$23="Zebuíno"</formula>
    </cfRule>
  </conditionalFormatting>
  <dataValidations count="4">
    <dataValidation type="list" errorStyle="information" allowBlank="1" showInputMessage="1" prompt="APENAS PARA ANIMAIS CRUZADOS." sqref="C24" xr:uid="{E610C970-624F-44A3-B62E-846055F8EAFF}">
      <formula1>$B$88:$C$88</formula1>
    </dataValidation>
    <dataValidation type="list" allowBlank="1" showErrorMessage="1" sqref="C23" xr:uid="{344E53F3-783C-4893-AB2C-A3C61FB0DAAD}">
      <formula1>$B$154:$C$154</formula1>
    </dataValidation>
    <dataValidation type="list" allowBlank="1" showErrorMessage="1" sqref="C26" xr:uid="{4166C9EC-9119-40B5-82E2-F22FE12876D7}">
      <formula1>$B$156:$C$156</formula1>
    </dataValidation>
    <dataValidation type="list" allowBlank="1" showErrorMessage="1" sqref="C25" xr:uid="{DA754A1D-1466-4AF1-8F5B-1080BC4B81FF}">
      <formula1>$B$9:$B$15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A1317-EE3E-4583-9142-42E79051EA44}">
  <sheetPr codeName="Planilha26">
    <tabColor rgb="FFC00000"/>
    <pageSetUpPr fitToPage="1"/>
  </sheetPr>
  <dimension ref="A1:S33"/>
  <sheetViews>
    <sheetView showGridLines="0" zoomScaleNormal="100" workbookViewId="0">
      <selection activeCell="H19" sqref="H19"/>
    </sheetView>
  </sheetViews>
  <sheetFormatPr defaultRowHeight="12"/>
  <cols>
    <col min="1" max="1" width="1.125" style="761" customWidth="1"/>
    <col min="2" max="2" width="13.625" style="761" customWidth="1"/>
    <col min="3" max="3" width="6.5" style="761" customWidth="1"/>
    <col min="4" max="4" width="10.875" style="761" customWidth="1"/>
    <col min="5" max="5" width="10.625" style="761" customWidth="1"/>
    <col min="6" max="6" width="12.375" style="761" customWidth="1"/>
    <col min="7" max="7" width="12" style="761" customWidth="1"/>
    <col min="8" max="8" width="9.75" style="761" customWidth="1"/>
    <col min="9" max="9" width="0.5" style="761" hidden="1" customWidth="1"/>
    <col min="10" max="10" width="3.25" style="761" customWidth="1"/>
    <col min="11" max="11" width="12" style="761" customWidth="1"/>
    <col min="12" max="12" width="10.75" style="761" bestFit="1" customWidth="1"/>
    <col min="13" max="13" width="4.625" style="761" customWidth="1"/>
    <col min="14" max="14" width="10.25" style="761" customWidth="1"/>
    <col min="15" max="15" width="10.5" style="761" customWidth="1"/>
    <col min="16" max="16" width="7" style="761" customWidth="1"/>
    <col min="17" max="17" width="8" style="761" customWidth="1"/>
    <col min="18" max="18" width="10.875" style="761" customWidth="1"/>
    <col min="19" max="19" width="11.875" style="761" bestFit="1" customWidth="1"/>
    <col min="20" max="20" width="9" style="761"/>
    <col min="21" max="21" width="12.625" style="761" bestFit="1" customWidth="1"/>
    <col min="22" max="22" width="16" style="761" bestFit="1" customWidth="1"/>
    <col min="23" max="16384" width="9" style="761"/>
  </cols>
  <sheetData>
    <row r="1" spans="1:19" ht="21" customHeight="1" thickBot="1">
      <c r="A1" s="1326"/>
      <c r="B1" s="1327" t="s">
        <v>1437</v>
      </c>
      <c r="C1" s="1328"/>
      <c r="D1" s="1328"/>
      <c r="E1" s="1328"/>
      <c r="F1" s="1328"/>
      <c r="G1" s="1328"/>
      <c r="H1" s="1329"/>
      <c r="I1" s="938"/>
      <c r="K1" s="1325" t="s">
        <v>1438</v>
      </c>
      <c r="L1" s="939"/>
      <c r="M1" s="939"/>
      <c r="N1" s="939"/>
      <c r="O1" s="939"/>
      <c r="P1" s="939"/>
      <c r="Q1" s="939"/>
      <c r="R1" s="939"/>
      <c r="S1" s="1350"/>
    </row>
    <row r="2" spans="1:19" ht="36" customHeight="1" thickBot="1">
      <c r="A2" s="1330"/>
      <c r="B2" s="940" t="s">
        <v>323</v>
      </c>
      <c r="C2" s="941" t="s">
        <v>1202</v>
      </c>
      <c r="D2" s="942" t="s">
        <v>1191</v>
      </c>
      <c r="E2" s="942" t="s">
        <v>1192</v>
      </c>
      <c r="F2" s="942" t="s">
        <v>482</v>
      </c>
      <c r="G2" s="942" t="s">
        <v>1193</v>
      </c>
      <c r="H2" s="1331" t="s">
        <v>1105</v>
      </c>
      <c r="I2" s="944"/>
      <c r="K2" s="945" t="s">
        <v>80</v>
      </c>
      <c r="L2" s="945" t="s">
        <v>1202</v>
      </c>
      <c r="M2" s="946" t="s">
        <v>481</v>
      </c>
      <c r="N2" s="947" t="s">
        <v>487</v>
      </c>
      <c r="O2" s="948" t="s">
        <v>1280</v>
      </c>
      <c r="P2" s="948"/>
      <c r="Q2" s="949" t="s">
        <v>1290</v>
      </c>
      <c r="R2" s="950" t="s">
        <v>1289</v>
      </c>
      <c r="S2" s="951" t="s">
        <v>1345</v>
      </c>
    </row>
    <row r="3" spans="1:19">
      <c r="A3" s="1330"/>
      <c r="B3" s="2054" t="s">
        <v>1284</v>
      </c>
      <c r="C3" s="952" t="s">
        <v>282</v>
      </c>
      <c r="D3" s="953">
        <v>0.1</v>
      </c>
      <c r="E3" s="953">
        <v>0.1</v>
      </c>
      <c r="F3" s="953">
        <v>0.2</v>
      </c>
      <c r="G3" s="953">
        <v>0.12</v>
      </c>
      <c r="H3" s="1332">
        <v>0.4</v>
      </c>
      <c r="I3" s="944"/>
      <c r="K3" s="2048" t="s">
        <v>1291</v>
      </c>
      <c r="L3" s="954" t="s">
        <v>277</v>
      </c>
      <c r="M3" s="1351" t="s">
        <v>278</v>
      </c>
      <c r="N3" s="1352" t="s">
        <v>1281</v>
      </c>
      <c r="O3" s="1353">
        <v>0.2</v>
      </c>
      <c r="P3" s="1354">
        <v>0.82</v>
      </c>
      <c r="Q3" s="955"/>
      <c r="R3" s="956">
        <f>10*O3</f>
        <v>2</v>
      </c>
      <c r="S3" s="957">
        <v>999</v>
      </c>
    </row>
    <row r="4" spans="1:19">
      <c r="A4" s="1330"/>
      <c r="B4" s="2055"/>
      <c r="C4" s="958" t="s">
        <v>286</v>
      </c>
      <c r="D4" s="959">
        <v>0.1</v>
      </c>
      <c r="E4" s="959">
        <v>0.1</v>
      </c>
      <c r="F4" s="959">
        <v>0.1</v>
      </c>
      <c r="G4" s="959">
        <v>0.1</v>
      </c>
      <c r="H4" s="1333"/>
      <c r="I4" s="944"/>
      <c r="K4" s="2049"/>
      <c r="L4" s="954" t="s">
        <v>279</v>
      </c>
      <c r="M4" s="1351" t="s">
        <v>280</v>
      </c>
      <c r="N4" s="1352" t="s">
        <v>1281</v>
      </c>
      <c r="O4" s="1353">
        <v>0.16</v>
      </c>
      <c r="P4" s="1354">
        <v>0.38</v>
      </c>
      <c r="Q4" s="955"/>
      <c r="R4" s="956">
        <f t="shared" ref="R4:R8" si="0">10*O4</f>
        <v>1.6</v>
      </c>
      <c r="S4" s="957">
        <v>999</v>
      </c>
    </row>
    <row r="5" spans="1:19">
      <c r="A5" s="1330"/>
      <c r="B5" s="2056"/>
      <c r="C5" s="960" t="s">
        <v>284</v>
      </c>
      <c r="D5" s="961">
        <v>0.6</v>
      </c>
      <c r="E5" s="961">
        <v>0.6</v>
      </c>
      <c r="F5" s="961">
        <v>0.7</v>
      </c>
      <c r="G5" s="961">
        <v>0.6</v>
      </c>
      <c r="H5" s="1334">
        <v>3</v>
      </c>
      <c r="I5" s="944"/>
      <c r="K5" s="2049"/>
      <c r="L5" s="954" t="s">
        <v>281</v>
      </c>
      <c r="M5" s="1351" t="s">
        <v>282</v>
      </c>
      <c r="N5" s="1352" t="s">
        <v>1281</v>
      </c>
      <c r="O5" s="1353">
        <v>0.12</v>
      </c>
      <c r="P5" s="1354">
        <v>0.18</v>
      </c>
      <c r="Q5" s="962">
        <v>0.5</v>
      </c>
      <c r="R5" s="956">
        <f t="shared" si="0"/>
        <v>1.2</v>
      </c>
      <c r="S5" s="957">
        <f>Q5*10</f>
        <v>5</v>
      </c>
    </row>
    <row r="6" spans="1:19" ht="12.75" thickBot="1">
      <c r="A6" s="1330"/>
      <c r="B6" s="2055"/>
      <c r="C6" s="958" t="s">
        <v>288</v>
      </c>
      <c r="D6" s="959">
        <v>0.15</v>
      </c>
      <c r="E6" s="959">
        <v>0.15</v>
      </c>
      <c r="F6" s="959">
        <v>0.15</v>
      </c>
      <c r="G6" s="959">
        <v>0.15</v>
      </c>
      <c r="H6" s="1333">
        <v>0.4</v>
      </c>
      <c r="I6" s="944"/>
      <c r="K6" s="2049"/>
      <c r="L6" s="954" t="s">
        <v>287</v>
      </c>
      <c r="M6" s="1351" t="s">
        <v>288</v>
      </c>
      <c r="N6" s="1352" t="s">
        <v>1281</v>
      </c>
      <c r="O6" s="1353">
        <v>0.14000000000000001</v>
      </c>
      <c r="P6" s="1354">
        <v>0.26</v>
      </c>
      <c r="Q6" s="962">
        <v>0.4</v>
      </c>
      <c r="R6" s="956">
        <f t="shared" si="0"/>
        <v>1.4000000000000001</v>
      </c>
      <c r="S6" s="957">
        <f t="shared" ref="S6:S7" si="1">Q6*10</f>
        <v>4</v>
      </c>
    </row>
    <row r="7" spans="1:19" ht="12.75" thickTop="1">
      <c r="A7" s="1330"/>
      <c r="B7" s="2057" t="s">
        <v>1194</v>
      </c>
      <c r="C7" s="963" t="s">
        <v>294</v>
      </c>
      <c r="D7" s="964">
        <v>10</v>
      </c>
      <c r="E7" s="964">
        <v>10</v>
      </c>
      <c r="F7" s="964">
        <v>10</v>
      </c>
      <c r="G7" s="964">
        <v>10</v>
      </c>
      <c r="H7" s="1335">
        <v>100</v>
      </c>
      <c r="I7" s="944"/>
      <c r="K7" s="2049"/>
      <c r="L7" s="954" t="s">
        <v>285</v>
      </c>
      <c r="M7" s="1351" t="s">
        <v>286</v>
      </c>
      <c r="N7" s="1352" t="s">
        <v>1281</v>
      </c>
      <c r="O7" s="1353">
        <v>0.09</v>
      </c>
      <c r="P7" s="1354">
        <v>0.18</v>
      </c>
      <c r="Q7" s="962">
        <v>1.8</v>
      </c>
      <c r="R7" s="956">
        <f t="shared" si="0"/>
        <v>0.89999999999999991</v>
      </c>
      <c r="S7" s="957">
        <f t="shared" si="1"/>
        <v>18</v>
      </c>
    </row>
    <row r="8" spans="1:19" ht="12.75" thickBot="1">
      <c r="A8" s="1330"/>
      <c r="B8" s="2055"/>
      <c r="C8" s="958" t="s">
        <v>302</v>
      </c>
      <c r="D8" s="959">
        <v>30</v>
      </c>
      <c r="E8" s="959">
        <v>30</v>
      </c>
      <c r="F8" s="959">
        <v>30</v>
      </c>
      <c r="G8" s="959">
        <v>30</v>
      </c>
      <c r="H8" s="1333">
        <v>500</v>
      </c>
      <c r="I8" s="944"/>
      <c r="K8" s="2050"/>
      <c r="L8" s="965" t="s">
        <v>283</v>
      </c>
      <c r="M8" s="966" t="s">
        <v>284</v>
      </c>
      <c r="N8" s="803" t="s">
        <v>1281</v>
      </c>
      <c r="O8" s="801">
        <v>0.5</v>
      </c>
      <c r="P8" s="802">
        <v>0.8</v>
      </c>
      <c r="Q8" s="967">
        <v>3</v>
      </c>
      <c r="R8" s="956">
        <f t="shared" si="0"/>
        <v>5</v>
      </c>
      <c r="S8" s="957">
        <f>Q8*10</f>
        <v>30</v>
      </c>
    </row>
    <row r="9" spans="1:19" ht="15" customHeight="1">
      <c r="A9" s="1330"/>
      <c r="B9" s="2056"/>
      <c r="C9" s="960" t="s">
        <v>308</v>
      </c>
      <c r="D9" s="961">
        <v>50</v>
      </c>
      <c r="E9" s="961">
        <v>50</v>
      </c>
      <c r="F9" s="961">
        <v>50</v>
      </c>
      <c r="G9" s="961">
        <v>50</v>
      </c>
      <c r="H9" s="1334">
        <v>1000</v>
      </c>
      <c r="I9" s="944"/>
      <c r="K9" s="2051" t="s">
        <v>1292</v>
      </c>
      <c r="L9" s="1355" t="s">
        <v>295</v>
      </c>
      <c r="M9" s="1351" t="s">
        <v>296</v>
      </c>
      <c r="N9" s="1352" t="s">
        <v>1282</v>
      </c>
      <c r="O9" s="1353">
        <v>0.1</v>
      </c>
      <c r="P9" s="1356">
        <v>0.8</v>
      </c>
      <c r="Q9" s="968">
        <v>50</v>
      </c>
      <c r="R9" s="969">
        <f>O9</f>
        <v>0.1</v>
      </c>
      <c r="S9" s="970">
        <f>Q9</f>
        <v>50</v>
      </c>
    </row>
    <row r="10" spans="1:19" ht="15" customHeight="1">
      <c r="A10" s="1330"/>
      <c r="B10" s="2055"/>
      <c r="C10" s="958" t="s">
        <v>298</v>
      </c>
      <c r="D10" s="959">
        <v>20</v>
      </c>
      <c r="E10" s="959">
        <v>20</v>
      </c>
      <c r="F10" s="959">
        <v>40</v>
      </c>
      <c r="G10" s="959">
        <v>40</v>
      </c>
      <c r="H10" s="1333">
        <v>1000</v>
      </c>
      <c r="I10" s="944"/>
      <c r="K10" s="2052"/>
      <c r="L10" s="1355" t="s">
        <v>307</v>
      </c>
      <c r="M10" s="1351" t="s">
        <v>308</v>
      </c>
      <c r="N10" s="1352" t="s">
        <v>1282</v>
      </c>
      <c r="O10" s="1353">
        <v>30</v>
      </c>
      <c r="P10" s="1356">
        <v>50</v>
      </c>
      <c r="Q10" s="968">
        <v>500</v>
      </c>
      <c r="R10" s="971">
        <f t="shared" ref="R10:R15" si="2">O10</f>
        <v>30</v>
      </c>
      <c r="S10" s="972">
        <f t="shared" ref="S10:S16" si="3">Q10</f>
        <v>500</v>
      </c>
    </row>
    <row r="11" spans="1:19" ht="15" customHeight="1">
      <c r="A11" s="1330"/>
      <c r="B11" s="2056"/>
      <c r="C11" s="960" t="s">
        <v>296</v>
      </c>
      <c r="D11" s="961">
        <v>0.5</v>
      </c>
      <c r="E11" s="961">
        <v>0.5</v>
      </c>
      <c r="F11" s="961">
        <v>0.5</v>
      </c>
      <c r="G11" s="961">
        <v>0.5</v>
      </c>
      <c r="H11" s="1334">
        <v>50</v>
      </c>
      <c r="I11" s="944"/>
      <c r="K11" s="2052"/>
      <c r="L11" s="1355" t="s">
        <v>293</v>
      </c>
      <c r="M11" s="1357" t="s">
        <v>294</v>
      </c>
      <c r="N11" s="1352" t="s">
        <v>1282</v>
      </c>
      <c r="O11" s="1353">
        <v>7</v>
      </c>
      <c r="P11" s="1356">
        <v>11</v>
      </c>
      <c r="Q11" s="968">
        <v>25</v>
      </c>
      <c r="R11" s="971">
        <f t="shared" si="2"/>
        <v>7</v>
      </c>
      <c r="S11" s="972">
        <f t="shared" si="3"/>
        <v>25</v>
      </c>
    </row>
    <row r="12" spans="1:19" ht="15" customHeight="1">
      <c r="A12" s="1330"/>
      <c r="B12" s="2055"/>
      <c r="C12" s="958" t="s">
        <v>292</v>
      </c>
      <c r="D12" s="959">
        <v>0.2</v>
      </c>
      <c r="E12" s="959">
        <v>0.2</v>
      </c>
      <c r="F12" s="959">
        <v>0.2</v>
      </c>
      <c r="G12" s="959">
        <v>0.2</v>
      </c>
      <c r="H12" s="1333">
        <v>10</v>
      </c>
      <c r="I12" s="944"/>
      <c r="K12" s="2052"/>
      <c r="L12" s="1355" t="s">
        <v>425</v>
      </c>
      <c r="M12" s="1351" t="s">
        <v>426</v>
      </c>
      <c r="N12" s="1352" t="s">
        <v>1282</v>
      </c>
      <c r="O12" s="1353">
        <v>0.5</v>
      </c>
      <c r="P12" s="1356">
        <v>0.5</v>
      </c>
      <c r="Q12" s="968">
        <v>10</v>
      </c>
      <c r="R12" s="971">
        <f t="shared" si="2"/>
        <v>0.5</v>
      </c>
      <c r="S12" s="972">
        <f t="shared" si="3"/>
        <v>10</v>
      </c>
    </row>
    <row r="13" spans="1:19" ht="15.75" customHeight="1" thickBot="1">
      <c r="A13" s="1330"/>
      <c r="B13" s="2058"/>
      <c r="C13" s="973" t="s">
        <v>300</v>
      </c>
      <c r="D13" s="974">
        <v>0.2</v>
      </c>
      <c r="E13" s="974">
        <v>0.2</v>
      </c>
      <c r="F13" s="974">
        <v>0.2</v>
      </c>
      <c r="G13" s="974">
        <v>0.2</v>
      </c>
      <c r="H13" s="1336">
        <v>2</v>
      </c>
      <c r="I13" s="944"/>
      <c r="K13" s="2052"/>
      <c r="L13" s="1355" t="s">
        <v>291</v>
      </c>
      <c r="M13" s="1351" t="s">
        <v>292</v>
      </c>
      <c r="N13" s="1352" t="s">
        <v>1282</v>
      </c>
      <c r="O13" s="1353">
        <v>0.1</v>
      </c>
      <c r="P13" s="1356">
        <v>0.2</v>
      </c>
      <c r="Q13" s="968">
        <v>10</v>
      </c>
      <c r="R13" s="971">
        <f t="shared" si="2"/>
        <v>0.1</v>
      </c>
      <c r="S13" s="972">
        <f t="shared" si="3"/>
        <v>10</v>
      </c>
    </row>
    <row r="14" spans="1:19" ht="15" customHeight="1">
      <c r="A14" s="1330"/>
      <c r="B14" s="1337" t="s">
        <v>1195</v>
      </c>
      <c r="C14" s="944"/>
      <c r="D14" s="944"/>
      <c r="E14" s="944"/>
      <c r="F14" s="944"/>
      <c r="G14" s="944"/>
      <c r="H14" s="1338"/>
      <c r="I14" s="944"/>
      <c r="K14" s="2052"/>
      <c r="L14" s="1355" t="s">
        <v>297</v>
      </c>
      <c r="M14" s="1351" t="s">
        <v>298</v>
      </c>
      <c r="N14" s="1352" t="s">
        <v>1282</v>
      </c>
      <c r="O14" s="1353">
        <v>20</v>
      </c>
      <c r="P14" s="1356">
        <v>40</v>
      </c>
      <c r="Q14" s="968">
        <v>1000</v>
      </c>
      <c r="R14" s="971">
        <f t="shared" si="2"/>
        <v>20</v>
      </c>
      <c r="S14" s="972">
        <f t="shared" si="3"/>
        <v>1000</v>
      </c>
    </row>
    <row r="15" spans="1:19" ht="15" customHeight="1">
      <c r="A15" s="1330"/>
      <c r="B15" s="1339" t="s">
        <v>1196</v>
      </c>
      <c r="C15" s="944"/>
      <c r="D15" s="944"/>
      <c r="E15" s="944"/>
      <c r="F15" s="944"/>
      <c r="G15" s="944"/>
      <c r="H15" s="1338"/>
      <c r="I15" s="944"/>
      <c r="K15" s="2052"/>
      <c r="L15" s="1355" t="s">
        <v>301</v>
      </c>
      <c r="M15" s="1351" t="s">
        <v>302</v>
      </c>
      <c r="N15" s="1352" t="s">
        <v>1282</v>
      </c>
      <c r="O15" s="1353">
        <v>20</v>
      </c>
      <c r="P15" s="1354">
        <v>33</v>
      </c>
      <c r="Q15" s="968">
        <v>750</v>
      </c>
      <c r="R15" s="971">
        <f t="shared" si="2"/>
        <v>20</v>
      </c>
      <c r="S15" s="972">
        <f t="shared" si="3"/>
        <v>750</v>
      </c>
    </row>
    <row r="16" spans="1:19" ht="15.75" customHeight="1" thickBot="1">
      <c r="A16" s="1330"/>
      <c r="B16" s="944"/>
      <c r="C16" s="944"/>
      <c r="D16" s="944"/>
      <c r="E16" s="944"/>
      <c r="F16" s="944"/>
      <c r="G16" s="944"/>
      <c r="H16" s="1338"/>
      <c r="I16" s="944"/>
      <c r="K16" s="2053"/>
      <c r="L16" s="975" t="s">
        <v>299</v>
      </c>
      <c r="M16" s="966" t="s">
        <v>300</v>
      </c>
      <c r="N16" s="803" t="s">
        <v>1282</v>
      </c>
      <c r="O16" s="801">
        <v>0.1</v>
      </c>
      <c r="P16" s="976">
        <v>0.2</v>
      </c>
      <c r="Q16" s="977">
        <v>2</v>
      </c>
      <c r="R16" s="978">
        <f>O16</f>
        <v>0.1</v>
      </c>
      <c r="S16" s="979">
        <f t="shared" si="3"/>
        <v>2</v>
      </c>
    </row>
    <row r="17" spans="1:19" ht="24.75" thickBot="1">
      <c r="A17" s="1330"/>
      <c r="B17" s="940" t="s">
        <v>323</v>
      </c>
      <c r="C17" s="941" t="s">
        <v>1202</v>
      </c>
      <c r="D17" s="942" t="s">
        <v>1104</v>
      </c>
      <c r="E17" s="942" t="s">
        <v>2</v>
      </c>
      <c r="F17" s="943" t="s">
        <v>1105</v>
      </c>
      <c r="G17" s="980" t="s">
        <v>994</v>
      </c>
      <c r="H17" s="1340">
        <f>Base.BL!E11</f>
        <v>460</v>
      </c>
      <c r="I17" s="944"/>
      <c r="K17" s="981" t="s">
        <v>1283</v>
      </c>
      <c r="L17" s="982"/>
      <c r="M17" s="983"/>
      <c r="N17" s="984"/>
      <c r="O17" s="983"/>
      <c r="P17" s="983"/>
      <c r="Q17" s="983"/>
      <c r="R17" s="985"/>
      <c r="S17" s="986"/>
    </row>
    <row r="18" spans="1:19" ht="12.75" thickBot="1">
      <c r="A18" s="1330"/>
      <c r="B18" s="2059" t="s">
        <v>1197</v>
      </c>
      <c r="C18" s="987" t="s">
        <v>282</v>
      </c>
      <c r="D18" s="1020">
        <f>Atendimento!F23</f>
        <v>37.000000000001116</v>
      </c>
      <c r="E18" s="1020">
        <f>F3/100*$H$18*1000</f>
        <v>1.984335282909633</v>
      </c>
      <c r="F18" s="1021">
        <f>(H3/100)*$H$18*1000</f>
        <v>3.968670565819266</v>
      </c>
      <c r="G18" s="806" t="s">
        <v>1293</v>
      </c>
      <c r="H18" s="1341">
        <f>IF(Total.MS=0,Base.BC!E12,Total.MS)</f>
        <v>0.99216764145481651</v>
      </c>
      <c r="I18" s="944"/>
      <c r="K18" s="1358"/>
      <c r="L18" s="1359"/>
      <c r="M18" s="1359"/>
      <c r="N18" s="1359"/>
      <c r="O18" s="1359"/>
      <c r="P18" s="1359"/>
      <c r="Q18" s="1359"/>
      <c r="R18" s="1359"/>
      <c r="S18" s="1360"/>
    </row>
    <row r="19" spans="1:19" ht="12.75" thickBot="1">
      <c r="A19" s="1330"/>
      <c r="B19" s="2046"/>
      <c r="C19" s="960" t="s">
        <v>286</v>
      </c>
      <c r="D19" s="1022">
        <f>Atendimento!F24</f>
        <v>45.000000000000007</v>
      </c>
      <c r="E19" s="1022">
        <f>F4/100*$H$18*1000</f>
        <v>0.99216764145481651</v>
      </c>
      <c r="F19" s="1023">
        <v>999</v>
      </c>
      <c r="G19" s="944"/>
      <c r="H19" s="1338"/>
      <c r="I19" s="944"/>
      <c r="K19" s="1358"/>
      <c r="L19" s="988" t="s">
        <v>1202</v>
      </c>
      <c r="M19" s="947" t="s">
        <v>481</v>
      </c>
      <c r="N19" s="989" t="s">
        <v>0</v>
      </c>
      <c r="O19" s="990" t="s">
        <v>1</v>
      </c>
      <c r="P19" s="1359"/>
      <c r="Q19" s="1359"/>
      <c r="R19" s="807" t="s">
        <v>1294</v>
      </c>
      <c r="S19" s="1341">
        <f>Total.MS</f>
        <v>0.99216764145481651</v>
      </c>
    </row>
    <row r="20" spans="1:19">
      <c r="A20" s="1330"/>
      <c r="B20" s="2046"/>
      <c r="C20" s="958" t="s">
        <v>284</v>
      </c>
      <c r="D20" s="1024">
        <f>Atendimento!F25</f>
        <v>111.00000000000001</v>
      </c>
      <c r="E20" s="1024">
        <f>F5/100*$H$18*1000</f>
        <v>6.9451734901837145</v>
      </c>
      <c r="F20" s="1025">
        <f>(H5/100)*$H$18*1000</f>
        <v>29.765029243644495</v>
      </c>
      <c r="G20" s="980" t="s">
        <v>1199</v>
      </c>
      <c r="H20" s="1342">
        <f>Base.BL!E12</f>
        <v>15</v>
      </c>
      <c r="I20" s="944"/>
      <c r="K20" s="1358"/>
      <c r="L20" s="993" t="s">
        <v>277</v>
      </c>
      <c r="M20" s="994" t="s">
        <v>278</v>
      </c>
      <c r="N20" s="995">
        <f>$S$19*R3</f>
        <v>1.984335282909633</v>
      </c>
      <c r="O20" s="996">
        <f>$S$19*S3</f>
        <v>991.17547381336169</v>
      </c>
      <c r="P20" s="1359"/>
      <c r="Q20" s="1359"/>
      <c r="R20" s="1359"/>
      <c r="S20" s="1360"/>
    </row>
    <row r="21" spans="1:19">
      <c r="A21" s="1330"/>
      <c r="B21" s="2047"/>
      <c r="C21" s="960" t="s">
        <v>288</v>
      </c>
      <c r="D21" s="1022">
        <f>Atendimento!F26</f>
        <v>44.000043998157544</v>
      </c>
      <c r="E21" s="1022">
        <f>F6/100*$H$18*1000</f>
        <v>1.4882514621822249</v>
      </c>
      <c r="F21" s="1023">
        <f>(H6/100)*$H$18*1000</f>
        <v>3.968670565819266</v>
      </c>
      <c r="G21" s="997" t="s">
        <v>1200</v>
      </c>
      <c r="H21" s="1343">
        <f>Base.BL!E13</f>
        <v>0</v>
      </c>
      <c r="I21" s="944"/>
      <c r="K21" s="1358"/>
      <c r="L21" s="998" t="s">
        <v>279</v>
      </c>
      <c r="M21" s="1361" t="s">
        <v>280</v>
      </c>
      <c r="N21" s="999">
        <f>$S$19*R4</f>
        <v>1.5874682263277065</v>
      </c>
      <c r="O21" s="1000">
        <f t="shared" ref="O21:O33" si="4">$S$19*S4</f>
        <v>991.17547381336169</v>
      </c>
      <c r="P21" s="1359"/>
      <c r="Q21" s="1359"/>
      <c r="R21" s="1359"/>
      <c r="S21" s="1360"/>
    </row>
    <row r="22" spans="1:19" ht="12.75" thickBot="1">
      <c r="A22" s="1330"/>
      <c r="B22" s="2045" t="s">
        <v>1198</v>
      </c>
      <c r="C22" s="1001" t="s">
        <v>294</v>
      </c>
      <c r="D22" s="1026">
        <f>Atendimento!F27</f>
        <v>391.00000000000006</v>
      </c>
      <c r="E22" s="1026">
        <f>F7*$H$18</f>
        <v>9.9216764145481644</v>
      </c>
      <c r="F22" s="1027">
        <f t="shared" ref="F22:F28" si="5">H7*$H$18</f>
        <v>99.216764145481648</v>
      </c>
      <c r="G22" s="1002" t="s">
        <v>1201</v>
      </c>
      <c r="H22" s="1344">
        <f>Base.BL!E14</f>
        <v>0</v>
      </c>
      <c r="I22" s="944"/>
      <c r="K22" s="1358"/>
      <c r="L22" s="998" t="s">
        <v>281</v>
      </c>
      <c r="M22" s="1361" t="s">
        <v>282</v>
      </c>
      <c r="N22" s="999">
        <f>$S$19*R5</f>
        <v>1.1906011697457797</v>
      </c>
      <c r="O22" s="1000">
        <f t="shared" si="4"/>
        <v>4.9608382072740822</v>
      </c>
      <c r="P22" s="1359"/>
      <c r="Q22" s="1359"/>
      <c r="R22" s="1359"/>
      <c r="S22" s="1360"/>
    </row>
    <row r="23" spans="1:19">
      <c r="A23" s="1330"/>
      <c r="B23" s="2046"/>
      <c r="C23" s="960" t="s">
        <v>302</v>
      </c>
      <c r="D23" s="1022">
        <f>Atendimento!F28</f>
        <v>1170.9999999999998</v>
      </c>
      <c r="E23" s="1022">
        <f>F8*$H$18</f>
        <v>29.765029243644495</v>
      </c>
      <c r="F23" s="1023">
        <f t="shared" si="5"/>
        <v>496.08382072740824</v>
      </c>
      <c r="G23" s="944"/>
      <c r="H23" s="1338"/>
      <c r="I23" s="944"/>
      <c r="K23" s="1358"/>
      <c r="L23" s="998" t="s">
        <v>287</v>
      </c>
      <c r="M23" s="1361" t="s">
        <v>288</v>
      </c>
      <c r="N23" s="999">
        <f t="shared" ref="N23:N33" si="6">$S$19*R6</f>
        <v>1.3890346980367432</v>
      </c>
      <c r="O23" s="1000">
        <f t="shared" si="4"/>
        <v>3.968670565819266</v>
      </c>
      <c r="P23" s="1359"/>
      <c r="Q23" s="1359"/>
      <c r="R23" s="1359"/>
      <c r="S23" s="1360"/>
    </row>
    <row r="24" spans="1:19">
      <c r="A24" s="1330"/>
      <c r="B24" s="2046"/>
      <c r="C24" s="958" t="s">
        <v>308</v>
      </c>
      <c r="D24" s="1024">
        <f>Atendimento!F29</f>
        <v>0</v>
      </c>
      <c r="E24" s="1024">
        <f>F9*$H$18</f>
        <v>49.608382072740824</v>
      </c>
      <c r="F24" s="1025">
        <f t="shared" si="5"/>
        <v>992.16764145481648</v>
      </c>
      <c r="G24" s="944"/>
      <c r="H24" s="1338"/>
      <c r="I24" s="944"/>
      <c r="K24" s="1358"/>
      <c r="L24" s="998" t="s">
        <v>285</v>
      </c>
      <c r="M24" s="1361" t="s">
        <v>286</v>
      </c>
      <c r="N24" s="999">
        <f t="shared" si="6"/>
        <v>0.89295087730933476</v>
      </c>
      <c r="O24" s="1000">
        <f t="shared" si="4"/>
        <v>17.859017546186696</v>
      </c>
      <c r="P24" s="1359"/>
      <c r="Q24" s="1359"/>
      <c r="R24" s="1359"/>
      <c r="S24" s="1360"/>
    </row>
    <row r="25" spans="1:19" ht="12.75" thickBot="1">
      <c r="A25" s="1330"/>
      <c r="B25" s="2046"/>
      <c r="C25" s="960" t="s">
        <v>298</v>
      </c>
      <c r="D25" s="1022">
        <f>Atendimento!F30</f>
        <v>781</v>
      </c>
      <c r="E25" s="1022">
        <f>F10*$H$18</f>
        <v>39.686705658192658</v>
      </c>
      <c r="F25" s="1023">
        <f t="shared" si="5"/>
        <v>992.16764145481648</v>
      </c>
      <c r="G25" s="944"/>
      <c r="H25" s="1338"/>
      <c r="I25" s="944"/>
      <c r="K25" s="1358"/>
      <c r="L25" s="1003" t="s">
        <v>283</v>
      </c>
      <c r="M25" s="1004" t="s">
        <v>284</v>
      </c>
      <c r="N25" s="999">
        <f t="shared" si="6"/>
        <v>4.9608382072740822</v>
      </c>
      <c r="O25" s="1000">
        <f t="shared" si="4"/>
        <v>29.765029243644495</v>
      </c>
      <c r="P25" s="1359"/>
      <c r="Q25" s="1359"/>
      <c r="R25" s="1359"/>
      <c r="S25" s="1360"/>
    </row>
    <row r="26" spans="1:19">
      <c r="A26" s="1330"/>
      <c r="B26" s="2046"/>
      <c r="C26" s="958" t="s">
        <v>296</v>
      </c>
      <c r="D26" s="1024">
        <f>Atendimento!F31</f>
        <v>20</v>
      </c>
      <c r="E26" s="1024">
        <f t="shared" ref="E26:E28" si="7">F11*$H$18</f>
        <v>0.49608382072740825</v>
      </c>
      <c r="F26" s="1025">
        <f t="shared" si="5"/>
        <v>49.608382072740824</v>
      </c>
      <c r="G26" s="944"/>
      <c r="H26" s="1338"/>
      <c r="I26" s="944"/>
      <c r="K26" s="1358"/>
      <c r="L26" s="998" t="s">
        <v>295</v>
      </c>
      <c r="M26" s="1361" t="s">
        <v>296</v>
      </c>
      <c r="N26" s="1005">
        <f t="shared" si="6"/>
        <v>9.9216764145481653E-2</v>
      </c>
      <c r="O26" s="1006">
        <f t="shared" si="4"/>
        <v>49.608382072740824</v>
      </c>
      <c r="P26" s="1359"/>
      <c r="Q26" s="1359"/>
      <c r="R26" s="1359"/>
      <c r="S26" s="1360"/>
    </row>
    <row r="27" spans="1:19">
      <c r="A27" s="1330"/>
      <c r="B27" s="2046"/>
      <c r="C27" s="960" t="s">
        <v>292</v>
      </c>
      <c r="D27" s="1022">
        <f>Atendimento!F32</f>
        <v>4</v>
      </c>
      <c r="E27" s="1022">
        <f t="shared" si="7"/>
        <v>0.19843352829096331</v>
      </c>
      <c r="F27" s="1023">
        <f t="shared" si="5"/>
        <v>9.9216764145481644</v>
      </c>
      <c r="G27" s="944"/>
      <c r="H27" s="1338"/>
      <c r="I27" s="944"/>
      <c r="K27" s="1358"/>
      <c r="L27" s="998" t="s">
        <v>307</v>
      </c>
      <c r="M27" s="1361" t="s">
        <v>308</v>
      </c>
      <c r="N27" s="1007">
        <f t="shared" si="6"/>
        <v>29.765029243644495</v>
      </c>
      <c r="O27" s="1008">
        <f t="shared" si="4"/>
        <v>496.08382072740824</v>
      </c>
      <c r="P27" s="1359"/>
      <c r="Q27" s="1359"/>
      <c r="R27" s="1359"/>
      <c r="S27" s="1360"/>
    </row>
    <row r="28" spans="1:19">
      <c r="A28" s="1330"/>
      <c r="B28" s="2047"/>
      <c r="C28" s="958" t="s">
        <v>300</v>
      </c>
      <c r="D28" s="1024">
        <f>Atendimento!F33</f>
        <v>8.0000000000000018</v>
      </c>
      <c r="E28" s="1024">
        <f t="shared" si="7"/>
        <v>0.19843352829096331</v>
      </c>
      <c r="F28" s="1025">
        <f t="shared" si="5"/>
        <v>1.984335282909633</v>
      </c>
      <c r="G28" s="944"/>
      <c r="H28" s="1338"/>
      <c r="I28" s="944"/>
      <c r="K28" s="1358"/>
      <c r="L28" s="998" t="s">
        <v>293</v>
      </c>
      <c r="M28" s="1362" t="s">
        <v>294</v>
      </c>
      <c r="N28" s="1007">
        <f t="shared" si="6"/>
        <v>6.9451734901837154</v>
      </c>
      <c r="O28" s="1008">
        <f t="shared" si="4"/>
        <v>24.804191036370412</v>
      </c>
      <c r="P28" s="1359"/>
      <c r="Q28" s="1359"/>
      <c r="R28" s="1359"/>
      <c r="S28" s="1360"/>
    </row>
    <row r="29" spans="1:19">
      <c r="A29" s="1330"/>
      <c r="B29" s="1009" t="s">
        <v>1108</v>
      </c>
      <c r="C29" s="1010"/>
      <c r="D29" s="1011"/>
      <c r="E29" s="1011"/>
      <c r="F29" s="1012">
        <f>H18*0.28</f>
        <v>0.27780693960734865</v>
      </c>
      <c r="G29" s="944"/>
      <c r="H29" s="1338"/>
      <c r="I29" s="944"/>
      <c r="K29" s="1358"/>
      <c r="L29" s="998" t="s">
        <v>425</v>
      </c>
      <c r="M29" s="1361" t="s">
        <v>426</v>
      </c>
      <c r="N29" s="1007">
        <f t="shared" si="6"/>
        <v>0.49608382072740825</v>
      </c>
      <c r="O29" s="1008">
        <f t="shared" si="4"/>
        <v>9.9216764145481644</v>
      </c>
      <c r="P29" s="1359"/>
      <c r="Q29" s="1359"/>
      <c r="R29" s="1359"/>
      <c r="S29" s="1360"/>
    </row>
    <row r="30" spans="1:19">
      <c r="A30" s="1330"/>
      <c r="B30" s="1013" t="s">
        <v>1112</v>
      </c>
      <c r="C30" s="958"/>
      <c r="D30" s="991"/>
      <c r="E30" s="991"/>
      <c r="F30" s="992">
        <f>H18*0.18</f>
        <v>0.17859017546186695</v>
      </c>
      <c r="G30" s="1014"/>
      <c r="H30" s="1345"/>
      <c r="I30" s="1014"/>
      <c r="K30" s="1358"/>
      <c r="L30" s="998" t="s">
        <v>291</v>
      </c>
      <c r="M30" s="1361" t="s">
        <v>292</v>
      </c>
      <c r="N30" s="1007">
        <f t="shared" si="6"/>
        <v>9.9216764145481653E-2</v>
      </c>
      <c r="O30" s="1008">
        <f t="shared" si="4"/>
        <v>9.9216764145481644</v>
      </c>
      <c r="P30" s="1359"/>
      <c r="Q30" s="1359"/>
      <c r="R30" s="1359"/>
      <c r="S30" s="1360"/>
    </row>
    <row r="31" spans="1:19" ht="12.75" thickBot="1">
      <c r="A31" s="1330"/>
      <c r="B31" s="1015" t="s">
        <v>1115</v>
      </c>
      <c r="C31" s="973"/>
      <c r="D31" s="1016"/>
      <c r="E31" s="1016"/>
      <c r="F31" s="1017">
        <f>(0.05*$H$18)*1000</f>
        <v>49.608382072740824</v>
      </c>
      <c r="G31" s="944"/>
      <c r="H31" s="1338"/>
      <c r="I31" s="944"/>
      <c r="K31" s="1358"/>
      <c r="L31" s="998" t="s">
        <v>297</v>
      </c>
      <c r="M31" s="1361" t="s">
        <v>298</v>
      </c>
      <c r="N31" s="1007">
        <f t="shared" si="6"/>
        <v>19.843352829096329</v>
      </c>
      <c r="O31" s="1008">
        <f t="shared" si="4"/>
        <v>992.16764145481648</v>
      </c>
      <c r="P31" s="1359"/>
      <c r="Q31" s="1359"/>
      <c r="R31" s="1359"/>
      <c r="S31" s="1360"/>
    </row>
    <row r="32" spans="1:19">
      <c r="A32" s="1330"/>
      <c r="B32" s="938"/>
      <c r="C32" s="938"/>
      <c r="D32" s="938"/>
      <c r="E32" s="938"/>
      <c r="F32" s="938"/>
      <c r="G32" s="938"/>
      <c r="H32" s="1346"/>
      <c r="I32" s="938"/>
      <c r="K32" s="1358"/>
      <c r="L32" s="998" t="s">
        <v>301</v>
      </c>
      <c r="M32" s="1361" t="s">
        <v>302</v>
      </c>
      <c r="N32" s="1007">
        <f t="shared" si="6"/>
        <v>19.843352829096329</v>
      </c>
      <c r="O32" s="1008">
        <f t="shared" si="4"/>
        <v>744.12573109111236</v>
      </c>
      <c r="P32" s="1359"/>
      <c r="Q32" s="1359"/>
      <c r="R32" s="1359"/>
      <c r="S32" s="1360"/>
    </row>
    <row r="33" spans="1:19" ht="12.75" thickBot="1">
      <c r="A33" s="1347"/>
      <c r="B33" s="1348"/>
      <c r="C33" s="1348"/>
      <c r="D33" s="1348"/>
      <c r="E33" s="1348"/>
      <c r="F33" s="1348"/>
      <c r="G33" s="1348"/>
      <c r="H33" s="1349"/>
      <c r="I33" s="938"/>
      <c r="K33" s="1363"/>
      <c r="L33" s="1003" t="s">
        <v>299</v>
      </c>
      <c r="M33" s="1004" t="s">
        <v>300</v>
      </c>
      <c r="N33" s="1018">
        <f t="shared" si="6"/>
        <v>9.9216764145481653E-2</v>
      </c>
      <c r="O33" s="1019">
        <f t="shared" si="4"/>
        <v>1.984335282909633</v>
      </c>
      <c r="P33" s="1364"/>
      <c r="Q33" s="1364"/>
      <c r="R33" s="1364"/>
      <c r="S33" s="1365"/>
    </row>
  </sheetData>
  <mergeCells count="6">
    <mergeCell ref="B22:B28"/>
    <mergeCell ref="K3:K8"/>
    <mergeCell ref="K9:K16"/>
    <mergeCell ref="B3:B6"/>
    <mergeCell ref="B7:B13"/>
    <mergeCell ref="B18:B21"/>
  </mergeCells>
  <conditionalFormatting sqref="D18:D28">
    <cfRule type="expression" dxfId="113" priority="1">
      <formula>F18&lt;D18</formula>
    </cfRule>
  </conditionalFormatting>
  <pageMargins left="0.25" right="0.25" top="0.75" bottom="0.75" header="0.3" footer="0.3"/>
  <pageSetup paperSize="9" scale="78" fitToHeight="0" orientation="landscape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5151B-849C-4E82-9DF4-820175096385}">
  <sheetPr codeName="Planilha20">
    <tabColor rgb="FFFFFF00"/>
    <pageSetUpPr fitToPage="1"/>
  </sheetPr>
  <dimension ref="A1:BD189"/>
  <sheetViews>
    <sheetView showGridLines="0" showRowColHeaders="0" showZeros="0" zoomScaleNormal="100" workbookViewId="0">
      <pane ySplit="14" topLeftCell="A15" activePane="bottomLeft" state="frozen"/>
      <selection activeCell="G2" sqref="G2"/>
      <selection pane="bottomLeft" activeCell="B15" sqref="B15"/>
    </sheetView>
  </sheetViews>
  <sheetFormatPr defaultColWidth="0" defaultRowHeight="18" zeroHeight="1"/>
  <cols>
    <col min="1" max="1" width="20.375" style="598" customWidth="1"/>
    <col min="2" max="2" width="49" style="702" customWidth="1"/>
    <col min="3" max="3" width="12" style="702" customWidth="1"/>
    <col min="4" max="4" width="8.875" style="702" customWidth="1"/>
    <col min="5" max="5" width="10.5" style="702" customWidth="1"/>
    <col min="6" max="6" width="13.125" style="702" customWidth="1"/>
    <col min="7" max="7" width="14.25" style="702" customWidth="1"/>
    <col min="8" max="8" width="10" style="702" customWidth="1"/>
    <col min="9" max="9" width="3.625" style="598" customWidth="1"/>
    <col min="10" max="10" width="8.875" style="598" customWidth="1"/>
    <col min="11" max="12" width="9" style="598" customWidth="1"/>
    <col min="13" max="13" width="9" style="598" hidden="1" customWidth="1"/>
    <col min="14" max="14" width="6.5" style="598" hidden="1" customWidth="1"/>
    <col min="15" max="15" width="5.75" style="598" hidden="1" customWidth="1"/>
    <col min="16" max="17" width="6.5" style="598" hidden="1" customWidth="1"/>
    <col min="18" max="16384" width="9" style="598" hidden="1"/>
  </cols>
  <sheetData>
    <row r="1" spans="1:14" ht="60.75" customHeight="1">
      <c r="A1" s="1535"/>
      <c r="B1" s="1536"/>
      <c r="C1" s="1536"/>
      <c r="D1" s="1536"/>
      <c r="E1" s="1536"/>
      <c r="F1" s="1536"/>
      <c r="G1" s="1536"/>
      <c r="H1" s="1536"/>
      <c r="I1" s="1536"/>
      <c r="J1" s="1536"/>
      <c r="K1" s="1536"/>
      <c r="L1" s="1536"/>
      <c r="M1" s="599"/>
      <c r="N1" s="599"/>
    </row>
    <row r="2" spans="1:14" ht="9.75" customHeight="1" thickBot="1">
      <c r="A2" s="1536"/>
      <c r="B2" s="599"/>
      <c r="C2" s="599"/>
      <c r="D2" s="599"/>
      <c r="E2" s="599"/>
      <c r="F2" s="599"/>
      <c r="G2" s="599"/>
      <c r="H2" s="599"/>
      <c r="I2" s="1536"/>
      <c r="J2" s="1536"/>
      <c r="K2" s="1536"/>
      <c r="L2" s="1536"/>
      <c r="M2" s="599"/>
      <c r="N2" s="599"/>
    </row>
    <row r="3" spans="1:14" ht="23.25" customHeight="1" thickBot="1">
      <c r="A3" s="1536"/>
      <c r="B3" s="599"/>
      <c r="C3" s="599"/>
      <c r="D3" s="599"/>
      <c r="E3" s="599"/>
      <c r="F3" s="751">
        <f>Base.BC!AF9</f>
        <v>20</v>
      </c>
      <c r="G3" s="599"/>
      <c r="H3" s="1039">
        <f>Base.BC!$AF$8</f>
        <v>33</v>
      </c>
      <c r="I3" s="1536"/>
      <c r="J3" s="1536"/>
      <c r="K3" s="1536"/>
      <c r="L3" s="1536"/>
      <c r="M3" s="599"/>
      <c r="N3" s="599"/>
    </row>
    <row r="4" spans="1:14" ht="4.5" customHeight="1" thickBot="1">
      <c r="A4" s="1536"/>
      <c r="B4" s="599"/>
      <c r="C4" s="599"/>
      <c r="D4" s="599"/>
      <c r="E4" s="599"/>
      <c r="F4" s="599"/>
      <c r="G4" s="599"/>
      <c r="H4" s="599"/>
      <c r="I4" s="1536"/>
      <c r="J4" s="1536"/>
      <c r="K4" s="1536"/>
      <c r="L4" s="1536"/>
      <c r="M4" s="599"/>
      <c r="N4" s="599"/>
    </row>
    <row r="5" spans="1:14" ht="22.5" customHeight="1" thickBot="1">
      <c r="A5" s="1536"/>
      <c r="B5" s="599"/>
      <c r="C5" s="748">
        <v>251</v>
      </c>
      <c r="D5" s="599"/>
      <c r="E5" s="599"/>
      <c r="F5" s="752">
        <v>185</v>
      </c>
      <c r="G5" s="599"/>
      <c r="H5" s="751">
        <f>Base.BC!$AY$190</f>
        <v>5</v>
      </c>
      <c r="I5" s="1536"/>
      <c r="J5" s="1536"/>
      <c r="K5" s="1536"/>
      <c r="L5" s="1536"/>
      <c r="M5" s="599"/>
      <c r="N5" s="599"/>
    </row>
    <row r="6" spans="1:14" ht="4.5" customHeight="1" thickBot="1">
      <c r="A6" s="1536"/>
      <c r="B6" s="599"/>
      <c r="C6" s="599"/>
      <c r="D6" s="599"/>
      <c r="E6" s="599"/>
      <c r="F6" s="599"/>
      <c r="G6" s="599"/>
      <c r="H6" s="599"/>
      <c r="I6" s="1536"/>
      <c r="J6" s="1536"/>
      <c r="K6" s="1536"/>
      <c r="L6" s="1536"/>
      <c r="M6" s="599"/>
      <c r="N6" s="599"/>
    </row>
    <row r="7" spans="1:14" ht="21" customHeight="1" thickBot="1">
      <c r="A7" s="1536"/>
      <c r="B7" s="599"/>
      <c r="C7" s="750">
        <f>GMD.2</f>
        <v>0.5</v>
      </c>
      <c r="D7" s="2060"/>
      <c r="E7" s="2060"/>
      <c r="F7" s="2060"/>
      <c r="G7" s="2060"/>
      <c r="H7" s="2060"/>
      <c r="I7" s="1536"/>
      <c r="J7" s="1536"/>
      <c r="K7" s="1536"/>
      <c r="L7" s="1536"/>
      <c r="M7" s="599"/>
      <c r="N7" s="599"/>
    </row>
    <row r="8" spans="1:14" ht="4.5" customHeight="1">
      <c r="A8" s="1536"/>
      <c r="B8" s="599"/>
      <c r="C8" s="599"/>
      <c r="D8" s="749"/>
      <c r="E8" s="2060"/>
      <c r="F8" s="2060"/>
      <c r="G8" s="2060"/>
      <c r="H8" s="2060"/>
      <c r="I8" s="1536"/>
      <c r="J8" s="1536"/>
      <c r="K8" s="1536"/>
      <c r="L8" s="1536"/>
      <c r="M8" s="599"/>
      <c r="N8" s="599"/>
    </row>
    <row r="9" spans="1:14" ht="0.75" customHeight="1">
      <c r="A9" s="1536"/>
      <c r="B9" s="599"/>
      <c r="C9" s="599"/>
      <c r="D9" s="2060"/>
      <c r="E9" s="2060"/>
      <c r="F9" s="2060"/>
      <c r="G9" s="2060"/>
      <c r="H9" s="2060"/>
      <c r="I9" s="1536"/>
      <c r="J9" s="1536"/>
      <c r="K9" s="1536"/>
      <c r="L9" s="1536"/>
      <c r="M9" s="599"/>
      <c r="N9" s="599"/>
    </row>
    <row r="10" spans="1:14" ht="0.75" customHeight="1">
      <c r="A10" s="1536"/>
      <c r="B10" s="599"/>
      <c r="C10" s="599"/>
      <c r="D10" s="749"/>
      <c r="E10" s="599"/>
      <c r="F10" s="599"/>
      <c r="G10" s="599"/>
      <c r="H10" s="599"/>
      <c r="I10" s="1536"/>
      <c r="J10" s="1536"/>
      <c r="K10" s="1536"/>
      <c r="L10" s="1536"/>
      <c r="M10" s="599"/>
      <c r="N10" s="599"/>
    </row>
    <row r="11" spans="1:14" ht="0.75" hidden="1" customHeight="1">
      <c r="A11" s="1536"/>
      <c r="B11" s="599"/>
      <c r="C11" s="599"/>
      <c r="D11" s="599"/>
      <c r="E11" s="599"/>
      <c r="F11" s="599"/>
      <c r="G11" s="599"/>
      <c r="H11" s="599"/>
      <c r="I11" s="1536"/>
      <c r="J11" s="1536"/>
      <c r="K11" s="1536"/>
      <c r="L11" s="1536"/>
      <c r="M11" s="599"/>
      <c r="N11" s="599"/>
    </row>
    <row r="12" spans="1:14" ht="20.25" customHeight="1">
      <c r="A12" s="1536"/>
      <c r="B12" s="2063" t="s">
        <v>501</v>
      </c>
      <c r="C12" s="2064"/>
      <c r="D12" s="2064"/>
      <c r="E12" s="2064"/>
      <c r="F12" s="2064"/>
      <c r="G12" s="2064"/>
      <c r="H12" s="2064"/>
      <c r="I12" s="1536"/>
      <c r="J12" s="1536"/>
      <c r="K12" s="1536"/>
      <c r="L12" s="1536"/>
      <c r="M12" s="599"/>
      <c r="N12" s="599"/>
    </row>
    <row r="13" spans="1:14" ht="17.25" customHeight="1">
      <c r="A13" s="1536"/>
      <c r="B13" s="2065" t="str">
        <f>SUBSTITUTE('Calc.Exg'!C23&amp;", "&amp;'Calc.Exg'!C24&amp;", "&amp;'Calc.Exg'!C25&amp;", "&amp;'Calc.Exg'!C26&amp;", "&amp;'Calc.Exg'!C29&amp;" kg PV"&amp;", "&amp;"GMD "&amp;'Calc.Exg'!C30&amp;"kg",",",".")</f>
        <v>Zebuíno. Corte. Macho não castrado. Confinamento. 251 kg PV. GMD 0.5kg</v>
      </c>
      <c r="C13" s="2065"/>
      <c r="D13" s="2065"/>
      <c r="E13" s="2065"/>
      <c r="F13" s="2065"/>
      <c r="G13" s="2065"/>
      <c r="H13" s="2065"/>
      <c r="I13" s="1536"/>
      <c r="J13" s="1536"/>
      <c r="K13" s="1536"/>
      <c r="L13" s="1536"/>
      <c r="M13" s="599"/>
      <c r="N13" s="599"/>
    </row>
    <row r="14" spans="1:14" ht="18" customHeight="1">
      <c r="A14" s="1536"/>
      <c r="B14" s="753" t="s">
        <v>2</v>
      </c>
      <c r="C14" s="754" t="s">
        <v>257</v>
      </c>
      <c r="D14" s="754" t="s">
        <v>5</v>
      </c>
      <c r="E14" s="754" t="s">
        <v>0</v>
      </c>
      <c r="F14" s="754" t="s">
        <v>1189</v>
      </c>
      <c r="G14" s="754" t="s">
        <v>1</v>
      </c>
      <c r="H14" s="754" t="s">
        <v>1190</v>
      </c>
      <c r="I14" s="1536"/>
      <c r="J14" s="1536"/>
      <c r="K14" s="1536"/>
      <c r="L14" s="1536"/>
      <c r="M14" s="599"/>
      <c r="N14" s="599"/>
    </row>
    <row r="15" spans="1:14" ht="15">
      <c r="A15" s="1536"/>
      <c r="B15" s="1366" t="str">
        <f>Atendimento!B7</f>
        <v>Matéria Seca</v>
      </c>
      <c r="C15" s="1367" t="str">
        <f>Atendimento!C7</f>
        <v>MS</v>
      </c>
      <c r="D15" s="1367" t="str">
        <f>Atendimento!D7</f>
        <v>kg</v>
      </c>
      <c r="E15" s="1368">
        <f>IFERROR(INDEX(Base.BC!$D$12:$D$51,MATCH(BC!C15,Base.BC!$C$12:$C$51,0)),0)</f>
        <v>0</v>
      </c>
      <c r="F15" s="1369">
        <v>0</v>
      </c>
      <c r="G15" s="1370">
        <f>IFERROR(INDEX(Base.BC!$E$12:$E$51,MATCH(BC!C15,Base.BC!$C$12:$C$51,0)),99999)</f>
        <v>5.0695742149295242</v>
      </c>
      <c r="H15" s="1371">
        <v>1</v>
      </c>
      <c r="I15" s="1536"/>
      <c r="J15" s="1538" t="str">
        <f ca="1">TEXT(TODAY(),"AAMMDD")&amp;TEXT(NOW(),"hhmmss")&amp;" "&amp;"Ficha de Exigência "&amp;B13</f>
        <v>240107120423 Ficha de Exigência Zebuíno. Corte. Macho não castrado. Confinamento. 251 kg PV. GMD 0.5kg</v>
      </c>
      <c r="K15" s="1536"/>
      <c r="L15" s="1536"/>
      <c r="M15" s="599"/>
      <c r="N15" s="599"/>
    </row>
    <row r="16" spans="1:14" ht="15">
      <c r="A16" s="1536"/>
      <c r="B16" s="1372" t="str">
        <f>Atendimento!B8</f>
        <v>Fibra em 
Detergente Neutro</v>
      </c>
      <c r="C16" s="1373" t="str">
        <f>Atendimento!C8</f>
        <v>FDN</v>
      </c>
      <c r="D16" s="1373" t="str">
        <f>Atendimento!D8</f>
        <v>kg</v>
      </c>
      <c r="E16" s="1374">
        <f>IFERROR(INDEX(Base.BC!$D$12:$D$51,MATCH(BC!C16,Base.BC!$C$12:$C$51,0)),0)</f>
        <v>1.4194807801802669</v>
      </c>
      <c r="F16" s="1375">
        <f>E16/G15</f>
        <v>0.28000000000000003</v>
      </c>
      <c r="G16" s="1376">
        <f>IFERROR(INDEX(Base.BC!$E$12:$E$51,MATCH(BC!C16,Base.BC!$C$12:$C$51,0)),99999)</f>
        <v>9999</v>
      </c>
      <c r="H16" s="1375">
        <f>IF(G16/$G$15&gt;100%,100%,G16/$G$15)</f>
        <v>1</v>
      </c>
      <c r="I16" s="1536"/>
      <c r="J16" s="1536"/>
      <c r="K16" s="1536"/>
      <c r="L16" s="1536"/>
      <c r="M16" s="599"/>
      <c r="N16" s="599"/>
    </row>
    <row r="17" spans="1:14" ht="15">
      <c r="A17" s="1536"/>
      <c r="B17" s="1366" t="str">
        <f>Atendimento!B9</f>
        <v>Fibra em 
Detergente Ácido</v>
      </c>
      <c r="C17" s="1367" t="str">
        <f>Atendimento!C9</f>
        <v>FDA</v>
      </c>
      <c r="D17" s="1367" t="str">
        <f>Atendimento!D9</f>
        <v>kg</v>
      </c>
      <c r="E17" s="1368">
        <f>IFERROR(INDEX(Base.BC!$D$12:$D$51,MATCH(BC!C17,Base.BC!$C$12:$C$51,0)),0)</f>
        <v>1.0646105851352001</v>
      </c>
      <c r="F17" s="1371">
        <f>E17/G15</f>
        <v>0.21000000000000002</v>
      </c>
      <c r="G17" s="1370">
        <f>IFERROR(INDEX(Base.BC!$E$12:$E$51,MATCH(BC!C17,Base.BC!$C$12:$C$51,0)),99999)</f>
        <v>99999</v>
      </c>
      <c r="H17" s="1371">
        <f t="shared" ref="H17:H19" si="0">IF(G17/$G$15&gt;100%,100%,G17/$G$15)</f>
        <v>1</v>
      </c>
      <c r="I17" s="1536"/>
      <c r="J17" s="1536"/>
      <c r="K17" s="1536"/>
      <c r="L17" s="1536"/>
      <c r="M17" s="599"/>
      <c r="N17" s="599"/>
    </row>
    <row r="18" spans="1:14" ht="15">
      <c r="A18" s="1536"/>
      <c r="B18" s="1372" t="str">
        <f>Atendimento!B10</f>
        <v>Carboidratos Não Fibrosos</v>
      </c>
      <c r="C18" s="1373" t="str">
        <f>Atendimento!C10</f>
        <v>CNF</v>
      </c>
      <c r="D18" s="1373" t="str">
        <f>Atendimento!D10</f>
        <v>kg</v>
      </c>
      <c r="E18" s="1374">
        <f>IFERROR(INDEX(Base.BC!$D$12:$D$51,MATCH(BC!C18,Base.BC!$C$12:$C$51,0)),0)</f>
        <v>0</v>
      </c>
      <c r="F18" s="1375">
        <f>E18/G15</f>
        <v>0</v>
      </c>
      <c r="G18" s="1376">
        <f>IFERROR(INDEX(Base.BC!$E$12:$E$51,MATCH(BC!C18,Base.BC!$C$12:$C$51,0)),99999)</f>
        <v>99999</v>
      </c>
      <c r="H18" s="1375">
        <f t="shared" si="0"/>
        <v>1</v>
      </c>
      <c r="I18" s="1536"/>
      <c r="J18" s="1536"/>
      <c r="K18" s="1536"/>
      <c r="L18" s="1536"/>
      <c r="M18" s="599"/>
      <c r="N18" s="1040"/>
    </row>
    <row r="19" spans="1:14" ht="15">
      <c r="A19" s="1536"/>
      <c r="B19" s="1366" t="str">
        <f>Atendimento!B11</f>
        <v>Nutrientes Digestíveis Totais</v>
      </c>
      <c r="C19" s="1367" t="str">
        <f>Atendimento!C11</f>
        <v>NDT</v>
      </c>
      <c r="D19" s="1367" t="str">
        <f>Atendimento!D11</f>
        <v>kg</v>
      </c>
      <c r="E19" s="1368">
        <f>IFERROR(INDEX(Base.BC!$D$12:$D$51,MATCH(BC!C19,Base.BC!$C$12:$C$51,0)),0)</f>
        <v>2.6341239542602399</v>
      </c>
      <c r="F19" s="1371">
        <f>E19/G15</f>
        <v>0.51959471201801088</v>
      </c>
      <c r="G19" s="1370">
        <f>IFERROR(INDEX(Base.BC!$E$12:$E$51,MATCH(BC!C19,Base.BC!$C$12:$C$51,0)),99999)</f>
        <v>9999</v>
      </c>
      <c r="H19" s="1371">
        <f t="shared" si="0"/>
        <v>1</v>
      </c>
      <c r="I19" s="1536"/>
      <c r="J19" s="1536"/>
      <c r="K19" s="1536"/>
      <c r="L19" s="1536"/>
      <c r="M19" s="599"/>
      <c r="N19" s="599"/>
    </row>
    <row r="20" spans="1:14" ht="15">
      <c r="A20" s="1536"/>
      <c r="B20" s="1372" t="str">
        <f>Atendimento!B12</f>
        <v>Energia Digestível (Bovinos)</v>
      </c>
      <c r="C20" s="1373" t="str">
        <f>Atendimento!C12</f>
        <v>ED</v>
      </c>
      <c r="D20" s="1373" t="str">
        <f>Atendimento!D12</f>
        <v>Mcal</v>
      </c>
      <c r="E20" s="1374">
        <f>IFERROR(INDEX(Base.BC!$D$12:$D$51,MATCH(BC!C20,Base.BC!$C$12:$C$51,0)),0)</f>
        <v>0</v>
      </c>
      <c r="F20" s="1377">
        <v>0</v>
      </c>
      <c r="G20" s="1376">
        <f>IFERROR(INDEX(Base.BC!$E$12:$E$51,MATCH(BC!C20,Base.BC!$C$12:$C$51,0)),99999)</f>
        <v>99999</v>
      </c>
      <c r="H20" s="1375">
        <v>1</v>
      </c>
      <c r="I20" s="1536"/>
      <c r="J20" s="1536"/>
      <c r="K20" s="1536"/>
      <c r="L20" s="1536"/>
      <c r="M20" s="599"/>
      <c r="N20" s="599"/>
    </row>
    <row r="21" spans="1:14" ht="15">
      <c r="A21" s="1536"/>
      <c r="B21" s="1366" t="str">
        <f>Atendimento!B13</f>
        <v>Energia Metabolizável (Bovinos)</v>
      </c>
      <c r="C21" s="1367" t="str">
        <f>Atendimento!C13</f>
        <v>EM</v>
      </c>
      <c r="D21" s="1367" t="str">
        <f>Atendimento!D13</f>
        <v>Mcal</v>
      </c>
      <c r="E21" s="1368">
        <f>IFERROR(INDEX(Base.BC!$D$12:$D$51,MATCH(BC!C21,Base.BC!$C$12:$C$51,0)),0)</f>
        <v>0</v>
      </c>
      <c r="F21" s="1369">
        <v>0</v>
      </c>
      <c r="G21" s="1370">
        <f>IFERROR(INDEX(Base.BC!$E$12:$E$51,MATCH(BC!C21,Base.BC!$C$12:$C$51,0)),99999)</f>
        <v>99999</v>
      </c>
      <c r="H21" s="1371">
        <v>1</v>
      </c>
      <c r="I21" s="1536"/>
      <c r="J21" s="1536"/>
      <c r="K21" s="1536"/>
      <c r="L21" s="1536"/>
      <c r="M21" s="599"/>
      <c r="N21" s="1041"/>
    </row>
    <row r="22" spans="1:14" ht="15">
      <c r="A22" s="1536"/>
      <c r="B22" s="1372" t="str">
        <f>Atendimento!B14</f>
        <v>Energia Líquida (Bovinos)</v>
      </c>
      <c r="C22" s="1373" t="str">
        <f>Atendimento!C14</f>
        <v>EL</v>
      </c>
      <c r="D22" s="1373" t="str">
        <f>Atendimento!D14</f>
        <v>Mcal</v>
      </c>
      <c r="E22" s="1374">
        <f>IFERROR(INDEX(Base.BC!$D$12:$D$51,MATCH(BC!C22,Base.BC!$C$12:$C$51,0)),0)</f>
        <v>0</v>
      </c>
      <c r="F22" s="1377">
        <v>0</v>
      </c>
      <c r="G22" s="1376">
        <f>IFERROR(INDEX(Base.BC!$E$12:$E$51,MATCH(BC!C22,Base.BC!$C$12:$C$51,0)),99999)</f>
        <v>99999</v>
      </c>
      <c r="H22" s="1375">
        <v>1</v>
      </c>
      <c r="I22" s="1536"/>
      <c r="J22" s="1536"/>
      <c r="K22" s="1536"/>
      <c r="L22" s="1536"/>
      <c r="M22" s="599"/>
      <c r="N22" s="599"/>
    </row>
    <row r="23" spans="1:14" ht="15">
      <c r="A23" s="1536"/>
      <c r="B23" s="1366" t="str">
        <f>Atendimento!B15</f>
        <v>Gordura</v>
      </c>
      <c r="C23" s="1367" t="str">
        <f>Atendimento!C15</f>
        <v>EE</v>
      </c>
      <c r="D23" s="1367" t="str">
        <f>Atendimento!D15</f>
        <v>g</v>
      </c>
      <c r="E23" s="1378">
        <f>IFERROR(INDEX(Base.BC!$D$12:$D$51,MATCH(BC!C23,Base.BC!$C$12:$C$51,0)),0)</f>
        <v>0</v>
      </c>
      <c r="F23" s="1369">
        <v>0</v>
      </c>
      <c r="G23" s="1379">
        <f>IFERROR(INDEX(Base.BC!$E$12:$E$51,MATCH(BC!C23,Base.BC!$C$12:$C$51,0)),99999)</f>
        <v>304.17445289577142</v>
      </c>
      <c r="H23" s="1371">
        <f>IF(G23/1000/$G$15&gt;100%,100%,G23/1000/$G$15)</f>
        <v>0.06</v>
      </c>
      <c r="I23" s="1536"/>
      <c r="J23" s="1536"/>
      <c r="K23" s="1536"/>
      <c r="L23" s="1536"/>
      <c r="M23" s="599"/>
      <c r="N23" s="1040"/>
    </row>
    <row r="24" spans="1:14" ht="15">
      <c r="A24" s="1536"/>
      <c r="B24" s="1372" t="str">
        <f>Atendimento!B16</f>
        <v>Proteína Bruta</v>
      </c>
      <c r="C24" s="1373" t="str">
        <f>Atendimento!C16</f>
        <v>PB</v>
      </c>
      <c r="D24" s="1373" t="str">
        <f>Atendimento!D16</f>
        <v>g</v>
      </c>
      <c r="E24" s="1380">
        <f>IFERROR(INDEX(Base.BC!$D$12:$D$51,MATCH(BC!C24,Base.BC!$C$12:$C$51,0)),0)</f>
        <v>443.50608304644629</v>
      </c>
      <c r="F24" s="1375">
        <f t="shared" ref="F24:F34" si="1">E24/1000/G$15</f>
        <v>8.7483891988473783E-2</v>
      </c>
      <c r="G24" s="1381">
        <f>IFERROR(INDEX(Base.BC!$E$12:$E$51,MATCH(BC!C24,Base.BC!$C$12:$C$51,0)),99999)</f>
        <v>9999</v>
      </c>
      <c r="H24" s="1375">
        <f t="shared" ref="H24:H31" si="2">IF(G24/1000/$G$15&gt;100%,100%,G24/1000/$G$15)</f>
        <v>1</v>
      </c>
      <c r="I24" s="1536"/>
      <c r="J24" s="1536"/>
      <c r="K24" s="1536"/>
      <c r="L24" s="1536"/>
      <c r="M24" s="599"/>
      <c r="N24" s="599"/>
    </row>
    <row r="25" spans="1:14" ht="15">
      <c r="A25" s="1536"/>
      <c r="B25" s="1366" t="str">
        <f>Atendimento!B17</f>
        <v>Proteína Degradável no Rúmen</v>
      </c>
      <c r="C25" s="1367" t="str">
        <f>Atendimento!C17</f>
        <v>PDR</v>
      </c>
      <c r="D25" s="1367" t="str">
        <f>Atendimento!D17</f>
        <v>g</v>
      </c>
      <c r="E25" s="1380">
        <f>IFERROR(IF(OR(INDEX(Base.BC!$D$12:$D$51,MATCH(BC!C25,Base.BC!$C$12:$C$51,0))&gt;E24,INDEX(Base.BC!$D$12:$D$51,MATCH(BC!C25,Base.BC!$C$12:$C$51,0))&lt;0),0,INDEX(Base.BC!$D$12:$D$51,MATCH(BC!C25,Base.BC!$C$12:$C$51,0))),0)</f>
        <v>0</v>
      </c>
      <c r="F25" s="1371">
        <f>E25/1000/G$15</f>
        <v>0</v>
      </c>
      <c r="G25" s="1379">
        <f>IFERROR(INDEX(Base.BC!$E$12:$E$51,MATCH(BC!C25,Base.BC!$C$12:$C$51,0)),99999)</f>
        <v>9999</v>
      </c>
      <c r="H25" s="1371">
        <f t="shared" si="2"/>
        <v>1</v>
      </c>
      <c r="I25" s="1536"/>
      <c r="J25" s="1536"/>
      <c r="K25" s="1536"/>
      <c r="L25" s="1536"/>
      <c r="M25" s="599"/>
      <c r="N25" s="599"/>
    </row>
    <row r="26" spans="1:14" ht="15">
      <c r="A26" s="1536"/>
      <c r="B26" s="1372" t="str">
        <f>Atendimento!B18</f>
        <v>Proteína Não Degradável no Rúmen</v>
      </c>
      <c r="C26" s="1373" t="str">
        <f>Atendimento!C18</f>
        <v>PNDR</v>
      </c>
      <c r="D26" s="1373" t="str">
        <f>Atendimento!D18</f>
        <v>g</v>
      </c>
      <c r="E26" s="1380">
        <f>IFERROR(INDEX(Base.BC!$D$12:$D$51,MATCH(BC!C26,Base.BC!$C$12:$C$51,0)),0)</f>
        <v>0</v>
      </c>
      <c r="F26" s="1375">
        <f t="shared" si="1"/>
        <v>0</v>
      </c>
      <c r="G26" s="1381">
        <f>IFERROR(INDEX(Base.BC!$E$12:$E$51,MATCH(BC!C26,Base.BC!$C$12:$C$51,0)),99999)</f>
        <v>99999</v>
      </c>
      <c r="H26" s="1375">
        <f t="shared" si="2"/>
        <v>1</v>
      </c>
      <c r="I26" s="1536"/>
      <c r="J26" s="1536"/>
      <c r="K26" s="1536"/>
      <c r="L26" s="1536"/>
      <c r="M26" s="599"/>
      <c r="N26" s="599"/>
    </row>
    <row r="27" spans="1:14" ht="15">
      <c r="A27" s="1536"/>
      <c r="B27" s="1366" t="str">
        <f>Atendimento!B19</f>
        <v>Proteína Metabolizável</v>
      </c>
      <c r="C27" s="1367" t="str">
        <f>Atendimento!C19</f>
        <v>PM</v>
      </c>
      <c r="D27" s="1367" t="str">
        <f>Atendimento!D19</f>
        <v>g</v>
      </c>
      <c r="E27" s="1378">
        <f>IFERROR(INDEX(Base.BC!$D$12:$D$51,MATCH(BC!C27,Base.BC!$C$12:$C$51,0)),0)</f>
        <v>0</v>
      </c>
      <c r="F27" s="1371">
        <f t="shared" si="1"/>
        <v>0</v>
      </c>
      <c r="G27" s="1379">
        <f>IFERROR(INDEX(Base.BC!$E$12:$E$51,MATCH(BC!C27,Base.BC!$C$12:$C$51,0)),99999)</f>
        <v>99999</v>
      </c>
      <c r="H27" s="1371">
        <f t="shared" si="2"/>
        <v>1</v>
      </c>
      <c r="I27" s="1536"/>
      <c r="J27" s="1536"/>
      <c r="K27" s="1536"/>
      <c r="L27" s="1536"/>
      <c r="M27" s="599"/>
      <c r="N27" s="599"/>
    </row>
    <row r="28" spans="1:14" ht="15">
      <c r="A28" s="1536"/>
      <c r="B28" s="1372" t="str">
        <f>Atendimento!B20</f>
        <v>Proteína (NNP)</v>
      </c>
      <c r="C28" s="1373" t="str">
        <f>Atendimento!C20</f>
        <v>PBNNP</v>
      </c>
      <c r="D28" s="1373" t="str">
        <f>Atendimento!D20</f>
        <v>g</v>
      </c>
      <c r="E28" s="1380">
        <f>IFERROR(INDEX(Base.BC!$D$12:$D$51,MATCH(BC!C28,Base.BC!$C$12:$C$51,0)),0)</f>
        <v>0</v>
      </c>
      <c r="F28" s="1375">
        <f t="shared" si="1"/>
        <v>0</v>
      </c>
      <c r="G28" s="1381">
        <f>IFERROR(INDEX(Base.BC!$E$12:$E$51,MATCH(BC!C28,Base.BC!$C$12:$C$51,0)),99999)</f>
        <v>-31.841999999999999</v>
      </c>
      <c r="H28" s="1375">
        <f t="shared" si="2"/>
        <v>-6.2810008592492127E-3</v>
      </c>
      <c r="I28" s="1536"/>
      <c r="J28" s="1536"/>
      <c r="K28" s="1536"/>
      <c r="L28" s="1536"/>
      <c r="M28" s="599"/>
      <c r="N28" s="599"/>
    </row>
    <row r="29" spans="1:14" ht="15">
      <c r="A29" s="1536"/>
      <c r="B29" s="1366" t="str">
        <f>Atendimento!B21</f>
        <v>Cálcio</v>
      </c>
      <c r="C29" s="1367" t="str">
        <f>Atendimento!C21</f>
        <v>Ca</v>
      </c>
      <c r="D29" s="1367" t="str">
        <f>Atendimento!D21</f>
        <v>g</v>
      </c>
      <c r="E29" s="1378">
        <f>IFERROR(INDEX(Base.BC!$D$12:$D$51,MATCH(BC!C29,Base.BC!$C$12:$C$51,0)),0)</f>
        <v>13.62340040220473</v>
      </c>
      <c r="F29" s="1371">
        <f t="shared" si="1"/>
        <v>2.6872869050984234E-3</v>
      </c>
      <c r="G29" s="1379">
        <f>IFERROR(INDEX(Base.BC!$E$12:$E$51,MATCH(BC!C29,Base.BC!$C$12:$C$51,0)),99999)</f>
        <v>223.06126545689906</v>
      </c>
      <c r="H29" s="1371">
        <f t="shared" si="2"/>
        <v>4.3999999999999997E-2</v>
      </c>
      <c r="I29" s="1536"/>
      <c r="J29" s="1536"/>
      <c r="K29" s="1536"/>
      <c r="L29" s="1536"/>
      <c r="M29" s="599"/>
      <c r="N29" s="599"/>
    </row>
    <row r="30" spans="1:14" ht="15">
      <c r="A30" s="1536"/>
      <c r="B30" s="1372" t="str">
        <f>Atendimento!B22</f>
        <v>Fósforo</v>
      </c>
      <c r="C30" s="1373" t="str">
        <f>Atendimento!C22</f>
        <v>P</v>
      </c>
      <c r="D30" s="1373" t="str">
        <f>Atendimento!D22</f>
        <v>g</v>
      </c>
      <c r="E30" s="1380">
        <f>IFERROR(INDEX(Base.BC!$D$12:$D$51,MATCH(BC!C30,Base.BC!$C$12:$C$51,0)),0)</f>
        <v>8.936258663315602</v>
      </c>
      <c r="F30" s="1375">
        <f t="shared" si="1"/>
        <v>1.7627237090245126E-3</v>
      </c>
      <c r="G30" s="1381">
        <f>IFERROR(INDEX(Base.BC!$E$12:$E$51,MATCH(BC!C30,Base.BC!$C$12:$C$51,0)),99999)</f>
        <v>50.695742149295242</v>
      </c>
      <c r="H30" s="1375">
        <f t="shared" si="2"/>
        <v>0.01</v>
      </c>
      <c r="I30" s="1536"/>
      <c r="J30" s="1536"/>
      <c r="K30" s="1536"/>
      <c r="L30" s="1536"/>
      <c r="M30" s="599"/>
      <c r="N30" s="599"/>
    </row>
    <row r="31" spans="1:14" ht="15">
      <c r="A31" s="1536"/>
      <c r="B31" s="1366" t="str">
        <f>Atendimento!B23</f>
        <v>Magnésio</v>
      </c>
      <c r="C31" s="1367" t="str">
        <f>Atendimento!C23</f>
        <v>Mg</v>
      </c>
      <c r="D31" s="1367" t="str">
        <f>Atendimento!D23</f>
        <v>g</v>
      </c>
      <c r="E31" s="1378">
        <f>IFERROR(INDEX(Base.BC!$D$12:$D$51,MATCH(BC!C31,Base.BC!$C$12:$C$51,0)),0)</f>
        <v>4.6658114589413353</v>
      </c>
      <c r="F31" s="1371">
        <f t="shared" si="1"/>
        <v>9.2035568691367859E-4</v>
      </c>
      <c r="G31" s="1379">
        <f>IFERROR(INDEX(Base.BC!$E$12:$E$51,MATCH(BC!C31,Base.BC!$C$12:$C$51,0)),99999)</f>
        <v>20.278296859718097</v>
      </c>
      <c r="H31" s="1371">
        <f t="shared" si="2"/>
        <v>4.0000000000000001E-3</v>
      </c>
      <c r="I31" s="1536"/>
      <c r="J31" s="1536"/>
      <c r="K31" s="1536"/>
      <c r="L31" s="1536"/>
      <c r="M31" s="599"/>
      <c r="N31" s="599"/>
    </row>
    <row r="32" spans="1:14" ht="15">
      <c r="A32" s="1536"/>
      <c r="B32" s="1372" t="str">
        <f>Atendimento!B24</f>
        <v>Sódio</v>
      </c>
      <c r="C32" s="1373" t="str">
        <f>Atendimento!C24</f>
        <v>Na</v>
      </c>
      <c r="D32" s="1373" t="str">
        <f>Atendimento!D24</f>
        <v>g</v>
      </c>
      <c r="E32" s="1380">
        <f>IFERROR(INDEX(Base.BC!$D$12:$D$51,MATCH(BC!C32,Base.BC!$C$12:$C$51,0)),0)</f>
        <v>5.7026018072157338</v>
      </c>
      <c r="F32" s="1375">
        <f t="shared" si="1"/>
        <v>1.1248679998454288E-3</v>
      </c>
      <c r="G32" s="1381">
        <f>IFERROR(INDEX(Base.BC!$E$12:$E$51,MATCH(BC!C32,Base.BC!$C$12:$C$51,0)),99999)</f>
        <v>329.52232397041911</v>
      </c>
      <c r="H32" s="1375">
        <f>IF(G32/1000/$G$15&gt;100%,100%,G32/1000/$G$15)</f>
        <v>6.5000000000000002E-2</v>
      </c>
      <c r="I32" s="1536"/>
      <c r="J32" s="1536"/>
      <c r="K32" s="1536"/>
      <c r="L32" s="1536"/>
      <c r="M32" s="599"/>
      <c r="N32" s="599"/>
    </row>
    <row r="33" spans="1:14" ht="15">
      <c r="A33" s="1536"/>
      <c r="B33" s="1366" t="str">
        <f>Atendimento!B25</f>
        <v>Potássio</v>
      </c>
      <c r="C33" s="1367" t="str">
        <f>Atendimento!C25</f>
        <v>K</v>
      </c>
      <c r="D33" s="1367" t="str">
        <f>Atendimento!D25</f>
        <v>g</v>
      </c>
      <c r="E33" s="1378">
        <f>IFERROR(INDEX(Base.BC!$D$12:$D$51,MATCH(BC!C33,Base.BC!$C$12:$C$51,0)),0)</f>
        <v>13.97478477855134</v>
      </c>
      <c r="F33" s="1371">
        <f t="shared" si="1"/>
        <v>2.7565993091484141E-3</v>
      </c>
      <c r="G33" s="1379">
        <f>IFERROR(INDEX(Base.BC!$E$12:$E$51,MATCH(BC!C33,Base.BC!$C$12:$C$51,0)),99999)</f>
        <v>152.08722644788571</v>
      </c>
      <c r="H33" s="1371">
        <f>IF(G33/1000/$G$15&gt;100%,100%,G33/1000/$G$15)</f>
        <v>0.03</v>
      </c>
      <c r="I33" s="1536"/>
      <c r="J33" s="1536"/>
      <c r="K33" s="1536"/>
      <c r="L33" s="1536"/>
      <c r="M33" s="599"/>
      <c r="N33" s="599"/>
    </row>
    <row r="34" spans="1:14" ht="15">
      <c r="A34" s="1536"/>
      <c r="B34" s="1372" t="str">
        <f>Atendimento!B26</f>
        <v>Enxofre</v>
      </c>
      <c r="C34" s="1373" t="str">
        <f>Atendimento!C26</f>
        <v>S</v>
      </c>
      <c r="D34" s="1373" t="str">
        <f>Atendimento!D26</f>
        <v>g</v>
      </c>
      <c r="E34" s="1380">
        <f>IFERROR(INDEX(Base.BC!$D$12:$D$51,MATCH(BC!C34,Base.BC!$C$12:$C$51,0)),0)</f>
        <v>5.5592716084106941</v>
      </c>
      <c r="F34" s="1375">
        <f t="shared" si="1"/>
        <v>1.0965953692992692E-3</v>
      </c>
      <c r="G34" s="1381">
        <f>IFERROR(INDEX(Base.BC!$E$12:$E$51,MATCH(BC!C34,Base.BC!$C$12:$C$51,0)),99999)</f>
        <v>20.278296859718097</v>
      </c>
      <c r="H34" s="1375">
        <f>IF(G34/1000/$G$15&gt;100%,100%,G34/1000/$G$15)</f>
        <v>4.0000000000000001E-3</v>
      </c>
      <c r="I34" s="1536"/>
      <c r="J34" s="1536"/>
      <c r="K34" s="1536"/>
      <c r="L34" s="1536"/>
      <c r="M34" s="599"/>
      <c r="N34" s="599"/>
    </row>
    <row r="35" spans="1:14" ht="15">
      <c r="A35" s="1536"/>
      <c r="B35" s="1366" t="str">
        <f>Atendimento!B27</f>
        <v>Cobre</v>
      </c>
      <c r="C35" s="1367" t="str">
        <f>Atendimento!C27</f>
        <v>Cu</v>
      </c>
      <c r="D35" s="1367" t="str">
        <f>Atendimento!D27</f>
        <v>mg</v>
      </c>
      <c r="E35" s="1378">
        <f>IFERROR(INDEX(Base.BC!$D$12:$D$51,MATCH(BC!C35,Base.BC!$C$12:$C$51,0)),0)</f>
        <v>9.9216764145481644</v>
      </c>
      <c r="F35" s="1369"/>
      <c r="G35" s="1379">
        <f>IFERROR(INDEX(Base.BC!$E$12:$E$51,MATCH(BC!C35,Base.BC!$C$12:$C$51,0)),99999)</f>
        <v>506.95742149295245</v>
      </c>
      <c r="H35" s="1369">
        <f t="shared" ref="H35:H59" si="3">IF(G35/1000/$G$15&gt;100%,100%,G35/1000/$G$15)</f>
        <v>0.1</v>
      </c>
      <c r="I35" s="1536"/>
      <c r="J35" s="1536"/>
      <c r="K35" s="1536"/>
      <c r="L35" s="1536"/>
      <c r="M35" s="599"/>
      <c r="N35" s="599"/>
    </row>
    <row r="36" spans="1:14" ht="15">
      <c r="A36" s="1536"/>
      <c r="B36" s="1372" t="str">
        <f>Atendimento!B28</f>
        <v>Zinco</v>
      </c>
      <c r="C36" s="1373" t="str">
        <f>Atendimento!C28</f>
        <v>Zn</v>
      </c>
      <c r="D36" s="1373" t="str">
        <f>Atendimento!D28</f>
        <v>mg</v>
      </c>
      <c r="E36" s="1380">
        <f>IFERROR(INDEX(Base.BC!$D$12:$D$51,MATCH(BC!C36,Base.BC!$C$12:$C$51,0)),0)</f>
        <v>29.765029243644495</v>
      </c>
      <c r="F36" s="1377"/>
      <c r="G36" s="1381">
        <f>IFERROR(INDEX(Base.BC!$E$12:$E$51,MATCH(BC!C36,Base.BC!$C$12:$C$51,0)),99999)</f>
        <v>2534.7871074647619</v>
      </c>
      <c r="H36" s="1377">
        <f t="shared" si="3"/>
        <v>0.5</v>
      </c>
      <c r="I36" s="1536"/>
      <c r="J36" s="1536"/>
      <c r="K36" s="1536"/>
      <c r="L36" s="1536"/>
      <c r="M36" s="599"/>
      <c r="N36" s="599"/>
    </row>
    <row r="37" spans="1:14" ht="15">
      <c r="A37" s="1536"/>
      <c r="B37" s="1366" t="str">
        <f>Atendimento!B29</f>
        <v>Ferro</v>
      </c>
      <c r="C37" s="1367" t="str">
        <f>Atendimento!C29</f>
        <v>Fe</v>
      </c>
      <c r="D37" s="1367" t="str">
        <f>Atendimento!D29</f>
        <v>mg</v>
      </c>
      <c r="E37" s="1378">
        <f>IFERROR(INDEX(Base.BC!$D$12:$D$51,MATCH(BC!C37,Base.BC!$C$12:$C$51,0)),0)</f>
        <v>49.608382072740824</v>
      </c>
      <c r="F37" s="1369"/>
      <c r="G37" s="1379">
        <f>IFERROR(INDEX(Base.BC!$E$12:$E$51,MATCH(BC!C37,Base.BC!$C$12:$C$51,0)),99999)</f>
        <v>5069.5742149295238</v>
      </c>
      <c r="H37" s="1369">
        <f t="shared" si="3"/>
        <v>1</v>
      </c>
      <c r="I37" s="1536"/>
      <c r="J37" s="1536"/>
      <c r="K37" s="1536"/>
      <c r="L37" s="1536"/>
      <c r="M37" s="599"/>
      <c r="N37" s="599"/>
    </row>
    <row r="38" spans="1:14" ht="15">
      <c r="A38" s="1536"/>
      <c r="B38" s="1372" t="str">
        <f>Atendimento!B30</f>
        <v>Manganês</v>
      </c>
      <c r="C38" s="1373" t="str">
        <f>Atendimento!C30</f>
        <v>Mn</v>
      </c>
      <c r="D38" s="1373" t="str">
        <f>Atendimento!D30</f>
        <v>mg</v>
      </c>
      <c r="E38" s="1380">
        <f>IFERROR(INDEX(Base.BC!$D$12:$D$51,MATCH(BC!C38,Base.BC!$C$12:$C$51,0)),0)</f>
        <v>19.843352829096329</v>
      </c>
      <c r="F38" s="1377"/>
      <c r="G38" s="1381">
        <f>IFERROR(INDEX(Base.BC!$E$12:$E$51,MATCH(BC!C38,Base.BC!$C$12:$C$51,0)),99999)</f>
        <v>5069.5742149295238</v>
      </c>
      <c r="H38" s="1377">
        <f t="shared" si="3"/>
        <v>1</v>
      </c>
      <c r="I38" s="1536"/>
      <c r="J38" s="1536"/>
      <c r="K38" s="1536"/>
      <c r="L38" s="1536"/>
      <c r="M38" s="599"/>
      <c r="N38" s="599"/>
    </row>
    <row r="39" spans="1:14" ht="15">
      <c r="A39" s="1536"/>
      <c r="B39" s="1366" t="str">
        <f>Atendimento!B31</f>
        <v>Iodo</v>
      </c>
      <c r="C39" s="1367" t="str">
        <f>Atendimento!C31</f>
        <v>I</v>
      </c>
      <c r="D39" s="1367" t="str">
        <f>Atendimento!D31</f>
        <v>mg</v>
      </c>
      <c r="E39" s="1378">
        <f>IFERROR(INDEX(Base.BC!$D$12:$D$51,MATCH(BC!C39,Base.BC!$C$12:$C$51,0)),0)</f>
        <v>0.49608382072740825</v>
      </c>
      <c r="F39" s="1369"/>
      <c r="G39" s="1379">
        <f>IFERROR(INDEX(Base.BC!$E$12:$E$51,MATCH(BC!C39,Base.BC!$C$12:$C$51,0)),99999)</f>
        <v>253.47871074647622</v>
      </c>
      <c r="H39" s="1369">
        <f t="shared" si="3"/>
        <v>0.05</v>
      </c>
      <c r="I39" s="1536"/>
      <c r="J39" s="1536"/>
      <c r="K39" s="1536"/>
      <c r="L39" s="1536"/>
      <c r="M39" s="599"/>
      <c r="N39" s="599"/>
    </row>
    <row r="40" spans="1:14" ht="15">
      <c r="A40" s="1536"/>
      <c r="B40" s="1372" t="str">
        <f>Atendimento!B32</f>
        <v>Cobalto</v>
      </c>
      <c r="C40" s="1373" t="str">
        <f>Atendimento!C32</f>
        <v>Co</v>
      </c>
      <c r="D40" s="1373" t="str">
        <f>Atendimento!D32</f>
        <v>mg</v>
      </c>
      <c r="E40" s="1380">
        <f>IFERROR(INDEX(Base.BC!$D$12:$D$51,MATCH(BC!C40,Base.BC!$C$12:$C$51,0)),0)</f>
        <v>9.9216764145481653E-2</v>
      </c>
      <c r="F40" s="1377"/>
      <c r="G40" s="1381">
        <f>IFERROR(INDEX(Base.BC!$E$12:$E$51,MATCH(BC!C40,Base.BC!$C$12:$C$51,0)),99999)</f>
        <v>50.695742149295242</v>
      </c>
      <c r="H40" s="1377">
        <f t="shared" si="3"/>
        <v>0.01</v>
      </c>
      <c r="I40" s="1536"/>
      <c r="J40" s="1536"/>
      <c r="K40" s="1536"/>
      <c r="L40" s="1536"/>
      <c r="M40" s="599"/>
      <c r="N40" s="599"/>
    </row>
    <row r="41" spans="1:14" ht="15">
      <c r="A41" s="1536"/>
      <c r="B41" s="1366" t="str">
        <f>Atendimento!B33</f>
        <v>Selênio</v>
      </c>
      <c r="C41" s="1367" t="str">
        <f>Atendimento!C33</f>
        <v>Se</v>
      </c>
      <c r="D41" s="1367" t="str">
        <f>Atendimento!D33</f>
        <v>mg</v>
      </c>
      <c r="E41" s="1378">
        <f>IFERROR(INDEX(Base.BC!$D$12:$D$51,MATCH(BC!C41,Base.BC!$C$12:$C$51,0)),0)</f>
        <v>0.19843352829096331</v>
      </c>
      <c r="F41" s="1369"/>
      <c r="G41" s="1379">
        <f>IFERROR(INDEX(Base.BC!$E$12:$E$51,MATCH(BC!C41,Base.BC!$C$12:$C$51,0)),99999)</f>
        <v>25.347871074647621</v>
      </c>
      <c r="H41" s="1369">
        <f t="shared" si="3"/>
        <v>5.0000000000000001E-3</v>
      </c>
      <c r="I41" s="1536"/>
      <c r="J41" s="1536"/>
      <c r="K41" s="1536"/>
      <c r="L41" s="1536"/>
      <c r="M41" s="599"/>
      <c r="N41" s="599"/>
    </row>
    <row r="42" spans="1:14" ht="15">
      <c r="A42" s="1536"/>
      <c r="B42" s="1372" t="str">
        <f>Atendimento!B34</f>
        <v>Lisina</v>
      </c>
      <c r="C42" s="1373" t="str">
        <f>Atendimento!C34</f>
        <v>Lis</v>
      </c>
      <c r="D42" s="1373" t="str">
        <f>Atendimento!D34</f>
        <v>g</v>
      </c>
      <c r="E42" s="1380">
        <f>IFERROR(INDEX(Base.BC!$D$12:$D$51,MATCH(BC!C42,Base.BC!$C$12:$C$51,0)),0)</f>
        <v>0</v>
      </c>
      <c r="F42" s="1377"/>
      <c r="G42" s="1381">
        <f>IFERROR(INDEX(Base.BC!$E$12:$E$51,MATCH(BC!C42,Base.BC!$C$12:$C$51,0)),99999)</f>
        <v>99999</v>
      </c>
      <c r="H42" s="1377">
        <f t="shared" si="3"/>
        <v>1</v>
      </c>
      <c r="I42" s="1536"/>
      <c r="J42" s="1536"/>
      <c r="K42" s="1536"/>
      <c r="L42" s="1536"/>
      <c r="M42" s="599"/>
      <c r="N42" s="599"/>
    </row>
    <row r="43" spans="1:14" ht="15">
      <c r="A43" s="1536"/>
      <c r="B43" s="1366" t="str">
        <f>Atendimento!B35</f>
        <v>Metionina</v>
      </c>
      <c r="C43" s="1367" t="str">
        <f>Atendimento!C35</f>
        <v>Met</v>
      </c>
      <c r="D43" s="1367" t="str">
        <f>Atendimento!D35</f>
        <v>g</v>
      </c>
      <c r="E43" s="1378">
        <f>IFERROR(INDEX(Base.BC!$D$12:$D$51,MATCH(BC!C43,Base.BC!$C$12:$C$51,0)),0)</f>
        <v>0</v>
      </c>
      <c r="F43" s="1369"/>
      <c r="G43" s="1379">
        <f>IFERROR(INDEX(Base.BC!$E$12:$E$51,MATCH(BC!C43,Base.BC!$C$12:$C$51,0)),99999)</f>
        <v>99999</v>
      </c>
      <c r="H43" s="1369">
        <f t="shared" si="3"/>
        <v>1</v>
      </c>
      <c r="I43" s="1536"/>
      <c r="J43" s="1536"/>
      <c r="K43" s="1536"/>
      <c r="L43" s="1536"/>
      <c r="M43" s="599"/>
      <c r="N43" s="599"/>
    </row>
    <row r="44" spans="1:14" ht="15">
      <c r="A44" s="1536"/>
      <c r="B44" s="1372" t="str">
        <f>Atendimento!B36</f>
        <v>Monensina</v>
      </c>
      <c r="C44" s="1373" t="str">
        <f>Atendimento!C36</f>
        <v>Mon</v>
      </c>
      <c r="D44" s="1373" t="str">
        <f>Atendimento!D36</f>
        <v>ppm</v>
      </c>
      <c r="E44" s="1380">
        <f>IFERROR(INDEX(Base.BC!$D$12:$D$51,MATCH(BC!C44,Base.BC!$C$12:$C$51,0)),0)</f>
        <v>0</v>
      </c>
      <c r="F44" s="1377"/>
      <c r="G44" s="1381">
        <f>IFERROR(INDEX(Base.BC!$E$12:$E$51,MATCH(BC!C44,Base.BC!$C$12:$C$51,0)),99999)</f>
        <v>99999</v>
      </c>
      <c r="H44" s="1377">
        <f t="shared" si="3"/>
        <v>1</v>
      </c>
      <c r="I44" s="1536"/>
      <c r="J44" s="1536"/>
      <c r="K44" s="1536"/>
      <c r="L44" s="1536"/>
      <c r="M44" s="599"/>
      <c r="N44" s="599"/>
    </row>
    <row r="45" spans="1:14" ht="15">
      <c r="A45" s="1536"/>
      <c r="B45" s="1366" t="str">
        <f>Atendimento!B37</f>
        <v>Vitamina A</v>
      </c>
      <c r="C45" s="1367" t="str">
        <f>Atendimento!C37</f>
        <v>Vit A</v>
      </c>
      <c r="D45" s="1367" t="str">
        <f>Atendimento!D37</f>
        <v>UI</v>
      </c>
      <c r="E45" s="1378">
        <f>IFERROR(INDEX(Base.BC!$D$12:$D$51,MATCH(BC!C45,Base.BC!$C$12:$C$51,0)),0)</f>
        <v>0</v>
      </c>
      <c r="F45" s="1369"/>
      <c r="G45" s="1379">
        <f>IFERROR(INDEX(Base.BC!$E$12:$E$51,MATCH(BC!C45,Base.BC!$C$12:$C$51,0)),99999)</f>
        <v>99999</v>
      </c>
      <c r="H45" s="1369">
        <f t="shared" si="3"/>
        <v>1</v>
      </c>
      <c r="I45" s="1536"/>
      <c r="J45" s="1536"/>
      <c r="K45" s="1536"/>
      <c r="L45" s="1536"/>
      <c r="M45" s="599"/>
      <c r="N45" s="599"/>
    </row>
    <row r="46" spans="1:14" ht="15">
      <c r="A46" s="1536"/>
      <c r="B46" s="1372" t="str">
        <f>Atendimento!B38</f>
        <v>Vitamina B</v>
      </c>
      <c r="C46" s="1373" t="str">
        <f>Atendimento!C38</f>
        <v>Vit B (UI)</v>
      </c>
      <c r="D46" s="1373" t="str">
        <f>Atendimento!D38</f>
        <v>UI</v>
      </c>
      <c r="E46" s="1380">
        <f>IFERROR(INDEX(Base.BC!$D$12:$D$51,MATCH(BC!C46,Base.BC!$C$12:$C$51,0)),0)</f>
        <v>0</v>
      </c>
      <c r="F46" s="1377"/>
      <c r="G46" s="1381">
        <f>IFERROR(INDEX(Base.BC!$E$12:$E$51,MATCH(BC!C46,Base.BC!$C$12:$C$51,0)),99999)</f>
        <v>99999</v>
      </c>
      <c r="H46" s="1377">
        <f t="shared" si="3"/>
        <v>1</v>
      </c>
      <c r="I46" s="1536"/>
      <c r="J46" s="1536"/>
      <c r="K46" s="1536"/>
      <c r="L46" s="1536"/>
      <c r="M46" s="599"/>
      <c r="N46" s="599"/>
    </row>
    <row r="47" spans="1:14" ht="15">
      <c r="A47" s="1536"/>
      <c r="B47" s="1366" t="str">
        <f>Atendimento!B39</f>
        <v>Vitamina D</v>
      </c>
      <c r="C47" s="1367" t="str">
        <f>Atendimento!C39</f>
        <v>Vit D (UI)</v>
      </c>
      <c r="D47" s="1367" t="str">
        <f>Atendimento!D39</f>
        <v>UI</v>
      </c>
      <c r="E47" s="1378">
        <f>IFERROR(INDEX(Base.BC!$D$12:$D$51,MATCH(BC!C47,Base.BC!$C$12:$C$51,0)),0)</f>
        <v>0</v>
      </c>
      <c r="F47" s="1369"/>
      <c r="G47" s="1379">
        <f>IFERROR(INDEX(Base.BC!$E$12:$E$51,MATCH(BC!C47,Base.BC!$C$12:$C$51,0)),99999)</f>
        <v>99999</v>
      </c>
      <c r="H47" s="1369">
        <f t="shared" si="3"/>
        <v>1</v>
      </c>
      <c r="I47" s="1536"/>
      <c r="J47" s="1536"/>
      <c r="K47" s="1536"/>
      <c r="L47" s="1536"/>
      <c r="M47" s="599"/>
      <c r="N47" s="599"/>
    </row>
    <row r="48" spans="1:14" ht="15">
      <c r="A48" s="1536"/>
      <c r="B48" s="1372" t="str">
        <f>Atendimento!B40</f>
        <v>Vitamina E</v>
      </c>
      <c r="C48" s="1373" t="str">
        <f>Atendimento!C40</f>
        <v>Vit E (UI)</v>
      </c>
      <c r="D48" s="1373" t="str">
        <f>Atendimento!D40</f>
        <v>UI</v>
      </c>
      <c r="E48" s="1380">
        <f>IFERROR(INDEX(Base.BC!$D$12:$D$51,MATCH(BC!C48,Base.BC!$C$12:$C$51,0)),0)</f>
        <v>0</v>
      </c>
      <c r="F48" s="1377"/>
      <c r="G48" s="1381">
        <f>IFERROR(INDEX(Base.BC!$E$12:$E$51,MATCH(BC!C48,Base.BC!$C$12:$C$51,0)),99999)</f>
        <v>99999</v>
      </c>
      <c r="H48" s="1377">
        <f t="shared" si="3"/>
        <v>1</v>
      </c>
      <c r="I48" s="1536"/>
      <c r="J48" s="1536"/>
      <c r="K48" s="1536"/>
      <c r="L48" s="1536"/>
      <c r="M48" s="599"/>
      <c r="N48" s="599"/>
    </row>
    <row r="49" spans="1:14" ht="15">
      <c r="A49" s="1536"/>
      <c r="B49" s="1366" t="str">
        <f>Atendimento!B41</f>
        <v>Nutriente Novo 01</v>
      </c>
      <c r="C49" s="1367" t="str">
        <f>Atendimento!C41</f>
        <v>Novo 01</v>
      </c>
      <c r="D49" s="1367" t="str">
        <f>Atendimento!D41</f>
        <v>-</v>
      </c>
      <c r="E49" s="1378">
        <f>IFERROR(INDEX(Base.BC!$D$12:$D$51,MATCH(BC!C49,Base.BC!$C$12:$C$51,0)),0)</f>
        <v>0</v>
      </c>
      <c r="F49" s="1369"/>
      <c r="G49" s="1379">
        <f>IFERROR(INDEX(Base.BC!$E$12:$E$51,MATCH(BC!C49,Base.BC!$C$12:$C$51,0)),99999)</f>
        <v>99999</v>
      </c>
      <c r="H49" s="1369">
        <f t="shared" si="3"/>
        <v>1</v>
      </c>
      <c r="I49" s="1536"/>
      <c r="J49" s="1536"/>
      <c r="K49" s="1536"/>
      <c r="L49" s="1536"/>
      <c r="M49" s="599"/>
      <c r="N49" s="599"/>
    </row>
    <row r="50" spans="1:14" ht="15">
      <c r="A50" s="1536"/>
      <c r="B50" s="1372" t="str">
        <f>Atendimento!B42</f>
        <v>Nutriente Novo 02</v>
      </c>
      <c r="C50" s="1373" t="str">
        <f>Atendimento!C42</f>
        <v>Novo 02</v>
      </c>
      <c r="D50" s="1373" t="str">
        <f>Atendimento!D42</f>
        <v>-</v>
      </c>
      <c r="E50" s="1380">
        <f>IFERROR(INDEX(Base.BC!$D$12:$D$51,MATCH(BC!C50,Base.BC!$C$12:$C$51,0)),0)</f>
        <v>0</v>
      </c>
      <c r="F50" s="1377"/>
      <c r="G50" s="1381">
        <f>IFERROR(INDEX(Base.BC!$E$12:$E$51,MATCH(BC!C50,Base.BC!$C$12:$C$51,0)),99999)</f>
        <v>99999</v>
      </c>
      <c r="H50" s="1377">
        <f t="shared" si="3"/>
        <v>1</v>
      </c>
      <c r="I50" s="1536"/>
      <c r="J50" s="1536"/>
      <c r="K50" s="1536"/>
      <c r="L50" s="1536"/>
      <c r="M50" s="599"/>
      <c r="N50" s="599"/>
    </row>
    <row r="51" spans="1:14" ht="15">
      <c r="A51" s="1536"/>
      <c r="B51" s="1366" t="str">
        <f>Atendimento!B43</f>
        <v>Nutriente Novo 03</v>
      </c>
      <c r="C51" s="1367" t="str">
        <f>Atendimento!C43</f>
        <v>Novo 03</v>
      </c>
      <c r="D51" s="1367" t="str">
        <f>Atendimento!D43</f>
        <v>-</v>
      </c>
      <c r="E51" s="1378">
        <f>IFERROR(INDEX(Base.BC!$D$12:$D$51,MATCH(BC!C51,Base.BC!$C$12:$C$51,0)),0)</f>
        <v>0</v>
      </c>
      <c r="F51" s="1369"/>
      <c r="G51" s="1379">
        <f>IFERROR(INDEX(Base.BC!$E$12:$E$51,MATCH(BC!C51,Base.BC!$C$12:$C$51,0)),99999)</f>
        <v>99999</v>
      </c>
      <c r="H51" s="1369">
        <f t="shared" si="3"/>
        <v>1</v>
      </c>
      <c r="I51" s="1536"/>
      <c r="J51" s="1536"/>
      <c r="K51" s="1536"/>
      <c r="L51" s="1536"/>
      <c r="M51" s="599"/>
      <c r="N51" s="599"/>
    </row>
    <row r="52" spans="1:14" ht="15">
      <c r="A52" s="1536"/>
      <c r="B52" s="1372" t="str">
        <f>Atendimento!B44</f>
        <v>Nutriente Novo 04</v>
      </c>
      <c r="C52" s="1373" t="str">
        <f>Atendimento!C44</f>
        <v>Novo 04</v>
      </c>
      <c r="D52" s="1373" t="str">
        <f>Atendimento!D44</f>
        <v>-</v>
      </c>
      <c r="E52" s="1380">
        <f>IFERROR(INDEX(Base.BC!$D$12:$D$51,MATCH(BC!C52,Base.BC!$C$12:$C$51,0)),0)</f>
        <v>0</v>
      </c>
      <c r="F52" s="1377"/>
      <c r="G52" s="1381">
        <f>IFERROR(INDEX(Base.BC!$E$12:$E$51,MATCH(BC!C52,Base.BC!$C$12:$C$51,0)),99999)</f>
        <v>99999</v>
      </c>
      <c r="H52" s="1377">
        <f t="shared" si="3"/>
        <v>1</v>
      </c>
      <c r="I52" s="1536"/>
      <c r="J52" s="1536"/>
      <c r="K52" s="1536"/>
      <c r="L52" s="1536"/>
      <c r="M52" s="599"/>
      <c r="N52" s="599"/>
    </row>
    <row r="53" spans="1:14" ht="15">
      <c r="A53" s="1536"/>
      <c r="B53" s="1366" t="str">
        <f>Atendimento!B45</f>
        <v>Nutriente Novo 05</v>
      </c>
      <c r="C53" s="1367" t="str">
        <f>Atendimento!C45</f>
        <v>Novo 05</v>
      </c>
      <c r="D53" s="1367" t="str">
        <f>Atendimento!D45</f>
        <v>-</v>
      </c>
      <c r="E53" s="1378">
        <f>IFERROR(INDEX(Base.BC!$D$12:$D$51,MATCH(BC!C53,Base.BC!$C$12:$C$51,0)),0)</f>
        <v>0</v>
      </c>
      <c r="F53" s="1369"/>
      <c r="G53" s="1379">
        <f>IFERROR(INDEX(Base.BC!$E$12:$E$51,MATCH(BC!C53,Base.BC!$C$12:$C$51,0)),99999)</f>
        <v>99999</v>
      </c>
      <c r="H53" s="1369">
        <f t="shared" si="3"/>
        <v>1</v>
      </c>
      <c r="I53" s="1536"/>
      <c r="J53" s="1536"/>
      <c r="K53" s="1536"/>
      <c r="L53" s="1536"/>
      <c r="M53" s="599"/>
      <c r="N53" s="599"/>
    </row>
    <row r="54" spans="1:14" ht="15">
      <c r="A54" s="1536"/>
      <c r="B54" s="1372" t="str">
        <f>Atendimento!B46</f>
        <v>Nutriente Novo 06</v>
      </c>
      <c r="C54" s="1373" t="str">
        <f>Atendimento!C46</f>
        <v>Novo 06</v>
      </c>
      <c r="D54" s="1373" t="str">
        <f>Atendimento!D46</f>
        <v>-</v>
      </c>
      <c r="E54" s="1380">
        <f>IFERROR(INDEX(Base.BC!$D$12:$D$51,MATCH(BC!C54,Base.BC!$C$12:$C$51,0)),0)</f>
        <v>0</v>
      </c>
      <c r="F54" s="1377"/>
      <c r="G54" s="1381">
        <f>IFERROR(INDEX(Base.BC!$E$12:$E$51,MATCH(BC!C54,Base.BC!$C$12:$C$51,0)),99999)</f>
        <v>99999</v>
      </c>
      <c r="H54" s="1377">
        <f t="shared" si="3"/>
        <v>1</v>
      </c>
      <c r="I54" s="1536"/>
      <c r="J54" s="1536"/>
      <c r="K54" s="1536"/>
      <c r="L54" s="1536"/>
      <c r="M54" s="599"/>
      <c r="N54" s="599"/>
    </row>
    <row r="55" spans="1:14" ht="15">
      <c r="A55" s="1536"/>
      <c r="B55" s="1366" t="str">
        <f>Atendimento!B47</f>
        <v>Nutriente Novo 07</v>
      </c>
      <c r="C55" s="1367" t="str">
        <f>Atendimento!C47</f>
        <v>Novo 07</v>
      </c>
      <c r="D55" s="1367" t="str">
        <f>Atendimento!D47</f>
        <v>-</v>
      </c>
      <c r="E55" s="1378">
        <f>IFERROR(INDEX(Base.BC!$D$12:$D$51,MATCH(BC!C55,Base.BC!$C$12:$C$51,0)),0)</f>
        <v>0</v>
      </c>
      <c r="F55" s="1369"/>
      <c r="G55" s="1379">
        <f>IFERROR(INDEX(Base.BC!$E$12:$E$51,MATCH(BC!C55,Base.BC!$C$12:$C$51,0)),99999)</f>
        <v>99999</v>
      </c>
      <c r="H55" s="1369">
        <f t="shared" si="3"/>
        <v>1</v>
      </c>
      <c r="I55" s="1536"/>
      <c r="J55" s="1536"/>
      <c r="K55" s="1536"/>
      <c r="L55" s="1536"/>
      <c r="M55" s="599"/>
      <c r="N55" s="599"/>
    </row>
    <row r="56" spans="1:14" ht="15">
      <c r="A56" s="1536"/>
      <c r="B56" s="1372" t="str">
        <f>Atendimento!B48</f>
        <v>Nutriente Novo 08</v>
      </c>
      <c r="C56" s="1373" t="str">
        <f>Atendimento!C48</f>
        <v>Novo 08</v>
      </c>
      <c r="D56" s="1373" t="str">
        <f>Atendimento!D48</f>
        <v>-</v>
      </c>
      <c r="E56" s="1380">
        <f>IFERROR(INDEX(Base.BC!$D$12:$D$51,MATCH(BC!C56,Base.BC!$C$12:$C$51,0)),0)</f>
        <v>0</v>
      </c>
      <c r="F56" s="1377"/>
      <c r="G56" s="1381">
        <f>IFERROR(INDEX(Base.BC!$E$12:$E$51,MATCH(BC!C56,Base.BC!$C$12:$C$51,0)),99999)</f>
        <v>99999</v>
      </c>
      <c r="H56" s="1377">
        <f t="shared" si="3"/>
        <v>1</v>
      </c>
      <c r="I56" s="1536"/>
      <c r="J56" s="1536"/>
      <c r="K56" s="1536"/>
      <c r="L56" s="1536"/>
      <c r="M56" s="599"/>
      <c r="N56" s="599"/>
    </row>
    <row r="57" spans="1:14" ht="15">
      <c r="A57" s="1536"/>
      <c r="B57" s="1366" t="str">
        <f>Atendimento!B49</f>
        <v>Nutriente Novo 09</v>
      </c>
      <c r="C57" s="1367" t="str">
        <f>Atendimento!C49</f>
        <v>Novo 09</v>
      </c>
      <c r="D57" s="1367" t="str">
        <f>Atendimento!D49</f>
        <v>-</v>
      </c>
      <c r="E57" s="1378">
        <f>IFERROR(INDEX(Base.BC!$D$12:$D$51,MATCH(BC!C57,Base.BC!$C$12:$C$51,0)),0)</f>
        <v>0</v>
      </c>
      <c r="F57" s="1369"/>
      <c r="G57" s="1379">
        <f>IFERROR(INDEX(Base.BC!$E$12:$E$51,MATCH(BC!C57,Base.BC!$C$12:$C$51,0)),99999)</f>
        <v>99999</v>
      </c>
      <c r="H57" s="1369">
        <f t="shared" si="3"/>
        <v>1</v>
      </c>
      <c r="I57" s="1536"/>
      <c r="J57" s="1536"/>
      <c r="K57" s="1536"/>
      <c r="L57" s="1536"/>
      <c r="M57" s="599"/>
      <c r="N57" s="599"/>
    </row>
    <row r="58" spans="1:14" ht="15">
      <c r="A58" s="1536"/>
      <c r="B58" s="1372" t="str">
        <f>Atendimento!B50</f>
        <v>Volumoso</v>
      </c>
      <c r="C58" s="1373" t="str">
        <f>Atendimento!C50</f>
        <v>VOL</v>
      </c>
      <c r="D58" s="1373" t="str">
        <f>Atendimento!D50</f>
        <v>Kg</v>
      </c>
      <c r="E58" s="1380">
        <f>IFERROR(INDEX(Base.BC!$D$12:$D$51,MATCH(BC!C58,Base.BC!$C$12:$C$51,0)),0)</f>
        <v>0</v>
      </c>
      <c r="F58" s="1377"/>
      <c r="G58" s="1381">
        <f>IFERROR(INDEX(Base.BC!$E$12:$E$51,MATCH(BC!C58,Base.BC!$C$12:$C$51,0)),99999)</f>
        <v>99999</v>
      </c>
      <c r="H58" s="1377">
        <f t="shared" si="3"/>
        <v>1</v>
      </c>
      <c r="I58" s="1536"/>
      <c r="J58" s="1536"/>
      <c r="K58" s="1536"/>
      <c r="L58" s="1536"/>
      <c r="M58" s="599"/>
      <c r="N58" s="599"/>
    </row>
    <row r="59" spans="1:14" ht="15">
      <c r="A59" s="1536"/>
      <c r="B59" s="1366" t="str">
        <f>Atendimento!B51</f>
        <v>Concentrado</v>
      </c>
      <c r="C59" s="1367" t="str">
        <f>Atendimento!C51</f>
        <v>CONC</v>
      </c>
      <c r="D59" s="1367" t="str">
        <f>Atendimento!D51</f>
        <v>Kg</v>
      </c>
      <c r="E59" s="1378">
        <f>IFERROR(INDEX(Base.BC!$D$12:$D$51,MATCH(BC!C59,Base.BC!$C$12:$C$51,0)),0)</f>
        <v>0</v>
      </c>
      <c r="F59" s="1369"/>
      <c r="G59" s="1379">
        <f>IFERROR(INDEX(Base.BC!$E$12:$E$51,MATCH(BC!C59,Base.BC!$C$12:$C$51,0)),99999)</f>
        <v>99999</v>
      </c>
      <c r="H59" s="1369">
        <f t="shared" si="3"/>
        <v>1</v>
      </c>
      <c r="I59" s="1536"/>
      <c r="J59" s="1536"/>
      <c r="K59" s="1536"/>
      <c r="L59" s="1536"/>
      <c r="M59" s="599"/>
      <c r="N59" s="599"/>
    </row>
    <row r="60" spans="1:14" ht="15">
      <c r="A60" s="1536"/>
      <c r="B60" s="1382"/>
      <c r="C60" s="1383"/>
      <c r="D60" s="1383"/>
      <c r="E60" s="1384"/>
      <c r="F60" s="1385"/>
      <c r="G60" s="1386"/>
      <c r="H60" s="1386"/>
      <c r="I60" s="1536"/>
      <c r="J60" s="1536"/>
      <c r="K60" s="1536"/>
      <c r="L60" s="1536"/>
      <c r="M60" s="599"/>
      <c r="N60" s="599"/>
    </row>
    <row r="61" spans="1:14">
      <c r="A61" s="1536"/>
      <c r="B61" s="1387"/>
      <c r="C61" s="1387"/>
      <c r="D61" s="1387"/>
      <c r="E61" s="1387"/>
      <c r="F61" s="1387"/>
      <c r="G61" s="1387"/>
      <c r="H61" s="1387"/>
      <c r="I61" s="1536"/>
      <c r="J61" s="1536"/>
      <c r="K61" s="1536"/>
      <c r="L61" s="1536"/>
      <c r="M61" s="599"/>
      <c r="N61" s="599"/>
    </row>
    <row r="62" spans="1:14">
      <c r="A62" s="1536"/>
      <c r="B62" s="1387"/>
      <c r="C62" s="2066">
        <f ca="1">TODAY()</f>
        <v>45298</v>
      </c>
      <c r="D62" s="2066"/>
      <c r="E62" s="2066"/>
      <c r="F62" s="2066"/>
      <c r="G62" s="2066"/>
      <c r="H62" s="2066"/>
      <c r="I62" s="1536"/>
      <c r="J62" s="1536"/>
      <c r="K62" s="1536"/>
      <c r="L62" s="1536"/>
      <c r="M62" s="599"/>
      <c r="N62" s="599"/>
    </row>
    <row r="63" spans="1:14">
      <c r="A63" s="1536"/>
      <c r="I63" s="1536"/>
      <c r="J63" s="1536"/>
      <c r="K63" s="1536"/>
      <c r="L63" s="1536"/>
      <c r="M63" s="599"/>
      <c r="N63" s="599"/>
    </row>
    <row r="64" spans="1:14">
      <c r="A64" s="1536"/>
      <c r="I64" s="1536"/>
      <c r="J64" s="1536"/>
      <c r="K64" s="1536"/>
      <c r="L64" s="1536"/>
      <c r="M64" s="599"/>
      <c r="N64" s="599"/>
    </row>
    <row r="65" spans="1:56">
      <c r="A65" s="1536"/>
      <c r="I65" s="1536"/>
      <c r="J65" s="1536"/>
      <c r="K65" s="1536"/>
      <c r="L65" s="1536"/>
      <c r="M65" s="599"/>
      <c r="N65" s="599"/>
    </row>
    <row r="66" spans="1:56">
      <c r="A66" s="1536"/>
      <c r="I66" s="1536"/>
      <c r="J66" s="1536"/>
      <c r="K66" s="1536"/>
      <c r="L66" s="1536"/>
      <c r="M66" s="599"/>
      <c r="N66" s="599"/>
    </row>
    <row r="67" spans="1:56">
      <c r="A67" s="1536"/>
      <c r="I67" s="1536"/>
      <c r="J67" s="1536"/>
      <c r="K67" s="1536"/>
      <c r="L67" s="1536"/>
      <c r="M67" s="599"/>
      <c r="N67" s="599"/>
    </row>
    <row r="68" spans="1:56">
      <c r="A68" s="1536"/>
      <c r="I68" s="1536"/>
      <c r="J68" s="1536"/>
      <c r="K68" s="1536"/>
      <c r="L68" s="1536"/>
      <c r="M68" s="599"/>
      <c r="N68" s="599"/>
    </row>
    <row r="69" spans="1:56">
      <c r="A69" s="1536"/>
      <c r="I69" s="1536"/>
      <c r="J69" s="1536"/>
      <c r="K69" s="1536"/>
      <c r="L69" s="1536"/>
      <c r="M69" s="599"/>
      <c r="N69" s="599"/>
    </row>
    <row r="70" spans="1:56">
      <c r="A70" s="1536"/>
      <c r="I70" s="1536"/>
      <c r="J70" s="1536"/>
      <c r="K70" s="1536"/>
      <c r="L70" s="1536"/>
      <c r="M70" s="599"/>
      <c r="N70" s="599"/>
    </row>
    <row r="71" spans="1:56" ht="15">
      <c r="A71" s="1536"/>
      <c r="B71" s="2068" t="s">
        <v>856</v>
      </c>
      <c r="C71" s="2068"/>
      <c r="D71" s="2068"/>
      <c r="E71" s="2068"/>
      <c r="F71" s="2068"/>
      <c r="G71" s="2068"/>
      <c r="H71" s="2068"/>
      <c r="I71" s="1536"/>
      <c r="J71" s="1536"/>
      <c r="K71" s="1536"/>
      <c r="L71" s="1536"/>
      <c r="M71" s="599"/>
      <c r="N71" s="599"/>
    </row>
    <row r="72" spans="1:56" ht="15">
      <c r="A72" s="1536"/>
      <c r="B72" s="2067" t="str">
        <f>Usuário</f>
        <v>Iomar Bezerra da Silva</v>
      </c>
      <c r="C72" s="2067"/>
      <c r="D72" s="2067"/>
      <c r="E72" s="2067"/>
      <c r="F72" s="2067"/>
      <c r="G72" s="2067"/>
      <c r="H72" s="2067"/>
      <c r="I72" s="1536"/>
      <c r="J72" s="1536"/>
      <c r="K72" s="1536"/>
      <c r="L72" s="1536"/>
      <c r="M72" s="599"/>
      <c r="N72" s="599"/>
    </row>
    <row r="73" spans="1:56" ht="15">
      <c r="A73" s="1536"/>
      <c r="B73" s="2061" t="str">
        <f>Profissão</f>
        <v>Técnico</v>
      </c>
      <c r="C73" s="2061"/>
      <c r="D73" s="2061"/>
      <c r="E73" s="2061"/>
      <c r="F73" s="2061"/>
      <c r="G73" s="2061"/>
      <c r="H73" s="2061"/>
      <c r="I73" s="1536"/>
      <c r="J73" s="1536"/>
      <c r="K73" s="1536"/>
      <c r="L73" s="1536"/>
      <c r="M73" s="599"/>
      <c r="N73" s="599"/>
    </row>
    <row r="74" spans="1:56" ht="14.25">
      <c r="A74" s="1536"/>
      <c r="B74" s="2062" t="str">
        <f>RGProfissional</f>
        <v>MA-00259-ZP</v>
      </c>
      <c r="C74" s="2062"/>
      <c r="D74" s="2062"/>
      <c r="E74" s="2062"/>
      <c r="F74" s="2062"/>
      <c r="G74" s="2062"/>
      <c r="H74" s="2062"/>
      <c r="I74" s="1536"/>
      <c r="J74" s="1536"/>
      <c r="K74" s="1536"/>
      <c r="L74" s="1536"/>
      <c r="M74" s="599"/>
      <c r="N74" s="599"/>
    </row>
    <row r="75" spans="1:56" s="1536" customFormat="1">
      <c r="B75" s="1537"/>
      <c r="C75" s="1537"/>
      <c r="D75" s="1537"/>
      <c r="E75" s="1537"/>
      <c r="F75" s="1537"/>
      <c r="G75" s="1537"/>
      <c r="H75" s="1537"/>
    </row>
    <row r="76" spans="1:56">
      <c r="K76" s="1295" t="str">
        <f>Alimentos!H2</f>
        <v>MS</v>
      </c>
      <c r="L76" s="1295" t="str">
        <f>Alimentos!I2</f>
        <v>FDN</v>
      </c>
      <c r="M76" s="755" t="str">
        <f>Alimentos!J2</f>
        <v>FDA</v>
      </c>
      <c r="N76" s="755" t="str">
        <f>Alimentos!K2</f>
        <v>CNF</v>
      </c>
      <c r="O76" s="755" t="str">
        <f>Alimentos!L2</f>
        <v>NDT</v>
      </c>
      <c r="P76" s="755" t="str">
        <f>Alimentos!M2</f>
        <v>ED</v>
      </c>
      <c r="Q76" s="755" t="str">
        <f>Alimentos!N2</f>
        <v>EM</v>
      </c>
      <c r="R76" s="755" t="str">
        <f>Alimentos!O2</f>
        <v>EL</v>
      </c>
      <c r="S76" s="755" t="str">
        <f>Alimentos!P2</f>
        <v>EE</v>
      </c>
      <c r="T76" s="755" t="str">
        <f>Alimentos!Q2</f>
        <v>PB</v>
      </c>
      <c r="U76" s="755" t="str">
        <f>Alimentos!R2</f>
        <v>PDR</v>
      </c>
      <c r="V76" s="755" t="str">
        <f>Alimentos!S2</f>
        <v>PNDR</v>
      </c>
      <c r="W76" s="755" t="str">
        <f>Alimentos!T2</f>
        <v>PM</v>
      </c>
      <c r="X76" s="755" t="str">
        <f>Alimentos!U2</f>
        <v>PBNNP</v>
      </c>
      <c r="Y76" s="755" t="str">
        <f>Alimentos!V2</f>
        <v>Ca</v>
      </c>
      <c r="Z76" s="755" t="str">
        <f>Alimentos!W2</f>
        <v>P</v>
      </c>
      <c r="AA76" s="755" t="str">
        <f>Alimentos!X2</f>
        <v>Mg</v>
      </c>
      <c r="AB76" s="755" t="str">
        <f>Alimentos!Y2</f>
        <v>Na</v>
      </c>
      <c r="AC76" s="755" t="str">
        <f>Alimentos!Z2</f>
        <v>K</v>
      </c>
      <c r="AD76" s="755" t="str">
        <f>Alimentos!AA2</f>
        <v>S</v>
      </c>
      <c r="AE76" s="755" t="str">
        <f>Alimentos!AB2</f>
        <v>Cu</v>
      </c>
      <c r="AF76" s="755" t="str">
        <f>Alimentos!AC2</f>
        <v>Zn</v>
      </c>
      <c r="AG76" s="755" t="str">
        <f>Alimentos!AD2</f>
        <v>Fe</v>
      </c>
      <c r="AH76" s="755" t="str">
        <f>Alimentos!AE2</f>
        <v>Mn</v>
      </c>
      <c r="AI76" s="755" t="str">
        <f>Alimentos!AF2</f>
        <v>I</v>
      </c>
      <c r="AJ76" s="755" t="str">
        <f>Alimentos!AG2</f>
        <v>Co</v>
      </c>
      <c r="AK76" s="755" t="str">
        <f>Alimentos!AH2</f>
        <v>Se</v>
      </c>
      <c r="AL76" s="755" t="str">
        <f>Alimentos!AI2</f>
        <v>Lis</v>
      </c>
      <c r="AM76" s="755" t="str">
        <f>Alimentos!AJ2</f>
        <v>Met</v>
      </c>
      <c r="AN76" s="755" t="str">
        <f>Alimentos!AK2</f>
        <v>Mon</v>
      </c>
      <c r="AO76" s="755" t="str">
        <f>Alimentos!AL2</f>
        <v>Vit A</v>
      </c>
      <c r="AP76" s="755" t="str">
        <f>Alimentos!AM2</f>
        <v>Vit B (UI)</v>
      </c>
      <c r="AQ76" s="755" t="str">
        <f>Alimentos!AN2</f>
        <v>Vit D (UI)</v>
      </c>
      <c r="AR76" s="755" t="str">
        <f>Alimentos!AO2</f>
        <v>Vit E (UI)</v>
      </c>
      <c r="AS76" s="755" t="str">
        <f>Alimentos!AP2</f>
        <v>Novo 01</v>
      </c>
      <c r="AT76" s="755" t="str">
        <f>Alimentos!AQ2</f>
        <v>Novo 02</v>
      </c>
      <c r="AU76" s="755" t="str">
        <f>Alimentos!AR2</f>
        <v>Novo 03</v>
      </c>
      <c r="AV76" s="755" t="str">
        <f>Alimentos!AS2</f>
        <v>Novo 04</v>
      </c>
      <c r="AW76" s="755" t="str">
        <f>Alimentos!AT2</f>
        <v>Novo 05</v>
      </c>
      <c r="AX76" s="755" t="str">
        <f>Alimentos!AU2</f>
        <v>Novo 06</v>
      </c>
      <c r="AY76" s="755" t="str">
        <f>Alimentos!AV2</f>
        <v>Novo 07</v>
      </c>
      <c r="AZ76" s="755" t="str">
        <f>Alimentos!AW2</f>
        <v>Novo 08</v>
      </c>
      <c r="BA76" s="755" t="str">
        <f>Alimentos!AX2</f>
        <v>Novo 09</v>
      </c>
      <c r="BB76" s="755" t="str">
        <f>Alimentos!AY2</f>
        <v>VOL</v>
      </c>
      <c r="BC76" s="755" t="str">
        <f>Alimentos!AZ2</f>
        <v>CONC</v>
      </c>
      <c r="BD76" s="755"/>
    </row>
    <row r="77" spans="1:56">
      <c r="K77" s="1296">
        <f>INDEX($E$15:$E$59,MATCH(K$76,$C$15:$C$59,0))</f>
        <v>0</v>
      </c>
      <c r="L77" s="1296">
        <f t="shared" ref="L77:BC77" si="4">INDEX($E$15:$E$59,MATCH(L$76,$C$15:$C$59,0))</f>
        <v>1.4194807801802669</v>
      </c>
      <c r="M77" s="756">
        <f t="shared" si="4"/>
        <v>1.0646105851352001</v>
      </c>
      <c r="N77" s="756">
        <f t="shared" si="4"/>
        <v>0</v>
      </c>
      <c r="O77" s="756">
        <f t="shared" si="4"/>
        <v>2.6341239542602399</v>
      </c>
      <c r="P77" s="756">
        <f t="shared" si="4"/>
        <v>0</v>
      </c>
      <c r="Q77" s="756">
        <f t="shared" si="4"/>
        <v>0</v>
      </c>
      <c r="R77" s="756">
        <f t="shared" si="4"/>
        <v>0</v>
      </c>
      <c r="S77" s="756">
        <f t="shared" si="4"/>
        <v>0</v>
      </c>
      <c r="T77" s="756">
        <f t="shared" si="4"/>
        <v>443.50608304644629</v>
      </c>
      <c r="U77" s="756">
        <f t="shared" si="4"/>
        <v>0</v>
      </c>
      <c r="V77" s="756">
        <f t="shared" si="4"/>
        <v>0</v>
      </c>
      <c r="W77" s="756">
        <f t="shared" si="4"/>
        <v>0</v>
      </c>
      <c r="X77" s="756">
        <f t="shared" si="4"/>
        <v>0</v>
      </c>
      <c r="Y77" s="756">
        <f t="shared" si="4"/>
        <v>13.62340040220473</v>
      </c>
      <c r="Z77" s="756">
        <f t="shared" si="4"/>
        <v>8.936258663315602</v>
      </c>
      <c r="AA77" s="756">
        <f t="shared" si="4"/>
        <v>4.6658114589413353</v>
      </c>
      <c r="AB77" s="756">
        <f t="shared" si="4"/>
        <v>5.7026018072157338</v>
      </c>
      <c r="AC77" s="756">
        <f t="shared" si="4"/>
        <v>13.97478477855134</v>
      </c>
      <c r="AD77" s="756">
        <f t="shared" si="4"/>
        <v>5.5592716084106941</v>
      </c>
      <c r="AE77" s="756">
        <f t="shared" si="4"/>
        <v>9.9216764145481644</v>
      </c>
      <c r="AF77" s="756">
        <f t="shared" si="4"/>
        <v>29.765029243644495</v>
      </c>
      <c r="AG77" s="756">
        <f t="shared" si="4"/>
        <v>49.608382072740824</v>
      </c>
      <c r="AH77" s="756">
        <f t="shared" si="4"/>
        <v>19.843352829096329</v>
      </c>
      <c r="AI77" s="756">
        <f t="shared" si="4"/>
        <v>0.49608382072740825</v>
      </c>
      <c r="AJ77" s="756">
        <f t="shared" si="4"/>
        <v>9.9216764145481653E-2</v>
      </c>
      <c r="AK77" s="756">
        <f t="shared" si="4"/>
        <v>0.19843352829096331</v>
      </c>
      <c r="AL77" s="756">
        <f t="shared" si="4"/>
        <v>0</v>
      </c>
      <c r="AM77" s="756">
        <f t="shared" si="4"/>
        <v>0</v>
      </c>
      <c r="AN77" s="756">
        <f t="shared" si="4"/>
        <v>0</v>
      </c>
      <c r="AO77" s="756">
        <f t="shared" si="4"/>
        <v>0</v>
      </c>
      <c r="AP77" s="756">
        <f t="shared" si="4"/>
        <v>0</v>
      </c>
      <c r="AQ77" s="756">
        <f t="shared" si="4"/>
        <v>0</v>
      </c>
      <c r="AR77" s="756">
        <f t="shared" si="4"/>
        <v>0</v>
      </c>
      <c r="AS77" s="756">
        <f t="shared" si="4"/>
        <v>0</v>
      </c>
      <c r="AT77" s="756">
        <f t="shared" si="4"/>
        <v>0</v>
      </c>
      <c r="AU77" s="756">
        <f t="shared" si="4"/>
        <v>0</v>
      </c>
      <c r="AV77" s="756">
        <f t="shared" si="4"/>
        <v>0</v>
      </c>
      <c r="AW77" s="756">
        <f t="shared" si="4"/>
        <v>0</v>
      </c>
      <c r="AX77" s="756">
        <f t="shared" si="4"/>
        <v>0</v>
      </c>
      <c r="AY77" s="756">
        <f t="shared" si="4"/>
        <v>0</v>
      </c>
      <c r="AZ77" s="756">
        <f t="shared" si="4"/>
        <v>0</v>
      </c>
      <c r="BA77" s="756">
        <f t="shared" si="4"/>
        <v>0</v>
      </c>
      <c r="BB77" s="756">
        <f t="shared" si="4"/>
        <v>0</v>
      </c>
      <c r="BC77" s="756">
        <f t="shared" si="4"/>
        <v>0</v>
      </c>
    </row>
    <row r="78" spans="1:56">
      <c r="K78" s="1296">
        <f t="shared" ref="K78:BC78" si="5">INDEX($G$15:$G$59,MATCH(K$76,$C$15:$C$59,0))</f>
        <v>5.0695742149295242</v>
      </c>
      <c r="L78" s="1296">
        <f t="shared" si="5"/>
        <v>9999</v>
      </c>
      <c r="M78" s="756">
        <f t="shared" si="5"/>
        <v>99999</v>
      </c>
      <c r="N78" s="756">
        <f t="shared" si="5"/>
        <v>99999</v>
      </c>
      <c r="O78" s="756">
        <f t="shared" si="5"/>
        <v>9999</v>
      </c>
      <c r="P78" s="756">
        <f t="shared" si="5"/>
        <v>99999</v>
      </c>
      <c r="Q78" s="756">
        <f t="shared" si="5"/>
        <v>99999</v>
      </c>
      <c r="R78" s="756">
        <f t="shared" si="5"/>
        <v>99999</v>
      </c>
      <c r="S78" s="756">
        <f t="shared" si="5"/>
        <v>304.17445289577142</v>
      </c>
      <c r="T78" s="756">
        <f t="shared" si="5"/>
        <v>9999</v>
      </c>
      <c r="U78" s="756">
        <f t="shared" si="5"/>
        <v>9999</v>
      </c>
      <c r="V78" s="756">
        <f t="shared" si="5"/>
        <v>99999</v>
      </c>
      <c r="W78" s="756">
        <f t="shared" si="5"/>
        <v>99999</v>
      </c>
      <c r="X78" s="756">
        <f t="shared" si="5"/>
        <v>-31.841999999999999</v>
      </c>
      <c r="Y78" s="756">
        <f t="shared" si="5"/>
        <v>223.06126545689906</v>
      </c>
      <c r="Z78" s="756">
        <f t="shared" si="5"/>
        <v>50.695742149295242</v>
      </c>
      <c r="AA78" s="756">
        <f t="shared" si="5"/>
        <v>20.278296859718097</v>
      </c>
      <c r="AB78" s="756">
        <f t="shared" si="5"/>
        <v>329.52232397041911</v>
      </c>
      <c r="AC78" s="756">
        <f t="shared" si="5"/>
        <v>152.08722644788571</v>
      </c>
      <c r="AD78" s="756">
        <f t="shared" si="5"/>
        <v>20.278296859718097</v>
      </c>
      <c r="AE78" s="756">
        <f t="shared" si="5"/>
        <v>506.95742149295245</v>
      </c>
      <c r="AF78" s="756">
        <f t="shared" si="5"/>
        <v>2534.7871074647619</v>
      </c>
      <c r="AG78" s="756">
        <f t="shared" si="5"/>
        <v>5069.5742149295238</v>
      </c>
      <c r="AH78" s="756">
        <f t="shared" si="5"/>
        <v>5069.5742149295238</v>
      </c>
      <c r="AI78" s="756">
        <f t="shared" si="5"/>
        <v>253.47871074647622</v>
      </c>
      <c r="AJ78" s="756">
        <f t="shared" si="5"/>
        <v>50.695742149295242</v>
      </c>
      <c r="AK78" s="756">
        <f t="shared" si="5"/>
        <v>25.347871074647621</v>
      </c>
      <c r="AL78" s="756">
        <f t="shared" si="5"/>
        <v>99999</v>
      </c>
      <c r="AM78" s="756">
        <f t="shared" si="5"/>
        <v>99999</v>
      </c>
      <c r="AN78" s="756">
        <f t="shared" si="5"/>
        <v>99999</v>
      </c>
      <c r="AO78" s="756">
        <f t="shared" si="5"/>
        <v>99999</v>
      </c>
      <c r="AP78" s="756">
        <f t="shared" si="5"/>
        <v>99999</v>
      </c>
      <c r="AQ78" s="756">
        <f t="shared" si="5"/>
        <v>99999</v>
      </c>
      <c r="AR78" s="756">
        <f t="shared" si="5"/>
        <v>99999</v>
      </c>
      <c r="AS78" s="756">
        <f t="shared" si="5"/>
        <v>99999</v>
      </c>
      <c r="AT78" s="756">
        <f t="shared" si="5"/>
        <v>99999</v>
      </c>
      <c r="AU78" s="756">
        <f t="shared" si="5"/>
        <v>99999</v>
      </c>
      <c r="AV78" s="756">
        <f t="shared" si="5"/>
        <v>99999</v>
      </c>
      <c r="AW78" s="756">
        <f t="shared" si="5"/>
        <v>99999</v>
      </c>
      <c r="AX78" s="756">
        <f t="shared" si="5"/>
        <v>99999</v>
      </c>
      <c r="AY78" s="756">
        <f t="shared" si="5"/>
        <v>99999</v>
      </c>
      <c r="AZ78" s="756">
        <f t="shared" si="5"/>
        <v>99999</v>
      </c>
      <c r="BA78" s="756">
        <f t="shared" si="5"/>
        <v>99999</v>
      </c>
      <c r="BB78" s="756">
        <f t="shared" si="5"/>
        <v>99999</v>
      </c>
      <c r="BC78" s="756">
        <f t="shared" si="5"/>
        <v>99999</v>
      </c>
    </row>
    <row r="79" spans="1:56"/>
    <row r="80" spans="1:56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9"/>
    <row r="110"/>
    <row r="111"/>
    <row r="112"/>
    <row r="113"/>
    <row r="147"/>
    <row r="148"/>
    <row r="153"/>
    <row r="154"/>
    <row r="163" spans="52:53" hidden="1">
      <c r="AZ163" s="598">
        <v>180</v>
      </c>
    </row>
    <row r="164" spans="52:53" hidden="1">
      <c r="AZ164" s="598">
        <v>9</v>
      </c>
    </row>
    <row r="167" spans="52:53" hidden="1">
      <c r="BA167" s="598">
        <v>42</v>
      </c>
    </row>
    <row r="173" spans="52:53"/>
    <row r="174" spans="52:53"/>
    <row r="177"/>
    <row r="179"/>
    <row r="180"/>
    <row r="183"/>
    <row r="184"/>
    <row r="187"/>
    <row r="188"/>
    <row r="189"/>
  </sheetData>
  <mergeCells count="10">
    <mergeCell ref="D7:H7"/>
    <mergeCell ref="B73:H73"/>
    <mergeCell ref="B74:H74"/>
    <mergeCell ref="B12:H12"/>
    <mergeCell ref="B13:H13"/>
    <mergeCell ref="C62:H62"/>
    <mergeCell ref="B72:H72"/>
    <mergeCell ref="B71:H71"/>
    <mergeCell ref="E8:H8"/>
    <mergeCell ref="D9:H9"/>
  </mergeCells>
  <conditionalFormatting sqref="F15:F59">
    <cfRule type="cellIs" dxfId="112" priority="2" operator="equal">
      <formula>0</formula>
    </cfRule>
  </conditionalFormatting>
  <conditionalFormatting sqref="H15:H59">
    <cfRule type="cellIs" dxfId="111" priority="1" operator="equal">
      <formula>0</formula>
    </cfRule>
  </conditionalFormatting>
  <dataValidations count="1">
    <dataValidation type="whole" allowBlank="1" showInputMessage="1" showErrorMessage="1" sqref="F3 H5" xr:uid="{3C2CE9B7-BBE9-43FD-AD48-674299374CF0}">
      <formula1>1</formula1>
      <formula2>30</formula2>
    </dataValidation>
  </dataValidations>
  <printOptions horizontalCentered="1"/>
  <pageMargins left="0.51181102362204722" right="0.51181102362204722" top="0.94488188976377963" bottom="0.15748031496062992" header="0.31496062992125984" footer="0.31496062992125984"/>
  <pageSetup paperSize="9" scale="71" fitToHeight="0" orientation="portrait" r:id="rId1"/>
  <headerFooter>
    <oddHeader>&amp;C&amp;"Arial,Negrito itálico"&amp;16&amp;K00-049PROGRAMA DE FORMULAÇÃO DE DIETAS PARA RUMINANTES</oddHeader>
    <oddFooter>&amp;C&amp;"Arial,Itálico"&amp;K00-047By Iomar Bezerra da Silva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3" r:id="rId4" name="Drop Down 5">
              <controlPr defaultSize="0" print="0" autoLine="0" autoPict="0">
                <anchor moveWithCells="1">
                  <from>
                    <xdr:col>1</xdr:col>
                    <xdr:colOff>1209675</xdr:colOff>
                    <xdr:row>2</xdr:row>
                    <xdr:rowOff>28575</xdr:rowOff>
                  </from>
                  <to>
                    <xdr:col>1</xdr:col>
                    <xdr:colOff>2438400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5" name="Drop Down 6">
              <controlPr defaultSize="0" print="0" autoLine="0" autoPict="0">
                <anchor moveWithCells="1">
                  <from>
                    <xdr:col>1</xdr:col>
                    <xdr:colOff>1209675</xdr:colOff>
                    <xdr:row>4</xdr:row>
                    <xdr:rowOff>9525</xdr:rowOff>
                  </from>
                  <to>
                    <xdr:col>1</xdr:col>
                    <xdr:colOff>2428875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6" name="Drop Down 7">
              <controlPr defaultSize="0" print="0" autoLine="0" autoPict="0">
                <anchor moveWithCells="1">
                  <from>
                    <xdr:col>1</xdr:col>
                    <xdr:colOff>1209675</xdr:colOff>
                    <xdr:row>6</xdr:row>
                    <xdr:rowOff>9525</xdr:rowOff>
                  </from>
                  <to>
                    <xdr:col>1</xdr:col>
                    <xdr:colOff>2438400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7" name="Drop Down 9">
              <controlPr defaultSize="0" print="0" autoLine="0" autoPict="0">
                <anchor moveWithCells="1">
                  <from>
                    <xdr:col>1</xdr:col>
                    <xdr:colOff>3714750</xdr:colOff>
                    <xdr:row>2</xdr:row>
                    <xdr:rowOff>0</xdr:rowOff>
                  </from>
                  <to>
                    <xdr:col>3</xdr:col>
                    <xdr:colOff>28575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8" name="Spinner 10">
              <controlPr defaultSize="0" autoPict="0">
                <anchor moveWithCells="1">
                  <from>
                    <xdr:col>2</xdr:col>
                    <xdr:colOff>685800</xdr:colOff>
                    <xdr:row>4</xdr:row>
                    <xdr:rowOff>9525</xdr:rowOff>
                  </from>
                  <to>
                    <xdr:col>2</xdr:col>
                    <xdr:colOff>895350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9" name="Spinner 19">
              <controlPr defaultSize="0" autoPict="0">
                <anchor moveWithCells="1" sizeWithCells="1">
                  <from>
                    <xdr:col>2</xdr:col>
                    <xdr:colOff>685800</xdr:colOff>
                    <xdr:row>6</xdr:row>
                    <xdr:rowOff>9525</xdr:rowOff>
                  </from>
                  <to>
                    <xdr:col>2</xdr:col>
                    <xdr:colOff>904875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10" name="Spinner 20">
              <controlPr defaultSize="0" autoPict="0">
                <anchor moveWithCells="1" sizeWithCells="1">
                  <from>
                    <xdr:col>5</xdr:col>
                    <xdr:colOff>771525</xdr:colOff>
                    <xdr:row>2</xdr:row>
                    <xdr:rowOff>28575</xdr:rowOff>
                  </from>
                  <to>
                    <xdr:col>5</xdr:col>
                    <xdr:colOff>990600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11" name="Spinner 23">
              <controlPr defaultSize="0" autoPict="0">
                <anchor moveWithCells="1" sizeWithCells="1">
                  <from>
                    <xdr:col>5</xdr:col>
                    <xdr:colOff>771525</xdr:colOff>
                    <xdr:row>3</xdr:row>
                    <xdr:rowOff>47625</xdr:rowOff>
                  </from>
                  <to>
                    <xdr:col>5</xdr:col>
                    <xdr:colOff>990600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12" name="Spinner 27">
              <controlPr defaultSize="0" autoPict="0">
                <anchor moveWithCells="1" sizeWithCells="1">
                  <from>
                    <xdr:col>7</xdr:col>
                    <xdr:colOff>514350</xdr:colOff>
                    <xdr:row>4</xdr:row>
                    <xdr:rowOff>9525</xdr:rowOff>
                  </from>
                  <to>
                    <xdr:col>7</xdr:col>
                    <xdr:colOff>742950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13" name="Spinner 28">
              <controlPr defaultSize="0" autoPict="0">
                <anchor>
                  <from>
                    <xdr:col>7</xdr:col>
                    <xdr:colOff>504825</xdr:colOff>
                    <xdr:row>2</xdr:row>
                    <xdr:rowOff>19050</xdr:rowOff>
                  </from>
                  <to>
                    <xdr:col>7</xdr:col>
                    <xdr:colOff>742950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3F6DA-4FFC-4DDA-A281-F9E6FA0A73FD}">
  <sheetPr codeName="Planilha27">
    <tabColor rgb="FFFFFF00"/>
    <pageSetUpPr fitToPage="1"/>
  </sheetPr>
  <dimension ref="A1:BD189"/>
  <sheetViews>
    <sheetView showGridLines="0" showRowColHeaders="0" zoomScaleNormal="100" workbookViewId="0">
      <pane ySplit="14" topLeftCell="A15" activePane="bottomLeft" state="frozen"/>
      <selection activeCell="G2" sqref="G2"/>
      <selection pane="bottomLeft" activeCell="B15" sqref="B15"/>
    </sheetView>
  </sheetViews>
  <sheetFormatPr defaultColWidth="0" defaultRowHeight="18" customHeight="1" zeroHeight="1"/>
  <cols>
    <col min="1" max="1" width="20.375" style="598" customWidth="1"/>
    <col min="2" max="2" width="49" style="702" customWidth="1"/>
    <col min="3" max="3" width="12" style="702" customWidth="1"/>
    <col min="4" max="4" width="8.875" style="702" customWidth="1"/>
    <col min="5" max="5" width="10.5" style="702" customWidth="1"/>
    <col min="6" max="6" width="13.125" style="702" customWidth="1"/>
    <col min="7" max="7" width="14.25" style="702" customWidth="1"/>
    <col min="8" max="8" width="10" style="702" customWidth="1"/>
    <col min="9" max="9" width="2.5" style="598" customWidth="1"/>
    <col min="10" max="10" width="8.875" style="598" customWidth="1"/>
    <col min="11" max="12" width="9" style="598" customWidth="1"/>
    <col min="13" max="13" width="9" style="598" hidden="1" customWidth="1"/>
    <col min="14" max="14" width="7.375" style="598" hidden="1" customWidth="1"/>
    <col min="15" max="15" width="8" style="598" hidden="1" customWidth="1"/>
    <col min="16" max="16" width="6.5" style="598" hidden="1" customWidth="1"/>
    <col min="17" max="17" width="9.875" style="598" hidden="1" customWidth="1"/>
    <col min="18" max="16384" width="9" style="598" hidden="1"/>
  </cols>
  <sheetData>
    <row r="1" spans="1:14" ht="60.75" customHeight="1">
      <c r="A1" s="1535"/>
      <c r="B1" s="1536"/>
      <c r="C1" s="1536"/>
      <c r="D1" s="1536"/>
      <c r="E1" s="1536"/>
      <c r="F1" s="1536"/>
      <c r="G1" s="1536"/>
      <c r="H1" s="1536"/>
      <c r="I1" s="1536"/>
      <c r="J1" s="1536"/>
      <c r="K1" s="1536"/>
      <c r="L1" s="1536"/>
      <c r="M1" s="1042"/>
      <c r="N1" s="1042"/>
    </row>
    <row r="2" spans="1:14" ht="9.75" customHeight="1" thickBot="1">
      <c r="A2" s="1536"/>
      <c r="B2" s="1042"/>
      <c r="C2" s="1042"/>
      <c r="D2" s="1042"/>
      <c r="E2" s="1042"/>
      <c r="F2" s="1042"/>
      <c r="G2" s="1042"/>
      <c r="H2" s="1042"/>
      <c r="I2" s="1536"/>
      <c r="J2" s="1536"/>
      <c r="K2" s="1536"/>
      <c r="L2" s="1536"/>
      <c r="M2" s="1042"/>
      <c r="N2" s="1042"/>
    </row>
    <row r="3" spans="1:14" ht="23.25" customHeight="1" thickTop="1" thickBot="1">
      <c r="A3" s="1536"/>
      <c r="B3" s="1042"/>
      <c r="C3" s="1042"/>
      <c r="D3" s="1042"/>
      <c r="E3" s="1042"/>
      <c r="F3" s="1042"/>
      <c r="G3" s="1042"/>
      <c r="H3" s="1051">
        <v>3</v>
      </c>
      <c r="I3" s="1536"/>
      <c r="J3" s="1536"/>
      <c r="K3" s="1536"/>
      <c r="L3" s="1536"/>
      <c r="M3" s="1042"/>
      <c r="N3" s="1042"/>
    </row>
    <row r="4" spans="1:14" ht="4.5" customHeight="1" thickTop="1" thickBot="1">
      <c r="A4" s="1536"/>
      <c r="B4" s="1042"/>
      <c r="C4" s="1042"/>
      <c r="D4" s="1042"/>
      <c r="E4" s="1042"/>
      <c r="F4" s="1042"/>
      <c r="G4" s="1042"/>
      <c r="H4" s="1042"/>
      <c r="I4" s="1536"/>
      <c r="J4" s="1536"/>
      <c r="K4" s="1536"/>
      <c r="L4" s="1536"/>
      <c r="M4" s="1042"/>
      <c r="N4" s="1042"/>
    </row>
    <row r="5" spans="1:14" ht="22.5" customHeight="1" thickTop="1" thickBot="1">
      <c r="A5" s="1536"/>
      <c r="B5" s="1042"/>
      <c r="C5" s="1047">
        <v>680</v>
      </c>
      <c r="D5" s="1042"/>
      <c r="E5" s="1042"/>
      <c r="F5" s="1048">
        <v>15</v>
      </c>
      <c r="G5" s="1042"/>
      <c r="H5" s="1050">
        <v>4</v>
      </c>
      <c r="I5" s="1536"/>
      <c r="J5" s="1536"/>
      <c r="K5" s="1536"/>
      <c r="L5" s="1536"/>
      <c r="M5" s="1042"/>
      <c r="N5" s="1042"/>
    </row>
    <row r="6" spans="1:14" ht="4.5" customHeight="1" thickTop="1" thickBot="1">
      <c r="A6" s="1536"/>
      <c r="B6" s="1042"/>
      <c r="C6" s="1046"/>
      <c r="D6" s="1042"/>
      <c r="E6" s="1042"/>
      <c r="F6" s="1042"/>
      <c r="G6" s="1042"/>
      <c r="H6" s="1042"/>
      <c r="I6" s="1536"/>
      <c r="J6" s="1536"/>
      <c r="K6" s="1536"/>
      <c r="L6" s="1536"/>
      <c r="M6" s="1042"/>
      <c r="N6" s="1042"/>
    </row>
    <row r="7" spans="1:14" ht="21" customHeight="1" thickTop="1" thickBot="1">
      <c r="A7" s="1536"/>
      <c r="B7" s="1042"/>
      <c r="C7" s="1049">
        <v>460</v>
      </c>
      <c r="D7" s="1046"/>
      <c r="E7" s="1046"/>
      <c r="F7" s="1048">
        <v>3.5</v>
      </c>
      <c r="G7" s="1046"/>
      <c r="H7" s="1052">
        <f>ROUND(Base.BL!F16/1000,2)</f>
        <v>0</v>
      </c>
      <c r="I7" s="1536"/>
      <c r="J7" s="1536"/>
      <c r="K7" s="1536"/>
      <c r="L7" s="1536"/>
      <c r="M7" s="1042"/>
      <c r="N7" s="1042"/>
    </row>
    <row r="8" spans="1:14" ht="3" customHeight="1" thickTop="1">
      <c r="A8" s="1536"/>
      <c r="B8" s="1042"/>
      <c r="C8" s="1042"/>
      <c r="D8" s="1045"/>
      <c r="E8" s="2069"/>
      <c r="F8" s="2069"/>
      <c r="G8" s="2069"/>
      <c r="H8" s="2069"/>
      <c r="I8" s="1536"/>
      <c r="J8" s="1536"/>
      <c r="K8" s="1536"/>
      <c r="L8" s="1536"/>
      <c r="M8" s="1042"/>
      <c r="N8" s="1042"/>
    </row>
    <row r="9" spans="1:14" ht="0.75" customHeight="1">
      <c r="A9" s="1536"/>
      <c r="B9" s="1042"/>
      <c r="C9" s="1042"/>
      <c r="D9" s="2069"/>
      <c r="E9" s="2069"/>
      <c r="F9" s="2069"/>
      <c r="G9" s="2069"/>
      <c r="H9" s="2069"/>
      <c r="I9" s="1536"/>
      <c r="J9" s="1536"/>
      <c r="K9" s="1536"/>
      <c r="L9" s="1536"/>
      <c r="M9" s="1042"/>
      <c r="N9" s="1042"/>
    </row>
    <row r="10" spans="1:14" ht="2.25" customHeight="1">
      <c r="A10" s="1536"/>
      <c r="B10" s="1042"/>
      <c r="C10" s="1042"/>
      <c r="D10" s="1042"/>
      <c r="E10" s="1042"/>
      <c r="F10" s="1042"/>
      <c r="G10" s="1042"/>
      <c r="H10" s="1042"/>
      <c r="I10" s="1536"/>
      <c r="J10" s="1536"/>
      <c r="K10" s="1536"/>
      <c r="L10" s="1536"/>
      <c r="M10" s="1042"/>
      <c r="N10" s="1042"/>
    </row>
    <row r="11" spans="1:14" ht="0.75" customHeight="1">
      <c r="A11" s="1536"/>
      <c r="B11" s="599"/>
      <c r="C11" s="599"/>
      <c r="D11" s="599"/>
      <c r="E11" s="599"/>
      <c r="F11" s="599"/>
      <c r="G11" s="599"/>
      <c r="H11" s="599"/>
      <c r="I11" s="1536"/>
      <c r="J11" s="1536"/>
      <c r="K11" s="1536"/>
      <c r="L11" s="1536"/>
      <c r="M11" s="1042"/>
      <c r="N11" s="1042"/>
    </row>
    <row r="12" spans="1:14" ht="20.25" customHeight="1">
      <c r="A12" s="1536"/>
      <c r="B12" s="2063" t="s">
        <v>501</v>
      </c>
      <c r="C12" s="2064"/>
      <c r="D12" s="2064"/>
      <c r="E12" s="2064"/>
      <c r="F12" s="2064"/>
      <c r="G12" s="2064"/>
      <c r="H12" s="2064"/>
      <c r="I12" s="1536"/>
      <c r="J12" s="1536"/>
      <c r="K12" s="1536"/>
      <c r="L12" s="1536"/>
      <c r="M12" s="1042"/>
      <c r="N12" s="1042"/>
    </row>
    <row r="13" spans="1:14" ht="17.25" customHeight="1">
      <c r="A13" s="1536"/>
      <c r="B13" s="2065" t="str">
        <f>Base.BL!B7</f>
        <v>Vacas em Sistema Intensivo (Lactação Maior que 3 Semanas)_460PV_15Prod_0Gord_0PB__0GMD</v>
      </c>
      <c r="C13" s="2065"/>
      <c r="D13" s="2065"/>
      <c r="E13" s="2065"/>
      <c r="F13" s="2065"/>
      <c r="G13" s="2065"/>
      <c r="H13" s="2065"/>
      <c r="I13" s="1536"/>
      <c r="J13" s="1536"/>
      <c r="K13" s="1536"/>
      <c r="L13" s="1536"/>
      <c r="M13" s="1042"/>
      <c r="N13" s="1042"/>
    </row>
    <row r="14" spans="1:14" ht="18" customHeight="1">
      <c r="A14" s="1536"/>
      <c r="B14" s="753" t="s">
        <v>2</v>
      </c>
      <c r="C14" s="754" t="s">
        <v>257</v>
      </c>
      <c r="D14" s="754" t="s">
        <v>5</v>
      </c>
      <c r="E14" s="754" t="s">
        <v>0</v>
      </c>
      <c r="F14" s="754" t="s">
        <v>1189</v>
      </c>
      <c r="G14" s="754" t="s">
        <v>1</v>
      </c>
      <c r="H14" s="754" t="s">
        <v>1190</v>
      </c>
      <c r="I14" s="1536"/>
      <c r="J14" s="1536"/>
      <c r="K14" s="1536"/>
      <c r="L14" s="1536"/>
      <c r="M14" s="1042"/>
      <c r="N14" s="1042"/>
    </row>
    <row r="15" spans="1:14" ht="15">
      <c r="A15" s="1536"/>
      <c r="B15" s="1366" t="str">
        <f>Atendimento!B7</f>
        <v>Matéria Seca</v>
      </c>
      <c r="C15" s="1367" t="str">
        <f>Atendimento!C7</f>
        <v>MS</v>
      </c>
      <c r="D15" s="1367" t="str">
        <f>Atendimento!D7</f>
        <v>kg</v>
      </c>
      <c r="E15" s="1368">
        <f>IFERROR(INDEX(Base.BL!$C$18:$C$51,MATCH(C15,Base.BL!$B$18:$B$51,0)),0)</f>
        <v>0</v>
      </c>
      <c r="F15" s="1369">
        <v>0</v>
      </c>
      <c r="G15" s="1370">
        <f>IFERROR(INDEX(Base.BL!$D$18:$D$51,MATCH(C15,Base.BL!$B$18:$B$51,0)),999999)</f>
        <v>14.254049999999999</v>
      </c>
      <c r="H15" s="1371">
        <v>1</v>
      </c>
      <c r="I15" s="1536"/>
      <c r="J15" s="1538" t="str">
        <f ca="1">TEXT(TODAY(),"AAMMDD")&amp;TEXT(NOW(),"hhmmss")&amp;" "&amp;"Ficha de Exigência "&amp;B13</f>
        <v>240107120423 Ficha de Exigência Vacas em Sistema Intensivo (Lactação Maior que 3 Semanas)_460PV_15Prod_0Gord_0PB__0GMD</v>
      </c>
      <c r="K15" s="1536"/>
      <c r="L15" s="1536"/>
      <c r="M15" s="1042"/>
      <c r="N15" s="1042"/>
    </row>
    <row r="16" spans="1:14" ht="15">
      <c r="A16" s="1536"/>
      <c r="B16" s="1372" t="str">
        <f>Atendimento!B8</f>
        <v>Fibra em 
Detergente Neutro</v>
      </c>
      <c r="C16" s="1373" t="str">
        <f>Atendimento!C8</f>
        <v>FDN</v>
      </c>
      <c r="D16" s="1373" t="str">
        <f>Atendimento!D8</f>
        <v>kg</v>
      </c>
      <c r="E16" s="1374">
        <f>IFERROR(INDEX(Base.BL!$C$18:$C$51,MATCH(C16,Base.BL!$B$18:$B$51,0)),0)</f>
        <v>3.9911339999999997</v>
      </c>
      <c r="F16" s="1375">
        <f>E16/G15</f>
        <v>0.27999999999999997</v>
      </c>
      <c r="G16" s="1376">
        <f>IFERROR(INDEX(Base.BL!$D$18:$D$51,MATCH(C16,Base.BL!$B$18:$B$51,0)),999999)</f>
        <v>9999999</v>
      </c>
      <c r="H16" s="1375">
        <f>IF(G16/$G$15&gt;100%,100%,G16/$G$15)</f>
        <v>1</v>
      </c>
      <c r="I16" s="1536"/>
      <c r="J16" s="1536"/>
      <c r="K16" s="1536"/>
      <c r="L16" s="1536"/>
      <c r="M16" s="1042"/>
      <c r="N16" s="1042"/>
    </row>
    <row r="17" spans="1:14" ht="15">
      <c r="A17" s="1536"/>
      <c r="B17" s="1366" t="str">
        <f>Atendimento!B9</f>
        <v>Fibra em 
Detergente Ácido</v>
      </c>
      <c r="C17" s="1367" t="str">
        <f>Atendimento!C9</f>
        <v>FDA</v>
      </c>
      <c r="D17" s="1367" t="str">
        <f>Atendimento!D9</f>
        <v>kg</v>
      </c>
      <c r="E17" s="1368">
        <f>IFERROR(INDEX(Base.BL!$C$18:$C$51,MATCH(C17,Base.BL!$B$18:$B$51,0)),0)</f>
        <v>0</v>
      </c>
      <c r="F17" s="1371">
        <f>E17/G15</f>
        <v>0</v>
      </c>
      <c r="G17" s="1370">
        <f>IFERROR(INDEX(Base.BL!$D$18:$D$51,MATCH(C17,Base.BL!$B$18:$B$51,0)),999999)</f>
        <v>999999</v>
      </c>
      <c r="H17" s="1371">
        <f t="shared" ref="H17:H19" si="0">IF(G17/$G$15&gt;100%,100%,G17/$G$15)</f>
        <v>1</v>
      </c>
      <c r="I17" s="1536"/>
      <c r="J17" s="1536"/>
      <c r="K17" s="1536"/>
      <c r="L17" s="1536"/>
      <c r="M17" s="1042"/>
      <c r="N17" s="1042"/>
    </row>
    <row r="18" spans="1:14" ht="15">
      <c r="A18" s="1536"/>
      <c r="B18" s="1372" t="str">
        <f>Atendimento!B10</f>
        <v>Carboidratos Não Fibrosos</v>
      </c>
      <c r="C18" s="1373" t="str">
        <f>Atendimento!C10</f>
        <v>CNF</v>
      </c>
      <c r="D18" s="1373" t="str">
        <f>Atendimento!D10</f>
        <v>kg</v>
      </c>
      <c r="E18" s="1374">
        <f>IFERROR(INDEX(Base.BL!$C$18:$C$51,MATCH(C18,Base.BL!$B$18:$B$51,0)),0)</f>
        <v>0</v>
      </c>
      <c r="F18" s="1375">
        <f>E18/G15</f>
        <v>0</v>
      </c>
      <c r="G18" s="1376">
        <f>IFERROR(INDEX(Base.BL!$D$18:$D$51,MATCH(C18,Base.BL!$B$18:$B$51,0)),999999)</f>
        <v>999999</v>
      </c>
      <c r="H18" s="1375">
        <f t="shared" si="0"/>
        <v>1</v>
      </c>
      <c r="I18" s="1536"/>
      <c r="J18" s="1536"/>
      <c r="K18" s="1536"/>
      <c r="L18" s="1536"/>
      <c r="M18" s="1042"/>
      <c r="N18" s="1043"/>
    </row>
    <row r="19" spans="1:14" ht="15">
      <c r="A19" s="1536"/>
      <c r="B19" s="1366" t="str">
        <f>Atendimento!B11</f>
        <v>Nutrientes Digestíveis Totais</v>
      </c>
      <c r="C19" s="1367" t="str">
        <f>Atendimento!C11</f>
        <v>NDT</v>
      </c>
      <c r="D19" s="1367" t="str">
        <f>Atendimento!D11</f>
        <v>kg</v>
      </c>
      <c r="E19" s="1368">
        <f>IFERROR(INDEX(Base.BL!$C$18:$C$51,MATCH(C19,Base.BL!$B$18:$B$51,0)),0)</f>
        <v>9.405050254799999</v>
      </c>
      <c r="F19" s="1371">
        <f>E19/G15</f>
        <v>0.65981599999999996</v>
      </c>
      <c r="G19" s="1370">
        <f>IFERROR(INDEX(Base.BL!$D$18:$D$51,MATCH(C19,Base.BL!$B$18:$B$51,0)),999999)</f>
        <v>9999999</v>
      </c>
      <c r="H19" s="1371">
        <f t="shared" si="0"/>
        <v>1</v>
      </c>
      <c r="I19" s="1536"/>
      <c r="J19" s="1536"/>
      <c r="K19" s="1536"/>
      <c r="L19" s="1536"/>
      <c r="M19" s="1042"/>
      <c r="N19" s="1042"/>
    </row>
    <row r="20" spans="1:14" ht="15">
      <c r="A20" s="1536"/>
      <c r="B20" s="1372" t="str">
        <f>Atendimento!B12</f>
        <v>Energia Digestível (Bovinos)</v>
      </c>
      <c r="C20" s="1373" t="str">
        <f>Atendimento!C12</f>
        <v>ED</v>
      </c>
      <c r="D20" s="1373" t="str">
        <f>Atendimento!D12</f>
        <v>Mcal</v>
      </c>
      <c r="E20" s="1374">
        <f>IFERROR(INDEX(Base.BL!$C$18:$C$51,MATCH(C20,Base.BL!$B$18:$B$51,0)),0)</f>
        <v>0</v>
      </c>
      <c r="F20" s="1377">
        <v>0</v>
      </c>
      <c r="G20" s="1376">
        <f>IFERROR(INDEX(Base.BL!$D$18:$D$51,MATCH(C20,Base.BL!$B$18:$B$51,0)),999999)</f>
        <v>999999</v>
      </c>
      <c r="H20" s="1377">
        <v>0</v>
      </c>
      <c r="I20" s="1536"/>
      <c r="J20" s="1536"/>
      <c r="K20" s="1536"/>
      <c r="L20" s="1536"/>
      <c r="M20" s="1042"/>
      <c r="N20" s="1042"/>
    </row>
    <row r="21" spans="1:14" ht="15">
      <c r="A21" s="1536"/>
      <c r="B21" s="1366" t="str">
        <f>Atendimento!B13</f>
        <v>Energia Metabolizável (Bovinos)</v>
      </c>
      <c r="C21" s="1367" t="str">
        <f>Atendimento!C13</f>
        <v>EM</v>
      </c>
      <c r="D21" s="1367" t="str">
        <f>Atendimento!D13</f>
        <v>Mcal</v>
      </c>
      <c r="E21" s="1368">
        <f>IFERROR(INDEX(Base.BL!$C$18:$C$51,MATCH(C21,Base.BL!$B$18:$B$51,0)),0)</f>
        <v>0</v>
      </c>
      <c r="F21" s="1369">
        <v>0</v>
      </c>
      <c r="G21" s="1370">
        <f>IFERROR(INDEX(Base.BL!$D$18:$D$51,MATCH(C21,Base.BL!$B$18:$B$51,0)),999999)</f>
        <v>999999</v>
      </c>
      <c r="H21" s="1369">
        <v>0</v>
      </c>
      <c r="I21" s="1536"/>
      <c r="J21" s="1536"/>
      <c r="K21" s="1536"/>
      <c r="L21" s="1536"/>
      <c r="M21" s="1042"/>
      <c r="N21" s="1044"/>
    </row>
    <row r="22" spans="1:14" ht="15">
      <c r="A22" s="1536"/>
      <c r="B22" s="1372" t="str">
        <f>Atendimento!B14</f>
        <v>Energia Líquida (Bovinos)</v>
      </c>
      <c r="C22" s="1373" t="str">
        <f>Atendimento!C14</f>
        <v>EL</v>
      </c>
      <c r="D22" s="1373" t="str">
        <f>Atendimento!D14</f>
        <v>Mcal</v>
      </c>
      <c r="E22" s="1374">
        <f>IFERROR(INDEX(Base.BL!$C$18:$C$51,MATCH(C22,Base.BL!$B$18:$B$51,0)),0)</f>
        <v>0</v>
      </c>
      <c r="F22" s="1377">
        <v>0</v>
      </c>
      <c r="G22" s="1376">
        <f>IFERROR(INDEX(Base.BL!$D$18:$D$51,MATCH(C22,Base.BL!$B$18:$B$51,0)),999999)</f>
        <v>999999</v>
      </c>
      <c r="H22" s="1377">
        <v>0</v>
      </c>
      <c r="I22" s="1536"/>
      <c r="J22" s="1536"/>
      <c r="K22" s="1536"/>
      <c r="L22" s="1536"/>
      <c r="M22" s="1042"/>
      <c r="N22" s="1042"/>
    </row>
    <row r="23" spans="1:14" ht="15">
      <c r="A23" s="1536"/>
      <c r="B23" s="1366" t="str">
        <f>Atendimento!B15</f>
        <v>Gordura</v>
      </c>
      <c r="C23" s="1367" t="str">
        <f>Atendimento!C15</f>
        <v>EE</v>
      </c>
      <c r="D23" s="1367" t="str">
        <f>Atendimento!D15</f>
        <v>g</v>
      </c>
      <c r="E23" s="1378">
        <f>IFERROR(INDEX(Base.BL!$C$18:$C$51,MATCH(C23,Base.BL!$B$18:$B$51,0)),0)</f>
        <v>0</v>
      </c>
      <c r="F23" s="1369">
        <v>0</v>
      </c>
      <c r="G23" s="1379">
        <f>IFERROR(INDEX(Base.BL!$D$18:$D$51,MATCH(C23,Base.BL!$B$18:$B$51,0)),999999)</f>
        <v>712.7025000000001</v>
      </c>
      <c r="H23" s="1371">
        <f>IF(G23/1000/$G$15&gt;100%,100%,G23/1000/$G$15)</f>
        <v>5.000000000000001E-2</v>
      </c>
      <c r="I23" s="1536"/>
      <c r="J23" s="1536"/>
      <c r="K23" s="1536"/>
      <c r="L23" s="1536"/>
      <c r="M23" s="1042"/>
      <c r="N23" s="1043"/>
    </row>
    <row r="24" spans="1:14" ht="15">
      <c r="A24" s="1536"/>
      <c r="B24" s="1372" t="str">
        <f>Atendimento!B16</f>
        <v>Proteína Bruta</v>
      </c>
      <c r="C24" s="1373" t="str">
        <f>Atendimento!C16</f>
        <v>PB</v>
      </c>
      <c r="D24" s="1373" t="str">
        <f>Atendimento!D16</f>
        <v>g</v>
      </c>
      <c r="E24" s="1380">
        <f>IFERROR(INDEX(Base.BL!$C$18:$C$51,MATCH(C24,Base.BL!$B$18:$B$51,0))*1000,0)</f>
        <v>2013.2063868749999</v>
      </c>
      <c r="F24" s="1375">
        <f t="shared" ref="F24:F34" si="1">E24/1000/G$15</f>
        <v>0.14123749999999999</v>
      </c>
      <c r="G24" s="1381">
        <f>IFERROR(INDEX(Base.BL!$D$18:$D$51,MATCH(C24,Base.BL!$B$18:$B$51,0)),999999)</f>
        <v>9999999</v>
      </c>
      <c r="H24" s="1375">
        <f t="shared" ref="H24:H31" si="2">IF(G24/1000/$G$15&gt;100%,100%,G24/1000/$G$15)</f>
        <v>1</v>
      </c>
      <c r="I24" s="1536"/>
      <c r="J24" s="1536"/>
      <c r="K24" s="1536"/>
      <c r="L24" s="1536"/>
      <c r="M24" s="1042"/>
      <c r="N24" s="1042"/>
    </row>
    <row r="25" spans="1:14" ht="15">
      <c r="A25" s="1536"/>
      <c r="B25" s="1366" t="str">
        <f>Atendimento!B17</f>
        <v>Proteína Degradável no Rúmen</v>
      </c>
      <c r="C25" s="1367" t="str">
        <f>Atendimento!C17</f>
        <v>PDR</v>
      </c>
      <c r="D25" s="1367" t="str">
        <f>Atendimento!D17</f>
        <v>g</v>
      </c>
      <c r="E25" s="1388">
        <f>IFERROR(INDEX(Base.BL!$C$18:$C$51,MATCH(C25,Base.BL!$B$18:$B$51,0))*1000,0)</f>
        <v>1222.6565331239999</v>
      </c>
      <c r="F25" s="1371">
        <f>E25/1000/G$15</f>
        <v>8.5776079999999991E-2</v>
      </c>
      <c r="G25" s="1379">
        <f>IFERROR(INDEX(Base.BL!$D$18:$D$51,MATCH(C25,Base.BL!$B$18:$B$51,0)),999999)</f>
        <v>9999999</v>
      </c>
      <c r="H25" s="1371">
        <f t="shared" si="2"/>
        <v>1</v>
      </c>
      <c r="I25" s="1536"/>
      <c r="J25" s="1536"/>
      <c r="K25" s="1536"/>
      <c r="L25" s="1536"/>
      <c r="M25" s="1042"/>
      <c r="N25" s="1042"/>
    </row>
    <row r="26" spans="1:14" ht="15">
      <c r="A26" s="1536"/>
      <c r="B26" s="1372" t="str">
        <f>Atendimento!B18</f>
        <v>Proteína Não Degradável no Rúmen</v>
      </c>
      <c r="C26" s="1373" t="str">
        <f>Atendimento!C18</f>
        <v>PNDR</v>
      </c>
      <c r="D26" s="1373" t="str">
        <f>Atendimento!D18</f>
        <v>g</v>
      </c>
      <c r="E26" s="1380">
        <f>IFERROR(INDEX(Base.BL!$C$18:$C$51,MATCH(C26,Base.BL!$B$18:$B$51,0)),0)</f>
        <v>0</v>
      </c>
      <c r="F26" s="1375">
        <f t="shared" si="1"/>
        <v>0</v>
      </c>
      <c r="G26" s="1381">
        <f>IFERROR(INDEX(Base.BL!$D$18:$D$51,MATCH(C26,Base.BL!$B$18:$B$51,0)),999999)</f>
        <v>999999</v>
      </c>
      <c r="H26" s="1375">
        <f t="shared" si="2"/>
        <v>1</v>
      </c>
      <c r="I26" s="1536"/>
      <c r="J26" s="1536"/>
      <c r="K26" s="1536"/>
      <c r="L26" s="1536"/>
      <c r="M26" s="1042"/>
      <c r="N26" s="1042"/>
    </row>
    <row r="27" spans="1:14" ht="15">
      <c r="A27" s="1536"/>
      <c r="B27" s="1366" t="str">
        <f>Atendimento!B19</f>
        <v>Proteína Metabolizável</v>
      </c>
      <c r="C27" s="1367" t="str">
        <f>Atendimento!C19</f>
        <v>PM</v>
      </c>
      <c r="D27" s="1367" t="str">
        <f>Atendimento!D19</f>
        <v>g</v>
      </c>
      <c r="E27" s="1378">
        <f>IFERROR(INDEX(Base.BL!$C$18:$C$51,MATCH(C27,Base.BL!$B$18:$B$51,0)),0)</f>
        <v>0</v>
      </c>
      <c r="F27" s="1371">
        <f t="shared" si="1"/>
        <v>0</v>
      </c>
      <c r="G27" s="1379">
        <f>IFERROR(INDEX(Base.BL!$D$18:$D$51,MATCH(C27,Base.BL!$B$18:$B$51,0)),999999)</f>
        <v>999999</v>
      </c>
      <c r="H27" s="1371">
        <f t="shared" si="2"/>
        <v>1</v>
      </c>
      <c r="I27" s="1536"/>
      <c r="J27" s="1536"/>
      <c r="K27" s="1536"/>
      <c r="L27" s="1536"/>
      <c r="M27" s="1042"/>
      <c r="N27" s="1042"/>
    </row>
    <row r="28" spans="1:14" ht="15">
      <c r="A28" s="1536"/>
      <c r="B28" s="1372" t="str">
        <f>Atendimento!B20</f>
        <v>Proteína (NNP)</v>
      </c>
      <c r="C28" s="1373" t="str">
        <f>Atendimento!C20</f>
        <v>PBNNP</v>
      </c>
      <c r="D28" s="1373" t="str">
        <f>Atendimento!D20</f>
        <v>g</v>
      </c>
      <c r="E28" s="1380">
        <f>IFERROR(INDEX(Base.BL!$C$18:$C$51,MATCH(C28,Base.BL!$B$18:$B$51,0)),0)</f>
        <v>0</v>
      </c>
      <c r="F28" s="1375">
        <f t="shared" si="1"/>
        <v>0</v>
      </c>
      <c r="G28" s="1381">
        <f>IFERROR(INDEX(Base.BL!$D$18:$D$51,MATCH(C28,Base.BL!$B$18:$B$51,0)),999999)</f>
        <v>999999</v>
      </c>
      <c r="H28" s="1375">
        <f t="shared" si="2"/>
        <v>1</v>
      </c>
      <c r="I28" s="1536"/>
      <c r="J28" s="1536"/>
      <c r="K28" s="1536"/>
      <c r="L28" s="1536"/>
      <c r="M28" s="1042"/>
      <c r="N28" s="1042"/>
    </row>
    <row r="29" spans="1:14" ht="15">
      <c r="A29" s="1536"/>
      <c r="B29" s="1366" t="str">
        <f>Atendimento!B21</f>
        <v>Cálcio</v>
      </c>
      <c r="C29" s="1367" t="str">
        <f>Atendimento!C21</f>
        <v>Ca</v>
      </c>
      <c r="D29" s="1367" t="str">
        <f>Atendimento!D21</f>
        <v>g</v>
      </c>
      <c r="E29" s="1378">
        <f>IFERROR(INDEX(Base.BL!$C$18:$C$51,MATCH(C29,Base.BL!$B$18:$B$51,0)),0)</f>
        <v>82.575137055000013</v>
      </c>
      <c r="F29" s="1371">
        <f t="shared" si="1"/>
        <v>5.7931000000000007E-3</v>
      </c>
      <c r="G29" s="1379">
        <f>IFERROR(INDEX(Base.BL!$D$18:$D$51,MATCH(C29,Base.BL!$B$18:$B$51,0)),999999)</f>
        <v>9999999</v>
      </c>
      <c r="H29" s="1371">
        <f t="shared" si="2"/>
        <v>1</v>
      </c>
      <c r="I29" s="1536"/>
      <c r="J29" s="1536"/>
      <c r="K29" s="1536"/>
      <c r="L29" s="1536"/>
      <c r="M29" s="1042"/>
      <c r="N29" s="1042"/>
    </row>
    <row r="30" spans="1:14" ht="15">
      <c r="A30" s="1536"/>
      <c r="B30" s="1372" t="str">
        <f>Atendimento!B22</f>
        <v>Fósforo</v>
      </c>
      <c r="C30" s="1373" t="str">
        <f>Atendimento!C22</f>
        <v>P</v>
      </c>
      <c r="D30" s="1373" t="str">
        <f>Atendimento!D22</f>
        <v>g</v>
      </c>
      <c r="E30" s="1380">
        <f>IFERROR(INDEX(Base.BL!$C$18:$C$51,MATCH(C30,Base.BL!$B$18:$B$51,0)),0)</f>
        <v>45.189614714999998</v>
      </c>
      <c r="F30" s="1375">
        <f t="shared" si="1"/>
        <v>3.1703E-3</v>
      </c>
      <c r="G30" s="1381">
        <f>IFERROR(INDEX(Base.BL!$D$18:$D$51,MATCH(C30,Base.BL!$B$18:$B$51,0)),999999)</f>
        <v>9999999</v>
      </c>
      <c r="H30" s="1375">
        <f t="shared" si="2"/>
        <v>1</v>
      </c>
      <c r="I30" s="1536"/>
      <c r="J30" s="1536"/>
      <c r="K30" s="1536"/>
      <c r="L30" s="1536"/>
      <c r="M30" s="1042"/>
      <c r="N30" s="1042"/>
    </row>
    <row r="31" spans="1:14" ht="15">
      <c r="A31" s="1536"/>
      <c r="B31" s="1366" t="str">
        <f>Atendimento!B23</f>
        <v>Magnésio</v>
      </c>
      <c r="C31" s="1367" t="str">
        <f>Atendimento!C23</f>
        <v>Mg</v>
      </c>
      <c r="D31" s="1367" t="str">
        <f>Atendimento!D23</f>
        <v>g</v>
      </c>
      <c r="E31" s="1378">
        <f>IFERROR(INDEX(Base.BL!$C$18:$C$51,MATCH(C31,Base.BL!$B$18:$B$51,0)),0)</f>
        <v>8.5595037000000005</v>
      </c>
      <c r="F31" s="1371">
        <f t="shared" si="1"/>
        <v>6.0049625895798044E-4</v>
      </c>
      <c r="G31" s="1379">
        <f>IFERROR(INDEX(Base.BL!$D$18:$D$51,MATCH(C31,Base.BL!$B$18:$B$51,0)),999999)</f>
        <v>9999999</v>
      </c>
      <c r="H31" s="1371">
        <f t="shared" si="2"/>
        <v>1</v>
      </c>
      <c r="I31" s="1536"/>
      <c r="J31" s="1536"/>
      <c r="K31" s="1536"/>
      <c r="L31" s="1536"/>
      <c r="M31" s="1042"/>
      <c r="N31" s="1042"/>
    </row>
    <row r="32" spans="1:14" ht="15">
      <c r="A32" s="1536"/>
      <c r="B32" s="1372" t="str">
        <f>Atendimento!B24</f>
        <v>Sódio</v>
      </c>
      <c r="C32" s="1373" t="str">
        <f>Atendimento!C24</f>
        <v>Na</v>
      </c>
      <c r="D32" s="1373" t="str">
        <f>Atendimento!D24</f>
        <v>g</v>
      </c>
      <c r="E32" s="1380">
        <f>IFERROR(INDEX(Base.BL!$C$18:$C$51,MATCH(C32,Base.BL!$B$18:$B$51,0)),0)</f>
        <v>28.576519439999998</v>
      </c>
      <c r="F32" s="1375">
        <f t="shared" si="1"/>
        <v>2.0048000000000002E-3</v>
      </c>
      <c r="G32" s="1381">
        <f>IFERROR(INDEX(Base.BL!$D$18:$D$51,MATCH(C32,Base.BL!$B$18:$B$51,0)),999999)</f>
        <v>9999999</v>
      </c>
      <c r="H32" s="1375">
        <f>IF(G32/1000/$G$15&gt;100%,100%,G32/1000/$G$15)</f>
        <v>1</v>
      </c>
      <c r="I32" s="1536"/>
      <c r="J32" s="1536"/>
      <c r="K32" s="1536"/>
      <c r="L32" s="1536"/>
      <c r="M32" s="1042"/>
      <c r="N32" s="1042"/>
    </row>
    <row r="33" spans="1:14" ht="15">
      <c r="A33" s="1536"/>
      <c r="B33" s="1366" t="str">
        <f>Atendimento!B25</f>
        <v>Potássio</v>
      </c>
      <c r="C33" s="1367" t="str">
        <f>Atendimento!C25</f>
        <v>K</v>
      </c>
      <c r="D33" s="1367" t="str">
        <f>Atendimento!D25</f>
        <v>g</v>
      </c>
      <c r="E33" s="1378">
        <f>IFERROR(INDEX(Base.BL!$C$18:$C$51,MATCH(C33,Base.BL!$B$18:$B$51,0)),0)</f>
        <v>141.31892791499999</v>
      </c>
      <c r="F33" s="1371">
        <f t="shared" si="1"/>
        <v>9.9142999999999992E-3</v>
      </c>
      <c r="G33" s="1379">
        <f>IFERROR(INDEX(Base.BL!$D$18:$D$51,MATCH(C33,Base.BL!$B$18:$B$51,0)),999999)</f>
        <v>9999999</v>
      </c>
      <c r="H33" s="1371">
        <f>IF(G33/1000/$G$15&gt;100%,100%,G33/1000/$G$15)</f>
        <v>1</v>
      </c>
      <c r="I33" s="1536"/>
      <c r="J33" s="1536"/>
      <c r="K33" s="1536"/>
      <c r="L33" s="1536"/>
      <c r="M33" s="1042"/>
      <c r="N33" s="1042"/>
    </row>
    <row r="34" spans="1:14" ht="15">
      <c r="A34" s="1536"/>
      <c r="B34" s="1372" t="str">
        <f>Atendimento!B26</f>
        <v>Enxofre</v>
      </c>
      <c r="C34" s="1373" t="str">
        <f>Atendimento!C26</f>
        <v>S</v>
      </c>
      <c r="D34" s="1373" t="str">
        <f>Atendimento!D26</f>
        <v>g</v>
      </c>
      <c r="E34" s="1380">
        <f>IFERROR(INDEX(Base.BL!$C$18:$C$51,MATCH(C34,Base.BL!$B$18:$B$51,0)),0)</f>
        <v>28.508099999999999</v>
      </c>
      <c r="F34" s="1375">
        <f t="shared" si="1"/>
        <v>2E-3</v>
      </c>
      <c r="G34" s="1381">
        <f>IFERROR(INDEX(Base.BL!$D$18:$D$51,MATCH(C34,Base.BL!$B$18:$B$51,0)),999999)</f>
        <v>9999999</v>
      </c>
      <c r="H34" s="1375">
        <f>IF(G34/1000/$G$15&gt;100%,100%,G34/1000/$G$15)</f>
        <v>1</v>
      </c>
      <c r="I34" s="1536"/>
      <c r="J34" s="1536"/>
      <c r="K34" s="1536"/>
      <c r="L34" s="1536"/>
      <c r="M34" s="1042"/>
      <c r="N34" s="1042"/>
    </row>
    <row r="35" spans="1:14" ht="15">
      <c r="A35" s="1536"/>
      <c r="B35" s="1366" t="str">
        <f>Atendimento!B27</f>
        <v>Cobre</v>
      </c>
      <c r="C35" s="1367" t="str">
        <f>Atendimento!C27</f>
        <v>Cu</v>
      </c>
      <c r="D35" s="1367" t="str">
        <f>Atendimento!D27</f>
        <v>mg</v>
      </c>
      <c r="E35" s="1378">
        <f>IFERROR(INDEX(Base.BL!$C$18:$C$51,MATCH(C35,Base.BL!$B$18:$B$51,0)),0)</f>
        <v>1002.32</v>
      </c>
      <c r="F35" s="1369"/>
      <c r="G35" s="1379">
        <f>IFERROR(INDEX(Base.BL!$D$18:$D$51,MATCH(C35,Base.BL!$B$18:$B$51,0)),999999)</f>
        <v>9999999</v>
      </c>
      <c r="H35" s="1371">
        <f t="shared" ref="H35:H59" si="3">IF(G35/1000/$G$15&gt;100%,100%,G35/1000/$G$15)</f>
        <v>1</v>
      </c>
      <c r="I35" s="1536"/>
      <c r="J35" s="1536"/>
      <c r="K35" s="1536"/>
      <c r="L35" s="1536"/>
      <c r="M35" s="1042"/>
      <c r="N35" s="1042"/>
    </row>
    <row r="36" spans="1:14" ht="15">
      <c r="A36" s="1536"/>
      <c r="B36" s="1372" t="str">
        <f>Atendimento!B28</f>
        <v>Zinco</v>
      </c>
      <c r="C36" s="1373" t="str">
        <f>Atendimento!C28</f>
        <v>Zn</v>
      </c>
      <c r="D36" s="1373" t="str">
        <f>Atendimento!D28</f>
        <v>mg</v>
      </c>
      <c r="E36" s="1380">
        <f>IFERROR(INDEX(Base.BL!$C$18:$C$51,MATCH(C36,Base.BL!$B$18:$B$51,0)),0)</f>
        <v>4094.56</v>
      </c>
      <c r="F36" s="1377"/>
      <c r="G36" s="1381">
        <f>IFERROR(INDEX(Base.BL!$D$18:$D$51,MATCH(C36,Base.BL!$B$18:$B$51,0)),999999)</f>
        <v>9999999</v>
      </c>
      <c r="H36" s="1375">
        <f t="shared" si="3"/>
        <v>1</v>
      </c>
      <c r="I36" s="1536"/>
      <c r="J36" s="1536"/>
      <c r="K36" s="1536"/>
      <c r="L36" s="1536"/>
      <c r="M36" s="1042"/>
      <c r="N36" s="1042"/>
    </row>
    <row r="37" spans="1:14" ht="15">
      <c r="A37" s="1536"/>
      <c r="B37" s="1366" t="str">
        <f>Atendimento!B29</f>
        <v>Ferro</v>
      </c>
      <c r="C37" s="1367" t="str">
        <f>Atendimento!C29</f>
        <v>Fe</v>
      </c>
      <c r="D37" s="1367" t="str">
        <f>Atendimento!D29</f>
        <v>mg</v>
      </c>
      <c r="E37" s="1378">
        <f>IFERROR(INDEX(Base.BL!$C$18:$C$51,MATCH(C37,Base.BL!$B$18:$B$51,0)),0)</f>
        <v>1209.3599999999999</v>
      </c>
      <c r="F37" s="1369"/>
      <c r="G37" s="1379">
        <f>IFERROR(INDEX(Base.BL!$D$18:$D$51,MATCH(C37,Base.BL!$B$18:$B$51,0)),999999)</f>
        <v>9999999</v>
      </c>
      <c r="H37" s="1371">
        <f t="shared" si="3"/>
        <v>1</v>
      </c>
      <c r="I37" s="1536"/>
      <c r="J37" s="1536"/>
      <c r="K37" s="1536"/>
      <c r="L37" s="1536"/>
      <c r="M37" s="1042"/>
      <c r="N37" s="1042"/>
    </row>
    <row r="38" spans="1:14" ht="15">
      <c r="A38" s="1536"/>
      <c r="B38" s="1372" t="str">
        <f>Atendimento!B30</f>
        <v>Manganês</v>
      </c>
      <c r="C38" s="1373" t="str">
        <f>Atendimento!C30</f>
        <v>Mn</v>
      </c>
      <c r="D38" s="1373" t="str">
        <f>Atendimento!D30</f>
        <v>mg</v>
      </c>
      <c r="E38" s="1380">
        <f>IFERROR(INDEX(Base.BL!$C$18:$C$51,MATCH(C38,Base.BL!$B$18:$B$51,0)),0)</f>
        <v>1263.54</v>
      </c>
      <c r="F38" s="1377"/>
      <c r="G38" s="1381">
        <f>IFERROR(INDEX(Base.BL!$D$18:$D$51,MATCH(C38,Base.BL!$B$18:$B$51,0)),999999)</f>
        <v>9999999</v>
      </c>
      <c r="H38" s="1375">
        <f t="shared" si="3"/>
        <v>1</v>
      </c>
      <c r="I38" s="1536"/>
      <c r="J38" s="1536"/>
      <c r="K38" s="1536"/>
      <c r="L38" s="1536"/>
      <c r="M38" s="1042"/>
      <c r="N38" s="1042"/>
    </row>
    <row r="39" spans="1:14" ht="15">
      <c r="A39" s="1536"/>
      <c r="B39" s="1366" t="str">
        <f>Atendimento!B31</f>
        <v>Iodo</v>
      </c>
      <c r="C39" s="1367" t="str">
        <f>Atendimento!C31</f>
        <v>I</v>
      </c>
      <c r="D39" s="1367" t="str">
        <f>Atendimento!D31</f>
        <v>mg</v>
      </c>
      <c r="E39" s="1378">
        <f>IFERROR(INDEX(Base.BL!$C$18:$C$51,MATCH(C39,Base.BL!$B$18:$B$51,0)),0)</f>
        <v>51.744</v>
      </c>
      <c r="F39" s="1369"/>
      <c r="G39" s="1379">
        <f>IFERROR(INDEX(Base.BL!$D$18:$D$51,MATCH(C39,Base.BL!$B$18:$B$51,0)),999999)</f>
        <v>9999999</v>
      </c>
      <c r="H39" s="1371">
        <f t="shared" si="3"/>
        <v>1</v>
      </c>
      <c r="I39" s="1536"/>
      <c r="J39" s="1536"/>
      <c r="K39" s="1536"/>
      <c r="L39" s="1536"/>
      <c r="M39" s="1042"/>
      <c r="N39" s="1042"/>
    </row>
    <row r="40" spans="1:14" ht="15">
      <c r="A40" s="1536"/>
      <c r="B40" s="1372" t="str">
        <f>Atendimento!B32</f>
        <v>Cobalto</v>
      </c>
      <c r="C40" s="1373" t="str">
        <f>Atendimento!C32</f>
        <v>Co</v>
      </c>
      <c r="D40" s="1373" t="str">
        <f>Atendimento!D32</f>
        <v>mg</v>
      </c>
      <c r="E40" s="1380">
        <f>IFERROR(INDEX(Base.BL!$C$18:$C$51,MATCH(C40,Base.BL!$B$18:$B$51,0)),0)</f>
        <v>11</v>
      </c>
      <c r="F40" s="1377"/>
      <c r="G40" s="1381">
        <f>IFERROR(INDEX(Base.BL!$D$18:$D$51,MATCH(C40,Base.BL!$B$18:$B$51,0)),999999)</f>
        <v>9999999</v>
      </c>
      <c r="H40" s="1375">
        <f t="shared" si="3"/>
        <v>1</v>
      </c>
      <c r="I40" s="1536"/>
      <c r="J40" s="1536"/>
      <c r="K40" s="1536"/>
      <c r="L40" s="1536"/>
      <c r="M40" s="1042"/>
      <c r="N40" s="1042"/>
    </row>
    <row r="41" spans="1:14" ht="15">
      <c r="A41" s="1536"/>
      <c r="B41" s="1366" t="str">
        <f>Atendimento!B33</f>
        <v>Selênio</v>
      </c>
      <c r="C41" s="1367" t="str">
        <f>Atendimento!C33</f>
        <v>Se</v>
      </c>
      <c r="D41" s="1367" t="str">
        <f>Atendimento!D33</f>
        <v>mg</v>
      </c>
      <c r="E41" s="1378">
        <f>IFERROR(INDEX(Base.BL!$C$18:$C$51,MATCH(C41,Base.BL!$B$18:$B$51,0)),0)</f>
        <v>30</v>
      </c>
      <c r="F41" s="1369"/>
      <c r="G41" s="1379">
        <f>IFERROR(INDEX(Base.BL!$D$18:$D$51,MATCH(C41,Base.BL!$B$18:$B$51,0)),999999)</f>
        <v>9999999</v>
      </c>
      <c r="H41" s="1371">
        <f t="shared" si="3"/>
        <v>1</v>
      </c>
      <c r="I41" s="1536"/>
      <c r="J41" s="1536"/>
      <c r="K41" s="1536"/>
      <c r="L41" s="1536"/>
      <c r="M41" s="1042"/>
      <c r="N41" s="1042"/>
    </row>
    <row r="42" spans="1:14" ht="15">
      <c r="A42" s="1536"/>
      <c r="B42" s="1372" t="str">
        <f>Atendimento!B34</f>
        <v>Lisina</v>
      </c>
      <c r="C42" s="1373" t="str">
        <f>Atendimento!C34</f>
        <v>Lis</v>
      </c>
      <c r="D42" s="1373" t="str">
        <f>Atendimento!D34</f>
        <v>g</v>
      </c>
      <c r="E42" s="1380">
        <f>IFERROR(INDEX(Base.BL!$C$18:$C$51,MATCH(C42,Base.BL!$B$18:$B$51,0)),0)</f>
        <v>0</v>
      </c>
      <c r="F42" s="1377"/>
      <c r="G42" s="1381">
        <f>IFERROR(INDEX(Base.BL!$D$18:$D$51,MATCH(C42,Base.BL!$B$18:$B$51,0)),999999)</f>
        <v>999999</v>
      </c>
      <c r="H42" s="1375">
        <f t="shared" si="3"/>
        <v>1</v>
      </c>
      <c r="I42" s="1536"/>
      <c r="J42" s="1536"/>
      <c r="K42" s="1536"/>
      <c r="L42" s="1536"/>
      <c r="M42" s="1042"/>
      <c r="N42" s="1042"/>
    </row>
    <row r="43" spans="1:14" ht="15">
      <c r="A43" s="1536"/>
      <c r="B43" s="1366" t="str">
        <f>Atendimento!B35</f>
        <v>Metionina</v>
      </c>
      <c r="C43" s="1367" t="str">
        <f>Atendimento!C35</f>
        <v>Met</v>
      </c>
      <c r="D43" s="1367" t="str">
        <f>Atendimento!D35</f>
        <v>g</v>
      </c>
      <c r="E43" s="1378">
        <f>IFERROR(INDEX(Base.BL!$C$18:$C$51,MATCH(C43,Base.BL!$B$18:$B$51,0)),0)</f>
        <v>0</v>
      </c>
      <c r="F43" s="1369"/>
      <c r="G43" s="1379">
        <f>IFERROR(INDEX(Base.BL!$D$18:$D$51,MATCH(C43,Base.BL!$B$18:$B$51,0)),999999)</f>
        <v>999999</v>
      </c>
      <c r="H43" s="1371">
        <f t="shared" si="3"/>
        <v>1</v>
      </c>
      <c r="I43" s="1536"/>
      <c r="J43" s="1536"/>
      <c r="K43" s="1536"/>
      <c r="L43" s="1536"/>
      <c r="M43" s="1042"/>
      <c r="N43" s="1042"/>
    </row>
    <row r="44" spans="1:14" ht="15">
      <c r="A44" s="1536"/>
      <c r="B44" s="1372" t="str">
        <f>Atendimento!B36</f>
        <v>Monensina</v>
      </c>
      <c r="C44" s="1373" t="str">
        <f>Atendimento!C36</f>
        <v>Mon</v>
      </c>
      <c r="D44" s="1373" t="str">
        <f>Atendimento!D36</f>
        <v>ppm</v>
      </c>
      <c r="E44" s="1380">
        <f>IFERROR(INDEX(Base.BL!$C$18:$C$51,MATCH(C44,Base.BL!$B$18:$B$51,0)),0)</f>
        <v>0</v>
      </c>
      <c r="F44" s="1377"/>
      <c r="G44" s="1381">
        <f>IFERROR(INDEX(Base.BL!$D$18:$D$51,MATCH(C44,Base.BL!$B$18:$B$51,0)),999999)</f>
        <v>999999</v>
      </c>
      <c r="H44" s="1375">
        <f t="shared" si="3"/>
        <v>1</v>
      </c>
      <c r="I44" s="1536"/>
      <c r="J44" s="1536"/>
      <c r="K44" s="1536"/>
      <c r="L44" s="1536"/>
      <c r="M44" s="1042"/>
      <c r="N44" s="1042"/>
    </row>
    <row r="45" spans="1:14" ht="15">
      <c r="A45" s="1536"/>
      <c r="B45" s="1366" t="str">
        <f>Atendimento!B37</f>
        <v>Vitamina A</v>
      </c>
      <c r="C45" s="1367" t="str">
        <f>Atendimento!C37</f>
        <v>Vit A</v>
      </c>
      <c r="D45" s="1367" t="str">
        <f>Atendimento!D37</f>
        <v>UI</v>
      </c>
      <c r="E45" s="1378">
        <f>IFERROR(INDEX(Base.BL!$C$18:$C$51,MATCH(C45,Base.BL!$B$18:$B$51,0)),0)</f>
        <v>316050</v>
      </c>
      <c r="F45" s="1369"/>
      <c r="G45" s="1379">
        <f>IFERROR(INDEX(Base.BL!$D$18:$D$51,MATCH(C45,Base.BL!$B$18:$B$51,0)),999999)</f>
        <v>9999999</v>
      </c>
      <c r="H45" s="1371">
        <f t="shared" si="3"/>
        <v>1</v>
      </c>
      <c r="I45" s="1536"/>
      <c r="J45" s="1536"/>
      <c r="K45" s="1536"/>
      <c r="L45" s="1536"/>
      <c r="M45" s="1042"/>
      <c r="N45" s="1042"/>
    </row>
    <row r="46" spans="1:14" ht="15">
      <c r="A46" s="1536"/>
      <c r="B46" s="1372" t="str">
        <f>Atendimento!B38</f>
        <v>Vitamina B</v>
      </c>
      <c r="C46" s="1373" t="str">
        <f>Atendimento!C38</f>
        <v>Vit B (UI)</v>
      </c>
      <c r="D46" s="1373" t="str">
        <f>Atendimento!D38</f>
        <v>UI</v>
      </c>
      <c r="E46" s="1380">
        <f>IFERROR(INDEX(Base.BL!$C$18:$C$51,MATCH(C46,Base.BL!$B$18:$B$51,0)),0)</f>
        <v>0</v>
      </c>
      <c r="F46" s="1377"/>
      <c r="G46" s="1381">
        <f>IFERROR(INDEX(Base.BL!$D$18:$D$51,MATCH(C46,Base.BL!$B$18:$B$51,0)),999999)</f>
        <v>999999</v>
      </c>
      <c r="H46" s="1375">
        <f t="shared" si="3"/>
        <v>1</v>
      </c>
      <c r="I46" s="1536"/>
      <c r="J46" s="1536"/>
      <c r="K46" s="1536"/>
      <c r="L46" s="1536"/>
      <c r="M46" s="1042"/>
      <c r="N46" s="1042"/>
    </row>
    <row r="47" spans="1:14" ht="15">
      <c r="A47" s="1536"/>
      <c r="B47" s="1366" t="str">
        <f>Atendimento!B39</f>
        <v>Vitamina D</v>
      </c>
      <c r="C47" s="1367" t="str">
        <f>Atendimento!C39</f>
        <v>Vit D (UI)</v>
      </c>
      <c r="D47" s="1367" t="str">
        <f>Atendimento!D39</f>
        <v>UI</v>
      </c>
      <c r="E47" s="1378">
        <f>IFERROR(INDEX(Base.BL!$C$18:$C$51,MATCH(C47,Base.BL!$B$18:$B$51,0)),0)</f>
        <v>0</v>
      </c>
      <c r="F47" s="1369"/>
      <c r="G47" s="1379">
        <f>IFERROR(INDEX(Base.BL!$D$18:$D$51,MATCH(C47,Base.BL!$B$18:$B$51,0)),999999)</f>
        <v>999999</v>
      </c>
      <c r="H47" s="1371">
        <f t="shared" si="3"/>
        <v>1</v>
      </c>
      <c r="I47" s="1536"/>
      <c r="J47" s="1536"/>
      <c r="K47" s="1536"/>
      <c r="L47" s="1536"/>
      <c r="M47" s="1042"/>
      <c r="N47" s="1042"/>
    </row>
    <row r="48" spans="1:14" ht="15">
      <c r="A48" s="1536"/>
      <c r="B48" s="1372" t="str">
        <f>Atendimento!B40</f>
        <v>Vitamina E</v>
      </c>
      <c r="C48" s="1373" t="str">
        <f>Atendimento!C40</f>
        <v>Vit E (UI)</v>
      </c>
      <c r="D48" s="1373" t="str">
        <f>Atendimento!D40</f>
        <v>UI</v>
      </c>
      <c r="E48" s="1380">
        <f>IFERROR(INDEX(Base.BL!$C$18:$C$51,MATCH(C48,Base.BL!$B$18:$B$51,0)),0)</f>
        <v>0</v>
      </c>
      <c r="F48" s="1377"/>
      <c r="G48" s="1381">
        <f>IFERROR(INDEX(Base.BL!$D$18:$D$51,MATCH(C48,Base.BL!$B$18:$B$51,0)),999999)</f>
        <v>999999</v>
      </c>
      <c r="H48" s="1375">
        <f t="shared" si="3"/>
        <v>1</v>
      </c>
      <c r="I48" s="1536"/>
      <c r="J48" s="1536"/>
      <c r="K48" s="1536"/>
      <c r="L48" s="1536"/>
      <c r="M48" s="1042"/>
      <c r="N48" s="1042"/>
    </row>
    <row r="49" spans="1:14" ht="15">
      <c r="A49" s="1536"/>
      <c r="B49" s="1366" t="str">
        <f>Atendimento!B41</f>
        <v>Nutriente Novo 01</v>
      </c>
      <c r="C49" s="1367" t="str">
        <f>Atendimento!C41</f>
        <v>Novo 01</v>
      </c>
      <c r="D49" s="1367" t="str">
        <f>Atendimento!D41</f>
        <v>-</v>
      </c>
      <c r="E49" s="1378">
        <f>IFERROR(INDEX(Base.BL!$C$18:$C$51,MATCH(C49,Base.BL!$B$18:$B$51,0)),0)</f>
        <v>0</v>
      </c>
      <c r="F49" s="1369"/>
      <c r="G49" s="1379">
        <f>IFERROR(INDEX(Base.BL!$D$18:$D$51,MATCH(C49,Base.BL!$B$18:$B$51,0)),999999)</f>
        <v>999999</v>
      </c>
      <c r="H49" s="1371">
        <f t="shared" si="3"/>
        <v>1</v>
      </c>
      <c r="I49" s="1536"/>
      <c r="J49" s="1536"/>
      <c r="K49" s="1536"/>
      <c r="L49" s="1536"/>
      <c r="M49" s="1042"/>
      <c r="N49" s="1042"/>
    </row>
    <row r="50" spans="1:14" ht="15">
      <c r="A50" s="1536"/>
      <c r="B50" s="1372" t="str">
        <f>Atendimento!B42</f>
        <v>Nutriente Novo 02</v>
      </c>
      <c r="C50" s="1373" t="str">
        <f>Atendimento!C42</f>
        <v>Novo 02</v>
      </c>
      <c r="D50" s="1373" t="str">
        <f>Atendimento!D42</f>
        <v>-</v>
      </c>
      <c r="E50" s="1380">
        <f>IFERROR(INDEX(Base.BL!$C$18:$C$51,MATCH(C50,Base.BL!$B$18:$B$51,0)),0)</f>
        <v>0</v>
      </c>
      <c r="F50" s="1377"/>
      <c r="G50" s="1381">
        <f>IFERROR(INDEX(Base.BL!$D$18:$D$51,MATCH(C50,Base.BL!$B$18:$B$51,0)),999999)</f>
        <v>999999</v>
      </c>
      <c r="H50" s="1375">
        <f t="shared" si="3"/>
        <v>1</v>
      </c>
      <c r="I50" s="1536"/>
      <c r="J50" s="1536"/>
      <c r="K50" s="1536"/>
      <c r="L50" s="1536"/>
      <c r="M50" s="1042"/>
      <c r="N50" s="1042"/>
    </row>
    <row r="51" spans="1:14" ht="15">
      <c r="A51" s="1536"/>
      <c r="B51" s="1366" t="str">
        <f>Atendimento!B43</f>
        <v>Nutriente Novo 03</v>
      </c>
      <c r="C51" s="1367" t="str">
        <f>Atendimento!C43</f>
        <v>Novo 03</v>
      </c>
      <c r="D51" s="1367" t="str">
        <f>Atendimento!D43</f>
        <v>-</v>
      </c>
      <c r="E51" s="1378">
        <f>IFERROR(INDEX(Base.BL!$C$18:$C$51,MATCH(C51,Base.BL!$B$18:$B$51,0)),0)</f>
        <v>0</v>
      </c>
      <c r="F51" s="1369"/>
      <c r="G51" s="1379">
        <f>IFERROR(INDEX(Base.BL!$D$18:$D$51,MATCH(C51,Base.BL!$B$18:$B$51,0)),999999)</f>
        <v>999999</v>
      </c>
      <c r="H51" s="1371">
        <f t="shared" si="3"/>
        <v>1</v>
      </c>
      <c r="I51" s="1536"/>
      <c r="J51" s="1536"/>
      <c r="K51" s="1536"/>
      <c r="L51" s="1536"/>
      <c r="M51" s="1042"/>
      <c r="N51" s="1042"/>
    </row>
    <row r="52" spans="1:14" ht="15">
      <c r="A52" s="1536"/>
      <c r="B52" s="1372" t="str">
        <f>Atendimento!B44</f>
        <v>Nutriente Novo 04</v>
      </c>
      <c r="C52" s="1373" t="str">
        <f>Atendimento!C44</f>
        <v>Novo 04</v>
      </c>
      <c r="D52" s="1373" t="str">
        <f>Atendimento!D44</f>
        <v>-</v>
      </c>
      <c r="E52" s="1380">
        <f>IFERROR(INDEX(Base.BL!$C$18:$C$51,MATCH(C52,Base.BL!$B$18:$B$51,0)),0)</f>
        <v>0</v>
      </c>
      <c r="F52" s="1377"/>
      <c r="G52" s="1381">
        <f>IFERROR(INDEX(Base.BL!$D$18:$D$51,MATCH(C52,Base.BL!$B$18:$B$51,0)),999999)</f>
        <v>999999</v>
      </c>
      <c r="H52" s="1375">
        <f t="shared" si="3"/>
        <v>1</v>
      </c>
      <c r="I52" s="1536"/>
      <c r="J52" s="1536"/>
      <c r="K52" s="1536"/>
      <c r="L52" s="1536"/>
      <c r="M52" s="1042"/>
      <c r="N52" s="1042"/>
    </row>
    <row r="53" spans="1:14" ht="15">
      <c r="A53" s="1536"/>
      <c r="B53" s="1366" t="str">
        <f>Atendimento!B45</f>
        <v>Nutriente Novo 05</v>
      </c>
      <c r="C53" s="1367" t="str">
        <f>Atendimento!C45</f>
        <v>Novo 05</v>
      </c>
      <c r="D53" s="1367" t="str">
        <f>Atendimento!D45</f>
        <v>-</v>
      </c>
      <c r="E53" s="1378">
        <f>IFERROR(INDEX(Base.BL!$C$18:$C$51,MATCH(C53,Base.BL!$B$18:$B$51,0)),0)</f>
        <v>0</v>
      </c>
      <c r="F53" s="1369"/>
      <c r="G53" s="1379">
        <f>IFERROR(INDEX(Base.BL!$D$18:$D$51,MATCH(C53,Base.BL!$B$18:$B$51,0)),999999)</f>
        <v>999999</v>
      </c>
      <c r="H53" s="1371">
        <f t="shared" si="3"/>
        <v>1</v>
      </c>
      <c r="I53" s="1536"/>
      <c r="J53" s="1536"/>
      <c r="K53" s="1536"/>
      <c r="L53" s="1536"/>
      <c r="M53" s="1042"/>
      <c r="N53" s="1042"/>
    </row>
    <row r="54" spans="1:14" ht="15">
      <c r="A54" s="1536"/>
      <c r="B54" s="1372" t="str">
        <f>Atendimento!B46</f>
        <v>Nutriente Novo 06</v>
      </c>
      <c r="C54" s="1373" t="str">
        <f>Atendimento!C46</f>
        <v>Novo 06</v>
      </c>
      <c r="D54" s="1373" t="str">
        <f>Atendimento!D46</f>
        <v>-</v>
      </c>
      <c r="E54" s="1380">
        <f>IFERROR(INDEX(Base.BL!$C$18:$C$51,MATCH(C54,Base.BL!$B$18:$B$51,0)),0)</f>
        <v>0</v>
      </c>
      <c r="F54" s="1377"/>
      <c r="G54" s="1381">
        <f>IFERROR(INDEX(Base.BL!$D$18:$D$51,MATCH(C54,Base.BL!$B$18:$B$51,0)),999999)</f>
        <v>999999</v>
      </c>
      <c r="H54" s="1375">
        <f t="shared" si="3"/>
        <v>1</v>
      </c>
      <c r="I54" s="1536"/>
      <c r="J54" s="1536"/>
      <c r="K54" s="1536"/>
      <c r="L54" s="1536"/>
      <c r="M54" s="1042"/>
      <c r="N54" s="1042"/>
    </row>
    <row r="55" spans="1:14" ht="15">
      <c r="A55" s="1536"/>
      <c r="B55" s="1366" t="str">
        <f>Atendimento!B47</f>
        <v>Nutriente Novo 07</v>
      </c>
      <c r="C55" s="1367" t="str">
        <f>Atendimento!C47</f>
        <v>Novo 07</v>
      </c>
      <c r="D55" s="1367" t="str">
        <f>Atendimento!D47</f>
        <v>-</v>
      </c>
      <c r="E55" s="1378">
        <f>IFERROR(INDEX(Base.BL!$C$18:$C$51,MATCH(C55,Base.BL!$B$18:$B$51,0)),0)</f>
        <v>0</v>
      </c>
      <c r="F55" s="1369"/>
      <c r="G55" s="1379">
        <f>IFERROR(INDEX(Base.BL!$D$18:$D$51,MATCH(C55,Base.BL!$B$18:$B$51,0)),999999)</f>
        <v>999999</v>
      </c>
      <c r="H55" s="1371">
        <f t="shared" si="3"/>
        <v>1</v>
      </c>
      <c r="I55" s="1536"/>
      <c r="J55" s="1536"/>
      <c r="K55" s="1536"/>
      <c r="L55" s="1536"/>
      <c r="M55" s="1042"/>
      <c r="N55" s="1042"/>
    </row>
    <row r="56" spans="1:14" ht="15">
      <c r="A56" s="1536"/>
      <c r="B56" s="1372" t="str">
        <f>Atendimento!B48</f>
        <v>Nutriente Novo 08</v>
      </c>
      <c r="C56" s="1373" t="str">
        <f>Atendimento!C48</f>
        <v>Novo 08</v>
      </c>
      <c r="D56" s="1373" t="str">
        <f>Atendimento!D48</f>
        <v>-</v>
      </c>
      <c r="E56" s="1380">
        <f>IFERROR(INDEX(Base.BL!$C$18:$C$51,MATCH(C56,Base.BL!$B$18:$B$51,0)),0)</f>
        <v>0</v>
      </c>
      <c r="F56" s="1377"/>
      <c r="G56" s="1381">
        <f>IFERROR(INDEX(Base.BL!$D$18:$D$51,MATCH(C56,Base.BL!$B$18:$B$51,0)),999999)</f>
        <v>999999</v>
      </c>
      <c r="H56" s="1375">
        <f t="shared" si="3"/>
        <v>1</v>
      </c>
      <c r="I56" s="1536"/>
      <c r="J56" s="1536"/>
      <c r="K56" s="1536"/>
      <c r="L56" s="1536"/>
      <c r="M56" s="1042"/>
      <c r="N56" s="1042"/>
    </row>
    <row r="57" spans="1:14" ht="15">
      <c r="A57" s="1536"/>
      <c r="B57" s="1366" t="str">
        <f>Atendimento!B49</f>
        <v>Nutriente Novo 09</v>
      </c>
      <c r="C57" s="1367" t="str">
        <f>Atendimento!C49</f>
        <v>Novo 09</v>
      </c>
      <c r="D57" s="1367" t="str">
        <f>Atendimento!D49</f>
        <v>-</v>
      </c>
      <c r="E57" s="1378">
        <f>IFERROR(INDEX(Base.BL!$C$18:$C$51,MATCH(C57,Base.BL!$B$18:$B$51,0)),0)</f>
        <v>0</v>
      </c>
      <c r="F57" s="1369"/>
      <c r="G57" s="1379">
        <f>IFERROR(INDEX(Base.BL!$D$18:$D$51,MATCH(C57,Base.BL!$B$18:$B$51,0)),999999)</f>
        <v>999999</v>
      </c>
      <c r="H57" s="1371">
        <f t="shared" si="3"/>
        <v>1</v>
      </c>
      <c r="I57" s="1536"/>
      <c r="J57" s="1536"/>
      <c r="K57" s="1536"/>
      <c r="L57" s="1536"/>
      <c r="M57" s="1042"/>
      <c r="N57" s="1042"/>
    </row>
    <row r="58" spans="1:14" ht="15">
      <c r="A58" s="1536"/>
      <c r="B58" s="1372" t="str">
        <f>Atendimento!B50</f>
        <v>Volumoso</v>
      </c>
      <c r="C58" s="1373" t="str">
        <f>Atendimento!C50</f>
        <v>VOL</v>
      </c>
      <c r="D58" s="1373" t="str">
        <f>Atendimento!D50</f>
        <v>Kg</v>
      </c>
      <c r="E58" s="1380">
        <f>IFERROR(INDEX(Base.BL!$C$18:$C$51,MATCH(C58,Base.BL!$B$18:$B$51,0)),0)</f>
        <v>0</v>
      </c>
      <c r="F58" s="1377"/>
      <c r="G58" s="1381">
        <f>IFERROR(INDEX(Base.BL!$D$18:$D$51,MATCH(C58,Base.BL!$B$18:$B$51,0)),999999)</f>
        <v>999999</v>
      </c>
      <c r="H58" s="1375">
        <f t="shared" si="3"/>
        <v>1</v>
      </c>
      <c r="I58" s="1536"/>
      <c r="J58" s="1536"/>
      <c r="K58" s="1536"/>
      <c r="L58" s="1536"/>
      <c r="M58" s="1042"/>
      <c r="N58" s="1042"/>
    </row>
    <row r="59" spans="1:14" ht="15">
      <c r="A59" s="1536"/>
      <c r="B59" s="1366" t="str">
        <f>Atendimento!B51</f>
        <v>Concentrado</v>
      </c>
      <c r="C59" s="1367" t="str">
        <f>Atendimento!C51</f>
        <v>CONC</v>
      </c>
      <c r="D59" s="1367" t="str">
        <f>Atendimento!D51</f>
        <v>Kg</v>
      </c>
      <c r="E59" s="1378">
        <f>IFERROR(INDEX(Base.BL!$C$18:$C$51,MATCH(C59,Base.BL!$B$18:$B$51,0)),0)</f>
        <v>0</v>
      </c>
      <c r="F59" s="1369"/>
      <c r="G59" s="1379">
        <f>IFERROR(INDEX(Base.BL!$D$18:$D$51,MATCH(C59,Base.BL!$B$18:$B$51,0)),999999)</f>
        <v>999999</v>
      </c>
      <c r="H59" s="1371">
        <f t="shared" si="3"/>
        <v>1</v>
      </c>
      <c r="I59" s="1536"/>
      <c r="J59" s="1536"/>
      <c r="K59" s="1536"/>
      <c r="L59" s="1536"/>
      <c r="M59" s="1042"/>
      <c r="N59" s="1042"/>
    </row>
    <row r="60" spans="1:14" ht="15">
      <c r="A60" s="1536"/>
      <c r="B60" s="1382"/>
      <c r="C60" s="1383"/>
      <c r="D60" s="1383"/>
      <c r="E60" s="1384"/>
      <c r="F60" s="1385"/>
      <c r="G60" s="1386"/>
      <c r="H60" s="1386"/>
      <c r="I60" s="1536"/>
      <c r="J60" s="1536"/>
      <c r="K60" s="1536"/>
      <c r="L60" s="1536"/>
      <c r="M60" s="1042"/>
      <c r="N60" s="1042"/>
    </row>
    <row r="61" spans="1:14">
      <c r="A61" s="1536"/>
      <c r="B61" s="1387"/>
      <c r="C61" s="1387"/>
      <c r="D61" s="1387"/>
      <c r="E61" s="1387"/>
      <c r="F61" s="1387"/>
      <c r="G61" s="1387"/>
      <c r="H61" s="1387"/>
      <c r="I61" s="1536"/>
      <c r="J61" s="1536"/>
      <c r="K61" s="1536"/>
      <c r="L61" s="1536"/>
      <c r="M61" s="1042"/>
      <c r="N61" s="1042"/>
    </row>
    <row r="62" spans="1:14">
      <c r="A62" s="1536"/>
      <c r="B62" s="1387"/>
      <c r="C62" s="2066">
        <f ca="1">TODAY()</f>
        <v>45298</v>
      </c>
      <c r="D62" s="2066"/>
      <c r="E62" s="2066"/>
      <c r="F62" s="2066"/>
      <c r="G62" s="2066"/>
      <c r="H62" s="2066"/>
      <c r="I62" s="1536"/>
      <c r="J62" s="1536"/>
      <c r="K62" s="1536"/>
      <c r="L62" s="1536"/>
      <c r="M62" s="1042"/>
      <c r="N62" s="1042"/>
    </row>
    <row r="63" spans="1:14">
      <c r="A63" s="1536"/>
      <c r="I63" s="1536"/>
      <c r="J63" s="1536"/>
      <c r="K63" s="1536"/>
      <c r="L63" s="1536"/>
      <c r="M63" s="1042"/>
      <c r="N63" s="1042"/>
    </row>
    <row r="64" spans="1:14">
      <c r="A64" s="1536"/>
      <c r="I64" s="1536"/>
      <c r="J64" s="1536"/>
      <c r="K64" s="1536"/>
      <c r="L64" s="1536"/>
      <c r="M64" s="1042"/>
      <c r="N64" s="1042"/>
    </row>
    <row r="65" spans="1:56">
      <c r="A65" s="1536"/>
      <c r="I65" s="1536"/>
      <c r="J65" s="1536"/>
      <c r="K65" s="1536"/>
      <c r="L65" s="1536"/>
      <c r="M65" s="1042"/>
      <c r="N65" s="1042"/>
    </row>
    <row r="66" spans="1:56">
      <c r="A66" s="1536"/>
      <c r="I66" s="1536"/>
      <c r="J66" s="1536"/>
      <c r="K66" s="1536"/>
      <c r="L66" s="1536"/>
      <c r="M66" s="1042"/>
      <c r="N66" s="1042"/>
    </row>
    <row r="67" spans="1:56">
      <c r="A67" s="1536"/>
      <c r="I67" s="1536"/>
      <c r="J67" s="1536"/>
      <c r="K67" s="1536"/>
      <c r="L67" s="1536"/>
      <c r="M67" s="1042"/>
      <c r="N67" s="1042"/>
    </row>
    <row r="68" spans="1:56">
      <c r="A68" s="1536"/>
      <c r="I68" s="1536"/>
      <c r="J68" s="1536"/>
      <c r="K68" s="1536"/>
      <c r="L68" s="1536"/>
      <c r="M68" s="1042"/>
      <c r="N68" s="1042"/>
    </row>
    <row r="69" spans="1:56">
      <c r="A69" s="1536"/>
      <c r="I69" s="1536"/>
      <c r="J69" s="1536"/>
      <c r="K69" s="1536"/>
      <c r="L69" s="1536"/>
      <c r="M69" s="1042"/>
      <c r="N69" s="1042"/>
    </row>
    <row r="70" spans="1:56">
      <c r="A70" s="1536"/>
      <c r="I70" s="1536"/>
      <c r="J70" s="1536"/>
      <c r="K70" s="1536"/>
      <c r="L70" s="1536"/>
      <c r="M70" s="1042"/>
      <c r="N70" s="1042"/>
    </row>
    <row r="71" spans="1:56" ht="15">
      <c r="A71" s="1536"/>
      <c r="B71" s="2068" t="s">
        <v>856</v>
      </c>
      <c r="C71" s="2068"/>
      <c r="D71" s="2068"/>
      <c r="E71" s="2068"/>
      <c r="F71" s="2068"/>
      <c r="G71" s="2068"/>
      <c r="H71" s="2068"/>
      <c r="I71" s="1536"/>
      <c r="J71" s="1536"/>
      <c r="K71" s="1536"/>
      <c r="L71" s="1536"/>
      <c r="M71" s="1042"/>
      <c r="N71" s="1042"/>
    </row>
    <row r="72" spans="1:56" ht="15">
      <c r="A72" s="1536"/>
      <c r="B72" s="2067" t="str">
        <f>Usuário</f>
        <v>Iomar Bezerra da Silva</v>
      </c>
      <c r="C72" s="2067"/>
      <c r="D72" s="2067"/>
      <c r="E72" s="2067"/>
      <c r="F72" s="2067"/>
      <c r="G72" s="2067"/>
      <c r="H72" s="2067"/>
      <c r="I72" s="1536"/>
      <c r="J72" s="1536"/>
      <c r="K72" s="1536"/>
      <c r="L72" s="1536"/>
      <c r="M72" s="1042"/>
      <c r="N72" s="1042"/>
    </row>
    <row r="73" spans="1:56" ht="15">
      <c r="A73" s="1536"/>
      <c r="B73" s="2061" t="str">
        <f>Profissão</f>
        <v>Técnico</v>
      </c>
      <c r="C73" s="2061"/>
      <c r="D73" s="2061"/>
      <c r="E73" s="2061"/>
      <c r="F73" s="2061"/>
      <c r="G73" s="2061"/>
      <c r="H73" s="2061"/>
      <c r="I73" s="1536"/>
      <c r="J73" s="1536"/>
      <c r="K73" s="1536"/>
      <c r="L73" s="1536"/>
      <c r="M73" s="1042"/>
      <c r="N73" s="1042"/>
    </row>
    <row r="74" spans="1:56" ht="14.25">
      <c r="A74" s="1536"/>
      <c r="B74" s="2062" t="str">
        <f>RGProfissional</f>
        <v>MA-00259-ZP</v>
      </c>
      <c r="C74" s="2062"/>
      <c r="D74" s="2062"/>
      <c r="E74" s="2062"/>
      <c r="F74" s="2062"/>
      <c r="G74" s="2062"/>
      <c r="H74" s="2062"/>
      <c r="I74" s="1536"/>
      <c r="J74" s="1536"/>
      <c r="K74" s="1536"/>
      <c r="L74" s="1536"/>
      <c r="M74" s="1042"/>
      <c r="N74" s="1042"/>
    </row>
    <row r="75" spans="1:56">
      <c r="A75" s="1536"/>
      <c r="B75" s="1537"/>
      <c r="C75" s="1537"/>
      <c r="D75" s="1537"/>
      <c r="E75" s="1537"/>
      <c r="F75" s="1537"/>
      <c r="G75" s="1537"/>
      <c r="H75" s="1537"/>
      <c r="I75" s="1536"/>
      <c r="J75" s="1536"/>
      <c r="K75" s="1536"/>
      <c r="L75" s="1536"/>
      <c r="M75" s="1042"/>
      <c r="N75" s="1042"/>
    </row>
    <row r="76" spans="1:56">
      <c r="K76" s="1295" t="str">
        <f>Alimentos!H2</f>
        <v>MS</v>
      </c>
      <c r="L76" s="1295" t="str">
        <f>Alimentos!I2</f>
        <v>FDN</v>
      </c>
      <c r="M76" s="755" t="str">
        <f>Alimentos!J2</f>
        <v>FDA</v>
      </c>
      <c r="N76" s="755" t="str">
        <f>Alimentos!K2</f>
        <v>CNF</v>
      </c>
      <c r="O76" s="755" t="str">
        <f>Alimentos!L2</f>
        <v>NDT</v>
      </c>
      <c r="P76" s="755" t="str">
        <f>Alimentos!M2</f>
        <v>ED</v>
      </c>
      <c r="Q76" s="755" t="str">
        <f>Alimentos!N2</f>
        <v>EM</v>
      </c>
      <c r="R76" s="755" t="str">
        <f>Alimentos!O2</f>
        <v>EL</v>
      </c>
      <c r="S76" s="755" t="str">
        <f>Alimentos!P2</f>
        <v>EE</v>
      </c>
      <c r="T76" s="755" t="str">
        <f>Alimentos!Q2</f>
        <v>PB</v>
      </c>
      <c r="U76" s="755" t="str">
        <f>Alimentos!R2</f>
        <v>PDR</v>
      </c>
      <c r="V76" s="755" t="str">
        <f>Alimentos!S2</f>
        <v>PNDR</v>
      </c>
      <c r="W76" s="755" t="str">
        <f>Alimentos!T2</f>
        <v>PM</v>
      </c>
      <c r="X76" s="755" t="str">
        <f>Alimentos!U2</f>
        <v>PBNNP</v>
      </c>
      <c r="Y76" s="755" t="str">
        <f>Alimentos!V2</f>
        <v>Ca</v>
      </c>
      <c r="Z76" s="755" t="str">
        <f>Alimentos!W2</f>
        <v>P</v>
      </c>
      <c r="AA76" s="755" t="str">
        <f>Alimentos!X2</f>
        <v>Mg</v>
      </c>
      <c r="AB76" s="755" t="str">
        <f>Alimentos!Y2</f>
        <v>Na</v>
      </c>
      <c r="AC76" s="755" t="str">
        <f>Alimentos!Z2</f>
        <v>K</v>
      </c>
      <c r="AD76" s="755" t="str">
        <f>Alimentos!AA2</f>
        <v>S</v>
      </c>
      <c r="AE76" s="755" t="str">
        <f>Alimentos!AB2</f>
        <v>Cu</v>
      </c>
      <c r="AF76" s="755" t="str">
        <f>Alimentos!AC2</f>
        <v>Zn</v>
      </c>
      <c r="AG76" s="755" t="str">
        <f>Alimentos!AD2</f>
        <v>Fe</v>
      </c>
      <c r="AH76" s="755" t="str">
        <f>Alimentos!AE2</f>
        <v>Mn</v>
      </c>
      <c r="AI76" s="755" t="str">
        <f>Alimentos!AF2</f>
        <v>I</v>
      </c>
      <c r="AJ76" s="755" t="str">
        <f>Alimentos!AG2</f>
        <v>Co</v>
      </c>
      <c r="AK76" s="755" t="str">
        <f>Alimentos!AH2</f>
        <v>Se</v>
      </c>
      <c r="AL76" s="755" t="str">
        <f>Alimentos!AI2</f>
        <v>Lis</v>
      </c>
      <c r="AM76" s="755" t="str">
        <f>Alimentos!AJ2</f>
        <v>Met</v>
      </c>
      <c r="AN76" s="755" t="str">
        <f>Alimentos!AK2</f>
        <v>Mon</v>
      </c>
      <c r="AO76" s="755" t="str">
        <f>Alimentos!AL2</f>
        <v>Vit A</v>
      </c>
      <c r="AP76" s="755" t="str">
        <f>Alimentos!AM2</f>
        <v>Vit B (UI)</v>
      </c>
      <c r="AQ76" s="755" t="str">
        <f>Alimentos!AN2</f>
        <v>Vit D (UI)</v>
      </c>
      <c r="AR76" s="755" t="str">
        <f>Alimentos!AO2</f>
        <v>Vit E (UI)</v>
      </c>
      <c r="AS76" s="755" t="str">
        <f>Alimentos!AP2</f>
        <v>Novo 01</v>
      </c>
      <c r="AT76" s="755" t="str">
        <f>Alimentos!AQ2</f>
        <v>Novo 02</v>
      </c>
      <c r="AU76" s="755" t="str">
        <f>Alimentos!AR2</f>
        <v>Novo 03</v>
      </c>
      <c r="AV76" s="755" t="str">
        <f>Alimentos!AS2</f>
        <v>Novo 04</v>
      </c>
      <c r="AW76" s="755" t="str">
        <f>Alimentos!AT2</f>
        <v>Novo 05</v>
      </c>
      <c r="AX76" s="755" t="str">
        <f>Alimentos!AU2</f>
        <v>Novo 06</v>
      </c>
      <c r="AY76" s="755" t="str">
        <f>Alimentos!AV2</f>
        <v>Novo 07</v>
      </c>
      <c r="AZ76" s="755" t="str">
        <f>Alimentos!AW2</f>
        <v>Novo 08</v>
      </c>
      <c r="BA76" s="755" t="str">
        <f>Alimentos!AX2</f>
        <v>Novo 09</v>
      </c>
      <c r="BB76" s="755" t="str">
        <f>Alimentos!AY2</f>
        <v>VOL</v>
      </c>
      <c r="BC76" s="755" t="str">
        <f>Alimentos!AZ2</f>
        <v>CONC</v>
      </c>
      <c r="BD76" s="755"/>
    </row>
    <row r="77" spans="1:56">
      <c r="K77" s="1296">
        <f>INDEX($E$15:$E$59,MATCH(K$76,$C$15:$C$59,0))</f>
        <v>0</v>
      </c>
      <c r="L77" s="1296">
        <f t="shared" ref="L77:BC77" si="4">INDEX($E$15:$E$59,MATCH(L$76,$C$15:$C$59,0))</f>
        <v>3.9911339999999997</v>
      </c>
      <c r="M77" s="756">
        <f t="shared" si="4"/>
        <v>0</v>
      </c>
      <c r="N77" s="756">
        <f t="shared" si="4"/>
        <v>0</v>
      </c>
      <c r="O77" s="756">
        <f t="shared" si="4"/>
        <v>9.405050254799999</v>
      </c>
      <c r="P77" s="756">
        <f t="shared" si="4"/>
        <v>0</v>
      </c>
      <c r="Q77" s="756">
        <f t="shared" si="4"/>
        <v>0</v>
      </c>
      <c r="R77" s="756">
        <f t="shared" si="4"/>
        <v>0</v>
      </c>
      <c r="S77" s="756">
        <f t="shared" si="4"/>
        <v>0</v>
      </c>
      <c r="T77" s="756">
        <f t="shared" si="4"/>
        <v>2013.2063868749999</v>
      </c>
      <c r="U77" s="756">
        <f t="shared" si="4"/>
        <v>1222.6565331239999</v>
      </c>
      <c r="V77" s="756">
        <f t="shared" si="4"/>
        <v>0</v>
      </c>
      <c r="W77" s="756">
        <f t="shared" si="4"/>
        <v>0</v>
      </c>
      <c r="X77" s="756">
        <f t="shared" si="4"/>
        <v>0</v>
      </c>
      <c r="Y77" s="756">
        <f t="shared" si="4"/>
        <v>82.575137055000013</v>
      </c>
      <c r="Z77" s="756">
        <f t="shared" si="4"/>
        <v>45.189614714999998</v>
      </c>
      <c r="AA77" s="756">
        <f t="shared" si="4"/>
        <v>8.5595037000000005</v>
      </c>
      <c r="AB77" s="756">
        <f t="shared" si="4"/>
        <v>28.576519439999998</v>
      </c>
      <c r="AC77" s="756">
        <f t="shared" si="4"/>
        <v>141.31892791499999</v>
      </c>
      <c r="AD77" s="756">
        <f t="shared" si="4"/>
        <v>28.508099999999999</v>
      </c>
      <c r="AE77" s="756">
        <f t="shared" si="4"/>
        <v>1002.32</v>
      </c>
      <c r="AF77" s="756">
        <f t="shared" si="4"/>
        <v>4094.56</v>
      </c>
      <c r="AG77" s="756">
        <f t="shared" si="4"/>
        <v>1209.3599999999999</v>
      </c>
      <c r="AH77" s="756">
        <f t="shared" si="4"/>
        <v>1263.54</v>
      </c>
      <c r="AI77" s="756">
        <f t="shared" si="4"/>
        <v>51.744</v>
      </c>
      <c r="AJ77" s="756">
        <f t="shared" si="4"/>
        <v>11</v>
      </c>
      <c r="AK77" s="756">
        <f t="shared" si="4"/>
        <v>30</v>
      </c>
      <c r="AL77" s="756">
        <f t="shared" si="4"/>
        <v>0</v>
      </c>
      <c r="AM77" s="756">
        <f t="shared" si="4"/>
        <v>0</v>
      </c>
      <c r="AN77" s="756">
        <f t="shared" si="4"/>
        <v>0</v>
      </c>
      <c r="AO77" s="756">
        <f t="shared" si="4"/>
        <v>316050</v>
      </c>
      <c r="AP77" s="756">
        <f t="shared" si="4"/>
        <v>0</v>
      </c>
      <c r="AQ77" s="756">
        <f t="shared" si="4"/>
        <v>0</v>
      </c>
      <c r="AR77" s="756">
        <f t="shared" si="4"/>
        <v>0</v>
      </c>
      <c r="AS77" s="756">
        <f t="shared" si="4"/>
        <v>0</v>
      </c>
      <c r="AT77" s="756">
        <f t="shared" si="4"/>
        <v>0</v>
      </c>
      <c r="AU77" s="756">
        <f t="shared" si="4"/>
        <v>0</v>
      </c>
      <c r="AV77" s="756">
        <f t="shared" si="4"/>
        <v>0</v>
      </c>
      <c r="AW77" s="756">
        <f t="shared" si="4"/>
        <v>0</v>
      </c>
      <c r="AX77" s="756">
        <f t="shared" si="4"/>
        <v>0</v>
      </c>
      <c r="AY77" s="756">
        <f t="shared" si="4"/>
        <v>0</v>
      </c>
      <c r="AZ77" s="756">
        <f t="shared" si="4"/>
        <v>0</v>
      </c>
      <c r="BA77" s="756">
        <f t="shared" si="4"/>
        <v>0</v>
      </c>
      <c r="BB77" s="756">
        <f t="shared" si="4"/>
        <v>0</v>
      </c>
      <c r="BC77" s="756">
        <f t="shared" si="4"/>
        <v>0</v>
      </c>
    </row>
    <row r="78" spans="1:56">
      <c r="K78" s="1296">
        <f t="shared" ref="K78:BC78" si="5">INDEX($G$15:$G$59,MATCH(K$76,$C$15:$C$59,0))</f>
        <v>14.254049999999999</v>
      </c>
      <c r="L78" s="1296">
        <f t="shared" si="5"/>
        <v>9999999</v>
      </c>
      <c r="M78" s="756">
        <f>INDEX($G$15:$G$59,MATCH(M$76,$C$15:$C$59,0))</f>
        <v>999999</v>
      </c>
      <c r="N78" s="756">
        <f t="shared" si="5"/>
        <v>999999</v>
      </c>
      <c r="O78" s="756">
        <f t="shared" si="5"/>
        <v>9999999</v>
      </c>
      <c r="P78" s="756">
        <f t="shared" si="5"/>
        <v>999999</v>
      </c>
      <c r="Q78" s="756">
        <f t="shared" si="5"/>
        <v>999999</v>
      </c>
      <c r="R78" s="756">
        <f t="shared" si="5"/>
        <v>999999</v>
      </c>
      <c r="S78" s="756">
        <f t="shared" si="5"/>
        <v>712.7025000000001</v>
      </c>
      <c r="T78" s="756">
        <f t="shared" si="5"/>
        <v>9999999</v>
      </c>
      <c r="U78" s="756">
        <f t="shared" si="5"/>
        <v>9999999</v>
      </c>
      <c r="V78" s="756">
        <f t="shared" si="5"/>
        <v>999999</v>
      </c>
      <c r="W78" s="756">
        <f t="shared" si="5"/>
        <v>999999</v>
      </c>
      <c r="X78" s="756">
        <f t="shared" si="5"/>
        <v>999999</v>
      </c>
      <c r="Y78" s="756">
        <f t="shared" si="5"/>
        <v>9999999</v>
      </c>
      <c r="Z78" s="756">
        <f t="shared" si="5"/>
        <v>9999999</v>
      </c>
      <c r="AA78" s="756">
        <f t="shared" si="5"/>
        <v>9999999</v>
      </c>
      <c r="AB78" s="756">
        <f t="shared" si="5"/>
        <v>9999999</v>
      </c>
      <c r="AC78" s="756">
        <f t="shared" si="5"/>
        <v>9999999</v>
      </c>
      <c r="AD78" s="756">
        <f t="shared" si="5"/>
        <v>9999999</v>
      </c>
      <c r="AE78" s="756">
        <f t="shared" si="5"/>
        <v>9999999</v>
      </c>
      <c r="AF78" s="756">
        <f t="shared" si="5"/>
        <v>9999999</v>
      </c>
      <c r="AG78" s="756">
        <f t="shared" si="5"/>
        <v>9999999</v>
      </c>
      <c r="AH78" s="756">
        <f t="shared" si="5"/>
        <v>9999999</v>
      </c>
      <c r="AI78" s="756">
        <f t="shared" si="5"/>
        <v>9999999</v>
      </c>
      <c r="AJ78" s="756">
        <f t="shared" si="5"/>
        <v>9999999</v>
      </c>
      <c r="AK78" s="756">
        <f t="shared" si="5"/>
        <v>9999999</v>
      </c>
      <c r="AL78" s="756">
        <f t="shared" si="5"/>
        <v>999999</v>
      </c>
      <c r="AM78" s="756">
        <f t="shared" si="5"/>
        <v>999999</v>
      </c>
      <c r="AN78" s="756">
        <f t="shared" si="5"/>
        <v>999999</v>
      </c>
      <c r="AO78" s="756">
        <f t="shared" si="5"/>
        <v>9999999</v>
      </c>
      <c r="AP78" s="756">
        <f t="shared" si="5"/>
        <v>999999</v>
      </c>
      <c r="AQ78" s="756">
        <f t="shared" si="5"/>
        <v>999999</v>
      </c>
      <c r="AR78" s="756">
        <f t="shared" si="5"/>
        <v>999999</v>
      </c>
      <c r="AS78" s="756">
        <f t="shared" si="5"/>
        <v>999999</v>
      </c>
      <c r="AT78" s="756">
        <f t="shared" si="5"/>
        <v>999999</v>
      </c>
      <c r="AU78" s="756">
        <f t="shared" si="5"/>
        <v>999999</v>
      </c>
      <c r="AV78" s="756">
        <f t="shared" si="5"/>
        <v>999999</v>
      </c>
      <c r="AW78" s="756">
        <f t="shared" si="5"/>
        <v>999999</v>
      </c>
      <c r="AX78" s="756">
        <f t="shared" si="5"/>
        <v>999999</v>
      </c>
      <c r="AY78" s="756">
        <f t="shared" si="5"/>
        <v>999999</v>
      </c>
      <c r="AZ78" s="756">
        <f t="shared" si="5"/>
        <v>999999</v>
      </c>
      <c r="BA78" s="756">
        <f t="shared" si="5"/>
        <v>999999</v>
      </c>
      <c r="BB78" s="756">
        <f t="shared" si="5"/>
        <v>999999</v>
      </c>
      <c r="BC78" s="756">
        <f t="shared" si="5"/>
        <v>999999</v>
      </c>
    </row>
    <row r="79" spans="1:56"/>
    <row r="80" spans="1:56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9"/>
    <row r="110"/>
    <row r="111"/>
    <row r="112"/>
    <row r="113"/>
    <row r="147"/>
    <row r="148"/>
    <row r="153"/>
    <row r="154"/>
    <row r="163" spans="52:53" hidden="1">
      <c r="AZ163" s="598">
        <v>180</v>
      </c>
    </row>
    <row r="164" spans="52:53" hidden="1">
      <c r="AZ164" s="598">
        <v>9</v>
      </c>
    </row>
    <row r="167" spans="52:53" hidden="1">
      <c r="BA167" s="598">
        <v>42</v>
      </c>
    </row>
    <row r="173" spans="52:53"/>
    <row r="174" spans="52:53"/>
    <row r="177"/>
    <row r="179"/>
    <row r="180"/>
    <row r="183"/>
    <row r="184"/>
    <row r="187"/>
    <row r="188"/>
    <row r="189"/>
  </sheetData>
  <mergeCells count="9">
    <mergeCell ref="B71:H71"/>
    <mergeCell ref="B72:H72"/>
    <mergeCell ref="B73:H73"/>
    <mergeCell ref="B74:H74"/>
    <mergeCell ref="E8:H8"/>
    <mergeCell ref="D9:H9"/>
    <mergeCell ref="B12:H12"/>
    <mergeCell ref="B13:H13"/>
    <mergeCell ref="C62:H62"/>
  </mergeCells>
  <conditionalFormatting sqref="F15:F59">
    <cfRule type="cellIs" dxfId="110" priority="15" operator="equal">
      <formula>0</formula>
    </cfRule>
  </conditionalFormatting>
  <conditionalFormatting sqref="H15:H59">
    <cfRule type="cellIs" dxfId="109" priority="14" operator="equal">
      <formula>0</formula>
    </cfRule>
  </conditionalFormatting>
  <dataValidations count="1">
    <dataValidation type="whole" allowBlank="1" showInputMessage="1" showErrorMessage="1" errorTitle="Inconsistência" error="Veja a tabela de valores ao lado" sqref="H5" xr:uid="{DE983F86-2026-4B29-B740-30A20B03B9C1}">
      <formula1>0</formula1>
      <formula2>285</formula2>
    </dataValidation>
  </dataValidations>
  <printOptions horizontalCentered="1"/>
  <pageMargins left="0.51181102362204722" right="0.51181102362204722" top="0.94488188976377963" bottom="0.15748031496062992" header="0.31496062992125984" footer="0.31496062992125984"/>
  <pageSetup paperSize="9" scale="71" fitToHeight="0" orientation="portrait" r:id="rId1"/>
  <headerFooter>
    <oddHeader>&amp;C&amp;"Arial,Negrito itálico"&amp;16&amp;K00-049PROGRAMA DE FORMULAÇÃO DE DIETAS PARA RUMINANTES</oddHeader>
    <oddFooter>&amp;C&amp;"Arial,Itálico"&amp;K00-047By Iomar Bezerra da Silva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42" r:id="rId4" name="Spinner 10">
              <controlPr defaultSize="0" autoPict="0">
                <anchor moveWithCells="1" sizeWithCells="1">
                  <from>
                    <xdr:col>7</xdr:col>
                    <xdr:colOff>533400</xdr:colOff>
                    <xdr:row>4</xdr:row>
                    <xdr:rowOff>9525</xdr:rowOff>
                  </from>
                  <to>
                    <xdr:col>8</xdr:col>
                    <xdr:colOff>0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3" r:id="rId5" name="Drop Down 11">
              <controlPr defaultSize="0" print="0" autoLine="0" autoPict="0">
                <anchor moveWithCells="1">
                  <from>
                    <xdr:col>1</xdr:col>
                    <xdr:colOff>1019175</xdr:colOff>
                    <xdr:row>2</xdr:row>
                    <xdr:rowOff>28575</xdr:rowOff>
                  </from>
                  <to>
                    <xdr:col>5</xdr:col>
                    <xdr:colOff>952500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5" r:id="rId6" name="Spinner 13">
              <controlPr defaultSize="0" autoPict="0">
                <anchor moveWithCells="1">
                  <from>
                    <xdr:col>7</xdr:col>
                    <xdr:colOff>514350</xdr:colOff>
                    <xdr:row>4</xdr:row>
                    <xdr:rowOff>9525</xdr:rowOff>
                  </from>
                  <to>
                    <xdr:col>7</xdr:col>
                    <xdr:colOff>752475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6" r:id="rId7" name="Spinner 14">
              <controlPr defaultSize="0" autoPict="0">
                <anchor moveWithCells="1">
                  <from>
                    <xdr:col>7</xdr:col>
                    <xdr:colOff>514350</xdr:colOff>
                    <xdr:row>6</xdr:row>
                    <xdr:rowOff>9525</xdr:rowOff>
                  </from>
                  <to>
                    <xdr:col>7</xdr:col>
                    <xdr:colOff>752475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87A5356C-19DC-41FD-875B-19387BC4A2DF}">
            <xm:f>Base.BL!$D$10=0</xm:f>
            <x14:dxf>
              <font>
                <color theme="0" tint="-0.34998626667073579"/>
              </font>
              <fill>
                <patternFill>
                  <bgColor theme="0" tint="-0.34998626667073579"/>
                </patternFill>
              </fill>
            </x14:dxf>
          </x14:cfRule>
          <xm:sqref>C5</xm:sqref>
        </x14:conditionalFormatting>
        <x14:conditionalFormatting xmlns:xm="http://schemas.microsoft.com/office/excel/2006/main">
          <x14:cfRule type="expression" priority="12" id="{4A92B51D-80C7-4D6E-B30B-E96BCD998CEA}">
            <xm:f>Base.BL!$D$12=0</xm:f>
            <x14:dxf>
              <font>
                <color theme="0" tint="-0.34998626667073579"/>
              </font>
              <fill>
                <patternFill>
                  <bgColor theme="0" tint="-0.34998626667073579"/>
                </patternFill>
              </fill>
            </x14:dxf>
          </x14:cfRule>
          <xm:sqref>F5</xm:sqref>
        </x14:conditionalFormatting>
        <x14:conditionalFormatting xmlns:xm="http://schemas.microsoft.com/office/excel/2006/main">
          <x14:cfRule type="expression" priority="11" id="{8BA66289-8274-4F00-81F4-29772EA2740F}">
            <xm:f>Base.BL!$D$15=0</xm:f>
            <x14:dxf>
              <font>
                <color theme="0" tint="-0.34998626667073579"/>
              </font>
              <fill>
                <patternFill>
                  <fgColor theme="0" tint="-0.34998626667073579"/>
                  <bgColor theme="0" tint="-0.34998626667073579"/>
                </patternFill>
              </fill>
            </x14:dxf>
          </x14:cfRule>
          <xm:sqref>H5</xm:sqref>
        </x14:conditionalFormatting>
        <x14:conditionalFormatting xmlns:xm="http://schemas.microsoft.com/office/excel/2006/main">
          <x14:cfRule type="expression" priority="10" id="{D902537C-8B72-4A29-80C8-04BE7F6FDB80}">
            <xm:f>Base.BL!$D$13=0</xm:f>
            <x14:dxf>
              <font>
                <color theme="0" tint="-0.34998626667073579"/>
              </font>
              <fill>
                <patternFill>
                  <fgColor theme="0" tint="-0.34998626667073579"/>
                  <bgColor theme="0" tint="-0.34998626667073579"/>
                </patternFill>
              </fill>
            </x14:dxf>
          </x14:cfRule>
          <xm:sqref>F7</xm:sqref>
        </x14:conditionalFormatting>
        <x14:conditionalFormatting xmlns:xm="http://schemas.microsoft.com/office/excel/2006/main">
          <x14:cfRule type="expression" priority="9" id="{B72C7D34-5FEC-4CAE-A4DC-F6FDF336F9A1}">
            <xm:f>Base.BL!$D$16=0</xm:f>
            <x14:dxf>
              <font>
                <color theme="0" tint="-0.34998626667073579"/>
              </font>
              <fill>
                <patternFill>
                  <bgColor theme="0" tint="-0.34998626667073579"/>
                </patternFill>
              </fill>
            </x14:dxf>
          </x14:cfRule>
          <xm:sqref>H7</xm:sqref>
        </x14:conditionalFormatting>
        <x14:conditionalFormatting xmlns:xm="http://schemas.microsoft.com/office/excel/2006/main">
          <x14:cfRule type="expression" priority="8" id="{2B77C467-ADC8-40FC-9D9F-FF562A0D0888}">
            <xm:f>Base.BL!$D$14=0</xm:f>
            <x14:dxf>
              <font>
                <color theme="0" tint="-0.34998626667073579"/>
              </font>
              <fill>
                <patternFill>
                  <bgColor theme="0" tint="-0.34998626667073579"/>
                </patternFill>
              </fill>
            </x14:dxf>
          </x14:cfRule>
          <xm:sqref>H3</xm:sqref>
        </x14:conditionalFormatting>
        <x14:conditionalFormatting xmlns:xm="http://schemas.microsoft.com/office/excel/2006/main">
          <x14:cfRule type="expression" priority="3" id="{0A8B5D22-1584-4C33-8EBB-8AF25AC596A6}">
            <xm:f>Base.BL!$A$2&lt;10</xm:f>
            <x14:dxf>
              <font>
                <color theme="0" tint="-0.34998626667073579"/>
              </font>
              <fill>
                <patternFill>
                  <bgColor theme="0" tint="-0.34998626667073579"/>
                </patternFill>
              </fill>
            </x14:dxf>
          </x14:cfRule>
          <xm:sqref>C5 C7 F5 F7 H3 H5 H7</xm:sqref>
        </x14:conditionalFormatting>
        <x14:conditionalFormatting xmlns:xm="http://schemas.microsoft.com/office/excel/2006/main">
          <x14:cfRule type="expression" priority="1" id="{E699A6A2-2EF6-4DC1-B3E7-671FE6FF93B9}">
            <xm:f>IF(OR($C$7&gt;Base.BL!$D$11,$C$7&lt;Base.BL!$C$11),TRUE,FALSE)</xm:f>
            <x14:dxf>
              <font>
                <color theme="7"/>
              </font>
              <fill>
                <patternFill>
                  <bgColor rgb="FFFF0000"/>
                </patternFill>
              </fill>
            </x14:dxf>
          </x14:cfRule>
          <xm:sqref>C7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whole" allowBlank="1" showInputMessage="1" showErrorMessage="1" errorTitle="Inconsistência" error="Veja a tabela de valores ao lado" xr:uid="{E95217E1-534B-4F54-A67C-618837B51D35}">
          <x14:formula1>
            <xm:f>Base.BL!C10</xm:f>
          </x14:formula1>
          <x14:formula2>
            <xm:f>Base.BL!D10</xm:f>
          </x14:formula2>
          <xm:sqref>C5</xm:sqref>
        </x14:dataValidation>
        <x14:dataValidation type="whole" allowBlank="1" showInputMessage="1" showErrorMessage="1" errorTitle="Inconsistência" error="Veja a tabela de valores ao lado" xr:uid="{3A625D41-F9BC-4E8D-8F7F-393AA34B3FA2}">
          <x14:formula1>
            <xm:f>Base.BL!C11</xm:f>
          </x14:formula1>
          <x14:formula2>
            <xm:f>Base.BL!D11</xm:f>
          </x14:formula2>
          <xm:sqref>C7</xm:sqref>
        </x14:dataValidation>
        <x14:dataValidation type="whole" allowBlank="1" showInputMessage="1" showErrorMessage="1" errorTitle="Inconsistência" error="Veja a tabela de valores ao lado" xr:uid="{CE1E5C44-C1CA-405E-B464-42ED6A52177F}">
          <x14:formula1>
            <xm:f>Base.BL!C12</xm:f>
          </x14:formula1>
          <x14:formula2>
            <xm:f>Base.BL!D12</xm:f>
          </x14:formula2>
          <xm:sqref>F5</xm:sqref>
        </x14:dataValidation>
        <x14:dataValidation type="decimal" allowBlank="1" showInputMessage="1" showErrorMessage="1" errorTitle="Inconsistência" error="Veja a tabela de valores ao lado" xr:uid="{E3AE7E61-3443-4587-830C-7614E79C0A23}">
          <x14:formula1>
            <xm:f>Base.BL!C13</xm:f>
          </x14:formula1>
          <x14:formula2>
            <xm:f>Base.BL!D13</xm:f>
          </x14:formula2>
          <xm:sqref>F7</xm:sqref>
        </x14:dataValidation>
        <x14:dataValidation type="decimal" allowBlank="1" showInputMessage="1" showErrorMessage="1" errorTitle="Inconsistência" error="Veja a tabela de valores ao lado" xr:uid="{7FF08F6E-5414-4C66-AB1C-2C40A0C03DC9}">
          <x14:formula1>
            <xm:f>Base.BL!C14</xm:f>
          </x14:formula1>
          <x14:formula2>
            <xm:f>Base.BL!D14</xm:f>
          </x14:formula2>
          <xm:sqref>H3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04373-EEC2-49AF-96E6-37415E7A7641}">
  <sheetPr codeName="Planilha23">
    <tabColor rgb="FFFFFF00"/>
    <pageSetUpPr fitToPage="1"/>
  </sheetPr>
  <dimension ref="A1:BD189"/>
  <sheetViews>
    <sheetView showGridLines="0" showRowColHeaders="0" zoomScaleNormal="100" workbookViewId="0">
      <pane ySplit="14" topLeftCell="A15" activePane="bottomLeft" state="frozen"/>
      <selection activeCell="G2" sqref="G2"/>
      <selection pane="bottomLeft" activeCell="A11" sqref="A11"/>
    </sheetView>
  </sheetViews>
  <sheetFormatPr defaultColWidth="0" defaultRowHeight="18" customHeight="1" zeroHeight="1"/>
  <cols>
    <col min="1" max="1" width="20.375" style="598" customWidth="1"/>
    <col min="2" max="2" width="49" style="702" customWidth="1"/>
    <col min="3" max="3" width="12" style="702" customWidth="1"/>
    <col min="4" max="4" width="8.875" style="702" customWidth="1"/>
    <col min="5" max="5" width="10.5" style="702" customWidth="1"/>
    <col min="6" max="6" width="13.125" style="702" customWidth="1"/>
    <col min="7" max="7" width="14.25" style="702" customWidth="1"/>
    <col min="8" max="8" width="10" style="702" customWidth="1"/>
    <col min="9" max="9" width="27.375" style="598" customWidth="1"/>
    <col min="10" max="10" width="8.875" style="598" hidden="1" customWidth="1"/>
    <col min="11" max="13" width="9" style="598" hidden="1" customWidth="1"/>
    <col min="14" max="14" width="6.5" style="598" hidden="1" customWidth="1"/>
    <col min="15" max="15" width="5.75" style="598" hidden="1" customWidth="1"/>
    <col min="16" max="17" width="6.5" style="598" hidden="1" customWidth="1"/>
    <col min="18" max="16384" width="9" style="598" hidden="1"/>
  </cols>
  <sheetData>
    <row r="1" spans="1:10" ht="60.75" customHeight="1">
      <c r="A1" s="1535"/>
      <c r="B1" s="1536"/>
      <c r="C1" s="1536"/>
      <c r="D1" s="1536"/>
      <c r="E1" s="1536"/>
      <c r="F1" s="1536"/>
      <c r="G1" s="1536"/>
      <c r="H1" s="1536"/>
      <c r="I1" s="1536"/>
    </row>
    <row r="2" spans="1:10" ht="4.5" customHeight="1">
      <c r="A2" s="1536"/>
      <c r="B2" s="599"/>
      <c r="C2" s="599"/>
      <c r="D2" s="599"/>
      <c r="E2" s="599"/>
      <c r="F2" s="599"/>
      <c r="G2" s="599"/>
      <c r="H2" s="599"/>
      <c r="I2" s="1536"/>
    </row>
    <row r="3" spans="1:10" ht="4.5" customHeight="1">
      <c r="A3" s="1536"/>
      <c r="B3" s="599"/>
      <c r="C3" s="599"/>
      <c r="D3" s="599"/>
      <c r="E3" s="599"/>
      <c r="F3" s="599"/>
      <c r="G3" s="599"/>
      <c r="H3" s="599"/>
      <c r="I3" s="1536"/>
    </row>
    <row r="4" spans="1:10" ht="4.5" customHeight="1">
      <c r="A4" s="1536"/>
      <c r="B4" s="599"/>
      <c r="C4" s="599"/>
      <c r="D4" s="599"/>
      <c r="E4" s="599"/>
      <c r="F4" s="599"/>
      <c r="G4" s="599"/>
      <c r="H4" s="599"/>
      <c r="I4" s="1536"/>
    </row>
    <row r="5" spans="1:10" ht="4.5" customHeight="1">
      <c r="A5" s="1536"/>
      <c r="B5" s="599"/>
      <c r="C5" s="599"/>
      <c r="D5" s="599"/>
      <c r="E5" s="599"/>
      <c r="F5" s="599"/>
      <c r="G5" s="599"/>
      <c r="H5" s="599"/>
      <c r="I5" s="1536"/>
    </row>
    <row r="6" spans="1:10" ht="4.5" customHeight="1">
      <c r="A6" s="1536"/>
      <c r="B6" s="599"/>
      <c r="C6" s="599"/>
      <c r="D6" s="599"/>
      <c r="E6" s="599"/>
      <c r="F6" s="599"/>
      <c r="G6" s="599"/>
      <c r="H6" s="599"/>
      <c r="I6" s="1536"/>
    </row>
    <row r="7" spans="1:10" ht="4.5" customHeight="1">
      <c r="A7" s="1536"/>
      <c r="B7" s="599"/>
      <c r="C7" s="599"/>
      <c r="D7" s="599"/>
      <c r="E7" s="599"/>
      <c r="F7" s="599"/>
      <c r="G7" s="804"/>
      <c r="H7" s="804"/>
      <c r="I7" s="1536"/>
    </row>
    <row r="8" spans="1:10" ht="4.5" customHeight="1">
      <c r="A8" s="1536"/>
      <c r="B8" s="599"/>
      <c r="C8" s="599"/>
      <c r="D8" s="599"/>
      <c r="E8" s="599"/>
      <c r="F8" s="599"/>
      <c r="G8" s="804"/>
      <c r="H8" s="804"/>
      <c r="I8" s="1536"/>
    </row>
    <row r="9" spans="1:10" ht="4.5" customHeight="1">
      <c r="A9" s="1536"/>
      <c r="B9" s="599"/>
      <c r="C9" s="599"/>
      <c r="D9" s="599"/>
      <c r="E9" s="599"/>
      <c r="F9" s="599"/>
      <c r="G9" s="804"/>
      <c r="H9" s="804"/>
      <c r="I9" s="1536"/>
    </row>
    <row r="10" spans="1:10" ht="4.5" customHeight="1">
      <c r="A10" s="1536"/>
      <c r="B10" s="599"/>
      <c r="C10" s="599"/>
      <c r="D10" s="749"/>
      <c r="E10" s="599"/>
      <c r="F10" s="599"/>
      <c r="G10" s="599"/>
      <c r="H10" s="599"/>
      <c r="I10" s="1536"/>
    </row>
    <row r="11" spans="1:10" ht="45.75" customHeight="1">
      <c r="A11" s="1536"/>
      <c r="B11" s="599"/>
      <c r="C11" s="599"/>
      <c r="D11" s="599"/>
      <c r="E11" s="599"/>
      <c r="F11" s="599"/>
      <c r="G11" s="599"/>
      <c r="H11" s="599"/>
      <c r="I11" s="1536"/>
    </row>
    <row r="12" spans="1:10" ht="27" customHeight="1">
      <c r="A12" s="1536"/>
      <c r="B12" s="2070" t="s">
        <v>501</v>
      </c>
      <c r="C12" s="2071"/>
      <c r="D12" s="2071"/>
      <c r="E12" s="2071"/>
      <c r="F12" s="2071"/>
      <c r="G12" s="2071"/>
      <c r="H12" s="2071"/>
      <c r="I12" s="1536"/>
    </row>
    <row r="13" spans="1:10" ht="18" customHeight="1">
      <c r="A13" s="1536"/>
      <c r="B13" s="2072" t="str">
        <f>Base.OC!D2</f>
        <v>Caprino_Manutenção_40PV(kg)_0 GMD(g)</v>
      </c>
      <c r="C13" s="2072"/>
      <c r="D13" s="2072"/>
      <c r="E13" s="2072"/>
      <c r="F13" s="2072"/>
      <c r="G13" s="2072"/>
      <c r="H13" s="2072"/>
      <c r="I13" s="1536"/>
    </row>
    <row r="14" spans="1:10" ht="18.75" customHeight="1">
      <c r="A14" s="1536"/>
      <c r="B14" s="753" t="s">
        <v>2</v>
      </c>
      <c r="C14" s="754" t="s">
        <v>257</v>
      </c>
      <c r="D14" s="754" t="s">
        <v>5</v>
      </c>
      <c r="E14" s="754" t="s">
        <v>0</v>
      </c>
      <c r="F14" s="754" t="s">
        <v>1189</v>
      </c>
      <c r="G14" s="754" t="s">
        <v>1</v>
      </c>
      <c r="H14" s="754" t="s">
        <v>1190</v>
      </c>
      <c r="I14" s="1536"/>
    </row>
    <row r="15" spans="1:10" ht="15">
      <c r="A15" s="1536"/>
      <c r="B15" s="1366" t="str">
        <f>Atendimento!B7</f>
        <v>Matéria Seca</v>
      </c>
      <c r="C15" s="1367" t="str">
        <f>Atendimento!C7</f>
        <v>MS</v>
      </c>
      <c r="D15" s="1367" t="str">
        <f>Atendimento!D7</f>
        <v>kg</v>
      </c>
      <c r="E15" s="1368">
        <f>IFERROR(INDEX(Base.OC!$M$2:$AI$2,,MATCH(OC!C15,Base.OC!$M$1:$AI$1,0)),0)</f>
        <v>0</v>
      </c>
      <c r="F15" s="1369">
        <v>0</v>
      </c>
      <c r="G15" s="1370">
        <f>IFERROR(INDEX(Base.OC!$M$3:$AI$3,,MATCH(OC!C15,Base.OC!$M$1:$AI$1,0)),9999)</f>
        <v>0.81</v>
      </c>
      <c r="H15" s="1371">
        <v>1</v>
      </c>
      <c r="I15" s="1536"/>
      <c r="J15" s="598" t="str">
        <f ca="1">TEXT(TODAY(),"AAMMDD")&amp;TEXT(NOW(),"hhmmss")&amp;" "&amp;"Ficha de Exigência "&amp;B13</f>
        <v>240107120423 Ficha de Exigência Caprino_Manutenção_40PV(kg)_0 GMD(g)</v>
      </c>
    </row>
    <row r="16" spans="1:10" ht="15">
      <c r="A16" s="1536"/>
      <c r="B16" s="1372" t="str">
        <f>Atendimento!B8</f>
        <v>Fibra em 
Detergente Neutro</v>
      </c>
      <c r="C16" s="1373" t="str">
        <f>Atendimento!C8</f>
        <v>FDN</v>
      </c>
      <c r="D16" s="1373" t="str">
        <f>Atendimento!D8</f>
        <v>kg</v>
      </c>
      <c r="E16" s="1374">
        <f>IFERROR(INDEX(Base.OC!$M$2:$AI$2,,MATCH(OC!C16,Base.OC!$M$1:$AI$1,0)),0)</f>
        <v>0.2268</v>
      </c>
      <c r="F16" s="1375">
        <f>IFERROR(E16/G15,0)</f>
        <v>0.27999999999999997</v>
      </c>
      <c r="G16" s="1376">
        <f>IFERROR(INDEX(Base.OC!$M$3:$AI$3,,MATCH(OC!C16,Base.OC!$M$1:$AI$1,0)),9999)</f>
        <v>10</v>
      </c>
      <c r="H16" s="1375">
        <f>IFERROR(IF(G16/$G$15&gt;100%,100%,G16/$G$15),0)</f>
        <v>1</v>
      </c>
      <c r="I16" s="1536"/>
    </row>
    <row r="17" spans="1:14" ht="15">
      <c r="A17" s="1536"/>
      <c r="B17" s="1366" t="str">
        <f>Atendimento!B9</f>
        <v>Fibra em 
Detergente Ácido</v>
      </c>
      <c r="C17" s="1367" t="str">
        <f>Atendimento!C9</f>
        <v>FDA</v>
      </c>
      <c r="D17" s="1367" t="str">
        <f>Atendimento!D9</f>
        <v>kg</v>
      </c>
      <c r="E17" s="1368">
        <f>IFERROR(INDEX(Base.OC!$M$2:$AI$2,,MATCH(OC!C17,Base.OC!$M$1:$AI$1,0)),0)</f>
        <v>0</v>
      </c>
      <c r="F17" s="1371">
        <f>IFERROR(E17/G15,0)</f>
        <v>0</v>
      </c>
      <c r="G17" s="1370">
        <f>IFERROR(INDEX(Base.OC!$M$3:$AI$3,,MATCH(OC!C17,Base.OC!$M$1:$AI$1,0)),9999)</f>
        <v>9999</v>
      </c>
      <c r="H17" s="1371">
        <f>IFERROR(IF(G17/$G$15&gt;100%,100%,G17/$G$15),0)</f>
        <v>1</v>
      </c>
      <c r="I17" s="1536"/>
    </row>
    <row r="18" spans="1:14" ht="15">
      <c r="A18" s="1536"/>
      <c r="B18" s="1372" t="str">
        <f>Atendimento!B10</f>
        <v>Carboidratos Não Fibrosos</v>
      </c>
      <c r="C18" s="1373" t="str">
        <f>Atendimento!C10</f>
        <v>CNF</v>
      </c>
      <c r="D18" s="1373" t="str">
        <f>Atendimento!D10</f>
        <v>kg</v>
      </c>
      <c r="E18" s="1374">
        <f>IFERROR(INDEX(Base.OC!$M$2:$AI$2,,MATCH(OC!C18,Base.OC!$M$1:$AI$1,0)),0)</f>
        <v>0</v>
      </c>
      <c r="F18" s="1375">
        <f>IFERROR(E18/G15,)</f>
        <v>0</v>
      </c>
      <c r="G18" s="1376">
        <f>IFERROR(INDEX(Base.OC!$M$3:$AI$3,,MATCH(OC!C18,Base.OC!$M$1:$AI$1,0)),9999)</f>
        <v>9999</v>
      </c>
      <c r="H18" s="1375">
        <f>IFERROR(IF(G18/$G$15&gt;100%,100%,G18/$G$15),0)</f>
        <v>1</v>
      </c>
      <c r="I18" s="1536"/>
      <c r="N18" s="746"/>
    </row>
    <row r="19" spans="1:14" ht="15">
      <c r="A19" s="1536"/>
      <c r="B19" s="1366" t="str">
        <f>Atendimento!B11</f>
        <v>Nutrientes Digestíveis Totais</v>
      </c>
      <c r="C19" s="1367" t="str">
        <f>Atendimento!C11</f>
        <v>NDT</v>
      </c>
      <c r="D19" s="1367" t="str">
        <f>Atendimento!D11</f>
        <v>kg</v>
      </c>
      <c r="E19" s="1368">
        <f>IFERROR(INDEX(Base.OC!$M$2:$AI$2,,MATCH(OC!C19,Base.OC!$M$1:$AI$1,0)),0)</f>
        <v>0.44800000000000001</v>
      </c>
      <c r="F19" s="1371">
        <f>IFERROR(E19/G15,0)</f>
        <v>0.55308641975308637</v>
      </c>
      <c r="G19" s="1370">
        <f>IFERROR(INDEX(Base.OC!$M$3:$AI$3,,MATCH(OC!C19,Base.OC!$M$1:$AI$1,0)),9999)</f>
        <v>1</v>
      </c>
      <c r="H19" s="1371">
        <f>IFERROR(IF(G19/$G$15&gt;100%,100%,G19/$G$15),0)</f>
        <v>1</v>
      </c>
      <c r="I19" s="1536"/>
    </row>
    <row r="20" spans="1:14" ht="15">
      <c r="A20" s="1536"/>
      <c r="B20" s="1372" t="str">
        <f>Atendimento!B12</f>
        <v>Energia Digestível (Bovinos)</v>
      </c>
      <c r="C20" s="1373" t="str">
        <f>Atendimento!C12</f>
        <v>ED</v>
      </c>
      <c r="D20" s="1373" t="str">
        <f>Atendimento!D12</f>
        <v>Mcal</v>
      </c>
      <c r="E20" s="1374">
        <f>IFERROR(INDEX(Base.OC!$M$2:$AI$2,,MATCH(OC!C20,Base.OC!$M$1:$AI$1,0)),0)</f>
        <v>0</v>
      </c>
      <c r="F20" s="1377">
        <v>0</v>
      </c>
      <c r="G20" s="1376">
        <f>IFERROR(INDEX(Base.OC!$M$3:$AI$3,,MATCH(OC!C20,Base.OC!$M$1:$AI$1,0)),9999)</f>
        <v>9999</v>
      </c>
      <c r="H20" s="1375">
        <v>1</v>
      </c>
      <c r="I20" s="1536"/>
    </row>
    <row r="21" spans="1:14" ht="15">
      <c r="A21" s="1536"/>
      <c r="B21" s="1366" t="str">
        <f>Atendimento!B13</f>
        <v>Energia Metabolizável (Bovinos)</v>
      </c>
      <c r="C21" s="1367" t="str">
        <f>Atendimento!C13</f>
        <v>EM</v>
      </c>
      <c r="D21" s="1367" t="str">
        <f>Atendimento!D13</f>
        <v>Mcal</v>
      </c>
      <c r="E21" s="1368">
        <f>IFERROR(INDEX(Base.OC!$M$2:$AI$2,,MATCH(OC!C21,Base.OC!$M$1:$AI$1,0)),0)</f>
        <v>0</v>
      </c>
      <c r="F21" s="1369">
        <v>0</v>
      </c>
      <c r="G21" s="1370">
        <f>IFERROR(INDEX(Base.OC!$M$3:$AI$3,,MATCH(OC!C21,Base.OC!$M$1:$AI$1,0)),9999)</f>
        <v>9999</v>
      </c>
      <c r="H21" s="1371">
        <v>1</v>
      </c>
      <c r="I21" s="1536"/>
      <c r="N21" s="745"/>
    </row>
    <row r="22" spans="1:14" ht="15">
      <c r="A22" s="1536"/>
      <c r="B22" s="1372" t="str">
        <f>Atendimento!B14</f>
        <v>Energia Líquida (Bovinos)</v>
      </c>
      <c r="C22" s="1373" t="str">
        <f>Atendimento!C14</f>
        <v>EL</v>
      </c>
      <c r="D22" s="1373" t="str">
        <f>Atendimento!D14</f>
        <v>Mcal</v>
      </c>
      <c r="E22" s="1374">
        <f>IFERROR(INDEX(Base.OC!$M$2:$AI$2,,MATCH(OC!C22,Base.OC!$M$1:$AI$1,0)),0)</f>
        <v>0</v>
      </c>
      <c r="F22" s="1377">
        <v>0</v>
      </c>
      <c r="G22" s="1376">
        <f>IFERROR(INDEX(Base.OC!$M$3:$AI$3,,MATCH(OC!C22,Base.OC!$M$1:$AI$1,0)),9999)</f>
        <v>9999</v>
      </c>
      <c r="H22" s="1375">
        <v>1</v>
      </c>
      <c r="I22" s="1536"/>
    </row>
    <row r="23" spans="1:14" ht="15">
      <c r="A23" s="1536"/>
      <c r="B23" s="1366" t="str">
        <f>Atendimento!B15</f>
        <v>Gordura</v>
      </c>
      <c r="C23" s="1367" t="str">
        <f>Atendimento!C15</f>
        <v>EE</v>
      </c>
      <c r="D23" s="1367" t="str">
        <f>Atendimento!D15</f>
        <v>g</v>
      </c>
      <c r="E23" s="1378">
        <f>IFERROR(INDEX(Base.OC!$M$2:$AI$2,,MATCH(OC!C23,Base.OC!$M$1:$AI$1,0)),0)</f>
        <v>0</v>
      </c>
      <c r="F23" s="1369">
        <v>0</v>
      </c>
      <c r="G23" s="1379">
        <f>IFERROR(INDEX(Base.OC!$M$3:$AI$3,,MATCH(OC!C23,Base.OC!$M$1:$AI$1,0)),9999)</f>
        <v>40.5</v>
      </c>
      <c r="H23" s="1371">
        <f>IFERROR(IF(G23/1000/$G$15&gt;100%,100%,G23/1000/$G$15),0)</f>
        <v>4.9999999999999996E-2</v>
      </c>
      <c r="I23" s="1536"/>
      <c r="N23" s="746"/>
    </row>
    <row r="24" spans="1:14" ht="15">
      <c r="A24" s="1536"/>
      <c r="B24" s="1372" t="str">
        <f>Atendimento!B16</f>
        <v>Proteína Bruta</v>
      </c>
      <c r="C24" s="1373" t="str">
        <f>Atendimento!C16</f>
        <v>PB</v>
      </c>
      <c r="D24" s="1373" t="str">
        <f>Atendimento!D16</f>
        <v>g</v>
      </c>
      <c r="E24" s="1380">
        <f>IFERROR(INDEX(Base.OC!$M$2:$AI$2,,MATCH(OC!C24,Base.OC!$M$1:$AI$1,0)),0)</f>
        <v>63</v>
      </c>
      <c r="F24" s="1375">
        <f>IFERROR(E24/1000/G$15,0)</f>
        <v>7.7777777777777779E-2</v>
      </c>
      <c r="G24" s="1381">
        <f>IFERROR(INDEX(Base.OC!$M$3:$AI$3,,MATCH(OC!C24,Base.OC!$M$1:$AI$1,0)),9999)</f>
        <v>1000</v>
      </c>
      <c r="H24" s="1375">
        <f t="shared" ref="H24:H34" si="0">IFERROR(IF(G24/1000/$G$15&gt;100%,100%,G24/1000/$G$15),0)</f>
        <v>1</v>
      </c>
      <c r="I24" s="1536"/>
    </row>
    <row r="25" spans="1:14" ht="15">
      <c r="A25" s="1536"/>
      <c r="B25" s="1366" t="str">
        <f>Atendimento!B17</f>
        <v>Proteína Degradável no Rúmen</v>
      </c>
      <c r="C25" s="1367" t="str">
        <f>Atendimento!C17</f>
        <v>PDR</v>
      </c>
      <c r="D25" s="1367" t="str">
        <f>Atendimento!D17</f>
        <v>g</v>
      </c>
      <c r="E25" s="1378">
        <f>IFERROR(INDEX(Base.OC!$M$2:$AI$2,,MATCH(OC!C25,Base.OC!$M$1:$AI$1,0)),0)</f>
        <v>0</v>
      </c>
      <c r="F25" s="1371">
        <f t="shared" ref="F25:F34" si="1">IFERROR(E25/1000/G$15,0)</f>
        <v>0</v>
      </c>
      <c r="G25" s="1379">
        <f>IFERROR(INDEX(Base.OC!$M$3:$AI$3,,MATCH(OC!C25,Base.OC!$M$1:$AI$1,0)),9999)</f>
        <v>1000</v>
      </c>
      <c r="H25" s="1371">
        <f t="shared" si="0"/>
        <v>1</v>
      </c>
      <c r="I25" s="1536"/>
    </row>
    <row r="26" spans="1:14" ht="15">
      <c r="A26" s="1536"/>
      <c r="B26" s="1372" t="str">
        <f>Atendimento!B18</f>
        <v>Proteína Não Degradável no Rúmen</v>
      </c>
      <c r="C26" s="1373" t="str">
        <f>Atendimento!C18</f>
        <v>PNDR</v>
      </c>
      <c r="D26" s="1373" t="str">
        <f>Atendimento!D18</f>
        <v>g</v>
      </c>
      <c r="E26" s="1380">
        <f>IFERROR(INDEX(Base.OC!$M$2:$AI$2,,MATCH(OC!C26,Base.OC!$M$1:$AI$1,0)),0)</f>
        <v>0</v>
      </c>
      <c r="F26" s="1375">
        <f t="shared" si="1"/>
        <v>0</v>
      </c>
      <c r="G26" s="1381">
        <f>IFERROR(INDEX(Base.OC!$M$3:$AI$3,,MATCH(OC!C26,Base.OC!$M$1:$AI$1,0)),9999)</f>
        <v>9999</v>
      </c>
      <c r="H26" s="1375">
        <f t="shared" si="0"/>
        <v>1</v>
      </c>
      <c r="I26" s="1536"/>
    </row>
    <row r="27" spans="1:14" ht="15">
      <c r="A27" s="1536"/>
      <c r="B27" s="1366" t="str">
        <f>Atendimento!B19</f>
        <v>Proteína Metabolizável</v>
      </c>
      <c r="C27" s="1367" t="str">
        <f>Atendimento!C19</f>
        <v>PM</v>
      </c>
      <c r="D27" s="1367" t="str">
        <f>Atendimento!D19</f>
        <v>g</v>
      </c>
      <c r="E27" s="1378">
        <f>IFERROR(INDEX(Base.OC!$M$2:$AI$2,,MATCH(OC!C27,Base.OC!$M$1:$AI$1,0)),0)</f>
        <v>0</v>
      </c>
      <c r="F27" s="1371">
        <f t="shared" si="1"/>
        <v>0</v>
      </c>
      <c r="G27" s="1379">
        <f>IFERROR(INDEX(Base.OC!$M$3:$AI$3,,MATCH(OC!C27,Base.OC!$M$1:$AI$1,0)),9999)</f>
        <v>9999</v>
      </c>
      <c r="H27" s="1371">
        <f t="shared" si="0"/>
        <v>1</v>
      </c>
      <c r="I27" s="1536"/>
    </row>
    <row r="28" spans="1:14" ht="15">
      <c r="A28" s="1536"/>
      <c r="B28" s="1372" t="str">
        <f>Atendimento!B20</f>
        <v>Proteína (NNP)</v>
      </c>
      <c r="C28" s="1373" t="str">
        <f>Atendimento!C20</f>
        <v>PBNNP</v>
      </c>
      <c r="D28" s="1373" t="str">
        <f>Atendimento!D20</f>
        <v>g</v>
      </c>
      <c r="E28" s="1380">
        <f>IFERROR(INDEX(Base.OC!$M$2:$AI$2,,MATCH(OC!C28,Base.OC!$M$1:$AI$1,0)),0)</f>
        <v>0</v>
      </c>
      <c r="F28" s="1375">
        <f t="shared" si="1"/>
        <v>0</v>
      </c>
      <c r="G28" s="1381">
        <f>IFERROR(INDEX(Base.OC!$M$3:$AI$3,,MATCH(OC!C28,Base.OC!$M$1:$AI$1,0)),9999)</f>
        <v>9999</v>
      </c>
      <c r="H28" s="1375">
        <f t="shared" si="0"/>
        <v>1</v>
      </c>
      <c r="I28" s="1536"/>
    </row>
    <row r="29" spans="1:14" ht="15">
      <c r="A29" s="1536"/>
      <c r="B29" s="1366" t="str">
        <f>Atendimento!B21</f>
        <v>Cálcio</v>
      </c>
      <c r="C29" s="1367" t="str">
        <f>Atendimento!C21</f>
        <v>Ca</v>
      </c>
      <c r="D29" s="1367" t="str">
        <f>Atendimento!D21</f>
        <v>g</v>
      </c>
      <c r="E29" s="1378">
        <f>IFERROR(INDEX(Base.OC!$M$2:$AI$2,,MATCH(OC!C29,Base.OC!$M$1:$AI$1,0)),0)</f>
        <v>2</v>
      </c>
      <c r="F29" s="1371">
        <f t="shared" si="1"/>
        <v>2.4691358024691358E-3</v>
      </c>
      <c r="G29" s="1379">
        <f>IFERROR(INDEX(Base.OC!$M$3:$AI$3,,MATCH(OC!C29,Base.OC!$M$1:$AI$1,0)),9999)</f>
        <v>10000</v>
      </c>
      <c r="H29" s="1371">
        <f t="shared" si="0"/>
        <v>1</v>
      </c>
      <c r="I29" s="1536"/>
    </row>
    <row r="30" spans="1:14" ht="15">
      <c r="A30" s="1536"/>
      <c r="B30" s="1372" t="str">
        <f>Atendimento!B22</f>
        <v>Fósforo</v>
      </c>
      <c r="C30" s="1373" t="str">
        <f>Atendimento!C22</f>
        <v>P</v>
      </c>
      <c r="D30" s="1373" t="str">
        <f>Atendimento!D22</f>
        <v>g</v>
      </c>
      <c r="E30" s="1380">
        <f>IFERROR(INDEX(Base.OC!$M$2:$AI$2,,MATCH(OC!C30,Base.OC!$M$1:$AI$1,0)),0)</f>
        <v>1.4</v>
      </c>
      <c r="F30" s="1375">
        <f t="shared" si="1"/>
        <v>1.7283950617283949E-3</v>
      </c>
      <c r="G30" s="1381">
        <f>IFERROR(INDEX(Base.OC!$M$3:$AI$3,,MATCH(OC!C30,Base.OC!$M$1:$AI$1,0)),9999)</f>
        <v>10000</v>
      </c>
      <c r="H30" s="1375">
        <f t="shared" si="0"/>
        <v>1</v>
      </c>
      <c r="I30" s="1536"/>
    </row>
    <row r="31" spans="1:14" ht="15">
      <c r="A31" s="1536"/>
      <c r="B31" s="1366" t="str">
        <f>Atendimento!B23</f>
        <v>Magnésio</v>
      </c>
      <c r="C31" s="1367" t="str">
        <f>Atendimento!C23</f>
        <v>Mg</v>
      </c>
      <c r="D31" s="1367" t="str">
        <f>Atendimento!D23</f>
        <v>g</v>
      </c>
      <c r="E31" s="1378">
        <f>IFERROR(INDEX(Base.OC!$M$2:$AI$2,,MATCH(OC!C31,Base.OC!$M$1:$AI$1,0)),0)</f>
        <v>1.62</v>
      </c>
      <c r="F31" s="1371">
        <f t="shared" si="1"/>
        <v>2E-3</v>
      </c>
      <c r="G31" s="1379">
        <f>IFERROR(INDEX(Base.OC!$M$3:$AI$3,,MATCH(OC!C31,Base.OC!$M$1:$AI$1,0)),9999)</f>
        <v>4.05</v>
      </c>
      <c r="H31" s="1371">
        <f t="shared" si="0"/>
        <v>4.9999999999999992E-3</v>
      </c>
      <c r="I31" s="1536"/>
    </row>
    <row r="32" spans="1:14" ht="15">
      <c r="A32" s="1536"/>
      <c r="B32" s="1372" t="str">
        <f>Atendimento!B24</f>
        <v>Sódio</v>
      </c>
      <c r="C32" s="1373" t="str">
        <f>Atendimento!C24</f>
        <v>Na</v>
      </c>
      <c r="D32" s="1373" t="str">
        <f>Atendimento!D24</f>
        <v>g</v>
      </c>
      <c r="E32" s="1380">
        <f>IFERROR(INDEX(Base.OC!$M$2:$AI$2,,MATCH(OC!C32,Base.OC!$M$1:$AI$1,0)),0)</f>
        <v>1.62</v>
      </c>
      <c r="F32" s="1375">
        <f t="shared" si="1"/>
        <v>2E-3</v>
      </c>
      <c r="G32" s="1381">
        <f>IFERROR(INDEX(Base.OC!$M$3:$AI$3,,MATCH(OC!C32,Base.OC!$M$1:$AI$1,0)),9999)</f>
        <v>14.579999999999998</v>
      </c>
      <c r="H32" s="1375">
        <f t="shared" si="0"/>
        <v>1.7999999999999995E-2</v>
      </c>
      <c r="I32" s="1536"/>
    </row>
    <row r="33" spans="1:9" ht="15">
      <c r="A33" s="1536"/>
      <c r="B33" s="1366" t="str">
        <f>Atendimento!B25</f>
        <v>Potássio</v>
      </c>
      <c r="C33" s="1367" t="str">
        <f>Atendimento!C25</f>
        <v>K</v>
      </c>
      <c r="D33" s="1367" t="str">
        <f>Atendimento!D25</f>
        <v>g</v>
      </c>
      <c r="E33" s="1378">
        <f>IFERROR(INDEX(Base.OC!$M$2:$AI$2,,MATCH(OC!C33,Base.OC!$M$1:$AI$1,0)),0)</f>
        <v>4.05</v>
      </c>
      <c r="F33" s="1371">
        <f t="shared" si="1"/>
        <v>4.9999999999999992E-3</v>
      </c>
      <c r="G33" s="1379">
        <f>IFERROR(INDEX(Base.OC!$M$3:$AI$3,,MATCH(OC!C33,Base.OC!$M$1:$AI$1,0)),9999)</f>
        <v>24.3</v>
      </c>
      <c r="H33" s="1371">
        <f t="shared" si="0"/>
        <v>3.0000000000000002E-2</v>
      </c>
      <c r="I33" s="1536"/>
    </row>
    <row r="34" spans="1:9" ht="15">
      <c r="A34" s="1536"/>
      <c r="B34" s="1372" t="str">
        <f>Atendimento!B26</f>
        <v>Enxofre</v>
      </c>
      <c r="C34" s="1373" t="str">
        <f>Atendimento!C26</f>
        <v>S</v>
      </c>
      <c r="D34" s="1373" t="str">
        <f>Atendimento!D26</f>
        <v>g</v>
      </c>
      <c r="E34" s="1380">
        <f>IFERROR(INDEX(Base.OC!$M$2:$AI$2,,MATCH(OC!C34,Base.OC!$M$1:$AI$1,0)),0)</f>
        <v>1.62</v>
      </c>
      <c r="F34" s="1375">
        <f t="shared" si="1"/>
        <v>2E-3</v>
      </c>
      <c r="G34" s="1381">
        <f>IFERROR(INDEX(Base.OC!$M$3:$AI$3,,MATCH(OC!C34,Base.OC!$M$1:$AI$1,0)),9999)</f>
        <v>3.24</v>
      </c>
      <c r="H34" s="1375">
        <f t="shared" si="0"/>
        <v>4.0000000000000001E-3</v>
      </c>
      <c r="I34" s="1536"/>
    </row>
    <row r="35" spans="1:9" ht="15">
      <c r="A35" s="1536"/>
      <c r="B35" s="1366" t="str">
        <f>Atendimento!B27</f>
        <v>Cobre</v>
      </c>
      <c r="C35" s="1367" t="str">
        <f>Atendimento!C27</f>
        <v>Cu</v>
      </c>
      <c r="D35" s="1367" t="str">
        <f>Atendimento!D27</f>
        <v>mg</v>
      </c>
      <c r="E35" s="1378">
        <f>IFERROR(INDEX(Base.OC!$M$2:$AI$2,,MATCH(OC!C35,Base.OC!$M$1:$AI$1,0)),0)</f>
        <v>5.67</v>
      </c>
      <c r="F35" s="1369"/>
      <c r="G35" s="1379">
        <f>IFERROR(INDEX(Base.OC!$M$3:$AI$3,,MATCH(OC!C35,Base.OC!$M$1:$AI$1,0)),9999)</f>
        <v>20.25</v>
      </c>
      <c r="H35" s="1369">
        <f>IFERROR(IF(G35/1000/$G$15&gt;100%,100%,G35/1000/$G$15),0)</f>
        <v>2.4999999999999998E-2</v>
      </c>
      <c r="I35" s="1536"/>
    </row>
    <row r="36" spans="1:9" ht="15">
      <c r="A36" s="1536"/>
      <c r="B36" s="1372" t="str">
        <f>Atendimento!B28</f>
        <v>Zinco</v>
      </c>
      <c r="C36" s="1373" t="str">
        <f>Atendimento!C28</f>
        <v>Zn</v>
      </c>
      <c r="D36" s="1373" t="str">
        <f>Atendimento!D28</f>
        <v>mg</v>
      </c>
      <c r="E36" s="1380">
        <f>IFERROR(INDEX(Base.OC!$M$2:$AI$2,,MATCH(OC!C36,Base.OC!$M$1:$AI$1,0)),0)</f>
        <v>40.5</v>
      </c>
      <c r="F36" s="1377"/>
      <c r="G36" s="1381">
        <f>IFERROR(INDEX(Base.OC!$M$3:$AI$3,,MATCH(OC!C36,Base.OC!$M$1:$AI$1,0)),9999)</f>
        <v>607.5</v>
      </c>
      <c r="H36" s="1377">
        <f t="shared" ref="H36:H59" si="2">IFERROR(IF(G36/1000/$G$15&gt;100%,100%,G36/1000/$G$15),0)</f>
        <v>0.75</v>
      </c>
      <c r="I36" s="1536"/>
    </row>
    <row r="37" spans="1:9" ht="15">
      <c r="A37" s="1536"/>
      <c r="B37" s="1366" t="str">
        <f>Atendimento!B29</f>
        <v>Ferro</v>
      </c>
      <c r="C37" s="1367" t="str">
        <f>Atendimento!C29</f>
        <v>Fe</v>
      </c>
      <c r="D37" s="1367" t="str">
        <f>Atendimento!D29</f>
        <v>mg</v>
      </c>
      <c r="E37" s="1378">
        <f>IFERROR(INDEX(Base.OC!$M$2:$AI$2,,MATCH(OC!C37,Base.OC!$M$1:$AI$1,0)),0)</f>
        <v>40.5</v>
      </c>
      <c r="F37" s="1369"/>
      <c r="G37" s="1379">
        <f>IFERROR(INDEX(Base.OC!$M$3:$AI$3,,MATCH(OC!C37,Base.OC!$M$1:$AI$1,0)),9999)</f>
        <v>405</v>
      </c>
      <c r="H37" s="1369">
        <f t="shared" si="2"/>
        <v>0.5</v>
      </c>
      <c r="I37" s="1536"/>
    </row>
    <row r="38" spans="1:9" ht="15">
      <c r="A38" s="1536"/>
      <c r="B38" s="1372" t="str">
        <f>Atendimento!B30</f>
        <v>Manganês</v>
      </c>
      <c r="C38" s="1373" t="str">
        <f>Atendimento!C30</f>
        <v>Mn</v>
      </c>
      <c r="D38" s="1373" t="str">
        <f>Atendimento!D30</f>
        <v>mg</v>
      </c>
      <c r="E38" s="1380">
        <f>IFERROR(INDEX(Base.OC!$M$2:$AI$2,,MATCH(OC!C38,Base.OC!$M$1:$AI$1,0)),0)</f>
        <v>32.400000000000006</v>
      </c>
      <c r="F38" s="1377"/>
      <c r="G38" s="1381">
        <f>IFERROR(INDEX(Base.OC!$M$3:$AI$3,,MATCH(OC!C38,Base.OC!$M$1:$AI$1,0)),9999)</f>
        <v>810</v>
      </c>
      <c r="H38" s="1377">
        <f t="shared" si="2"/>
        <v>1</v>
      </c>
      <c r="I38" s="1536"/>
    </row>
    <row r="39" spans="1:9" ht="15">
      <c r="A39" s="1536"/>
      <c r="B39" s="1366" t="str">
        <f>Atendimento!B31</f>
        <v>Iodo</v>
      </c>
      <c r="C39" s="1367" t="str">
        <f>Atendimento!C31</f>
        <v>I</v>
      </c>
      <c r="D39" s="1367" t="str">
        <f>Atendimento!D31</f>
        <v>mg</v>
      </c>
      <c r="E39" s="1378">
        <f>IFERROR(INDEX(Base.OC!$M$2:$AI$2,,MATCH(OC!C39,Base.OC!$M$1:$AI$1,0)),0)</f>
        <v>0.32400000000000007</v>
      </c>
      <c r="F39" s="1369"/>
      <c r="G39" s="1379">
        <f>IFERROR(INDEX(Base.OC!$M$3:$AI$3,,MATCH(OC!C39,Base.OC!$M$1:$AI$1,0)),9999)</f>
        <v>40.5</v>
      </c>
      <c r="H39" s="1369">
        <f t="shared" si="2"/>
        <v>4.9999999999999996E-2</v>
      </c>
      <c r="I39" s="1536"/>
    </row>
    <row r="40" spans="1:9" ht="15">
      <c r="A40" s="1536"/>
      <c r="B40" s="1372" t="str">
        <f>Atendimento!B32</f>
        <v>Cobalto</v>
      </c>
      <c r="C40" s="1373" t="str">
        <f>Atendimento!C32</f>
        <v>Co</v>
      </c>
      <c r="D40" s="1373" t="str">
        <f>Atendimento!D32</f>
        <v>mg</v>
      </c>
      <c r="E40" s="1380">
        <f>IFERROR(INDEX(Base.OC!$M$2:$AI$2,,MATCH(OC!C40,Base.OC!$M$1:$AI$1,0)),0)</f>
        <v>0.16200000000000003</v>
      </c>
      <c r="F40" s="1377"/>
      <c r="G40" s="1381">
        <f>IFERROR(INDEX(Base.OC!$M$3:$AI$3,,MATCH(OC!C40,Base.OC!$M$1:$AI$1,0)),9999)</f>
        <v>8.1000000000000014</v>
      </c>
      <c r="H40" s="1377">
        <f t="shared" si="2"/>
        <v>0.01</v>
      </c>
      <c r="I40" s="1536"/>
    </row>
    <row r="41" spans="1:9" ht="15">
      <c r="A41" s="1536"/>
      <c r="B41" s="1366" t="str">
        <f>Atendimento!B33</f>
        <v>Selênio</v>
      </c>
      <c r="C41" s="1367" t="str">
        <f>Atendimento!C33</f>
        <v>Se</v>
      </c>
      <c r="D41" s="1367" t="str">
        <f>Atendimento!D33</f>
        <v>mg</v>
      </c>
      <c r="E41" s="1378">
        <f>IFERROR(INDEX(Base.OC!$M$2:$AI$2,,MATCH(OC!C41,Base.OC!$M$1:$AI$1,0)),0)</f>
        <v>8.1000000000000016E-2</v>
      </c>
      <c r="F41" s="1369"/>
      <c r="G41" s="1379">
        <f>IFERROR(INDEX(Base.OC!$M$3:$AI$3,,MATCH(OC!C41,Base.OC!$M$1:$AI$1,0)),9999)</f>
        <v>1.62</v>
      </c>
      <c r="H41" s="1369">
        <f t="shared" si="2"/>
        <v>2E-3</v>
      </c>
      <c r="I41" s="1536"/>
    </row>
    <row r="42" spans="1:9" ht="15">
      <c r="A42" s="1536"/>
      <c r="B42" s="1372" t="str">
        <f>Atendimento!B34</f>
        <v>Lisina</v>
      </c>
      <c r="C42" s="1373" t="str">
        <f>Atendimento!C34</f>
        <v>Lis</v>
      </c>
      <c r="D42" s="1373" t="str">
        <f>Atendimento!D34</f>
        <v>g</v>
      </c>
      <c r="E42" s="1380">
        <f>IFERROR(INDEX(Base.OC!$M$2:$AI$2,,MATCH(OC!C42,Base.OC!$M$1:$AI$1,0)),0)</f>
        <v>0</v>
      </c>
      <c r="F42" s="1377"/>
      <c r="G42" s="1381">
        <f>IFERROR(INDEX(Base.OC!$M$3:$AI$3,,MATCH(OC!C42,Base.OC!$M$1:$AI$1,0)),9999)</f>
        <v>9999</v>
      </c>
      <c r="H42" s="1377">
        <f t="shared" si="2"/>
        <v>1</v>
      </c>
      <c r="I42" s="1536"/>
    </row>
    <row r="43" spans="1:9" ht="15">
      <c r="A43" s="1536"/>
      <c r="B43" s="1366" t="str">
        <f>Atendimento!B35</f>
        <v>Metionina</v>
      </c>
      <c r="C43" s="1367" t="str">
        <f>Atendimento!C35</f>
        <v>Met</v>
      </c>
      <c r="D43" s="1367" t="str">
        <f>Atendimento!D35</f>
        <v>g</v>
      </c>
      <c r="E43" s="1378">
        <f>IFERROR(INDEX(Base.OC!$M$2:$AI$2,,MATCH(OC!C43,Base.OC!$M$1:$AI$1,0)),0)</f>
        <v>0</v>
      </c>
      <c r="F43" s="1369"/>
      <c r="G43" s="1379">
        <f>IFERROR(INDEX(Base.OC!$M$3:$AI$3,,MATCH(OC!C43,Base.OC!$M$1:$AI$1,0)),9999)</f>
        <v>9999</v>
      </c>
      <c r="H43" s="1369">
        <f t="shared" si="2"/>
        <v>1</v>
      </c>
      <c r="I43" s="1536"/>
    </row>
    <row r="44" spans="1:9" ht="15">
      <c r="A44" s="1536"/>
      <c r="B44" s="1372" t="str">
        <f>Atendimento!B36</f>
        <v>Monensina</v>
      </c>
      <c r="C44" s="1373" t="str">
        <f>Atendimento!C36</f>
        <v>Mon</v>
      </c>
      <c r="D44" s="1373" t="str">
        <f>Atendimento!D36</f>
        <v>ppm</v>
      </c>
      <c r="E44" s="1380">
        <f>IFERROR(INDEX(Base.OC!$M$2:$AI$2,,MATCH(OC!C44,Base.OC!$M$1:$AI$1,0)),0)</f>
        <v>0</v>
      </c>
      <c r="F44" s="1377"/>
      <c r="G44" s="1381">
        <f>IFERROR(INDEX(Base.OC!$M$3:$AI$3,,MATCH(OC!C44,Base.OC!$M$1:$AI$1,0)),9999)</f>
        <v>9999</v>
      </c>
      <c r="H44" s="1377">
        <f t="shared" si="2"/>
        <v>1</v>
      </c>
      <c r="I44" s="1536"/>
    </row>
    <row r="45" spans="1:9" ht="15">
      <c r="A45" s="1536"/>
      <c r="B45" s="1366" t="str">
        <f>Atendimento!B37</f>
        <v>Vitamina A</v>
      </c>
      <c r="C45" s="1367" t="str">
        <f>Atendimento!C37</f>
        <v>Vit A</v>
      </c>
      <c r="D45" s="1367" t="str">
        <f>Atendimento!D37</f>
        <v>UI</v>
      </c>
      <c r="E45" s="1378">
        <f>IFERROR(INDEX(Base.OC!$M$2:$AI$2,,MATCH(OC!C45,Base.OC!$M$1:$AI$1,0)),0)</f>
        <v>0</v>
      </c>
      <c r="F45" s="1369"/>
      <c r="G45" s="1379">
        <f>IFERROR(INDEX(Base.OC!$M$3:$AI$3,,MATCH(OC!C45,Base.OC!$M$1:$AI$1,0)),9999)</f>
        <v>9999</v>
      </c>
      <c r="H45" s="1369">
        <f t="shared" si="2"/>
        <v>1</v>
      </c>
      <c r="I45" s="1536"/>
    </row>
    <row r="46" spans="1:9" ht="15">
      <c r="A46" s="1536"/>
      <c r="B46" s="1372" t="str">
        <f>Atendimento!B38</f>
        <v>Vitamina B</v>
      </c>
      <c r="C46" s="1373" t="str">
        <f>Atendimento!C38</f>
        <v>Vit B (UI)</v>
      </c>
      <c r="D46" s="1373" t="str">
        <f>Atendimento!D38</f>
        <v>UI</v>
      </c>
      <c r="E46" s="1380">
        <f>IFERROR(INDEX(Base.OC!$M$2:$AI$2,,MATCH(OC!C46,Base.OC!$M$1:$AI$1,0)),0)</f>
        <v>0</v>
      </c>
      <c r="F46" s="1377"/>
      <c r="G46" s="1381">
        <f>IFERROR(INDEX(Base.OC!$M$3:$AI$3,,MATCH(OC!C46,Base.OC!$M$1:$AI$1,0)),9999)</f>
        <v>9999</v>
      </c>
      <c r="H46" s="1377">
        <f t="shared" si="2"/>
        <v>1</v>
      </c>
      <c r="I46" s="1536"/>
    </row>
    <row r="47" spans="1:9" ht="15">
      <c r="A47" s="1536"/>
      <c r="B47" s="1366" t="str">
        <f>Atendimento!B39</f>
        <v>Vitamina D</v>
      </c>
      <c r="C47" s="1367" t="str">
        <f>Atendimento!C39</f>
        <v>Vit D (UI)</v>
      </c>
      <c r="D47" s="1367" t="str">
        <f>Atendimento!D39</f>
        <v>UI</v>
      </c>
      <c r="E47" s="1378">
        <f>IFERROR(INDEX(Base.OC!$M$2:$AI$2,,MATCH(OC!C47,Base.OC!$M$1:$AI$1,0)),0)</f>
        <v>0</v>
      </c>
      <c r="F47" s="1369"/>
      <c r="G47" s="1379">
        <f>IFERROR(INDEX(Base.OC!$M$3:$AI$3,,MATCH(OC!C47,Base.OC!$M$1:$AI$1,0)),9999)</f>
        <v>9999</v>
      </c>
      <c r="H47" s="1369">
        <f t="shared" si="2"/>
        <v>1</v>
      </c>
      <c r="I47" s="1536"/>
    </row>
    <row r="48" spans="1:9" ht="15">
      <c r="A48" s="1536"/>
      <c r="B48" s="1372" t="str">
        <f>Atendimento!B40</f>
        <v>Vitamina E</v>
      </c>
      <c r="C48" s="1373" t="str">
        <f>Atendimento!C40</f>
        <v>Vit E (UI)</v>
      </c>
      <c r="D48" s="1373" t="str">
        <f>Atendimento!D40</f>
        <v>UI</v>
      </c>
      <c r="E48" s="1380">
        <f>IFERROR(INDEX(Base.OC!$M$2:$AI$2,,MATCH(OC!C48,Base.OC!$M$1:$AI$1,0)),0)</f>
        <v>0</v>
      </c>
      <c r="F48" s="1377"/>
      <c r="G48" s="1381">
        <f>IFERROR(INDEX(Base.OC!$M$3:$AI$3,,MATCH(OC!C48,Base.OC!$M$1:$AI$1,0)),9999)</f>
        <v>9999</v>
      </c>
      <c r="H48" s="1377">
        <f t="shared" si="2"/>
        <v>1</v>
      </c>
      <c r="I48" s="1536"/>
    </row>
    <row r="49" spans="1:9" ht="15">
      <c r="A49" s="1536"/>
      <c r="B49" s="1366" t="str">
        <f>Atendimento!B41</f>
        <v>Nutriente Novo 01</v>
      </c>
      <c r="C49" s="1367" t="str">
        <f>Atendimento!C41</f>
        <v>Novo 01</v>
      </c>
      <c r="D49" s="1367" t="str">
        <f>Atendimento!D41</f>
        <v>-</v>
      </c>
      <c r="E49" s="1378">
        <f>IFERROR(INDEX(Base.OC!$M$2:$AI$2,,MATCH(OC!C49,Base.OC!$M$1:$AI$1,0)),0)</f>
        <v>0</v>
      </c>
      <c r="F49" s="1369"/>
      <c r="G49" s="1379">
        <f>IFERROR(INDEX(Base.OC!$M$3:$AI$3,,MATCH(OC!C49,Base.OC!$M$1:$AI$1,0)),9999)</f>
        <v>9999</v>
      </c>
      <c r="H49" s="1369">
        <f t="shared" si="2"/>
        <v>1</v>
      </c>
      <c r="I49" s="1536"/>
    </row>
    <row r="50" spans="1:9" ht="15">
      <c r="A50" s="1536"/>
      <c r="B50" s="1372" t="str">
        <f>Atendimento!B42</f>
        <v>Nutriente Novo 02</v>
      </c>
      <c r="C50" s="1373" t="str">
        <f>Atendimento!C42</f>
        <v>Novo 02</v>
      </c>
      <c r="D50" s="1373" t="str">
        <f>Atendimento!D42</f>
        <v>-</v>
      </c>
      <c r="E50" s="1380">
        <f>IFERROR(INDEX(Base.OC!$M$2:$AI$2,,MATCH(OC!C50,Base.OC!$M$1:$AI$1,0)),0)</f>
        <v>0</v>
      </c>
      <c r="F50" s="1377"/>
      <c r="G50" s="1381">
        <f>IFERROR(INDEX(Base.OC!$M$3:$AI$3,,MATCH(OC!C50,Base.OC!$M$1:$AI$1,0)),9999)</f>
        <v>9999</v>
      </c>
      <c r="H50" s="1377">
        <f t="shared" si="2"/>
        <v>1</v>
      </c>
      <c r="I50" s="1536"/>
    </row>
    <row r="51" spans="1:9" ht="15">
      <c r="A51" s="1536"/>
      <c r="B51" s="1366" t="str">
        <f>Atendimento!B43</f>
        <v>Nutriente Novo 03</v>
      </c>
      <c r="C51" s="1367" t="str">
        <f>Atendimento!C43</f>
        <v>Novo 03</v>
      </c>
      <c r="D51" s="1367" t="str">
        <f>Atendimento!D43</f>
        <v>-</v>
      </c>
      <c r="E51" s="1378">
        <f>IFERROR(INDEX(Base.OC!$M$2:$AI$2,,MATCH(OC!C51,Base.OC!$M$1:$AI$1,0)),0)</f>
        <v>0</v>
      </c>
      <c r="F51" s="1369"/>
      <c r="G51" s="1379">
        <f>IFERROR(INDEX(Base.OC!$M$3:$AI$3,,MATCH(OC!C51,Base.OC!$M$1:$AI$1,0)),9999)</f>
        <v>9999</v>
      </c>
      <c r="H51" s="1369">
        <f t="shared" si="2"/>
        <v>1</v>
      </c>
      <c r="I51" s="1536"/>
    </row>
    <row r="52" spans="1:9" ht="15">
      <c r="A52" s="1536"/>
      <c r="B52" s="1372" t="str">
        <f>Atendimento!B44</f>
        <v>Nutriente Novo 04</v>
      </c>
      <c r="C52" s="1373" t="str">
        <f>Atendimento!C44</f>
        <v>Novo 04</v>
      </c>
      <c r="D52" s="1373" t="str">
        <f>Atendimento!D44</f>
        <v>-</v>
      </c>
      <c r="E52" s="1380">
        <f>IFERROR(INDEX(Base.OC!$M$2:$AI$2,,MATCH(OC!C52,Base.OC!$M$1:$AI$1,0)),0)</f>
        <v>0</v>
      </c>
      <c r="F52" s="1377"/>
      <c r="G52" s="1381">
        <f>IFERROR(INDEX(Base.OC!$M$3:$AI$3,,MATCH(OC!C52,Base.OC!$M$1:$AI$1,0)),9999)</f>
        <v>9999</v>
      </c>
      <c r="H52" s="1377">
        <f t="shared" si="2"/>
        <v>1</v>
      </c>
      <c r="I52" s="1536"/>
    </row>
    <row r="53" spans="1:9" ht="15">
      <c r="A53" s="1536"/>
      <c r="B53" s="1366" t="str">
        <f>Atendimento!B45</f>
        <v>Nutriente Novo 05</v>
      </c>
      <c r="C53" s="1367" t="str">
        <f>Atendimento!C45</f>
        <v>Novo 05</v>
      </c>
      <c r="D53" s="1367" t="str">
        <f>Atendimento!D45</f>
        <v>-</v>
      </c>
      <c r="E53" s="1378">
        <f>IFERROR(INDEX(Base.OC!$M$2:$AI$2,,MATCH(OC!C53,Base.OC!$M$1:$AI$1,0)),0)</f>
        <v>0</v>
      </c>
      <c r="F53" s="1369"/>
      <c r="G53" s="1379">
        <f>IFERROR(INDEX(Base.OC!$M$3:$AI$3,,MATCH(OC!C53,Base.OC!$M$1:$AI$1,0)),9999)</f>
        <v>9999</v>
      </c>
      <c r="H53" s="1369">
        <f t="shared" si="2"/>
        <v>1</v>
      </c>
      <c r="I53" s="1536"/>
    </row>
    <row r="54" spans="1:9" ht="15">
      <c r="A54" s="1536"/>
      <c r="B54" s="1372" t="str">
        <f>Atendimento!B46</f>
        <v>Nutriente Novo 06</v>
      </c>
      <c r="C54" s="1373" t="str">
        <f>Atendimento!C46</f>
        <v>Novo 06</v>
      </c>
      <c r="D54" s="1373" t="str">
        <f>Atendimento!D46</f>
        <v>-</v>
      </c>
      <c r="E54" s="1380">
        <f>IFERROR(INDEX(Base.OC!$M$2:$AI$2,,MATCH(OC!C54,Base.OC!$M$1:$AI$1,0)),0)</f>
        <v>0</v>
      </c>
      <c r="F54" s="1377"/>
      <c r="G54" s="1381">
        <f>IFERROR(INDEX(Base.OC!$M$3:$AI$3,,MATCH(OC!C54,Base.OC!$M$1:$AI$1,0)),9999)</f>
        <v>9999</v>
      </c>
      <c r="H54" s="1377">
        <f t="shared" si="2"/>
        <v>1</v>
      </c>
      <c r="I54" s="1536"/>
    </row>
    <row r="55" spans="1:9" ht="15">
      <c r="A55" s="1536"/>
      <c r="B55" s="1366" t="str">
        <f>Atendimento!B47</f>
        <v>Nutriente Novo 07</v>
      </c>
      <c r="C55" s="1367" t="str">
        <f>Atendimento!C47</f>
        <v>Novo 07</v>
      </c>
      <c r="D55" s="1367" t="str">
        <f>Atendimento!D47</f>
        <v>-</v>
      </c>
      <c r="E55" s="1378">
        <f>IFERROR(INDEX(Base.OC!$M$2:$AI$2,,MATCH(OC!C55,Base.OC!$M$1:$AI$1,0)),0)</f>
        <v>0</v>
      </c>
      <c r="F55" s="1369"/>
      <c r="G55" s="1379">
        <f>IFERROR(INDEX(Base.OC!$M$3:$AI$3,,MATCH(OC!C55,Base.OC!$M$1:$AI$1,0)),9999)</f>
        <v>9999</v>
      </c>
      <c r="H55" s="1369">
        <f t="shared" si="2"/>
        <v>1</v>
      </c>
      <c r="I55" s="1536"/>
    </row>
    <row r="56" spans="1:9" ht="15">
      <c r="A56" s="1536"/>
      <c r="B56" s="1372" t="str">
        <f>Atendimento!B48</f>
        <v>Nutriente Novo 08</v>
      </c>
      <c r="C56" s="1373" t="str">
        <f>Atendimento!C48</f>
        <v>Novo 08</v>
      </c>
      <c r="D56" s="1373" t="str">
        <f>Atendimento!D48</f>
        <v>-</v>
      </c>
      <c r="E56" s="1380">
        <f>IFERROR(INDEX(Base.OC!$M$2:$AI$2,,MATCH(OC!C56,Base.OC!$M$1:$AI$1,0)),0)</f>
        <v>0</v>
      </c>
      <c r="F56" s="1377"/>
      <c r="G56" s="1381">
        <f>IFERROR(INDEX(Base.OC!$M$3:$AI$3,,MATCH(OC!C56,Base.OC!$M$1:$AI$1,0)),9999)</f>
        <v>9999</v>
      </c>
      <c r="H56" s="1377">
        <f t="shared" si="2"/>
        <v>1</v>
      </c>
      <c r="I56" s="1536"/>
    </row>
    <row r="57" spans="1:9" ht="15">
      <c r="A57" s="1536"/>
      <c r="B57" s="1366" t="str">
        <f>Atendimento!B49</f>
        <v>Nutriente Novo 09</v>
      </c>
      <c r="C57" s="1367" t="str">
        <f>Atendimento!C49</f>
        <v>Novo 09</v>
      </c>
      <c r="D57" s="1367" t="str">
        <f>Atendimento!D49</f>
        <v>-</v>
      </c>
      <c r="E57" s="1378">
        <f>IFERROR(INDEX(Base.OC!$M$2:$AI$2,,MATCH(OC!C57,Base.OC!$M$1:$AI$1,0)),0)</f>
        <v>0</v>
      </c>
      <c r="F57" s="1369"/>
      <c r="G57" s="1379">
        <f>IFERROR(INDEX(Base.OC!$M$3:$AI$3,,MATCH(OC!C57,Base.OC!$M$1:$AI$1,0)),9999)</f>
        <v>9999</v>
      </c>
      <c r="H57" s="1369">
        <f t="shared" si="2"/>
        <v>1</v>
      </c>
      <c r="I57" s="1536"/>
    </row>
    <row r="58" spans="1:9" ht="15">
      <c r="A58" s="1536"/>
      <c r="B58" s="1372" t="str">
        <f>Atendimento!B50</f>
        <v>Volumoso</v>
      </c>
      <c r="C58" s="1373" t="str">
        <f>Atendimento!C50</f>
        <v>VOL</v>
      </c>
      <c r="D58" s="1373" t="str">
        <f>Atendimento!D50</f>
        <v>Kg</v>
      </c>
      <c r="E58" s="1380">
        <f>IFERROR(INDEX(Base.OC!$M$2:$AI$2,,MATCH(OC!C58,Base.OC!$M$1:$AI$1,0)),0)</f>
        <v>0</v>
      </c>
      <c r="F58" s="1377"/>
      <c r="G58" s="1381">
        <f>IFERROR(INDEX(Base.OC!$M$3:$AI$3,,MATCH(OC!C58,Base.OC!$M$1:$AI$1,0)),9999)</f>
        <v>9999</v>
      </c>
      <c r="H58" s="1377">
        <f t="shared" si="2"/>
        <v>1</v>
      </c>
      <c r="I58" s="1536"/>
    </row>
    <row r="59" spans="1:9" ht="15">
      <c r="A59" s="1536"/>
      <c r="B59" s="1366" t="str">
        <f>Atendimento!B51</f>
        <v>Concentrado</v>
      </c>
      <c r="C59" s="1367" t="str">
        <f>Atendimento!C51</f>
        <v>CONC</v>
      </c>
      <c r="D59" s="1367" t="str">
        <f>Atendimento!D51</f>
        <v>Kg</v>
      </c>
      <c r="E59" s="1378">
        <f>IFERROR(INDEX(Base.OC!$M$2:$AI$2,,MATCH(OC!C59,Base.OC!$M$1:$AI$1,0)),0)</f>
        <v>0</v>
      </c>
      <c r="F59" s="1369"/>
      <c r="G59" s="1379">
        <f>IFERROR(INDEX(Base.OC!$M$3:$AI$3,,MATCH(OC!C59,Base.OC!$M$1:$AI$1,0)),9999)</f>
        <v>9999</v>
      </c>
      <c r="H59" s="1369">
        <f t="shared" si="2"/>
        <v>1</v>
      </c>
      <c r="I59" s="1536"/>
    </row>
    <row r="60" spans="1:9" ht="15">
      <c r="A60" s="1536"/>
      <c r="B60" s="1382"/>
      <c r="C60" s="1383"/>
      <c r="D60" s="1383"/>
      <c r="E60" s="1384"/>
      <c r="F60" s="1385"/>
      <c r="G60" s="1386"/>
      <c r="H60" s="1386"/>
      <c r="I60" s="1536"/>
    </row>
    <row r="61" spans="1:9">
      <c r="A61" s="1536"/>
      <c r="B61" s="1387"/>
      <c r="C61" s="1387"/>
      <c r="D61" s="1387"/>
      <c r="E61" s="1387"/>
      <c r="F61" s="1387"/>
      <c r="G61" s="1387"/>
      <c r="H61" s="1387"/>
      <c r="I61" s="1536"/>
    </row>
    <row r="62" spans="1:9">
      <c r="A62" s="1536"/>
      <c r="B62" s="1387"/>
      <c r="C62" s="2066">
        <f ca="1">TODAY()</f>
        <v>45298</v>
      </c>
      <c r="D62" s="2066"/>
      <c r="E62" s="2066"/>
      <c r="F62" s="2066"/>
      <c r="G62" s="2066"/>
      <c r="H62" s="2066"/>
      <c r="I62" s="1536"/>
    </row>
    <row r="63" spans="1:9">
      <c r="A63" s="1536"/>
      <c r="I63" s="1536"/>
    </row>
    <row r="64" spans="1:9">
      <c r="A64" s="1536"/>
      <c r="I64" s="1536"/>
    </row>
    <row r="65" spans="1:56">
      <c r="A65" s="1536"/>
      <c r="I65" s="1536"/>
    </row>
    <row r="66" spans="1:56">
      <c r="A66" s="1536"/>
      <c r="I66" s="1536"/>
    </row>
    <row r="67" spans="1:56">
      <c r="A67" s="1536"/>
      <c r="I67" s="1536"/>
    </row>
    <row r="68" spans="1:56">
      <c r="A68" s="1536"/>
      <c r="I68" s="1536"/>
    </row>
    <row r="69" spans="1:56">
      <c r="A69" s="1536"/>
      <c r="I69" s="1536"/>
    </row>
    <row r="70" spans="1:56">
      <c r="A70" s="1536"/>
      <c r="I70" s="1536"/>
    </row>
    <row r="71" spans="1:56" ht="15">
      <c r="A71" s="1536"/>
      <c r="B71" s="2068" t="s">
        <v>856</v>
      </c>
      <c r="C71" s="2068"/>
      <c r="D71" s="2068"/>
      <c r="E71" s="2068"/>
      <c r="F71" s="2068"/>
      <c r="G71" s="2068"/>
      <c r="H71" s="2068"/>
      <c r="I71" s="1536"/>
    </row>
    <row r="72" spans="1:56" ht="15">
      <c r="A72" s="1536"/>
      <c r="B72" s="2067" t="str">
        <f>Usuário</f>
        <v>Iomar Bezerra da Silva</v>
      </c>
      <c r="C72" s="2067"/>
      <c r="D72" s="2067"/>
      <c r="E72" s="2067"/>
      <c r="F72" s="2067"/>
      <c r="G72" s="2067"/>
      <c r="H72" s="2067"/>
      <c r="I72" s="1536"/>
    </row>
    <row r="73" spans="1:56" ht="15">
      <c r="A73" s="1536"/>
      <c r="B73" s="2061" t="str">
        <f>Profissão</f>
        <v>Técnico</v>
      </c>
      <c r="C73" s="2061"/>
      <c r="D73" s="2061"/>
      <c r="E73" s="2061"/>
      <c r="F73" s="2061"/>
      <c r="G73" s="2061"/>
      <c r="H73" s="2061"/>
      <c r="I73" s="1536"/>
    </row>
    <row r="74" spans="1:56" ht="14.25">
      <c r="A74" s="1536"/>
      <c r="B74" s="2062" t="str">
        <f>RGProfissional</f>
        <v>MA-00259-ZP</v>
      </c>
      <c r="C74" s="2062"/>
      <c r="D74" s="2062"/>
      <c r="E74" s="2062"/>
      <c r="F74" s="2062"/>
      <c r="G74" s="2062"/>
      <c r="H74" s="2062"/>
      <c r="I74" s="1536"/>
    </row>
    <row r="75" spans="1:56">
      <c r="A75" s="1536"/>
      <c r="B75" s="1537"/>
      <c r="C75" s="1537"/>
      <c r="D75" s="1537"/>
      <c r="E75" s="1537"/>
      <c r="F75" s="1537"/>
      <c r="G75" s="1537"/>
      <c r="H75" s="1537"/>
      <c r="I75" s="1536"/>
    </row>
    <row r="76" spans="1:56">
      <c r="A76" s="1536"/>
      <c r="B76" s="1537"/>
      <c r="C76" s="1537"/>
      <c r="D76" s="1537"/>
      <c r="E76" s="1537"/>
      <c r="F76" s="1537"/>
      <c r="G76" s="1537"/>
      <c r="H76" s="1537"/>
      <c r="I76" s="1536"/>
      <c r="K76" s="755" t="str">
        <f>Alimentos!H2</f>
        <v>MS</v>
      </c>
      <c r="L76" s="755" t="str">
        <f>Alimentos!I2</f>
        <v>FDN</v>
      </c>
      <c r="M76" s="755" t="str">
        <f>Alimentos!J2</f>
        <v>FDA</v>
      </c>
      <c r="N76" s="755" t="str">
        <f>Alimentos!K2</f>
        <v>CNF</v>
      </c>
      <c r="O76" s="755" t="str">
        <f>Alimentos!L2</f>
        <v>NDT</v>
      </c>
      <c r="P76" s="755" t="str">
        <f>Alimentos!M2</f>
        <v>ED</v>
      </c>
      <c r="Q76" s="755" t="str">
        <f>Alimentos!N2</f>
        <v>EM</v>
      </c>
      <c r="R76" s="755" t="str">
        <f>Alimentos!O2</f>
        <v>EL</v>
      </c>
      <c r="S76" s="755" t="str">
        <f>Alimentos!P2</f>
        <v>EE</v>
      </c>
      <c r="T76" s="755" t="str">
        <f>Alimentos!Q2</f>
        <v>PB</v>
      </c>
      <c r="U76" s="755" t="str">
        <f>Alimentos!R2</f>
        <v>PDR</v>
      </c>
      <c r="V76" s="755" t="str">
        <f>Alimentos!S2</f>
        <v>PNDR</v>
      </c>
      <c r="W76" s="755" t="str">
        <f>Alimentos!T2</f>
        <v>PM</v>
      </c>
      <c r="X76" s="755" t="str">
        <f>Alimentos!U2</f>
        <v>PBNNP</v>
      </c>
      <c r="Y76" s="755" t="str">
        <f>Alimentos!V2</f>
        <v>Ca</v>
      </c>
      <c r="Z76" s="755" t="str">
        <f>Alimentos!W2</f>
        <v>P</v>
      </c>
      <c r="AA76" s="755" t="str">
        <f>Alimentos!X2</f>
        <v>Mg</v>
      </c>
      <c r="AB76" s="755" t="str">
        <f>Alimentos!Y2</f>
        <v>Na</v>
      </c>
      <c r="AC76" s="755" t="str">
        <f>Alimentos!Z2</f>
        <v>K</v>
      </c>
      <c r="AD76" s="755" t="str">
        <f>Alimentos!AA2</f>
        <v>S</v>
      </c>
      <c r="AE76" s="755" t="str">
        <f>Alimentos!AB2</f>
        <v>Cu</v>
      </c>
      <c r="AF76" s="755" t="str">
        <f>Alimentos!AC2</f>
        <v>Zn</v>
      </c>
      <c r="AG76" s="755" t="str">
        <f>Alimentos!AD2</f>
        <v>Fe</v>
      </c>
      <c r="AH76" s="755" t="str">
        <f>Alimentos!AE2</f>
        <v>Mn</v>
      </c>
      <c r="AI76" s="755" t="str">
        <f>Alimentos!AF2</f>
        <v>I</v>
      </c>
      <c r="AJ76" s="755" t="str">
        <f>Alimentos!AG2</f>
        <v>Co</v>
      </c>
      <c r="AK76" s="755" t="str">
        <f>Alimentos!AH2</f>
        <v>Se</v>
      </c>
      <c r="AL76" s="755" t="str">
        <f>Alimentos!AI2</f>
        <v>Lis</v>
      </c>
      <c r="AM76" s="755" t="str">
        <f>Alimentos!AJ2</f>
        <v>Met</v>
      </c>
      <c r="AN76" s="755" t="str">
        <f>Alimentos!AK2</f>
        <v>Mon</v>
      </c>
      <c r="AO76" s="755" t="str">
        <f>Alimentos!AL2</f>
        <v>Vit A</v>
      </c>
      <c r="AP76" s="755" t="str">
        <f>Alimentos!AM2</f>
        <v>Vit B (UI)</v>
      </c>
      <c r="AQ76" s="755" t="str">
        <f>Alimentos!AN2</f>
        <v>Vit D (UI)</v>
      </c>
      <c r="AR76" s="755" t="str">
        <f>Alimentos!AO2</f>
        <v>Vit E (UI)</v>
      </c>
      <c r="AS76" s="755" t="str">
        <f>Alimentos!AP2</f>
        <v>Novo 01</v>
      </c>
      <c r="AT76" s="755" t="str">
        <f>Alimentos!AQ2</f>
        <v>Novo 02</v>
      </c>
      <c r="AU76" s="755" t="str">
        <f>Alimentos!AR2</f>
        <v>Novo 03</v>
      </c>
      <c r="AV76" s="755" t="str">
        <f>Alimentos!AS2</f>
        <v>Novo 04</v>
      </c>
      <c r="AW76" s="755" t="str">
        <f>Alimentos!AT2</f>
        <v>Novo 05</v>
      </c>
      <c r="AX76" s="755" t="str">
        <f>Alimentos!AU2</f>
        <v>Novo 06</v>
      </c>
      <c r="AY76" s="755" t="str">
        <f>Alimentos!AV2</f>
        <v>Novo 07</v>
      </c>
      <c r="AZ76" s="755" t="str">
        <f>Alimentos!AW2</f>
        <v>Novo 08</v>
      </c>
      <c r="BA76" s="755" t="str">
        <f>Alimentos!AX2</f>
        <v>Novo 09</v>
      </c>
      <c r="BB76" s="755" t="str">
        <f>Alimentos!AY2</f>
        <v>VOL</v>
      </c>
      <c r="BC76" s="755" t="str">
        <f>Alimentos!AZ2</f>
        <v>CONC</v>
      </c>
      <c r="BD76" s="755"/>
    </row>
    <row r="77" spans="1:56">
      <c r="A77" s="1536"/>
      <c r="B77" s="1537"/>
      <c r="C77" s="1537"/>
      <c r="D77" s="1537"/>
      <c r="E77" s="1537"/>
      <c r="F77" s="1537"/>
      <c r="G77" s="1537"/>
      <c r="H77" s="1537"/>
      <c r="I77" s="1536"/>
      <c r="K77" s="756">
        <f>INDEX($E$15:$E$59,MATCH(K$76,$C$15:$C$59,0))</f>
        <v>0</v>
      </c>
      <c r="L77" s="756">
        <f t="shared" ref="L77:BC77" si="3">INDEX($E$15:$E$59,MATCH(L$76,$C$15:$C$59,0))</f>
        <v>0.2268</v>
      </c>
      <c r="M77" s="756">
        <f t="shared" si="3"/>
        <v>0</v>
      </c>
      <c r="N77" s="756">
        <f t="shared" si="3"/>
        <v>0</v>
      </c>
      <c r="O77" s="756">
        <f t="shared" si="3"/>
        <v>0.44800000000000001</v>
      </c>
      <c r="P77" s="756">
        <f t="shared" si="3"/>
        <v>0</v>
      </c>
      <c r="Q77" s="756">
        <f t="shared" si="3"/>
        <v>0</v>
      </c>
      <c r="R77" s="756">
        <f t="shared" si="3"/>
        <v>0</v>
      </c>
      <c r="S77" s="756">
        <f t="shared" si="3"/>
        <v>0</v>
      </c>
      <c r="T77" s="756">
        <f t="shared" si="3"/>
        <v>63</v>
      </c>
      <c r="U77" s="756">
        <f t="shared" si="3"/>
        <v>0</v>
      </c>
      <c r="V77" s="756">
        <f t="shared" si="3"/>
        <v>0</v>
      </c>
      <c r="W77" s="756">
        <f t="shared" si="3"/>
        <v>0</v>
      </c>
      <c r="X77" s="756">
        <f t="shared" si="3"/>
        <v>0</v>
      </c>
      <c r="Y77" s="756">
        <f t="shared" si="3"/>
        <v>2</v>
      </c>
      <c r="Z77" s="756">
        <f t="shared" si="3"/>
        <v>1.4</v>
      </c>
      <c r="AA77" s="756">
        <f t="shared" si="3"/>
        <v>1.62</v>
      </c>
      <c r="AB77" s="756">
        <f t="shared" si="3"/>
        <v>1.62</v>
      </c>
      <c r="AC77" s="756">
        <f t="shared" si="3"/>
        <v>4.05</v>
      </c>
      <c r="AD77" s="756">
        <f t="shared" si="3"/>
        <v>1.62</v>
      </c>
      <c r="AE77" s="756">
        <f t="shared" si="3"/>
        <v>5.67</v>
      </c>
      <c r="AF77" s="756">
        <f t="shared" si="3"/>
        <v>40.5</v>
      </c>
      <c r="AG77" s="756">
        <f t="shared" si="3"/>
        <v>40.5</v>
      </c>
      <c r="AH77" s="756">
        <f t="shared" si="3"/>
        <v>32.400000000000006</v>
      </c>
      <c r="AI77" s="756">
        <f t="shared" si="3"/>
        <v>0.32400000000000007</v>
      </c>
      <c r="AJ77" s="756">
        <f t="shared" si="3"/>
        <v>0.16200000000000003</v>
      </c>
      <c r="AK77" s="756">
        <f t="shared" si="3"/>
        <v>8.1000000000000016E-2</v>
      </c>
      <c r="AL77" s="756">
        <f t="shared" si="3"/>
        <v>0</v>
      </c>
      <c r="AM77" s="756">
        <f t="shared" si="3"/>
        <v>0</v>
      </c>
      <c r="AN77" s="756">
        <f t="shared" si="3"/>
        <v>0</v>
      </c>
      <c r="AO77" s="756">
        <f t="shared" si="3"/>
        <v>0</v>
      </c>
      <c r="AP77" s="756">
        <f t="shared" si="3"/>
        <v>0</v>
      </c>
      <c r="AQ77" s="756">
        <f t="shared" si="3"/>
        <v>0</v>
      </c>
      <c r="AR77" s="756">
        <f t="shared" si="3"/>
        <v>0</v>
      </c>
      <c r="AS77" s="756">
        <f t="shared" si="3"/>
        <v>0</v>
      </c>
      <c r="AT77" s="756">
        <f t="shared" si="3"/>
        <v>0</v>
      </c>
      <c r="AU77" s="756">
        <f t="shared" si="3"/>
        <v>0</v>
      </c>
      <c r="AV77" s="756">
        <f t="shared" si="3"/>
        <v>0</v>
      </c>
      <c r="AW77" s="756">
        <f t="shared" si="3"/>
        <v>0</v>
      </c>
      <c r="AX77" s="756">
        <f t="shared" si="3"/>
        <v>0</v>
      </c>
      <c r="AY77" s="756">
        <f t="shared" si="3"/>
        <v>0</v>
      </c>
      <c r="AZ77" s="756">
        <f t="shared" si="3"/>
        <v>0</v>
      </c>
      <c r="BA77" s="756">
        <f t="shared" si="3"/>
        <v>0</v>
      </c>
      <c r="BB77" s="756">
        <f t="shared" si="3"/>
        <v>0</v>
      </c>
      <c r="BC77" s="756">
        <f t="shared" si="3"/>
        <v>0</v>
      </c>
    </row>
    <row r="78" spans="1:56">
      <c r="A78" s="1536"/>
      <c r="B78" s="1537"/>
      <c r="C78" s="1537"/>
      <c r="D78" s="1537"/>
      <c r="E78" s="1537"/>
      <c r="F78" s="1537"/>
      <c r="G78" s="1537"/>
      <c r="H78" s="1537"/>
      <c r="I78" s="1536"/>
      <c r="K78" s="756">
        <f t="shared" ref="K78:BC78" si="4">INDEX($G$15:$G$59,MATCH(K$76,$C$15:$C$59,0))</f>
        <v>0.81</v>
      </c>
      <c r="L78" s="756">
        <f t="shared" si="4"/>
        <v>10</v>
      </c>
      <c r="M78" s="756">
        <f t="shared" si="4"/>
        <v>9999</v>
      </c>
      <c r="N78" s="756">
        <f t="shared" si="4"/>
        <v>9999</v>
      </c>
      <c r="O78" s="756">
        <f t="shared" si="4"/>
        <v>1</v>
      </c>
      <c r="P78" s="756">
        <f t="shared" si="4"/>
        <v>9999</v>
      </c>
      <c r="Q78" s="756">
        <f t="shared" si="4"/>
        <v>9999</v>
      </c>
      <c r="R78" s="756">
        <f t="shared" si="4"/>
        <v>9999</v>
      </c>
      <c r="S78" s="756">
        <f t="shared" si="4"/>
        <v>40.5</v>
      </c>
      <c r="T78" s="756">
        <f t="shared" si="4"/>
        <v>1000</v>
      </c>
      <c r="U78" s="756">
        <f t="shared" si="4"/>
        <v>1000</v>
      </c>
      <c r="V78" s="756">
        <f t="shared" si="4"/>
        <v>9999</v>
      </c>
      <c r="W78" s="756">
        <f t="shared" si="4"/>
        <v>9999</v>
      </c>
      <c r="X78" s="756">
        <f t="shared" si="4"/>
        <v>9999</v>
      </c>
      <c r="Y78" s="756">
        <f t="shared" si="4"/>
        <v>10000</v>
      </c>
      <c r="Z78" s="756">
        <f t="shared" si="4"/>
        <v>10000</v>
      </c>
      <c r="AA78" s="756">
        <f t="shared" si="4"/>
        <v>4.05</v>
      </c>
      <c r="AB78" s="756">
        <f t="shared" si="4"/>
        <v>14.579999999999998</v>
      </c>
      <c r="AC78" s="756">
        <f t="shared" si="4"/>
        <v>24.3</v>
      </c>
      <c r="AD78" s="756">
        <f t="shared" si="4"/>
        <v>3.24</v>
      </c>
      <c r="AE78" s="756">
        <f t="shared" si="4"/>
        <v>20.25</v>
      </c>
      <c r="AF78" s="756">
        <f t="shared" si="4"/>
        <v>607.5</v>
      </c>
      <c r="AG78" s="756">
        <f t="shared" si="4"/>
        <v>405</v>
      </c>
      <c r="AH78" s="756">
        <f t="shared" si="4"/>
        <v>810</v>
      </c>
      <c r="AI78" s="756">
        <f t="shared" si="4"/>
        <v>40.5</v>
      </c>
      <c r="AJ78" s="756">
        <f t="shared" si="4"/>
        <v>8.1000000000000014</v>
      </c>
      <c r="AK78" s="756">
        <f t="shared" si="4"/>
        <v>1.62</v>
      </c>
      <c r="AL78" s="756">
        <f t="shared" si="4"/>
        <v>9999</v>
      </c>
      <c r="AM78" s="756">
        <f t="shared" si="4"/>
        <v>9999</v>
      </c>
      <c r="AN78" s="756">
        <f t="shared" si="4"/>
        <v>9999</v>
      </c>
      <c r="AO78" s="756">
        <f t="shared" si="4"/>
        <v>9999</v>
      </c>
      <c r="AP78" s="756">
        <f t="shared" si="4"/>
        <v>9999</v>
      </c>
      <c r="AQ78" s="756">
        <f t="shared" si="4"/>
        <v>9999</v>
      </c>
      <c r="AR78" s="756">
        <f t="shared" si="4"/>
        <v>9999</v>
      </c>
      <c r="AS78" s="756">
        <f t="shared" si="4"/>
        <v>9999</v>
      </c>
      <c r="AT78" s="756">
        <f t="shared" si="4"/>
        <v>9999</v>
      </c>
      <c r="AU78" s="756">
        <f t="shared" si="4"/>
        <v>9999</v>
      </c>
      <c r="AV78" s="756">
        <f t="shared" si="4"/>
        <v>9999</v>
      </c>
      <c r="AW78" s="756">
        <f t="shared" si="4"/>
        <v>9999</v>
      </c>
      <c r="AX78" s="756">
        <f t="shared" si="4"/>
        <v>9999</v>
      </c>
      <c r="AY78" s="756">
        <f t="shared" si="4"/>
        <v>9999</v>
      </c>
      <c r="AZ78" s="756">
        <f t="shared" si="4"/>
        <v>9999</v>
      </c>
      <c r="BA78" s="756">
        <f t="shared" si="4"/>
        <v>9999</v>
      </c>
      <c r="BB78" s="756">
        <f t="shared" si="4"/>
        <v>9999</v>
      </c>
      <c r="BC78" s="756">
        <f t="shared" si="4"/>
        <v>9999</v>
      </c>
    </row>
    <row r="79" spans="1:56">
      <c r="A79" s="1536"/>
      <c r="B79" s="1537"/>
      <c r="C79" s="1537"/>
      <c r="D79" s="1537"/>
      <c r="E79" s="1537"/>
      <c r="F79" s="1537"/>
      <c r="G79" s="1537"/>
      <c r="H79" s="1537"/>
      <c r="I79" s="1536"/>
    </row>
    <row r="80" spans="1:56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9"/>
    <row r="110"/>
    <row r="111"/>
    <row r="112"/>
    <row r="113"/>
    <row r="147"/>
    <row r="148"/>
    <row r="153"/>
    <row r="154"/>
    <row r="163" spans="52:53" hidden="1">
      <c r="AZ163" s="598">
        <v>180</v>
      </c>
    </row>
    <row r="164" spans="52:53" hidden="1">
      <c r="AZ164" s="598">
        <v>9</v>
      </c>
    </row>
    <row r="167" spans="52:53" hidden="1">
      <c r="BA167" s="598">
        <v>42</v>
      </c>
    </row>
    <row r="173" spans="52:53"/>
    <row r="174" spans="52:53"/>
    <row r="177"/>
    <row r="179"/>
    <row r="180"/>
    <row r="183"/>
    <row r="184"/>
    <row r="187"/>
    <row r="188"/>
    <row r="189"/>
  </sheetData>
  <sheetProtection sort="0" autoFilter="0" pivotTables="0"/>
  <mergeCells count="7">
    <mergeCell ref="B71:H71"/>
    <mergeCell ref="B72:H72"/>
    <mergeCell ref="B73:H73"/>
    <mergeCell ref="B74:H74"/>
    <mergeCell ref="B12:H12"/>
    <mergeCell ref="B13:H13"/>
    <mergeCell ref="C62:H62"/>
  </mergeCells>
  <conditionalFormatting sqref="F15:F59">
    <cfRule type="cellIs" dxfId="100" priority="3" operator="equal">
      <formula>0</formula>
    </cfRule>
  </conditionalFormatting>
  <conditionalFormatting sqref="H15:H59">
    <cfRule type="cellIs" dxfId="99" priority="2" operator="equal">
      <formula>0</formula>
    </cfRule>
  </conditionalFormatting>
  <printOptions horizontalCentered="1"/>
  <pageMargins left="0.51181102362204722" right="0.51181102362204722" top="0.94488188976377963" bottom="0.15748031496062992" header="0.31496062992125984" footer="0.31496062992125984"/>
  <pageSetup paperSize="9" scale="71" fitToHeight="0" orientation="portrait" r:id="rId1"/>
  <headerFooter>
    <oddHeader>&amp;C&amp;"Arial,Negrito itálico"&amp;16&amp;K00-049PROGRAMA DE FORMULAÇÃO DE DIETAS PARA RUMINANTES</oddHeader>
    <oddFooter>&amp;C&amp;"Arial,Itálico"&amp;K00-047By Iomar Bezerra da Silva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693E19F-70BF-4B6A-8841-1D8D2D96BC7C}">
            <xm:f>Base.OC!$B$1=2</xm:f>
            <x14:dxf>
              <font>
                <color auto="1"/>
              </font>
              <fill>
                <patternFill>
                  <bgColor theme="8" tint="0.39994506668294322"/>
                </patternFill>
              </fill>
            </x14:dxf>
          </x14:cfRule>
          <xm:sqref>B13:H13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24859-FEED-4F70-A00E-6BAB2C442FB7}">
  <sheetPr codeName="Planilha14"/>
  <dimension ref="A1:IW3652"/>
  <sheetViews>
    <sheetView showGridLines="0" zoomScaleNormal="100" workbookViewId="0">
      <pane xSplit="6" ySplit="6" topLeftCell="G182" activePane="bottomRight" state="frozen"/>
      <selection activeCell="J166" sqref="J166"/>
      <selection pane="topRight" activeCell="J166" sqref="J166"/>
      <selection pane="bottomLeft" activeCell="J166" sqref="J166"/>
      <selection pane="bottomRight" activeCell="J189" sqref="J189"/>
    </sheetView>
  </sheetViews>
  <sheetFormatPr defaultRowHeight="14.25"/>
  <cols>
    <col min="1" max="1" width="1.75" style="1729" customWidth="1"/>
    <col min="2" max="2" width="27.125" style="1734" customWidth="1"/>
    <col min="3" max="3" width="11.375" style="1734" customWidth="1"/>
    <col min="4" max="4" width="11.75" style="1729" customWidth="1"/>
    <col min="5" max="5" width="12.25" style="1729" customWidth="1"/>
    <col min="6" max="6" width="6.375" style="1729" customWidth="1"/>
    <col min="7" max="7" width="6.25" style="1729" customWidth="1"/>
    <col min="8" max="8" width="19.75" style="1729" customWidth="1"/>
    <col min="9" max="26" width="15.625" style="1881" customWidth="1"/>
    <col min="27" max="27" width="15.5" style="1729" customWidth="1"/>
    <col min="28" max="28" width="15.625" style="1729" customWidth="1"/>
    <col min="29" max="29" width="11" style="1729" customWidth="1"/>
    <col min="30" max="30" width="13.125" style="1729" customWidth="1"/>
    <col min="31" max="31" width="14.375" style="1729" customWidth="1"/>
    <col min="32" max="32" width="17" style="1729" customWidth="1"/>
    <col min="33" max="33" width="8.875" style="1729" customWidth="1"/>
    <col min="34" max="34" width="10" style="1729" customWidth="1"/>
    <col min="35" max="35" width="8.875" style="1729" customWidth="1"/>
    <col min="36" max="36" width="10" style="1729" customWidth="1"/>
    <col min="37" max="37" width="12.375" style="1729" customWidth="1"/>
    <col min="38" max="38" width="11.625" style="1729" customWidth="1"/>
    <col min="39" max="39" width="13.25" style="1729" customWidth="1"/>
    <col min="40" max="40" width="12.125" style="1729" customWidth="1"/>
    <col min="41" max="41" width="12.875" style="1729" customWidth="1"/>
    <col min="42" max="42" width="14.625" style="1729" customWidth="1"/>
    <col min="43" max="48" width="14.25" style="1729" customWidth="1"/>
    <col min="49" max="54" width="12.25" style="1729" customWidth="1"/>
    <col min="55" max="120" width="8.875" style="1729" customWidth="1"/>
    <col min="121" max="250" width="8.75" style="1729" customWidth="1"/>
    <col min="251" max="16384" width="9" style="1729"/>
  </cols>
  <sheetData>
    <row r="1" spans="1:257">
      <c r="B1" s="1730" t="str">
        <f>'Calc.Exg'!C23</f>
        <v>Zebuíno</v>
      </c>
      <c r="C1" s="1730"/>
      <c r="D1" s="1729" t="str">
        <f>B1&amp;", "&amp;B2&amp;", "&amp;B3&amp;", "&amp;B4&amp;", "</f>
        <v xml:space="preserve">Zebuíno, Corte, Macho não castrado, Confinamento, </v>
      </c>
      <c r="I1" s="1731" t="s">
        <v>505</v>
      </c>
      <c r="J1" s="1731" t="s">
        <v>505</v>
      </c>
      <c r="K1" s="1731" t="s">
        <v>505</v>
      </c>
      <c r="L1" s="1731" t="s">
        <v>505</v>
      </c>
      <c r="M1" s="1731" t="s">
        <v>505</v>
      </c>
      <c r="N1" s="1731" t="s">
        <v>505</v>
      </c>
      <c r="O1" s="1731" t="s">
        <v>505</v>
      </c>
      <c r="P1" s="1731" t="s">
        <v>505</v>
      </c>
      <c r="Q1" s="1731" t="s">
        <v>505</v>
      </c>
      <c r="R1" s="1731" t="s">
        <v>505</v>
      </c>
      <c r="S1" s="1731" t="s">
        <v>505</v>
      </c>
      <c r="T1" s="1731" t="s">
        <v>505</v>
      </c>
      <c r="U1" s="1731" t="s">
        <v>537</v>
      </c>
      <c r="V1" s="1731" t="s">
        <v>537</v>
      </c>
      <c r="W1" s="1731" t="s">
        <v>537</v>
      </c>
      <c r="X1" s="1731" t="s">
        <v>537</v>
      </c>
      <c r="Y1" s="1731" t="s">
        <v>537</v>
      </c>
      <c r="Z1" s="1731" t="s">
        <v>537</v>
      </c>
      <c r="AA1" s="1731" t="s">
        <v>505</v>
      </c>
      <c r="AB1" s="1731" t="s">
        <v>505</v>
      </c>
      <c r="AC1" s="1731" t="s">
        <v>505</v>
      </c>
      <c r="AD1" s="1731" t="s">
        <v>505</v>
      </c>
      <c r="AE1" s="1731"/>
      <c r="AF1" s="1731"/>
      <c r="AG1" s="1731" t="s">
        <v>505</v>
      </c>
      <c r="AH1" s="1731" t="s">
        <v>505</v>
      </c>
      <c r="AI1" s="1731" t="s">
        <v>505</v>
      </c>
      <c r="AJ1" s="1731" t="s">
        <v>505</v>
      </c>
      <c r="AK1" s="1731" t="s">
        <v>537</v>
      </c>
      <c r="AL1" s="1731" t="s">
        <v>537</v>
      </c>
      <c r="AM1" s="1731" t="s">
        <v>537</v>
      </c>
      <c r="AN1" s="1731" t="s">
        <v>537</v>
      </c>
      <c r="AO1" s="1731" t="s">
        <v>537</v>
      </c>
      <c r="AP1" s="1731" t="s">
        <v>537</v>
      </c>
      <c r="AQ1" s="1731" t="s">
        <v>537</v>
      </c>
      <c r="AR1" s="1731" t="s">
        <v>537</v>
      </c>
      <c r="AS1" s="1731" t="s">
        <v>537</v>
      </c>
      <c r="AT1" s="1731" t="s">
        <v>537</v>
      </c>
      <c r="AU1" s="1731" t="s">
        <v>537</v>
      </c>
      <c r="AV1" s="1731" t="s">
        <v>537</v>
      </c>
      <c r="AW1" s="1731" t="s">
        <v>537</v>
      </c>
      <c r="AX1" s="1731" t="s">
        <v>537</v>
      </c>
      <c r="AY1" s="1731" t="s">
        <v>537</v>
      </c>
      <c r="AZ1" s="1731" t="s">
        <v>537</v>
      </c>
      <c r="BA1" s="1731" t="s">
        <v>537</v>
      </c>
      <c r="BB1" s="1731" t="s">
        <v>537</v>
      </c>
    </row>
    <row r="2" spans="1:257">
      <c r="B2" s="1730" t="str">
        <f>'Calc.Exg'!C24</f>
        <v>Corte</v>
      </c>
      <c r="C2" s="1730"/>
      <c r="I2" s="1731" t="s">
        <v>506</v>
      </c>
      <c r="J2" s="1731" t="s">
        <v>506</v>
      </c>
      <c r="K2" s="1731" t="s">
        <v>506</v>
      </c>
      <c r="L2" s="1731" t="s">
        <v>506</v>
      </c>
      <c r="M2" s="1731" t="s">
        <v>506</v>
      </c>
      <c r="N2" s="1731" t="s">
        <v>506</v>
      </c>
      <c r="O2" s="1731" t="s">
        <v>506</v>
      </c>
      <c r="P2" s="1731" t="s">
        <v>506</v>
      </c>
      <c r="Q2" s="1731" t="s">
        <v>506</v>
      </c>
      <c r="R2" s="1731" t="s">
        <v>506</v>
      </c>
      <c r="S2" s="1731" t="s">
        <v>506</v>
      </c>
      <c r="T2" s="1731" t="s">
        <v>506</v>
      </c>
      <c r="U2" s="1731" t="s">
        <v>506</v>
      </c>
      <c r="V2" s="1731" t="s">
        <v>506</v>
      </c>
      <c r="W2" s="1731" t="s">
        <v>506</v>
      </c>
      <c r="X2" s="1731" t="s">
        <v>506</v>
      </c>
      <c r="Y2" s="1731" t="s">
        <v>506</v>
      </c>
      <c r="Z2" s="1731" t="s">
        <v>506</v>
      </c>
      <c r="AA2" s="1731" t="s">
        <v>506</v>
      </c>
      <c r="AB2" s="1731" t="s">
        <v>506</v>
      </c>
      <c r="AC2" s="1731" t="s">
        <v>506</v>
      </c>
      <c r="AD2" s="1731" t="s">
        <v>506</v>
      </c>
      <c r="AE2" s="1731"/>
      <c r="AF2" s="1731"/>
      <c r="AG2" s="1731" t="s">
        <v>506</v>
      </c>
      <c r="AH2" s="1731" t="s">
        <v>506</v>
      </c>
      <c r="AI2" s="1731" t="s">
        <v>506</v>
      </c>
      <c r="AJ2" s="1731" t="s">
        <v>506</v>
      </c>
      <c r="AK2" s="1731" t="s">
        <v>534</v>
      </c>
      <c r="AL2" s="1731" t="s">
        <v>534</v>
      </c>
      <c r="AM2" s="1731" t="s">
        <v>534</v>
      </c>
      <c r="AN2" s="1731" t="s">
        <v>534</v>
      </c>
      <c r="AO2" s="1731" t="s">
        <v>534</v>
      </c>
      <c r="AP2" s="1731" t="s">
        <v>534</v>
      </c>
      <c r="AQ2" s="1731" t="s">
        <v>534</v>
      </c>
      <c r="AR2" s="1731" t="s">
        <v>534</v>
      </c>
      <c r="AS2" s="1731" t="s">
        <v>534</v>
      </c>
      <c r="AT2" s="1731" t="s">
        <v>534</v>
      </c>
      <c r="AU2" s="1731" t="s">
        <v>534</v>
      </c>
      <c r="AV2" s="1731" t="s">
        <v>534</v>
      </c>
      <c r="AW2" s="1731" t="s">
        <v>506</v>
      </c>
      <c r="AX2" s="1731" t="s">
        <v>506</v>
      </c>
      <c r="AY2" s="1731" t="s">
        <v>506</v>
      </c>
      <c r="AZ2" s="1731" t="s">
        <v>506</v>
      </c>
      <c r="BA2" s="1731" t="s">
        <v>506</v>
      </c>
      <c r="BB2" s="1731" t="s">
        <v>506</v>
      </c>
    </row>
    <row r="3" spans="1:257" ht="33" customHeight="1">
      <c r="B3" s="1730" t="str">
        <f>'Calc.Exg'!C25</f>
        <v>Macho não castrado</v>
      </c>
      <c r="C3" s="1730"/>
      <c r="I3" s="1732" t="s">
        <v>508</v>
      </c>
      <c r="J3" s="1732" t="s">
        <v>508</v>
      </c>
      <c r="K3" s="1732" t="s">
        <v>562</v>
      </c>
      <c r="L3" s="1732" t="s">
        <v>562</v>
      </c>
      <c r="M3" s="1732" t="s">
        <v>563</v>
      </c>
      <c r="N3" s="1732" t="s">
        <v>563</v>
      </c>
      <c r="O3" s="1732" t="s">
        <v>508</v>
      </c>
      <c r="P3" s="1732" t="s">
        <v>508</v>
      </c>
      <c r="Q3" s="1732" t="s">
        <v>562</v>
      </c>
      <c r="R3" s="1732" t="s">
        <v>562</v>
      </c>
      <c r="S3" s="1732" t="s">
        <v>563</v>
      </c>
      <c r="T3" s="1732" t="s">
        <v>563</v>
      </c>
      <c r="U3" s="1732" t="s">
        <v>508</v>
      </c>
      <c r="V3" s="1732" t="s">
        <v>508</v>
      </c>
      <c r="W3" s="1732" t="s">
        <v>562</v>
      </c>
      <c r="X3" s="1732" t="s">
        <v>562</v>
      </c>
      <c r="Y3" s="1732" t="s">
        <v>563</v>
      </c>
      <c r="Z3" s="1732" t="s">
        <v>563</v>
      </c>
      <c r="AA3" s="1733" t="s">
        <v>1182</v>
      </c>
      <c r="AB3" s="1733" t="s">
        <v>1182</v>
      </c>
      <c r="AC3" s="1733" t="s">
        <v>1183</v>
      </c>
      <c r="AD3" s="1733" t="s">
        <v>1183</v>
      </c>
      <c r="AG3" s="1732" t="s">
        <v>1184</v>
      </c>
      <c r="AH3" s="1732" t="s">
        <v>1184</v>
      </c>
      <c r="AI3" s="1732" t="s">
        <v>1185</v>
      </c>
      <c r="AJ3" s="1732" t="s">
        <v>1185</v>
      </c>
      <c r="AK3" s="1732" t="s">
        <v>508</v>
      </c>
      <c r="AL3" s="1732" t="s">
        <v>508</v>
      </c>
      <c r="AM3" s="1732" t="s">
        <v>562</v>
      </c>
      <c r="AN3" s="1732" t="s">
        <v>562</v>
      </c>
      <c r="AO3" s="1732" t="s">
        <v>563</v>
      </c>
      <c r="AP3" s="1732" t="s">
        <v>563</v>
      </c>
      <c r="AQ3" s="1732" t="s">
        <v>508</v>
      </c>
      <c r="AR3" s="1732" t="s">
        <v>508</v>
      </c>
      <c r="AS3" s="1732" t="s">
        <v>562</v>
      </c>
      <c r="AT3" s="1732" t="s">
        <v>562</v>
      </c>
      <c r="AU3" s="1732" t="s">
        <v>563</v>
      </c>
      <c r="AV3" s="1732" t="s">
        <v>563</v>
      </c>
      <c r="AW3" s="1732" t="s">
        <v>508</v>
      </c>
      <c r="AX3" s="1732" t="s">
        <v>508</v>
      </c>
      <c r="AY3" s="1732" t="s">
        <v>562</v>
      </c>
      <c r="AZ3" s="1732" t="s">
        <v>562</v>
      </c>
      <c r="BA3" s="1732" t="s">
        <v>563</v>
      </c>
      <c r="BB3" s="1732" t="s">
        <v>563</v>
      </c>
    </row>
    <row r="4" spans="1:257" ht="35.25" customHeight="1">
      <c r="B4" s="1730" t="str">
        <f>'Calc.Exg'!C26</f>
        <v>Confinamento</v>
      </c>
      <c r="C4" s="1730"/>
      <c r="I4" s="1732" t="s">
        <v>564</v>
      </c>
      <c r="J4" s="1732" t="s">
        <v>564</v>
      </c>
      <c r="K4" s="1732" t="s">
        <v>564</v>
      </c>
      <c r="L4" s="1732" t="s">
        <v>564</v>
      </c>
      <c r="M4" s="1732" t="s">
        <v>564</v>
      </c>
      <c r="N4" s="1732" t="s">
        <v>564</v>
      </c>
      <c r="O4" s="1732" t="s">
        <v>510</v>
      </c>
      <c r="P4" s="1732" t="s">
        <v>510</v>
      </c>
      <c r="Q4" s="1732" t="s">
        <v>510</v>
      </c>
      <c r="R4" s="1732" t="s">
        <v>510</v>
      </c>
      <c r="S4" s="1732" t="s">
        <v>510</v>
      </c>
      <c r="T4" s="1732" t="s">
        <v>510</v>
      </c>
      <c r="U4" s="1732" t="s">
        <v>564</v>
      </c>
      <c r="V4" s="1732" t="s">
        <v>564</v>
      </c>
      <c r="W4" s="1732" t="s">
        <v>564</v>
      </c>
      <c r="X4" s="1732" t="s">
        <v>564</v>
      </c>
      <c r="Y4" s="1732" t="s">
        <v>564</v>
      </c>
      <c r="Z4" s="1732" t="s">
        <v>564</v>
      </c>
      <c r="AA4" s="1731" t="s">
        <v>510</v>
      </c>
      <c r="AB4" s="1731" t="s">
        <v>510</v>
      </c>
      <c r="AC4" s="1731" t="s">
        <v>510</v>
      </c>
      <c r="AD4" s="1731" t="s">
        <v>510</v>
      </c>
      <c r="AG4" s="1731" t="s">
        <v>510</v>
      </c>
      <c r="AH4" s="1731" t="s">
        <v>510</v>
      </c>
      <c r="AI4" s="1731" t="s">
        <v>510</v>
      </c>
      <c r="AJ4" s="1731" t="s">
        <v>510</v>
      </c>
      <c r="AK4" s="1732" t="s">
        <v>564</v>
      </c>
      <c r="AL4" s="1732" t="s">
        <v>564</v>
      </c>
      <c r="AM4" s="1732" t="s">
        <v>564</v>
      </c>
      <c r="AN4" s="1732" t="s">
        <v>564</v>
      </c>
      <c r="AO4" s="1732" t="s">
        <v>564</v>
      </c>
      <c r="AP4" s="1732" t="s">
        <v>564</v>
      </c>
      <c r="AQ4" s="1732" t="s">
        <v>510</v>
      </c>
      <c r="AR4" s="1732" t="s">
        <v>510</v>
      </c>
      <c r="AS4" s="1732" t="s">
        <v>510</v>
      </c>
      <c r="AT4" s="1732" t="s">
        <v>510</v>
      </c>
      <c r="AU4" s="1732" t="s">
        <v>510</v>
      </c>
      <c r="AV4" s="1732" t="s">
        <v>510</v>
      </c>
      <c r="AW4" s="1732" t="s">
        <v>510</v>
      </c>
      <c r="AX4" s="1732" t="s">
        <v>510</v>
      </c>
      <c r="AY4" s="1732" t="s">
        <v>510</v>
      </c>
      <c r="AZ4" s="1732" t="s">
        <v>510</v>
      </c>
      <c r="BA4" s="1732" t="s">
        <v>510</v>
      </c>
      <c r="BB4" s="1732" t="s">
        <v>510</v>
      </c>
    </row>
    <row r="5" spans="1:257">
      <c r="B5" s="1734" t="str">
        <f>B1&amp;B2&amp;B3&amp;B4&amp;I11</f>
        <v>ZebuínoCorteMacho não castradoConfinamentoMínimo</v>
      </c>
      <c r="I5" s="1734" t="str">
        <f>I1&amp;I2&amp;I3&amp;I4&amp;I11</f>
        <v>ZebuínoCorteMacho não castradoConfinamentoMínimo</v>
      </c>
      <c r="J5" s="1734" t="str">
        <f t="shared" ref="J5:AG5" si="0">J1&amp;J2&amp;J3&amp;J4&amp;J11</f>
        <v>ZebuínoCorteMacho não castradoConfinamentoMáximo</v>
      </c>
      <c r="K5" s="1734" t="str">
        <f t="shared" si="0"/>
        <v>ZebuínoCorteMacho castradoConfinamentoMínimo</v>
      </c>
      <c r="L5" s="1734" t="str">
        <f t="shared" si="0"/>
        <v>ZebuínoCorteMacho castradoConfinamentoMáximo</v>
      </c>
      <c r="M5" s="1734" t="str">
        <f t="shared" si="0"/>
        <v>ZebuínoCorteFêmeaConfinamentoMínimo</v>
      </c>
      <c r="N5" s="1734" t="str">
        <f t="shared" si="0"/>
        <v>ZebuínoCorteFêmeaConfinamentoMáximo</v>
      </c>
      <c r="O5" s="1734" t="str">
        <f t="shared" si="0"/>
        <v>ZebuínoCorteMacho não castradoPastoMínimo</v>
      </c>
      <c r="P5" s="1734" t="str">
        <f t="shared" si="0"/>
        <v>ZebuínoCorteMacho não castradoPastoMáximo</v>
      </c>
      <c r="Q5" s="1734" t="str">
        <f t="shared" si="0"/>
        <v>ZebuínoCorteMacho castradoPastoMínimo</v>
      </c>
      <c r="R5" s="1734" t="str">
        <f t="shared" si="0"/>
        <v>ZebuínoCorteMacho castradoPastoMáximo</v>
      </c>
      <c r="S5" s="1734" t="str">
        <f t="shared" si="0"/>
        <v>ZebuínoCorteFêmeaPastoMínimo</v>
      </c>
      <c r="T5" s="1734" t="str">
        <f t="shared" si="0"/>
        <v>ZebuínoCorteFêmeaPastoMáximo</v>
      </c>
      <c r="U5" s="1734" t="str">
        <f t="shared" si="0"/>
        <v>CruzadoCorteMacho não castradoConfinamentoMínimo</v>
      </c>
      <c r="V5" s="1734" t="str">
        <f t="shared" si="0"/>
        <v>CruzadoCorteMacho não castradoConfinamentoMáximo</v>
      </c>
      <c r="W5" s="1734" t="str">
        <f t="shared" si="0"/>
        <v>CruzadoCorteMacho castradoConfinamentoMínimo</v>
      </c>
      <c r="X5" s="1734" t="str">
        <f t="shared" si="0"/>
        <v>CruzadoCorteMacho castradoConfinamentoMáximo</v>
      </c>
      <c r="Y5" s="1734" t="str">
        <f t="shared" si="0"/>
        <v>CruzadoCorteFêmeaConfinamentoMínimo</v>
      </c>
      <c r="Z5" s="1734" t="str">
        <f t="shared" si="0"/>
        <v>CruzadoCorteFêmeaConfinamentoMáximo</v>
      </c>
      <c r="AA5" s="1734" t="str">
        <f t="shared" si="0"/>
        <v>ZebuínoCorteBezerro Lactante(0-180)PastoMínimo</v>
      </c>
      <c r="AB5" s="1734" t="str">
        <f t="shared" si="0"/>
        <v>ZebuínoCorteBezerro Lactante(0-180)PastoMáximo</v>
      </c>
      <c r="AC5" s="1734" t="str">
        <f t="shared" si="0"/>
        <v>ZebuínoCorteVaca em LacataçãoPastoMínimo</v>
      </c>
      <c r="AD5" s="1734" t="str">
        <f t="shared" si="0"/>
        <v>ZebuínoCorteVaca em LacataçãoPastoMáximo</v>
      </c>
      <c r="AE5" s="1734" t="str">
        <f t="shared" si="0"/>
        <v/>
      </c>
      <c r="AG5" s="1734" t="str">
        <f t="shared" si="0"/>
        <v>ZebuínoCorteVaca em GestaçãoPastoMínimo</v>
      </c>
      <c r="AH5" s="1734" t="str">
        <f t="shared" ref="AH5" si="1">AH1&amp;AH2&amp;AH3&amp;AH4&amp;AH11</f>
        <v>ZebuínoCorteVaca em GestaçãoPastoMáximo</v>
      </c>
      <c r="AI5" s="1734" t="str">
        <f t="shared" ref="AI5" si="2">AI1&amp;AI2&amp;AI3&amp;AI4&amp;AI11</f>
        <v>ZebuínoCorteVaca VaziaPastoMínimo</v>
      </c>
      <c r="AJ5" s="1734" t="str">
        <f t="shared" ref="AJ5" si="3">AJ1&amp;AJ2&amp;AJ3&amp;AJ4&amp;AJ11</f>
        <v>ZebuínoCorteVaca VaziaPastoMáximo</v>
      </c>
      <c r="AK5" s="1734" t="str">
        <f t="shared" ref="AK5" si="4">AK1&amp;AK2&amp;AK3&amp;AK4&amp;AK11</f>
        <v>CruzadoLeiteMacho não castradoConfinamentoMínimo</v>
      </c>
      <c r="AL5" s="1734" t="str">
        <f t="shared" ref="AL5" si="5">AL1&amp;AL2&amp;AL3&amp;AL4&amp;AL11</f>
        <v>CruzadoLeiteMacho não castradoConfinamentoMáximo</v>
      </c>
      <c r="AM5" s="1734" t="str">
        <f t="shared" ref="AM5" si="6">AM1&amp;AM2&amp;AM3&amp;AM4&amp;AM11</f>
        <v>CruzadoLeiteMacho castradoConfinamentoMínimo</v>
      </c>
      <c r="AN5" s="1734" t="str">
        <f t="shared" ref="AN5" si="7">AN1&amp;AN2&amp;AN3&amp;AN4&amp;AN11</f>
        <v>CruzadoLeiteMacho castradoConfinamentoMáximo</v>
      </c>
      <c r="AO5" s="1734" t="str">
        <f t="shared" ref="AO5" si="8">AO1&amp;AO2&amp;AO3&amp;AO4&amp;AO11</f>
        <v>CruzadoLeiteFêmeaConfinamentoMínimo</v>
      </c>
      <c r="AP5" s="1734" t="str">
        <f t="shared" ref="AP5" si="9">AP1&amp;AP2&amp;AP3&amp;AP4&amp;AP11</f>
        <v>CruzadoLeiteFêmeaConfinamentoMáximo</v>
      </c>
      <c r="AQ5" s="1734" t="str">
        <f t="shared" ref="AQ5" si="10">AQ1&amp;AQ2&amp;AQ3&amp;AQ4&amp;AQ11</f>
        <v>CruzadoLeiteMacho não castradoPastoMínimo</v>
      </c>
      <c r="AR5" s="1734" t="str">
        <f t="shared" ref="AR5" si="11">AR1&amp;AR2&amp;AR3&amp;AR4&amp;AR11</f>
        <v>CruzadoLeiteMacho não castradoPastoMáximo</v>
      </c>
      <c r="AS5" s="1734" t="str">
        <f t="shared" ref="AS5" si="12">AS1&amp;AS2&amp;AS3&amp;AS4&amp;AS11</f>
        <v>CruzadoLeiteMacho castradoPastoMínimo</v>
      </c>
      <c r="AT5" s="1734" t="str">
        <f t="shared" ref="AT5" si="13">AT1&amp;AT2&amp;AT3&amp;AT4&amp;AT11</f>
        <v>CruzadoLeiteMacho castradoPastoMáximo</v>
      </c>
      <c r="AU5" s="1734" t="str">
        <f t="shared" ref="AU5" si="14">AU1&amp;AU2&amp;AU3&amp;AU4&amp;AU11</f>
        <v>CruzadoLeiteFêmeaPastoMínimo</v>
      </c>
      <c r="AV5" s="1734" t="str">
        <f t="shared" ref="AV5" si="15">AV1&amp;AV2&amp;AV3&amp;AV4&amp;AV11</f>
        <v>CruzadoLeiteFêmeaPastoMáximo</v>
      </c>
      <c r="AW5" s="1734" t="str">
        <f t="shared" ref="AW5" si="16">AW1&amp;AW2&amp;AW3&amp;AW4&amp;AW11</f>
        <v>CruzadoCorteMacho não castradoPastoMínimo</v>
      </c>
      <c r="AX5" s="1734" t="str">
        <f t="shared" ref="AX5" si="17">AX1&amp;AX2&amp;AX3&amp;AX4&amp;AX11</f>
        <v>CruzadoCorteMacho não castradoPastoMáximo</v>
      </c>
      <c r="AY5" s="1734" t="str">
        <f t="shared" ref="AY5" si="18">AY1&amp;AY2&amp;AY3&amp;AY4&amp;AY11</f>
        <v>CruzadoCorteMacho castradoPastoMínimo</v>
      </c>
      <c r="AZ5" s="1734" t="str">
        <f t="shared" ref="AZ5" si="19">AZ1&amp;AZ2&amp;AZ3&amp;AZ4&amp;AZ11</f>
        <v>CruzadoCorteMacho castradoPastoMáximo</v>
      </c>
      <c r="BA5" s="1734" t="str">
        <f t="shared" ref="BA5" si="20">BA1&amp;BA2&amp;BA3&amp;BA4&amp;BA11</f>
        <v>CruzadoCorteFêmeaPastoMínimo</v>
      </c>
      <c r="BB5" s="1734" t="str">
        <f t="shared" ref="BB5" si="21">BB1&amp;BB2&amp;BB3&amp;BB4&amp;BB11</f>
        <v>CruzadoCorteFêmeaPastoMáximo</v>
      </c>
      <c r="BC5" s="1734" t="str">
        <f t="shared" ref="BC5" si="22">BC1&amp;BC2&amp;BC3&amp;BC4&amp;BC11</f>
        <v>Mínimo</v>
      </c>
      <c r="BD5" s="1734" t="str">
        <f t="shared" ref="BD5" si="23">BD1&amp;BD2&amp;BD3&amp;BD4&amp;BD11</f>
        <v>Máximo</v>
      </c>
      <c r="BE5" s="1734" t="str">
        <f t="shared" ref="BE5" si="24">BE1&amp;BE2&amp;BE3&amp;BE4&amp;BE11</f>
        <v>Mínimo</v>
      </c>
      <c r="BF5" s="1734" t="str">
        <f t="shared" ref="BF5" si="25">BF1&amp;BF2&amp;BF3&amp;BF4&amp;BF11</f>
        <v>Máximo</v>
      </c>
      <c r="BG5" s="1734" t="str">
        <f t="shared" ref="BG5" si="26">BG1&amp;BG2&amp;BG3&amp;BG4&amp;BG11</f>
        <v>Mínimo</v>
      </c>
      <c r="BH5" s="1734" t="str">
        <f t="shared" ref="BH5" si="27">BH1&amp;BH2&amp;BH3&amp;BH4&amp;BH11</f>
        <v>Máximo</v>
      </c>
      <c r="BI5" s="1734" t="str">
        <f t="shared" ref="BI5" si="28">BI1&amp;BI2&amp;BI3&amp;BI4&amp;BI11</f>
        <v>Mínimo</v>
      </c>
      <c r="BJ5" s="1734" t="str">
        <f t="shared" ref="BJ5" si="29">BJ1&amp;BJ2&amp;BJ3&amp;BJ4&amp;BJ11</f>
        <v>Máximo</v>
      </c>
      <c r="BK5" s="1734" t="str">
        <f t="shared" ref="BK5" si="30">BK1&amp;BK2&amp;BK3&amp;BK4&amp;BK11</f>
        <v>Mínimo</v>
      </c>
      <c r="BL5" s="1734" t="str">
        <f t="shared" ref="BL5" si="31">BL1&amp;BL2&amp;BL3&amp;BL4&amp;BL11</f>
        <v>Máximo</v>
      </c>
      <c r="BM5" s="1734" t="str">
        <f t="shared" ref="BM5" si="32">BM1&amp;BM2&amp;BM3&amp;BM4&amp;BM11</f>
        <v>Mínimo</v>
      </c>
      <c r="BN5" s="1734" t="str">
        <f t="shared" ref="BN5" si="33">BN1&amp;BN2&amp;BN3&amp;BN4&amp;BN11</f>
        <v>Máximo</v>
      </c>
      <c r="BO5" s="1734" t="str">
        <f t="shared" ref="BO5" si="34">BO1&amp;BO2&amp;BO3&amp;BO4&amp;BO11</f>
        <v>Mínimo</v>
      </c>
      <c r="BP5" s="1734" t="str">
        <f t="shared" ref="BP5" si="35">BP1&amp;BP2&amp;BP3&amp;BP4&amp;BP11</f>
        <v>Máximo</v>
      </c>
      <c r="BQ5" s="1734" t="str">
        <f t="shared" ref="BQ5" si="36">BQ1&amp;BQ2&amp;BQ3&amp;BQ4&amp;BQ11</f>
        <v>Mínimo</v>
      </c>
      <c r="BR5" s="1734" t="str">
        <f t="shared" ref="BR5" si="37">BR1&amp;BR2&amp;BR3&amp;BR4&amp;BR11</f>
        <v>Máximo</v>
      </c>
      <c r="BS5" s="1734" t="str">
        <f t="shared" ref="BS5" si="38">BS1&amp;BS2&amp;BS3&amp;BS4&amp;BS11</f>
        <v>Mínimo</v>
      </c>
      <c r="BT5" s="1734" t="str">
        <f t="shared" ref="BT5" si="39">BT1&amp;BT2&amp;BT3&amp;BT4&amp;BT11</f>
        <v>Máximo</v>
      </c>
      <c r="BU5" s="1734" t="str">
        <f t="shared" ref="BU5" si="40">BU1&amp;BU2&amp;BU3&amp;BU4&amp;BU11</f>
        <v>Mínimo</v>
      </c>
      <c r="BV5" s="1734" t="str">
        <f t="shared" ref="BV5" si="41">BV1&amp;BV2&amp;BV3&amp;BV4&amp;BV11</f>
        <v>Máximo</v>
      </c>
      <c r="BW5" s="1734" t="str">
        <f t="shared" ref="BW5" si="42">BW1&amp;BW2&amp;BW3&amp;BW4&amp;BW11</f>
        <v>Mínimo</v>
      </c>
      <c r="BX5" s="1734" t="str">
        <f t="shared" ref="BX5" si="43">BX1&amp;BX2&amp;BX3&amp;BX4&amp;BX11</f>
        <v>Máximo</v>
      </c>
      <c r="BY5" s="1734" t="str">
        <f t="shared" ref="BY5" si="44">BY1&amp;BY2&amp;BY3&amp;BY4&amp;BY11</f>
        <v>Mínimo</v>
      </c>
      <c r="BZ5" s="1734" t="str">
        <f t="shared" ref="BZ5" si="45">BZ1&amp;BZ2&amp;BZ3&amp;BZ4&amp;BZ11</f>
        <v>Máximo</v>
      </c>
      <c r="CA5" s="1734" t="str">
        <f t="shared" ref="CA5" si="46">CA1&amp;CA2&amp;CA3&amp;CA4&amp;CA11</f>
        <v>Mínimo</v>
      </c>
      <c r="CB5" s="1734" t="str">
        <f t="shared" ref="CB5" si="47">CB1&amp;CB2&amp;CB3&amp;CB4&amp;CB11</f>
        <v>Máximo</v>
      </c>
      <c r="CC5" s="1734" t="str">
        <f t="shared" ref="CC5" si="48">CC1&amp;CC2&amp;CC3&amp;CC4&amp;CC11</f>
        <v>Mínimo</v>
      </c>
      <c r="CD5" s="1734" t="str">
        <f t="shared" ref="CD5" si="49">CD1&amp;CD2&amp;CD3&amp;CD4&amp;CD11</f>
        <v>Máximo</v>
      </c>
      <c r="CE5" s="1734" t="str">
        <f t="shared" ref="CE5" si="50">CE1&amp;CE2&amp;CE3&amp;CE4&amp;CE11</f>
        <v>Mínimo</v>
      </c>
      <c r="CF5" s="1734" t="str">
        <f t="shared" ref="CF5" si="51">CF1&amp;CF2&amp;CF3&amp;CF4&amp;CF11</f>
        <v>Máximo</v>
      </c>
      <c r="CG5" s="1734" t="str">
        <f t="shared" ref="CG5" si="52">CG1&amp;CG2&amp;CG3&amp;CG4&amp;CG11</f>
        <v>Mínimo</v>
      </c>
      <c r="CH5" s="1734" t="str">
        <f t="shared" ref="CH5" si="53">CH1&amp;CH2&amp;CH3&amp;CH4&amp;CH11</f>
        <v>Máximo</v>
      </c>
      <c r="CI5" s="1734" t="str">
        <f t="shared" ref="CI5" si="54">CI1&amp;CI2&amp;CI3&amp;CI4&amp;CI11</f>
        <v>Mínimo</v>
      </c>
      <c r="CJ5" s="1734" t="str">
        <f t="shared" ref="CJ5" si="55">CJ1&amp;CJ2&amp;CJ3&amp;CJ4&amp;CJ11</f>
        <v>Máximo</v>
      </c>
      <c r="CK5" s="1734" t="str">
        <f t="shared" ref="CK5" si="56">CK1&amp;CK2&amp;CK3&amp;CK4&amp;CK11</f>
        <v>Mínimo</v>
      </c>
      <c r="CL5" s="1734" t="str">
        <f t="shared" ref="CL5" si="57">CL1&amp;CL2&amp;CL3&amp;CL4&amp;CL11</f>
        <v>Máximo</v>
      </c>
      <c r="CM5" s="1734" t="str">
        <f t="shared" ref="CM5" si="58">CM1&amp;CM2&amp;CM3&amp;CM4&amp;CM11</f>
        <v>Mínimo</v>
      </c>
      <c r="CN5" s="1734" t="str">
        <f t="shared" ref="CN5" si="59">CN1&amp;CN2&amp;CN3&amp;CN4&amp;CN11</f>
        <v>Máximo</v>
      </c>
      <c r="CO5" s="1734" t="str">
        <f t="shared" ref="CO5" si="60">CO1&amp;CO2&amp;CO3&amp;CO4&amp;CO11</f>
        <v>Mínimo</v>
      </c>
      <c r="CP5" s="1734" t="str">
        <f t="shared" ref="CP5" si="61">CP1&amp;CP2&amp;CP3&amp;CP4&amp;CP11</f>
        <v>Máximo</v>
      </c>
      <c r="CQ5" s="1734" t="str">
        <f t="shared" ref="CQ5" si="62">CQ1&amp;CQ2&amp;CQ3&amp;CQ4&amp;CQ11</f>
        <v>Mínimo</v>
      </c>
      <c r="CR5" s="1734" t="str">
        <f t="shared" ref="CR5" si="63">CR1&amp;CR2&amp;CR3&amp;CR4&amp;CR11</f>
        <v>Máximo</v>
      </c>
      <c r="CS5" s="1734" t="str">
        <f t="shared" ref="CS5" si="64">CS1&amp;CS2&amp;CS3&amp;CS4&amp;CS11</f>
        <v>Mínimo</v>
      </c>
      <c r="CT5" s="1734" t="str">
        <f t="shared" ref="CT5" si="65">CT1&amp;CT2&amp;CT3&amp;CT4&amp;CT11</f>
        <v>Máximo</v>
      </c>
      <c r="CU5" s="1734" t="str">
        <f t="shared" ref="CU5" si="66">CU1&amp;CU2&amp;CU3&amp;CU4&amp;CU11</f>
        <v>Mínimo</v>
      </c>
      <c r="CV5" s="1734" t="str">
        <f t="shared" ref="CV5" si="67">CV1&amp;CV2&amp;CV3&amp;CV4&amp;CV11</f>
        <v>Máximo</v>
      </c>
      <c r="CW5" s="1734" t="str">
        <f t="shared" ref="CW5" si="68">CW1&amp;CW2&amp;CW3&amp;CW4&amp;CW11</f>
        <v>Mínimo</v>
      </c>
      <c r="CX5" s="1734" t="str">
        <f t="shared" ref="CX5" si="69">CX1&amp;CX2&amp;CX3&amp;CX4&amp;CX11</f>
        <v>Máximo</v>
      </c>
      <c r="CY5" s="1734" t="str">
        <f t="shared" ref="CY5" si="70">CY1&amp;CY2&amp;CY3&amp;CY4&amp;CY11</f>
        <v>Mínimo</v>
      </c>
      <c r="CZ5" s="1734" t="str">
        <f t="shared" ref="CZ5" si="71">CZ1&amp;CZ2&amp;CZ3&amp;CZ4&amp;CZ11</f>
        <v>Máximo</v>
      </c>
      <c r="DA5" s="1734" t="str">
        <f t="shared" ref="DA5" si="72">DA1&amp;DA2&amp;DA3&amp;DA4&amp;DA11</f>
        <v>Mínimo</v>
      </c>
      <c r="DB5" s="1734" t="str">
        <f t="shared" ref="DB5" si="73">DB1&amp;DB2&amp;DB3&amp;DB4&amp;DB11</f>
        <v>Máximo</v>
      </c>
      <c r="DC5" s="1734" t="str">
        <f t="shared" ref="DC5" si="74">DC1&amp;DC2&amp;DC3&amp;DC4&amp;DC11</f>
        <v>Mínimo</v>
      </c>
      <c r="DD5" s="1734" t="str">
        <f t="shared" ref="DD5" si="75">DD1&amp;DD2&amp;DD3&amp;DD4&amp;DD11</f>
        <v>Máximo</v>
      </c>
      <c r="DE5" s="1734" t="str">
        <f t="shared" ref="DE5" si="76">DE1&amp;DE2&amp;DE3&amp;DE4&amp;DE11</f>
        <v>Mínimo</v>
      </c>
      <c r="DF5" s="1734" t="str">
        <f t="shared" ref="DF5" si="77">DF1&amp;DF2&amp;DF3&amp;DF4&amp;DF11</f>
        <v>Máximo</v>
      </c>
      <c r="DG5" s="1734" t="str">
        <f t="shared" ref="DG5" si="78">DG1&amp;DG2&amp;DG3&amp;DG4&amp;DG11</f>
        <v>Mínimo</v>
      </c>
      <c r="DH5" s="1734" t="str">
        <f t="shared" ref="DH5" si="79">DH1&amp;DH2&amp;DH3&amp;DH4&amp;DH11</f>
        <v>Máximo</v>
      </c>
      <c r="DI5" s="1734" t="str">
        <f t="shared" ref="DI5" si="80">DI1&amp;DI2&amp;DI3&amp;DI4&amp;DI11</f>
        <v>Mínimo</v>
      </c>
      <c r="DJ5" s="1734" t="str">
        <f t="shared" ref="DJ5" si="81">DJ1&amp;DJ2&amp;DJ3&amp;DJ4&amp;DJ11</f>
        <v>Máximo</v>
      </c>
      <c r="DK5" s="1734" t="str">
        <f t="shared" ref="DK5" si="82">DK1&amp;DK2&amp;DK3&amp;DK4&amp;DK11</f>
        <v>Mínimo</v>
      </c>
      <c r="DL5" s="1734" t="str">
        <f t="shared" ref="DL5" si="83">DL1&amp;DL2&amp;DL3&amp;DL4&amp;DL11</f>
        <v>Máximo</v>
      </c>
      <c r="DM5" s="1734" t="str">
        <f t="shared" ref="DM5" si="84">DM1&amp;DM2&amp;DM3&amp;DM4&amp;DM11</f>
        <v>Mínimo</v>
      </c>
      <c r="DN5" s="1734" t="str">
        <f t="shared" ref="DN5" si="85">DN1&amp;DN2&amp;DN3&amp;DN4&amp;DN11</f>
        <v>Máximo</v>
      </c>
      <c r="DO5" s="1734" t="str">
        <f t="shared" ref="DO5" si="86">DO1&amp;DO2&amp;DO3&amp;DO4&amp;DO11</f>
        <v>Mínimo</v>
      </c>
      <c r="DP5" s="1734" t="str">
        <f t="shared" ref="DP5" si="87">DP1&amp;DP2&amp;DP3&amp;DP4&amp;DP11</f>
        <v>Máximo</v>
      </c>
      <c r="DQ5" s="1734" t="str">
        <f t="shared" ref="DQ5" si="88">DQ1&amp;DQ2&amp;DQ3&amp;DQ4&amp;DQ11</f>
        <v>Mínimo</v>
      </c>
      <c r="DR5" s="1734" t="str">
        <f t="shared" ref="DR5" si="89">DR1&amp;DR2&amp;DR3&amp;DR4&amp;DR11</f>
        <v>Máximo</v>
      </c>
      <c r="DS5" s="1734" t="str">
        <f t="shared" ref="DS5" si="90">DS1&amp;DS2&amp;DS3&amp;DS4&amp;DS11</f>
        <v>Mínimo</v>
      </c>
      <c r="DT5" s="1734" t="str">
        <f t="shared" ref="DT5" si="91">DT1&amp;DT2&amp;DT3&amp;DT4&amp;DT11</f>
        <v>Máximo</v>
      </c>
      <c r="DU5" s="1734" t="str">
        <f t="shared" ref="DU5" si="92">DU1&amp;DU2&amp;DU3&amp;DU4&amp;DU11</f>
        <v>Mínimo</v>
      </c>
      <c r="DV5" s="1734" t="str">
        <f t="shared" ref="DV5" si="93">DV1&amp;DV2&amp;DV3&amp;DV4&amp;DV11</f>
        <v>Máximo</v>
      </c>
      <c r="DW5" s="1734" t="str">
        <f t="shared" ref="DW5" si="94">DW1&amp;DW2&amp;DW3&amp;DW4&amp;DW11</f>
        <v>Mínimo</v>
      </c>
      <c r="DX5" s="1734" t="str">
        <f t="shared" ref="DX5" si="95">DX1&amp;DX2&amp;DX3&amp;DX4&amp;DX11</f>
        <v>Máximo</v>
      </c>
      <c r="DY5" s="1734" t="str">
        <f t="shared" ref="DY5" si="96">DY1&amp;DY2&amp;DY3&amp;DY4&amp;DY11</f>
        <v>Mínimo</v>
      </c>
      <c r="DZ5" s="1734" t="str">
        <f t="shared" ref="DZ5" si="97">DZ1&amp;DZ2&amp;DZ3&amp;DZ4&amp;DZ11</f>
        <v>Máximo</v>
      </c>
    </row>
    <row r="6" spans="1:257" ht="17.25" customHeight="1" thickBot="1">
      <c r="A6" s="1735"/>
      <c r="B6" s="1736" t="str">
        <f>B1&amp;B2&amp;B3&amp;B4&amp;J11</f>
        <v>ZebuínoCorteMacho não castradoConfinamentoMáximo</v>
      </c>
      <c r="C6" s="1736"/>
      <c r="I6" s="1737"/>
      <c r="J6" s="1737"/>
      <c r="K6" s="1737"/>
      <c r="L6" s="1737"/>
      <c r="M6" s="1737"/>
      <c r="N6" s="1737"/>
      <c r="O6" s="1737"/>
      <c r="P6" s="1737"/>
      <c r="Q6" s="1737"/>
      <c r="R6" s="1737"/>
      <c r="S6" s="1737"/>
      <c r="T6" s="1737"/>
      <c r="U6" s="1737"/>
      <c r="V6" s="1737"/>
      <c r="W6" s="1737"/>
      <c r="X6" s="1737"/>
      <c r="Y6" s="1737"/>
      <c r="Z6" s="1737"/>
      <c r="AA6" s="1738"/>
      <c r="AB6" s="1738"/>
      <c r="AC6" s="1738"/>
      <c r="AD6" s="1738"/>
      <c r="AE6" s="1738"/>
      <c r="AF6" s="1738"/>
      <c r="AG6" s="1738"/>
      <c r="AH6" s="1738"/>
      <c r="AI6" s="1738"/>
      <c r="AJ6" s="1738"/>
      <c r="AK6" s="1738"/>
      <c r="AL6" s="1738"/>
      <c r="AM6" s="1738"/>
      <c r="AN6" s="1738"/>
      <c r="AO6" s="1738"/>
      <c r="AP6" s="1738"/>
      <c r="AQ6" s="1738"/>
      <c r="AR6" s="1738"/>
      <c r="AS6" s="1738"/>
      <c r="AT6" s="1738"/>
      <c r="AU6" s="1738"/>
      <c r="AV6" s="1738"/>
      <c r="AW6" s="1738"/>
      <c r="AX6" s="1738"/>
      <c r="AY6" s="1738"/>
      <c r="AZ6" s="1738"/>
      <c r="BA6" s="1738"/>
      <c r="BB6" s="1738" t="str">
        <f t="shared" ref="BB6:BH6" si="98">TRIM(BB8)</f>
        <v/>
      </c>
      <c r="BC6" s="1738" t="str">
        <f t="shared" si="98"/>
        <v/>
      </c>
      <c r="BD6" s="1738" t="str">
        <f t="shared" si="98"/>
        <v/>
      </c>
      <c r="BE6" s="1738" t="str">
        <f t="shared" si="98"/>
        <v/>
      </c>
      <c r="BF6" s="1738" t="str">
        <f t="shared" si="98"/>
        <v/>
      </c>
      <c r="BG6" s="1738" t="str">
        <f t="shared" si="98"/>
        <v/>
      </c>
      <c r="BH6" s="1738" t="str">
        <f t="shared" si="98"/>
        <v/>
      </c>
      <c r="BI6" s="1739"/>
      <c r="BJ6" s="1738"/>
      <c r="BK6" s="1739"/>
      <c r="BL6" s="1738"/>
      <c r="BM6" s="1739"/>
      <c r="BN6" s="1738"/>
      <c r="BO6" s="1739"/>
      <c r="BP6" s="1738"/>
      <c r="BQ6" s="1739"/>
      <c r="BR6" s="1738"/>
      <c r="BS6" s="1739"/>
      <c r="BT6" s="1738"/>
      <c r="BU6" s="1739"/>
      <c r="BV6" s="1738"/>
      <c r="BW6" s="1739"/>
      <c r="BX6" s="1738"/>
      <c r="BY6" s="1739"/>
      <c r="BZ6" s="1738"/>
      <c r="CA6" s="1739"/>
      <c r="CB6" s="1738"/>
      <c r="CC6" s="1739"/>
      <c r="CD6" s="1738"/>
      <c r="CE6" s="1739"/>
      <c r="CF6" s="1738"/>
      <c r="CG6" s="1739"/>
      <c r="CH6" s="1738"/>
      <c r="CI6" s="1739"/>
      <c r="CJ6" s="1738"/>
      <c r="CK6" s="1739"/>
      <c r="CL6" s="1738"/>
      <c r="CM6" s="1739"/>
      <c r="CN6" s="1738"/>
      <c r="CO6" s="1739"/>
      <c r="CP6" s="1738"/>
      <c r="CQ6" s="1739"/>
      <c r="CR6" s="1738"/>
      <c r="CS6" s="1739"/>
      <c r="CT6" s="1738"/>
      <c r="CU6" s="1739"/>
      <c r="CV6" s="1738"/>
      <c r="CW6" s="1739"/>
      <c r="CX6" s="1738"/>
      <c r="CY6" s="1739"/>
      <c r="CZ6" s="1738"/>
      <c r="DA6" s="1739"/>
      <c r="DB6" s="1738"/>
      <c r="DC6" s="1739"/>
      <c r="DD6" s="1738"/>
      <c r="DE6" s="1739"/>
      <c r="DF6" s="1738"/>
      <c r="DG6" s="1739"/>
      <c r="DH6" s="1738"/>
      <c r="DI6" s="1739"/>
      <c r="DJ6" s="1738"/>
      <c r="DK6" s="1739"/>
      <c r="DL6" s="1738"/>
      <c r="DM6" s="1739"/>
      <c r="DN6" s="1738"/>
      <c r="DO6" s="1739"/>
      <c r="DP6" s="1738"/>
      <c r="DQ6" s="1739"/>
      <c r="DR6" s="1738"/>
      <c r="DS6" s="1739"/>
      <c r="DT6" s="1738"/>
      <c r="DU6" s="1739"/>
      <c r="DV6" s="1738"/>
      <c r="DW6" s="1739"/>
      <c r="DX6" s="1738"/>
      <c r="DY6" s="1739"/>
      <c r="DZ6" s="1738"/>
    </row>
    <row r="7" spans="1:257" ht="33" customHeight="1" thickTop="1" thickBot="1">
      <c r="B7" s="1740" t="s">
        <v>640</v>
      </c>
      <c r="C7" s="1741"/>
      <c r="D7" s="2076">
        <f>BC!C5</f>
        <v>251</v>
      </c>
      <c r="E7" s="2077"/>
      <c r="F7" s="1742" t="s">
        <v>7</v>
      </c>
      <c r="H7" s="1743" t="s">
        <v>640</v>
      </c>
      <c r="I7" s="2073">
        <v>300</v>
      </c>
      <c r="J7" s="2074"/>
      <c r="K7" s="2073">
        <v>300</v>
      </c>
      <c r="L7" s="2074"/>
      <c r="M7" s="2073">
        <v>300</v>
      </c>
      <c r="N7" s="2074"/>
      <c r="O7" s="2073">
        <v>300</v>
      </c>
      <c r="P7" s="2074"/>
      <c r="Q7" s="2073">
        <v>300</v>
      </c>
      <c r="R7" s="2074"/>
      <c r="S7" s="2073">
        <v>300</v>
      </c>
      <c r="T7" s="2074"/>
      <c r="U7" s="2073">
        <v>300</v>
      </c>
      <c r="V7" s="2074"/>
      <c r="W7" s="2073">
        <v>300</v>
      </c>
      <c r="X7" s="2074"/>
      <c r="Y7" s="2073">
        <v>300</v>
      </c>
      <c r="Z7" s="2074"/>
      <c r="AA7" s="2073">
        <v>150</v>
      </c>
      <c r="AB7" s="2074"/>
      <c r="AC7" s="2073">
        <v>400</v>
      </c>
      <c r="AD7" s="2075"/>
      <c r="AE7" s="1744" t="s">
        <v>1180</v>
      </c>
      <c r="AF7" s="1745">
        <f>$AY$189</f>
        <v>185</v>
      </c>
      <c r="AG7" s="2078">
        <v>450</v>
      </c>
      <c r="AH7" s="2078"/>
      <c r="AI7" s="2073">
        <v>450</v>
      </c>
      <c r="AJ7" s="2074"/>
      <c r="AK7" s="2078">
        <v>350</v>
      </c>
      <c r="AL7" s="2078"/>
      <c r="AM7" s="2073">
        <v>350</v>
      </c>
      <c r="AN7" s="2074"/>
      <c r="AO7" s="2078">
        <v>350</v>
      </c>
      <c r="AP7" s="2074"/>
      <c r="AQ7" s="2078">
        <f>PC.2</f>
        <v>251</v>
      </c>
      <c r="AR7" s="2074"/>
      <c r="AS7" s="2078">
        <f>PC.2</f>
        <v>251</v>
      </c>
      <c r="AT7" s="2074"/>
      <c r="AU7" s="2078">
        <f>PC.2</f>
        <v>251</v>
      </c>
      <c r="AV7" s="2074"/>
      <c r="AW7" s="2078"/>
      <c r="AX7" s="2074"/>
      <c r="AY7" s="2078"/>
      <c r="AZ7" s="2074"/>
      <c r="BA7" s="2078"/>
      <c r="BB7" s="2074"/>
      <c r="BC7" s="2078"/>
      <c r="BD7" s="2074"/>
      <c r="BE7" s="2078"/>
      <c r="BF7" s="2074"/>
      <c r="BG7" s="2078"/>
      <c r="BH7" s="2074"/>
      <c r="BI7" s="2078"/>
      <c r="BJ7" s="2074"/>
      <c r="BK7" s="2078"/>
      <c r="BL7" s="2074"/>
      <c r="BM7" s="2078"/>
      <c r="BN7" s="2074"/>
      <c r="BO7" s="2078"/>
      <c r="BP7" s="2074"/>
      <c r="BQ7" s="2078"/>
      <c r="BR7" s="2074"/>
      <c r="BS7" s="2078"/>
      <c r="BT7" s="2074"/>
      <c r="BU7" s="2078"/>
      <c r="BV7" s="2074"/>
      <c r="BW7" s="2078"/>
      <c r="BX7" s="2074"/>
      <c r="BY7" s="2078"/>
      <c r="BZ7" s="2074"/>
      <c r="CA7" s="2078"/>
      <c r="CB7" s="2074"/>
      <c r="CC7" s="2078"/>
      <c r="CD7" s="2074"/>
      <c r="CE7" s="2078"/>
      <c r="CF7" s="2074"/>
      <c r="CG7" s="2078"/>
      <c r="CH7" s="2074"/>
      <c r="CI7" s="2078"/>
      <c r="CJ7" s="2074"/>
      <c r="CK7" s="2078"/>
      <c r="CL7" s="2074"/>
      <c r="CM7" s="2078"/>
      <c r="CN7" s="2074"/>
      <c r="CO7" s="2078"/>
      <c r="CP7" s="2074"/>
      <c r="CQ7" s="2078"/>
      <c r="CR7" s="2074"/>
      <c r="CS7" s="2078"/>
      <c r="CT7" s="2074"/>
      <c r="CU7" s="2078"/>
      <c r="CV7" s="2074"/>
      <c r="CW7" s="2078"/>
      <c r="CX7" s="2074"/>
      <c r="CY7" s="2078"/>
      <c r="CZ7" s="2074"/>
      <c r="DA7" s="2078"/>
      <c r="DB7" s="2074"/>
      <c r="DC7" s="2078"/>
      <c r="DD7" s="2074"/>
      <c r="DE7" s="2078"/>
      <c r="DF7" s="2074"/>
      <c r="DG7" s="2078"/>
      <c r="DH7" s="2074"/>
      <c r="DI7" s="2078"/>
      <c r="DJ7" s="2074"/>
      <c r="DK7" s="2078"/>
      <c r="DL7" s="2074"/>
      <c r="DM7" s="2078"/>
      <c r="DN7" s="2074"/>
      <c r="DO7" s="2078"/>
      <c r="DP7" s="2074"/>
      <c r="DQ7" s="2078"/>
      <c r="DR7" s="2074"/>
      <c r="DS7" s="2078"/>
      <c r="DT7" s="2074"/>
      <c r="DU7" s="2078"/>
      <c r="DV7" s="2074"/>
      <c r="DW7" s="2078"/>
      <c r="DX7" s="2074"/>
      <c r="DY7" s="2078"/>
      <c r="DZ7" s="2074"/>
    </row>
    <row r="8" spans="1:257" ht="57.75" customHeight="1" thickBot="1">
      <c r="B8" s="1746" t="s">
        <v>641</v>
      </c>
      <c r="C8" s="1747"/>
      <c r="D8" s="2079" t="s">
        <v>891</v>
      </c>
      <c r="E8" s="2080"/>
      <c r="F8" s="1748"/>
      <c r="H8" s="1749" t="s">
        <v>2</v>
      </c>
      <c r="I8" s="1750" t="s">
        <v>892</v>
      </c>
      <c r="J8" s="1751" t="s">
        <v>892</v>
      </c>
      <c r="K8" s="1752" t="s">
        <v>1172</v>
      </c>
      <c r="L8" s="1751" t="s">
        <v>1172</v>
      </c>
      <c r="M8" s="1752" t="s">
        <v>1173</v>
      </c>
      <c r="N8" s="1751" t="s">
        <v>1173</v>
      </c>
      <c r="O8" s="1752" t="s">
        <v>1174</v>
      </c>
      <c r="P8" s="1751" t="s">
        <v>1174</v>
      </c>
      <c r="Q8" s="1752" t="s">
        <v>1175</v>
      </c>
      <c r="R8" s="1751" t="s">
        <v>1175</v>
      </c>
      <c r="S8" s="1752" t="s">
        <v>1176</v>
      </c>
      <c r="T8" s="1751" t="s">
        <v>1176</v>
      </c>
      <c r="U8" s="1752" t="s">
        <v>1177</v>
      </c>
      <c r="V8" s="1751" t="s">
        <v>1177</v>
      </c>
      <c r="W8" s="1752" t="s">
        <v>1178</v>
      </c>
      <c r="X8" s="1751" t="s">
        <v>1178</v>
      </c>
      <c r="Y8" s="1752" t="s">
        <v>1179</v>
      </c>
      <c r="Z8" s="1751" t="s">
        <v>1179</v>
      </c>
      <c r="AA8" s="1753" t="s">
        <v>893</v>
      </c>
      <c r="AB8" s="1751" t="s">
        <v>893</v>
      </c>
      <c r="AC8" s="1754" t="s">
        <v>894</v>
      </c>
      <c r="AD8" s="1751" t="s">
        <v>894</v>
      </c>
      <c r="AE8" s="1755" t="s">
        <v>895</v>
      </c>
      <c r="AF8" s="1756">
        <f>AY191</f>
        <v>33</v>
      </c>
      <c r="AG8" s="1757" t="str">
        <f xml:space="preserve"> "Vacas de corte gestantes      "   &amp;  "Tgest = " &amp; $AF$6 &amp;" dias"  &amp; "       PMBnasc= " &amp; $AF$8 &amp; " kg" &amp; "       ECC = " &amp; $AF$10</f>
        <v>Vacas de corte gestantes      Tgest =  dias       PMBnasc= 33 kg       ECC = 5</v>
      </c>
      <c r="AH8" s="1758" t="str">
        <f>AG8</f>
        <v>Vacas de corte gestantes      Tgest =  dias       PMBnasc= 33 kg       ECC = 5</v>
      </c>
      <c r="AI8" s="1759" t="str">
        <f>"Vacas de corte vazias"   &amp; "           ECC = " &amp; $AF$10</f>
        <v>Vacas de corte vazias           ECC = 5</v>
      </c>
      <c r="AJ8" s="1758" t="str">
        <f>AI8</f>
        <v>Vacas de corte vazias           ECC = 5</v>
      </c>
      <c r="AK8" s="1760" t="s">
        <v>896</v>
      </c>
      <c r="AL8" s="1758" t="str">
        <f>AK8</f>
        <v>Cruzado de Leite   Confinamento      Machos inteiros</v>
      </c>
      <c r="AM8" s="1760" t="s">
        <v>897</v>
      </c>
      <c r="AN8" s="1758" t="str">
        <f>AM8</f>
        <v>Cruzado de Leite   Confinamento      Machos castrados</v>
      </c>
      <c r="AO8" s="1760" t="s">
        <v>898</v>
      </c>
      <c r="AP8" s="1758" t="str">
        <f>AO8</f>
        <v>Cruzado de Leite   Confinamento     Fêmeas</v>
      </c>
      <c r="AQ8" s="1760"/>
      <c r="AR8" s="1758"/>
      <c r="AS8" s="1760"/>
      <c r="AT8" s="1758"/>
      <c r="AU8" s="1760"/>
      <c r="AV8" s="1758"/>
      <c r="AW8" s="1760"/>
      <c r="AX8" s="1758"/>
      <c r="AY8" s="1760"/>
      <c r="AZ8" s="1758"/>
      <c r="BA8" s="1760"/>
      <c r="BB8" s="1758"/>
      <c r="BC8" s="1760"/>
      <c r="BD8" s="1758"/>
      <c r="BE8" s="1760"/>
      <c r="BF8" s="1758"/>
      <c r="BG8" s="1760"/>
      <c r="BH8" s="1758"/>
      <c r="BI8" s="1760"/>
      <c r="BJ8" s="1758"/>
      <c r="BK8" s="1760"/>
      <c r="BL8" s="1758"/>
      <c r="BM8" s="1760"/>
      <c r="BN8" s="1758"/>
      <c r="BO8" s="1760"/>
      <c r="BP8" s="1758"/>
      <c r="BQ8" s="1760"/>
      <c r="BR8" s="1758"/>
      <c r="BS8" s="1760"/>
      <c r="BT8" s="1758"/>
      <c r="BU8" s="1760"/>
      <c r="BV8" s="1758"/>
      <c r="BW8" s="1760"/>
      <c r="BX8" s="1758"/>
      <c r="BY8" s="1760"/>
      <c r="BZ8" s="1758"/>
      <c r="CA8" s="1760"/>
      <c r="CB8" s="1758"/>
      <c r="CC8" s="1760"/>
      <c r="CD8" s="1758"/>
      <c r="CE8" s="1760"/>
      <c r="CF8" s="1758"/>
      <c r="CG8" s="1760"/>
      <c r="CH8" s="1758"/>
      <c r="CI8" s="1760"/>
      <c r="CJ8" s="1758"/>
      <c r="CK8" s="1760"/>
      <c r="CL8" s="1758"/>
      <c r="CM8" s="1760"/>
      <c r="CN8" s="1758"/>
      <c r="CO8" s="1760"/>
      <c r="CP8" s="1758"/>
      <c r="CQ8" s="1760"/>
      <c r="CR8" s="1758"/>
      <c r="CS8" s="1760"/>
      <c r="CT8" s="1758"/>
      <c r="CU8" s="1760"/>
      <c r="CV8" s="1758"/>
      <c r="CW8" s="1760"/>
      <c r="CX8" s="1758"/>
      <c r="CY8" s="1760"/>
      <c r="CZ8" s="1758"/>
      <c r="DA8" s="1760"/>
      <c r="DB8" s="1758"/>
      <c r="DC8" s="1760"/>
      <c r="DD8" s="1758"/>
      <c r="DE8" s="1760"/>
      <c r="DF8" s="1758"/>
      <c r="DG8" s="1760"/>
      <c r="DH8" s="1758"/>
      <c r="DI8" s="1760"/>
      <c r="DJ8" s="1758"/>
      <c r="DK8" s="1760"/>
      <c r="DL8" s="1758"/>
      <c r="DM8" s="1760"/>
      <c r="DN8" s="1758"/>
      <c r="DO8" s="1760"/>
      <c r="DP8" s="1758"/>
      <c r="DQ8" s="1760"/>
      <c r="DR8" s="1758"/>
      <c r="DS8" s="1760"/>
      <c r="DT8" s="1758"/>
      <c r="DU8" s="1760"/>
      <c r="DV8" s="1758"/>
      <c r="DW8" s="1760"/>
      <c r="DX8" s="1758"/>
      <c r="DY8" s="1760"/>
      <c r="DZ8" s="1758"/>
    </row>
    <row r="9" spans="1:257" s="1735" customFormat="1" ht="30.75" customHeight="1" thickBot="1">
      <c r="B9" s="1746" t="s">
        <v>642</v>
      </c>
      <c r="C9" s="1747"/>
      <c r="D9" s="2081">
        <v>20</v>
      </c>
      <c r="E9" s="2082"/>
      <c r="H9" s="1749"/>
      <c r="I9" s="1761"/>
      <c r="J9" s="1762"/>
      <c r="K9" s="1763"/>
      <c r="L9" s="1764"/>
      <c r="M9" s="1763"/>
      <c r="N9" s="1764"/>
      <c r="O9" s="1763"/>
      <c r="P9" s="1764"/>
      <c r="Q9" s="1763"/>
      <c r="R9" s="1764"/>
      <c r="S9" s="1763"/>
      <c r="T9" s="1764"/>
      <c r="U9" s="1763"/>
      <c r="V9" s="1764"/>
      <c r="W9" s="1763"/>
      <c r="X9" s="1764"/>
      <c r="Y9" s="1763"/>
      <c r="Z9" s="1764"/>
      <c r="AA9" s="1765"/>
      <c r="AB9" s="1766"/>
      <c r="AC9" s="2083">
        <f>$D$9</f>
        <v>20</v>
      </c>
      <c r="AD9" s="2084"/>
      <c r="AE9" s="1744" t="s">
        <v>1181</v>
      </c>
      <c r="AF9" s="1745">
        <f>AC9</f>
        <v>20</v>
      </c>
      <c r="AG9" s="1767"/>
      <c r="AH9" s="1768"/>
      <c r="AI9" s="1769"/>
      <c r="AJ9" s="1770"/>
      <c r="AK9" s="1771"/>
      <c r="AL9" s="1772"/>
      <c r="AM9" s="1771"/>
      <c r="AN9" s="1772"/>
      <c r="AO9" s="1771"/>
      <c r="AP9" s="1772"/>
      <c r="AQ9" s="1771"/>
      <c r="AR9" s="1772"/>
      <c r="AS9" s="1771"/>
      <c r="AT9" s="1772"/>
      <c r="AU9" s="1771"/>
      <c r="AV9" s="1772"/>
      <c r="AW9" s="1771"/>
      <c r="AX9" s="1772"/>
      <c r="AY9" s="1771"/>
      <c r="AZ9" s="1772"/>
      <c r="BA9" s="1771"/>
      <c r="BB9" s="1772"/>
      <c r="BC9" s="1771"/>
      <c r="BD9" s="1772"/>
      <c r="BE9" s="1771"/>
      <c r="BF9" s="1772"/>
      <c r="BG9" s="1771"/>
      <c r="BH9" s="1772"/>
      <c r="BI9" s="1771"/>
      <c r="BJ9" s="1772"/>
      <c r="BK9" s="1771"/>
      <c r="BL9" s="1772"/>
      <c r="BM9" s="1771"/>
      <c r="BN9" s="1772"/>
      <c r="BO9" s="1771"/>
      <c r="BP9" s="1772"/>
      <c r="BQ9" s="1771"/>
      <c r="BR9" s="1772"/>
      <c r="BS9" s="1771"/>
      <c r="BT9" s="1772"/>
      <c r="BU9" s="1771"/>
      <c r="BV9" s="1772"/>
      <c r="BW9" s="1771"/>
      <c r="BX9" s="1772"/>
      <c r="BY9" s="1771"/>
      <c r="BZ9" s="1772"/>
      <c r="CA9" s="1771"/>
      <c r="CB9" s="1772"/>
      <c r="CC9" s="1771"/>
      <c r="CD9" s="1772"/>
      <c r="CE9" s="1771"/>
      <c r="CF9" s="1772"/>
      <c r="CG9" s="1771"/>
      <c r="CH9" s="1772"/>
      <c r="CI9" s="1771"/>
      <c r="CJ9" s="1772"/>
      <c r="CK9" s="1771"/>
      <c r="CL9" s="1772"/>
      <c r="CM9" s="1771"/>
      <c r="CN9" s="1772"/>
      <c r="CO9" s="1771"/>
      <c r="CP9" s="1772"/>
      <c r="CQ9" s="1771"/>
      <c r="CR9" s="1772"/>
      <c r="CS9" s="1771"/>
      <c r="CT9" s="1772"/>
      <c r="CU9" s="1771"/>
      <c r="CV9" s="1772"/>
      <c r="CW9" s="1771"/>
      <c r="CX9" s="1772"/>
      <c r="CY9" s="1771"/>
      <c r="CZ9" s="1772"/>
      <c r="DA9" s="1771"/>
      <c r="DB9" s="1772"/>
      <c r="DC9" s="1771"/>
      <c r="DD9" s="1772"/>
      <c r="DE9" s="1771"/>
      <c r="DF9" s="1772"/>
      <c r="DG9" s="1771"/>
      <c r="DH9" s="1772"/>
      <c r="DI9" s="1771"/>
      <c r="DJ9" s="1772"/>
      <c r="DK9" s="1771"/>
      <c r="DL9" s="1772"/>
      <c r="DM9" s="1771"/>
      <c r="DN9" s="1772"/>
      <c r="DO9" s="1771"/>
      <c r="DP9" s="1772"/>
      <c r="DQ9" s="1771"/>
      <c r="DR9" s="1772"/>
      <c r="DS9" s="1771"/>
      <c r="DT9" s="1772"/>
      <c r="DU9" s="1771"/>
      <c r="DV9" s="1772"/>
      <c r="DW9" s="1771"/>
      <c r="DX9" s="1772"/>
      <c r="DY9" s="1771"/>
      <c r="DZ9" s="1772"/>
      <c r="EA9" s="1729"/>
      <c r="EB9" s="1729"/>
      <c r="EC9" s="1729"/>
      <c r="ED9" s="1729"/>
      <c r="EE9" s="1729"/>
      <c r="EF9" s="1729"/>
      <c r="EG9" s="1729"/>
      <c r="EH9" s="1729"/>
      <c r="EI9" s="1729"/>
      <c r="EJ9" s="1729"/>
      <c r="EK9" s="1729"/>
      <c r="EL9" s="1729"/>
      <c r="EM9" s="1729"/>
      <c r="EN9" s="1729"/>
      <c r="EO9" s="1729"/>
      <c r="EP9" s="1729"/>
      <c r="EQ9" s="1729"/>
      <c r="ER9" s="1729"/>
      <c r="ES9" s="1729"/>
      <c r="ET9" s="1729"/>
      <c r="EU9" s="1729"/>
      <c r="EV9" s="1729"/>
      <c r="EW9" s="1729"/>
      <c r="EX9" s="1729"/>
      <c r="EY9" s="1729"/>
      <c r="EZ9" s="1729"/>
      <c r="FA9" s="1729"/>
      <c r="FB9" s="1729"/>
      <c r="FC9" s="1729"/>
      <c r="FD9" s="1729"/>
      <c r="FE9" s="1729"/>
      <c r="FF9" s="1729"/>
      <c r="FG9" s="1729"/>
      <c r="FH9" s="1729"/>
      <c r="FI9" s="1729"/>
      <c r="FJ9" s="1729"/>
      <c r="FK9" s="1729"/>
      <c r="FL9" s="1729"/>
      <c r="FM9" s="1729"/>
      <c r="FN9" s="1729"/>
      <c r="FO9" s="1729"/>
      <c r="FP9" s="1729"/>
      <c r="FQ9" s="1729"/>
      <c r="FR9" s="1729"/>
      <c r="FS9" s="1729"/>
      <c r="FT9" s="1729"/>
      <c r="FU9" s="1729"/>
      <c r="FV9" s="1729"/>
      <c r="FW9" s="1729"/>
      <c r="FX9" s="1729"/>
      <c r="FY9" s="1729"/>
      <c r="FZ9" s="1729"/>
      <c r="GA9" s="1729"/>
      <c r="GB9" s="1729"/>
      <c r="GC9" s="1729"/>
      <c r="GD9" s="1729"/>
      <c r="GE9" s="1729"/>
      <c r="GF9" s="1729"/>
      <c r="GG9" s="1729"/>
      <c r="GH9" s="1729"/>
      <c r="GI9" s="1729"/>
      <c r="GJ9" s="1729"/>
      <c r="GK9" s="1729"/>
      <c r="GL9" s="1729"/>
      <c r="GM9" s="1729"/>
      <c r="GN9" s="1729"/>
      <c r="GO9" s="1729"/>
      <c r="GP9" s="1729"/>
      <c r="GQ9" s="1729"/>
      <c r="GR9" s="1729"/>
      <c r="GS9" s="1729"/>
      <c r="GT9" s="1729"/>
      <c r="GU9" s="1729"/>
      <c r="GV9" s="1729"/>
      <c r="GW9" s="1729"/>
      <c r="GX9" s="1729"/>
      <c r="GY9" s="1729"/>
      <c r="GZ9" s="1729"/>
      <c r="HA9" s="1729"/>
      <c r="HB9" s="1729"/>
      <c r="HC9" s="1729"/>
      <c r="HD9" s="1729"/>
      <c r="HE9" s="1729"/>
      <c r="HF9" s="1729"/>
      <c r="HG9" s="1729"/>
      <c r="HH9" s="1729"/>
      <c r="HI9" s="1729"/>
      <c r="HJ9" s="1729"/>
      <c r="HK9" s="1729"/>
      <c r="HL9" s="1729"/>
      <c r="HM9" s="1729"/>
      <c r="HN9" s="1729"/>
      <c r="HO9" s="1729"/>
      <c r="HP9" s="1729"/>
      <c r="HQ9" s="1729"/>
      <c r="HR9" s="1729"/>
      <c r="HS9" s="1729"/>
      <c r="HT9" s="1729"/>
      <c r="HU9" s="1729"/>
      <c r="HV9" s="1729"/>
      <c r="HW9" s="1729"/>
      <c r="HX9" s="1729"/>
      <c r="HY9" s="1729"/>
      <c r="HZ9" s="1729"/>
      <c r="IA9" s="1729"/>
      <c r="IB9" s="1729"/>
      <c r="IC9" s="1729"/>
      <c r="ID9" s="1729"/>
      <c r="IE9" s="1729"/>
      <c r="IF9" s="1729"/>
      <c r="IG9" s="1729"/>
      <c r="IH9" s="1729"/>
      <c r="II9" s="1729"/>
      <c r="IJ9" s="1729"/>
      <c r="IK9" s="1729"/>
      <c r="IL9" s="1729"/>
      <c r="IM9" s="1729"/>
      <c r="IN9" s="1729"/>
      <c r="IO9" s="1729"/>
      <c r="IP9" s="1729"/>
      <c r="IQ9" s="1729"/>
      <c r="IR9" s="1729"/>
      <c r="IS9" s="1729"/>
      <c r="IT9" s="1729"/>
      <c r="IU9" s="1729"/>
      <c r="IV9" s="1729"/>
      <c r="IW9" s="1729"/>
    </row>
    <row r="10" spans="1:257" s="1735" customFormat="1" ht="27" customHeight="1" thickBot="1">
      <c r="B10" s="1746" t="s">
        <v>643</v>
      </c>
      <c r="C10" s="1747"/>
      <c r="D10" s="2085">
        <f>ROUND(($F$10/1000),2)</f>
        <v>0.5</v>
      </c>
      <c r="E10" s="2086"/>
      <c r="F10" s="1773">
        <v>501</v>
      </c>
      <c r="G10" s="1774"/>
      <c r="H10" s="1775" t="s">
        <v>899</v>
      </c>
      <c r="I10" s="2087">
        <f>$F$10/1000</f>
        <v>0.501</v>
      </c>
      <c r="J10" s="2088"/>
      <c r="K10" s="2087">
        <f>$F$10/1000</f>
        <v>0.501</v>
      </c>
      <c r="L10" s="2088"/>
      <c r="M10" s="2087">
        <f>$F$10/1000</f>
        <v>0.501</v>
      </c>
      <c r="N10" s="2088"/>
      <c r="O10" s="2087">
        <f>$F$10/1000</f>
        <v>0.501</v>
      </c>
      <c r="P10" s="2088"/>
      <c r="Q10" s="2087">
        <f>$F$10/1000</f>
        <v>0.501</v>
      </c>
      <c r="R10" s="2088"/>
      <c r="S10" s="2087">
        <f>$F$10/1000</f>
        <v>0.501</v>
      </c>
      <c r="T10" s="2088"/>
      <c r="U10" s="2087">
        <f>$F$10/1000</f>
        <v>0.501</v>
      </c>
      <c r="V10" s="2088"/>
      <c r="W10" s="2087">
        <f>$F$10/1000</f>
        <v>0.501</v>
      </c>
      <c r="X10" s="2088"/>
      <c r="Y10" s="2087">
        <f>$F$10/1000</f>
        <v>0.501</v>
      </c>
      <c r="Z10" s="2088"/>
      <c r="AA10" s="2087">
        <f>$F$10/1000</f>
        <v>0.501</v>
      </c>
      <c r="AB10" s="2088"/>
      <c r="AC10" s="2087">
        <f>$F$10/1000</f>
        <v>0.501</v>
      </c>
      <c r="AD10" s="2091"/>
      <c r="AE10" s="2092" t="s">
        <v>900</v>
      </c>
      <c r="AF10" s="2094">
        <f>AY190</f>
        <v>5</v>
      </c>
      <c r="AG10" s="2087">
        <f>$F$10/1000</f>
        <v>0.501</v>
      </c>
      <c r="AH10" s="2088"/>
      <c r="AI10" s="2087">
        <f>$F$10/1000</f>
        <v>0.501</v>
      </c>
      <c r="AJ10" s="2088"/>
      <c r="AK10" s="2087">
        <f>$F$10/1000</f>
        <v>0.501</v>
      </c>
      <c r="AL10" s="2088"/>
      <c r="AM10" s="2087">
        <f>$F$10/1000</f>
        <v>0.501</v>
      </c>
      <c r="AN10" s="2088"/>
      <c r="AO10" s="2087">
        <f>$F$10/1000</f>
        <v>0.501</v>
      </c>
      <c r="AP10" s="2088"/>
      <c r="AQ10" s="2089"/>
      <c r="AR10" s="2090"/>
      <c r="AS10" s="2089"/>
      <c r="AT10" s="2090"/>
      <c r="AU10" s="2089"/>
      <c r="AV10" s="2090"/>
      <c r="AW10" s="2089"/>
      <c r="AX10" s="2090"/>
      <c r="AY10" s="2089"/>
      <c r="AZ10" s="2090"/>
      <c r="BA10" s="2089"/>
      <c r="BB10" s="2090"/>
      <c r="BC10" s="2089"/>
      <c r="BD10" s="2090"/>
      <c r="BE10" s="2089"/>
      <c r="BF10" s="2090"/>
      <c r="BG10" s="2089"/>
      <c r="BH10" s="2090"/>
      <c r="BI10" s="2089"/>
      <c r="BJ10" s="2090"/>
      <c r="BK10" s="2089"/>
      <c r="BL10" s="2090"/>
      <c r="BM10" s="2089"/>
      <c r="BN10" s="2090"/>
      <c r="BO10" s="2089"/>
      <c r="BP10" s="2090"/>
      <c r="BQ10" s="2089"/>
      <c r="BR10" s="2090"/>
      <c r="BS10" s="2089"/>
      <c r="BT10" s="2090"/>
      <c r="BU10" s="2089"/>
      <c r="BV10" s="2090"/>
      <c r="BW10" s="2089"/>
      <c r="BX10" s="2090"/>
      <c r="BY10" s="2089"/>
      <c r="BZ10" s="2090"/>
      <c r="CA10" s="2089"/>
      <c r="CB10" s="2090"/>
      <c r="CC10" s="2089"/>
      <c r="CD10" s="2090"/>
      <c r="CE10" s="2089"/>
      <c r="CF10" s="2090"/>
      <c r="CG10" s="2089"/>
      <c r="CH10" s="2090"/>
      <c r="CI10" s="2089"/>
      <c r="CJ10" s="2090"/>
      <c r="CK10" s="2089"/>
      <c r="CL10" s="2090"/>
      <c r="CM10" s="2089"/>
      <c r="CN10" s="2090"/>
      <c r="CO10" s="2089"/>
      <c r="CP10" s="2090"/>
      <c r="CQ10" s="2089"/>
      <c r="CR10" s="2090"/>
      <c r="CS10" s="2089"/>
      <c r="CT10" s="2090"/>
      <c r="CU10" s="2089"/>
      <c r="CV10" s="2090"/>
      <c r="CW10" s="2089"/>
      <c r="CX10" s="2090"/>
      <c r="CY10" s="2089"/>
      <c r="CZ10" s="2090"/>
      <c r="DA10" s="2089"/>
      <c r="DB10" s="2090"/>
      <c r="DC10" s="2089"/>
      <c r="DD10" s="2090"/>
      <c r="DE10" s="2089"/>
      <c r="DF10" s="2090"/>
      <c r="DG10" s="2089"/>
      <c r="DH10" s="2090"/>
      <c r="DI10" s="2089"/>
      <c r="DJ10" s="2090"/>
      <c r="DK10" s="2089"/>
      <c r="DL10" s="2090"/>
      <c r="DM10" s="2089"/>
      <c r="DN10" s="2090"/>
      <c r="DO10" s="2089"/>
      <c r="DP10" s="2090"/>
      <c r="DQ10" s="2089"/>
      <c r="DR10" s="2090"/>
      <c r="DS10" s="2089"/>
      <c r="DT10" s="2090"/>
      <c r="DU10" s="2089"/>
      <c r="DV10" s="2090"/>
      <c r="DW10" s="2089"/>
      <c r="DX10" s="2090"/>
      <c r="DY10" s="2089"/>
      <c r="DZ10" s="2098"/>
      <c r="EA10" s="1729"/>
      <c r="EB10" s="1729"/>
      <c r="EC10" s="1729"/>
      <c r="ED10" s="1729"/>
      <c r="EE10" s="1729"/>
      <c r="EF10" s="1729"/>
      <c r="EG10" s="1729"/>
      <c r="EH10" s="1729"/>
      <c r="EI10" s="1729"/>
      <c r="EJ10" s="1729"/>
      <c r="EK10" s="1729"/>
      <c r="EL10" s="1729"/>
      <c r="EM10" s="1729"/>
      <c r="EN10" s="1729"/>
      <c r="EO10" s="1729"/>
      <c r="EP10" s="1729"/>
      <c r="EQ10" s="1729"/>
      <c r="ER10" s="1729"/>
      <c r="ES10" s="1729"/>
      <c r="ET10" s="1729"/>
      <c r="EU10" s="1729"/>
      <c r="EV10" s="1729"/>
      <c r="EW10" s="1729"/>
      <c r="EX10" s="1729"/>
      <c r="EY10" s="1729"/>
      <c r="EZ10" s="1729"/>
      <c r="FA10" s="1729"/>
      <c r="FB10" s="1729"/>
      <c r="FC10" s="1729"/>
      <c r="FD10" s="1729"/>
      <c r="FE10" s="1729"/>
      <c r="FF10" s="1729"/>
      <c r="FG10" s="1729"/>
      <c r="FH10" s="1729"/>
      <c r="FI10" s="1729"/>
      <c r="FJ10" s="1729"/>
      <c r="FK10" s="1729"/>
      <c r="FL10" s="1729"/>
      <c r="FM10" s="1729"/>
      <c r="FN10" s="1729"/>
      <c r="FO10" s="1729"/>
      <c r="FP10" s="1729"/>
      <c r="FQ10" s="1729"/>
      <c r="FR10" s="1729"/>
      <c r="FS10" s="1729"/>
      <c r="FT10" s="1729"/>
      <c r="FU10" s="1729"/>
      <c r="FV10" s="1729"/>
      <c r="FW10" s="1729"/>
      <c r="FX10" s="1729"/>
      <c r="FY10" s="1729"/>
      <c r="FZ10" s="1729"/>
      <c r="GA10" s="1729"/>
      <c r="GB10" s="1729"/>
      <c r="GC10" s="1729"/>
      <c r="GD10" s="1729"/>
      <c r="GE10" s="1729"/>
      <c r="GF10" s="1729"/>
      <c r="GG10" s="1729"/>
      <c r="GH10" s="1729"/>
      <c r="GI10" s="1729"/>
      <c r="GJ10" s="1729"/>
      <c r="GK10" s="1729"/>
      <c r="GL10" s="1729"/>
      <c r="GM10" s="1729"/>
      <c r="GN10" s="1729"/>
      <c r="GO10" s="1729"/>
      <c r="GP10" s="1729"/>
      <c r="GQ10" s="1729"/>
      <c r="GR10" s="1729"/>
      <c r="GS10" s="1729"/>
      <c r="GT10" s="1729"/>
      <c r="GU10" s="1729"/>
      <c r="GV10" s="1729"/>
      <c r="GW10" s="1729"/>
      <c r="GX10" s="1729"/>
      <c r="GY10" s="1729"/>
      <c r="GZ10" s="1729"/>
      <c r="HA10" s="1729"/>
      <c r="HB10" s="1729"/>
      <c r="HC10" s="1729"/>
      <c r="HD10" s="1729"/>
      <c r="HE10" s="1729"/>
      <c r="HF10" s="1729"/>
      <c r="HG10" s="1729"/>
      <c r="HH10" s="1729"/>
      <c r="HI10" s="1729"/>
      <c r="HJ10" s="1729"/>
      <c r="HK10" s="1729"/>
      <c r="HL10" s="1729"/>
      <c r="HM10" s="1729"/>
      <c r="HN10" s="1729"/>
      <c r="HO10" s="1729"/>
      <c r="HP10" s="1729"/>
      <c r="HQ10" s="1729"/>
      <c r="HR10" s="1729"/>
      <c r="HS10" s="1729"/>
      <c r="HT10" s="1729"/>
      <c r="HU10" s="1729"/>
      <c r="HV10" s="1729"/>
      <c r="HW10" s="1729"/>
      <c r="HX10" s="1729"/>
      <c r="HY10" s="1729"/>
      <c r="HZ10" s="1729"/>
      <c r="IA10" s="1729"/>
      <c r="IB10" s="1729"/>
      <c r="IC10" s="1729"/>
      <c r="ID10" s="1729"/>
      <c r="IE10" s="1729"/>
      <c r="IF10" s="1729"/>
      <c r="IG10" s="1729"/>
      <c r="IH10" s="1729"/>
      <c r="II10" s="1729"/>
      <c r="IJ10" s="1729"/>
      <c r="IK10" s="1729"/>
      <c r="IL10" s="1729"/>
      <c r="IM10" s="1729"/>
      <c r="IN10" s="1729"/>
      <c r="IO10" s="1729"/>
      <c r="IP10" s="1729"/>
      <c r="IQ10" s="1729"/>
      <c r="IR10" s="1729"/>
      <c r="IS10" s="1729"/>
      <c r="IT10" s="1729"/>
      <c r="IU10" s="1729"/>
      <c r="IV10" s="1729"/>
      <c r="IW10" s="1729"/>
    </row>
    <row r="11" spans="1:257" ht="20.25" customHeight="1" thickBot="1">
      <c r="B11" s="1776" t="s">
        <v>437</v>
      </c>
      <c r="C11" s="1777"/>
      <c r="D11" s="1778" t="s">
        <v>0</v>
      </c>
      <c r="E11" s="1779" t="s">
        <v>1</v>
      </c>
      <c r="F11" s="1780" t="s">
        <v>472</v>
      </c>
      <c r="G11" s="1781"/>
      <c r="H11" s="1782"/>
      <c r="I11" s="1783" t="s">
        <v>0</v>
      </c>
      <c r="J11" s="1779" t="s">
        <v>1</v>
      </c>
      <c r="K11" s="1778" t="s">
        <v>0</v>
      </c>
      <c r="L11" s="1779" t="s">
        <v>1</v>
      </c>
      <c r="M11" s="1778" t="s">
        <v>0</v>
      </c>
      <c r="N11" s="1779" t="s">
        <v>1</v>
      </c>
      <c r="O11" s="1778" t="s">
        <v>0</v>
      </c>
      <c r="P11" s="1779" t="s">
        <v>1</v>
      </c>
      <c r="Q11" s="1778" t="s">
        <v>0</v>
      </c>
      <c r="R11" s="1779" t="s">
        <v>1</v>
      </c>
      <c r="S11" s="1778" t="s">
        <v>0</v>
      </c>
      <c r="T11" s="1779" t="s">
        <v>1</v>
      </c>
      <c r="U11" s="1778" t="s">
        <v>0</v>
      </c>
      <c r="V11" s="1779" t="s">
        <v>1</v>
      </c>
      <c r="W11" s="1778" t="s">
        <v>0</v>
      </c>
      <c r="X11" s="1779" t="s">
        <v>1</v>
      </c>
      <c r="Y11" s="1778" t="s">
        <v>0</v>
      </c>
      <c r="Z11" s="1779" t="s">
        <v>1</v>
      </c>
      <c r="AA11" s="1778" t="s">
        <v>0</v>
      </c>
      <c r="AB11" s="1779" t="s">
        <v>1</v>
      </c>
      <c r="AC11" s="1778" t="s">
        <v>0</v>
      </c>
      <c r="AD11" s="1784" t="s">
        <v>1</v>
      </c>
      <c r="AE11" s="2093"/>
      <c r="AF11" s="2095"/>
      <c r="AG11" s="1785" t="s">
        <v>0</v>
      </c>
      <c r="AH11" s="1786" t="s">
        <v>1</v>
      </c>
      <c r="AI11" s="1783" t="s">
        <v>0</v>
      </c>
      <c r="AJ11" s="1779" t="s">
        <v>1</v>
      </c>
      <c r="AK11" s="1787" t="s">
        <v>0</v>
      </c>
      <c r="AL11" s="1786" t="s">
        <v>1</v>
      </c>
      <c r="AM11" s="1783" t="s">
        <v>0</v>
      </c>
      <c r="AN11" s="1786" t="s">
        <v>1</v>
      </c>
      <c r="AO11" s="1783" t="s">
        <v>0</v>
      </c>
      <c r="AP11" s="1779" t="s">
        <v>1</v>
      </c>
      <c r="AQ11" s="1788" t="s">
        <v>0</v>
      </c>
      <c r="AR11" s="1789" t="s">
        <v>1</v>
      </c>
      <c r="AS11" s="1788" t="s">
        <v>0</v>
      </c>
      <c r="AT11" s="1789" t="s">
        <v>1</v>
      </c>
      <c r="AU11" s="1788" t="s">
        <v>0</v>
      </c>
      <c r="AV11" s="1789" t="s">
        <v>1</v>
      </c>
      <c r="AW11" s="1788" t="s">
        <v>0</v>
      </c>
      <c r="AX11" s="1789" t="s">
        <v>1</v>
      </c>
      <c r="AY11" s="1788" t="s">
        <v>0</v>
      </c>
      <c r="AZ11" s="1789" t="s">
        <v>1</v>
      </c>
      <c r="BA11" s="1788" t="s">
        <v>0</v>
      </c>
      <c r="BB11" s="1789" t="s">
        <v>1</v>
      </c>
      <c r="BC11" s="1788" t="s">
        <v>0</v>
      </c>
      <c r="BD11" s="1789" t="s">
        <v>1</v>
      </c>
      <c r="BE11" s="1788" t="s">
        <v>0</v>
      </c>
      <c r="BF11" s="1789" t="s">
        <v>1</v>
      </c>
      <c r="BG11" s="1788" t="s">
        <v>0</v>
      </c>
      <c r="BH11" s="1789" t="s">
        <v>1</v>
      </c>
      <c r="BI11" s="1788" t="s">
        <v>0</v>
      </c>
      <c r="BJ11" s="1789" t="s">
        <v>1</v>
      </c>
      <c r="BK11" s="1788" t="s">
        <v>0</v>
      </c>
      <c r="BL11" s="1789" t="s">
        <v>1</v>
      </c>
      <c r="BM11" s="1788" t="s">
        <v>0</v>
      </c>
      <c r="BN11" s="1789" t="s">
        <v>1</v>
      </c>
      <c r="BO11" s="1788" t="s">
        <v>0</v>
      </c>
      <c r="BP11" s="1789" t="s">
        <v>1</v>
      </c>
      <c r="BQ11" s="1788" t="s">
        <v>0</v>
      </c>
      <c r="BR11" s="1789" t="s">
        <v>1</v>
      </c>
      <c r="BS11" s="1788" t="s">
        <v>0</v>
      </c>
      <c r="BT11" s="1789" t="s">
        <v>1</v>
      </c>
      <c r="BU11" s="1788" t="s">
        <v>0</v>
      </c>
      <c r="BV11" s="1789" t="s">
        <v>1</v>
      </c>
      <c r="BW11" s="1788" t="s">
        <v>0</v>
      </c>
      <c r="BX11" s="1789" t="s">
        <v>1</v>
      </c>
      <c r="BY11" s="1788" t="s">
        <v>0</v>
      </c>
      <c r="BZ11" s="1789" t="s">
        <v>1</v>
      </c>
      <c r="CA11" s="1788" t="s">
        <v>0</v>
      </c>
      <c r="CB11" s="1789" t="s">
        <v>1</v>
      </c>
      <c r="CC11" s="1788" t="s">
        <v>0</v>
      </c>
      <c r="CD11" s="1789" t="s">
        <v>1</v>
      </c>
      <c r="CE11" s="1788" t="s">
        <v>0</v>
      </c>
      <c r="CF11" s="1789" t="s">
        <v>1</v>
      </c>
      <c r="CG11" s="1788" t="s">
        <v>0</v>
      </c>
      <c r="CH11" s="1789" t="s">
        <v>1</v>
      </c>
      <c r="CI11" s="1788" t="s">
        <v>0</v>
      </c>
      <c r="CJ11" s="1789" t="s">
        <v>1</v>
      </c>
      <c r="CK11" s="1788" t="s">
        <v>0</v>
      </c>
      <c r="CL11" s="1789" t="s">
        <v>1</v>
      </c>
      <c r="CM11" s="1788" t="s">
        <v>0</v>
      </c>
      <c r="CN11" s="1789" t="s">
        <v>1</v>
      </c>
      <c r="CO11" s="1788" t="s">
        <v>0</v>
      </c>
      <c r="CP11" s="1789" t="s">
        <v>1</v>
      </c>
      <c r="CQ11" s="1788" t="s">
        <v>0</v>
      </c>
      <c r="CR11" s="1789" t="s">
        <v>1</v>
      </c>
      <c r="CS11" s="1788" t="s">
        <v>0</v>
      </c>
      <c r="CT11" s="1789" t="s">
        <v>1</v>
      </c>
      <c r="CU11" s="1788" t="s">
        <v>0</v>
      </c>
      <c r="CV11" s="1789" t="s">
        <v>1</v>
      </c>
      <c r="CW11" s="1788" t="s">
        <v>0</v>
      </c>
      <c r="CX11" s="1789" t="s">
        <v>1</v>
      </c>
      <c r="CY11" s="1788" t="s">
        <v>0</v>
      </c>
      <c r="CZ11" s="1789" t="s">
        <v>1</v>
      </c>
      <c r="DA11" s="1788" t="s">
        <v>0</v>
      </c>
      <c r="DB11" s="1789" t="s">
        <v>1</v>
      </c>
      <c r="DC11" s="1788" t="s">
        <v>0</v>
      </c>
      <c r="DD11" s="1789" t="s">
        <v>1</v>
      </c>
      <c r="DE11" s="1788" t="s">
        <v>0</v>
      </c>
      <c r="DF11" s="1789" t="s">
        <v>1</v>
      </c>
      <c r="DG11" s="1788" t="s">
        <v>0</v>
      </c>
      <c r="DH11" s="1789" t="s">
        <v>1</v>
      </c>
      <c r="DI11" s="1788" t="s">
        <v>0</v>
      </c>
      <c r="DJ11" s="1789" t="s">
        <v>1</v>
      </c>
      <c r="DK11" s="1788" t="s">
        <v>0</v>
      </c>
      <c r="DL11" s="1789" t="s">
        <v>1</v>
      </c>
      <c r="DM11" s="1788" t="s">
        <v>0</v>
      </c>
      <c r="DN11" s="1789" t="s">
        <v>1</v>
      </c>
      <c r="DO11" s="1788" t="s">
        <v>0</v>
      </c>
      <c r="DP11" s="1789" t="s">
        <v>1</v>
      </c>
      <c r="DQ11" s="1788" t="s">
        <v>0</v>
      </c>
      <c r="DR11" s="1789" t="s">
        <v>1</v>
      </c>
      <c r="DS11" s="1788" t="s">
        <v>0</v>
      </c>
      <c r="DT11" s="1789" t="s">
        <v>1</v>
      </c>
      <c r="DU11" s="1788" t="s">
        <v>0</v>
      </c>
      <c r="DV11" s="1789" t="s">
        <v>1</v>
      </c>
      <c r="DW11" s="1788" t="s">
        <v>0</v>
      </c>
      <c r="DX11" s="1789" t="s">
        <v>1</v>
      </c>
      <c r="DY11" s="1788" t="s">
        <v>0</v>
      </c>
      <c r="DZ11" s="1790" t="s">
        <v>1</v>
      </c>
    </row>
    <row r="12" spans="1:257" s="1774" customFormat="1" ht="14.25" customHeight="1">
      <c r="B12" s="1791" t="s">
        <v>6</v>
      </c>
      <c r="C12" s="1792" t="s">
        <v>259</v>
      </c>
      <c r="D12" s="1793">
        <f>INDEX(I12:DZ12,,MATCH($B$5,$I$5:$DZ$5,0))</f>
        <v>0</v>
      </c>
      <c r="E12" s="1794">
        <f>INDEX(I12:DZ12,,MATCH($B$6,$I$5:$DZ$5,0))</f>
        <v>5.0695742149295242</v>
      </c>
      <c r="F12" s="1795" t="s">
        <v>7</v>
      </c>
      <c r="H12" s="1796" t="s">
        <v>901</v>
      </c>
      <c r="I12" s="1797">
        <v>0</v>
      </c>
      <c r="J12" s="1798">
        <f>$J$152</f>
        <v>5.0695742149295242</v>
      </c>
      <c r="K12" s="1799">
        <v>0</v>
      </c>
      <c r="L12" s="1798">
        <f>$M$152</f>
        <v>5.0695742149295242</v>
      </c>
      <c r="M12" s="1799">
        <v>0</v>
      </c>
      <c r="N12" s="1798">
        <f>$O$152</f>
        <v>5.0695742149295242</v>
      </c>
      <c r="O12" s="1799">
        <v>0</v>
      </c>
      <c r="P12" s="1798">
        <f>$R$152</f>
        <v>5.0695742149295242</v>
      </c>
      <c r="Q12" s="1799">
        <v>0</v>
      </c>
      <c r="R12" s="1798">
        <f>$T$152</f>
        <v>5.0695742149295242</v>
      </c>
      <c r="S12" s="1799">
        <v>0</v>
      </c>
      <c r="T12" s="1798">
        <f>$V$152</f>
        <v>5.0695742149295242</v>
      </c>
      <c r="U12" s="1799">
        <v>0</v>
      </c>
      <c r="V12" s="1798">
        <f>$Y$152</f>
        <v>4.217247831907093</v>
      </c>
      <c r="W12" s="1799">
        <v>0</v>
      </c>
      <c r="X12" s="1798">
        <f>$AB$152</f>
        <v>4.217247831907093</v>
      </c>
      <c r="Y12" s="1799">
        <v>0</v>
      </c>
      <c r="Z12" s="1800">
        <f>$AD$152</f>
        <v>4.217247831907093</v>
      </c>
      <c r="AA12" s="1799">
        <v>0</v>
      </c>
      <c r="AB12" s="1800">
        <f>$AH$152</f>
        <v>3.7058105400000008</v>
      </c>
      <c r="AC12" s="1799">
        <v>0</v>
      </c>
      <c r="AD12" s="1801">
        <f>$AK$152</f>
        <v>5.3267218094256066</v>
      </c>
      <c r="AE12" s="1802"/>
      <c r="AF12" s="1803"/>
      <c r="AG12" s="1804">
        <v>0</v>
      </c>
      <c r="AH12" s="1805">
        <f>$AY$192</f>
        <v>4.8296853220689826</v>
      </c>
      <c r="AI12" s="1799">
        <v>0</v>
      </c>
      <c r="AJ12" s="1800">
        <f>$BC$193</f>
        <v>5.0695742149295242</v>
      </c>
      <c r="AK12" s="1799">
        <v>0</v>
      </c>
      <c r="AL12" s="1800">
        <f>$AP$152</f>
        <v>4.4520022245469191</v>
      </c>
      <c r="AM12" s="1799">
        <v>0</v>
      </c>
      <c r="AN12" s="1800">
        <f>$AS$152</f>
        <v>4.4520022245469191</v>
      </c>
      <c r="AO12" s="1799">
        <v>0</v>
      </c>
      <c r="AP12" s="1800">
        <f>$AU$152</f>
        <v>4.4520022245469191</v>
      </c>
      <c r="AQ12" s="1799">
        <v>0</v>
      </c>
      <c r="AR12" s="1800">
        <f>'Calc.Exg'!I13</f>
        <v>4.9106489358158658</v>
      </c>
      <c r="AS12" s="1806">
        <f>AQ12</f>
        <v>0</v>
      </c>
      <c r="AT12" s="1807">
        <f>AR12</f>
        <v>4.9106489358158658</v>
      </c>
      <c r="AU12" s="1806">
        <f>AQ12</f>
        <v>0</v>
      </c>
      <c r="AV12" s="1807">
        <f t="shared" ref="AV12:BB12" si="99">AT12</f>
        <v>4.9106489358158658</v>
      </c>
      <c r="AW12" s="1806">
        <f t="shared" si="99"/>
        <v>0</v>
      </c>
      <c r="AX12" s="1807">
        <f t="shared" si="99"/>
        <v>4.9106489358158658</v>
      </c>
      <c r="AY12" s="1806">
        <f t="shared" si="99"/>
        <v>0</v>
      </c>
      <c r="AZ12" s="1807">
        <f t="shared" si="99"/>
        <v>4.9106489358158658</v>
      </c>
      <c r="BA12" s="1806">
        <f t="shared" si="99"/>
        <v>0</v>
      </c>
      <c r="BB12" s="1807">
        <f t="shared" si="99"/>
        <v>4.9106489358158658</v>
      </c>
      <c r="BC12" s="1806"/>
      <c r="BD12" s="1807"/>
      <c r="BE12" s="1806"/>
      <c r="BF12" s="1807"/>
      <c r="BG12" s="1806"/>
      <c r="BH12" s="1807"/>
      <c r="BI12" s="1806"/>
      <c r="BJ12" s="1807"/>
      <c r="BK12" s="1806"/>
      <c r="BL12" s="1807"/>
      <c r="BM12" s="1806"/>
      <c r="BN12" s="1807"/>
      <c r="BO12" s="1806"/>
      <c r="BP12" s="1807"/>
      <c r="BQ12" s="1806"/>
      <c r="BR12" s="1807"/>
      <c r="BS12" s="1806"/>
      <c r="BT12" s="1807"/>
      <c r="BU12" s="1806"/>
      <c r="BV12" s="1807"/>
      <c r="BW12" s="1806"/>
      <c r="BX12" s="1807"/>
      <c r="BY12" s="1806"/>
      <c r="BZ12" s="1807"/>
      <c r="CA12" s="1806"/>
      <c r="CB12" s="1807"/>
      <c r="CC12" s="1806"/>
      <c r="CD12" s="1807"/>
      <c r="CE12" s="1806"/>
      <c r="CF12" s="1807"/>
      <c r="CG12" s="1806"/>
      <c r="CH12" s="1807"/>
      <c r="CI12" s="1806"/>
      <c r="CJ12" s="1807"/>
      <c r="CK12" s="1806"/>
      <c r="CL12" s="1807"/>
      <c r="CM12" s="1806"/>
      <c r="CN12" s="1807"/>
      <c r="CO12" s="1806"/>
      <c r="CP12" s="1807"/>
      <c r="CQ12" s="1806"/>
      <c r="CR12" s="1807"/>
      <c r="CS12" s="1806"/>
      <c r="CT12" s="1807"/>
      <c r="CU12" s="1806"/>
      <c r="CV12" s="1807"/>
      <c r="CW12" s="1806"/>
      <c r="CX12" s="1807"/>
      <c r="CY12" s="1806"/>
      <c r="CZ12" s="1807"/>
      <c r="DA12" s="1806"/>
      <c r="DB12" s="1807"/>
      <c r="DC12" s="1806"/>
      <c r="DD12" s="1807"/>
      <c r="DE12" s="1806"/>
      <c r="DF12" s="1807"/>
      <c r="DG12" s="1806"/>
      <c r="DH12" s="1807"/>
      <c r="DI12" s="1806"/>
      <c r="DJ12" s="1807"/>
      <c r="DK12" s="1806"/>
      <c r="DL12" s="1807"/>
      <c r="DM12" s="1806"/>
      <c r="DN12" s="1807"/>
      <c r="DO12" s="1806"/>
      <c r="DP12" s="1807"/>
      <c r="DQ12" s="1806"/>
      <c r="DR12" s="1807"/>
      <c r="DS12" s="1806"/>
      <c r="DT12" s="1807"/>
      <c r="DU12" s="1806"/>
      <c r="DV12" s="1807"/>
      <c r="DW12" s="1806"/>
      <c r="DX12" s="1807"/>
      <c r="DY12" s="1806"/>
      <c r="DZ12" s="1808"/>
      <c r="IQ12" s="1729"/>
      <c r="IR12" s="1729"/>
      <c r="IS12" s="1729"/>
      <c r="IT12" s="1729"/>
      <c r="IU12" s="1729"/>
    </row>
    <row r="13" spans="1:257" s="1774" customFormat="1" ht="14.25" customHeight="1">
      <c r="B13" s="1791" t="s">
        <v>8</v>
      </c>
      <c r="C13" s="1792" t="s">
        <v>83</v>
      </c>
      <c r="D13" s="1809">
        <f>INDEX(I13:DZ13,,MATCH($B$5,$I$5:$DZ$5,0))</f>
        <v>2.6341239542602399</v>
      </c>
      <c r="E13" s="1794">
        <f t="shared" ref="E13:E50" si="100">INDEX(I13:DZ13,,MATCH($B$6,$I$5:$DZ$5,0))</f>
        <v>9999</v>
      </c>
      <c r="F13" s="1810" t="s">
        <v>7</v>
      </c>
      <c r="H13" s="1796" t="s">
        <v>8</v>
      </c>
      <c r="I13" s="1797">
        <f>$J$151</f>
        <v>2.6341239542602399</v>
      </c>
      <c r="J13" s="1798">
        <v>9999</v>
      </c>
      <c r="K13" s="1797">
        <f>$M$151</f>
        <v>2.702262844854749</v>
      </c>
      <c r="L13" s="1798">
        <v>9999</v>
      </c>
      <c r="M13" s="1797">
        <f>$O$151</f>
        <v>2.7557570963961577</v>
      </c>
      <c r="N13" s="1798">
        <v>9999</v>
      </c>
      <c r="O13" s="1797">
        <f>$R$151</f>
        <v>2.8390593753853439</v>
      </c>
      <c r="P13" s="1798">
        <v>9999</v>
      </c>
      <c r="Q13" s="1797">
        <f>$T$151</f>
        <v>2.8941593334801019</v>
      </c>
      <c r="R13" s="1798">
        <v>9999</v>
      </c>
      <c r="S13" s="1797">
        <f>$V$151</f>
        <v>2.9204425507947547</v>
      </c>
      <c r="T13" s="1798">
        <v>9999</v>
      </c>
      <c r="U13" s="1797">
        <f>$Y$151</f>
        <v>2.6140726035580166</v>
      </c>
      <c r="V13" s="1798">
        <v>9999</v>
      </c>
      <c r="W13" s="1797">
        <f>$AB$151</f>
        <v>2.6795397163645553</v>
      </c>
      <c r="X13" s="1798">
        <v>9999</v>
      </c>
      <c r="Y13" s="1797">
        <f>$AD$151</f>
        <v>2.7664220526500838</v>
      </c>
      <c r="Z13" s="1798">
        <v>9999</v>
      </c>
      <c r="AA13" s="1797">
        <f>$AH$151</f>
        <v>2.8308924960106658</v>
      </c>
      <c r="AB13" s="1798">
        <v>9999</v>
      </c>
      <c r="AC13" s="1797">
        <f>$AK$151</f>
        <v>4.9328767963725779</v>
      </c>
      <c r="AD13" s="1798">
        <v>9999</v>
      </c>
      <c r="AE13" s="1802"/>
      <c r="AF13" s="1803"/>
      <c r="AG13" s="1811">
        <f>$AY$151</f>
        <v>4.0360568549627942</v>
      </c>
      <c r="AH13" s="1798">
        <v>9999</v>
      </c>
      <c r="AI13" s="1797">
        <f>$BC$151</f>
        <v>3.6178448869859188</v>
      </c>
      <c r="AJ13" s="1798">
        <v>9999</v>
      </c>
      <c r="AK13" s="1797">
        <f>$AP$151</f>
        <v>2.6663159718992349</v>
      </c>
      <c r="AL13" s="1798">
        <v>9999</v>
      </c>
      <c r="AM13" s="1797">
        <f>$AS$151</f>
        <v>2.7247625644617286</v>
      </c>
      <c r="AN13" s="1798">
        <v>9999</v>
      </c>
      <c r="AO13" s="1797">
        <f>$AU$151</f>
        <v>2.7774225063873939</v>
      </c>
      <c r="AP13" s="1798">
        <v>9999</v>
      </c>
      <c r="AQ13" s="1797">
        <f>'Calc.Exg'!I18</f>
        <v>2.9197072263265507</v>
      </c>
      <c r="AR13" s="1798">
        <v>9999</v>
      </c>
      <c r="AS13" s="1812">
        <f t="shared" ref="AS13:AS51" si="101">AQ13</f>
        <v>2.9197072263265507</v>
      </c>
      <c r="AT13" s="1807">
        <f t="shared" ref="AT13:AT51" si="102">AR13</f>
        <v>9999</v>
      </c>
      <c r="AU13" s="1812">
        <f t="shared" ref="AU13:AU51" si="103">AQ13</f>
        <v>2.9197072263265507</v>
      </c>
      <c r="AV13" s="1807">
        <f t="shared" ref="AV13:AV51" si="104">AT13</f>
        <v>9999</v>
      </c>
      <c r="AW13" s="1812">
        <f t="shared" ref="AW13:AW30" si="105">AU13</f>
        <v>2.9197072263265507</v>
      </c>
      <c r="AX13" s="1807">
        <f t="shared" ref="AX13:AX30" si="106">AV13</f>
        <v>9999</v>
      </c>
      <c r="AY13" s="1812">
        <f t="shared" ref="AY13:AY30" si="107">AW13</f>
        <v>2.9197072263265507</v>
      </c>
      <c r="AZ13" s="1807">
        <f t="shared" ref="AZ13:AZ30" si="108">AX13</f>
        <v>9999</v>
      </c>
      <c r="BA13" s="1812">
        <f t="shared" ref="BA13:BA30" si="109">AY13</f>
        <v>2.9197072263265507</v>
      </c>
      <c r="BB13" s="1807">
        <f t="shared" ref="BB13:BB30" si="110">AZ13</f>
        <v>9999</v>
      </c>
      <c r="BC13" s="1812"/>
      <c r="BD13" s="1807"/>
      <c r="BE13" s="1812"/>
      <c r="BF13" s="1807"/>
      <c r="BG13" s="1812"/>
      <c r="BH13" s="1807"/>
      <c r="BI13" s="1812"/>
      <c r="BJ13" s="1807"/>
      <c r="BK13" s="1812"/>
      <c r="BL13" s="1807"/>
      <c r="BM13" s="1812"/>
      <c r="BN13" s="1807"/>
      <c r="BO13" s="1812"/>
      <c r="BP13" s="1807"/>
      <c r="BQ13" s="1812"/>
      <c r="BR13" s="1807"/>
      <c r="BS13" s="1812"/>
      <c r="BT13" s="1807"/>
      <c r="BU13" s="1812"/>
      <c r="BV13" s="1807"/>
      <c r="BW13" s="1812"/>
      <c r="BX13" s="1807"/>
      <c r="BY13" s="1812"/>
      <c r="BZ13" s="1807"/>
      <c r="CA13" s="1812"/>
      <c r="CB13" s="1807"/>
      <c r="CC13" s="1812"/>
      <c r="CD13" s="1807"/>
      <c r="CE13" s="1812"/>
      <c r="CF13" s="1807"/>
      <c r="CG13" s="1812"/>
      <c r="CH13" s="1807"/>
      <c r="CI13" s="1812"/>
      <c r="CJ13" s="1807"/>
      <c r="CK13" s="1812"/>
      <c r="CL13" s="1807"/>
      <c r="CM13" s="1812"/>
      <c r="CN13" s="1807"/>
      <c r="CO13" s="1812"/>
      <c r="CP13" s="1807"/>
      <c r="CQ13" s="1812"/>
      <c r="CR13" s="1807"/>
      <c r="CS13" s="1812"/>
      <c r="CT13" s="1807"/>
      <c r="CU13" s="1812"/>
      <c r="CV13" s="1807"/>
      <c r="CW13" s="1812"/>
      <c r="CX13" s="1807"/>
      <c r="CY13" s="1812"/>
      <c r="CZ13" s="1807"/>
      <c r="DA13" s="1812"/>
      <c r="DB13" s="1807"/>
      <c r="DC13" s="1812"/>
      <c r="DD13" s="1807"/>
      <c r="DE13" s="1812"/>
      <c r="DF13" s="1807"/>
      <c r="DG13" s="1812"/>
      <c r="DH13" s="1807"/>
      <c r="DI13" s="1812"/>
      <c r="DJ13" s="1807"/>
      <c r="DK13" s="1812"/>
      <c r="DL13" s="1807"/>
      <c r="DM13" s="1812"/>
      <c r="DN13" s="1807"/>
      <c r="DO13" s="1812"/>
      <c r="DP13" s="1807"/>
      <c r="DQ13" s="1812"/>
      <c r="DR13" s="1807"/>
      <c r="DS13" s="1812"/>
      <c r="DT13" s="1807"/>
      <c r="DU13" s="1812"/>
      <c r="DV13" s="1807"/>
      <c r="DW13" s="1812"/>
      <c r="DX13" s="1807"/>
      <c r="DY13" s="1812"/>
      <c r="DZ13" s="1808"/>
      <c r="IQ13" s="1729"/>
      <c r="IR13" s="1729"/>
      <c r="IS13" s="1729"/>
      <c r="IT13" s="1729"/>
      <c r="IU13" s="1729"/>
    </row>
    <row r="14" spans="1:257" s="1774" customFormat="1" ht="14.25" customHeight="1">
      <c r="B14" s="1791" t="s">
        <v>9</v>
      </c>
      <c r="C14" s="1792" t="s">
        <v>270</v>
      </c>
      <c r="D14" s="1809">
        <f>INDEX(I14:DZ14,,MATCH($B$5,$I$5:$DZ$5,0))</f>
        <v>443.50608304644629</v>
      </c>
      <c r="E14" s="1794">
        <f t="shared" si="100"/>
        <v>9999</v>
      </c>
      <c r="F14" s="1810" t="s">
        <v>10</v>
      </c>
      <c r="H14" s="1796" t="s">
        <v>902</v>
      </c>
      <c r="I14" s="1797">
        <f>$J$166</f>
        <v>443.50608304644629</v>
      </c>
      <c r="J14" s="1798">
        <v>9999</v>
      </c>
      <c r="K14" s="1797">
        <f>$M$166</f>
        <v>422.63333760360359</v>
      </c>
      <c r="L14" s="1798">
        <v>9999</v>
      </c>
      <c r="M14" s="1797">
        <f>$O$166</f>
        <v>432.20339182072274</v>
      </c>
      <c r="N14" s="1798">
        <v>9999</v>
      </c>
      <c r="O14" s="1797">
        <f>$R$166</f>
        <v>459.86267382052989</v>
      </c>
      <c r="P14" s="1798">
        <v>9999</v>
      </c>
      <c r="Q14" s="1797">
        <f>$T$166</f>
        <v>472.96647145251387</v>
      </c>
      <c r="R14" s="1798">
        <v>9999</v>
      </c>
      <c r="S14" s="1797">
        <f>$V$166</f>
        <v>480.02362381424751</v>
      </c>
      <c r="T14" s="1798">
        <v>9999</v>
      </c>
      <c r="U14" s="1797">
        <f>$Y$166</f>
        <v>455.80386170464374</v>
      </c>
      <c r="V14" s="1798">
        <v>9999</v>
      </c>
      <c r="W14" s="1797">
        <f>$AB$166</f>
        <v>449.58932532190943</v>
      </c>
      <c r="X14" s="1798">
        <v>9999</v>
      </c>
      <c r="Y14" s="1797">
        <f>$AD$166</f>
        <v>447.70722162222989</v>
      </c>
      <c r="Z14" s="1798">
        <v>9999</v>
      </c>
      <c r="AA14" s="1797">
        <f>$AH$166</f>
        <v>432.11665682295012</v>
      </c>
      <c r="AB14" s="1798">
        <v>9999</v>
      </c>
      <c r="AC14" s="1797">
        <f>$AK$166</f>
        <v>950.22984369723281</v>
      </c>
      <c r="AD14" s="1798">
        <v>9999</v>
      </c>
      <c r="AE14" s="1802"/>
      <c r="AF14" s="1803"/>
      <c r="AG14" s="1811">
        <f>$AY$166</f>
        <v>525.99119277641967</v>
      </c>
      <c r="AH14" s="1798">
        <v>9999</v>
      </c>
      <c r="AI14" s="1797">
        <f>$BC$166</f>
        <v>432.07257235395662</v>
      </c>
      <c r="AJ14" s="1798">
        <v>9999</v>
      </c>
      <c r="AK14" s="1797">
        <f>$AP$166</f>
        <v>419.40927044077625</v>
      </c>
      <c r="AL14" s="1798">
        <v>9999</v>
      </c>
      <c r="AM14" s="1797">
        <f>$AS$166</f>
        <v>437.72231399245663</v>
      </c>
      <c r="AN14" s="1798">
        <v>9999</v>
      </c>
      <c r="AO14" s="1797">
        <f>$AU$166</f>
        <v>425.02353655109454</v>
      </c>
      <c r="AP14" s="1798">
        <v>9999</v>
      </c>
      <c r="AQ14" s="1797">
        <f>'Calc.Exg'!I28</f>
        <v>523.08217564884706</v>
      </c>
      <c r="AR14" s="1798">
        <v>9999</v>
      </c>
      <c r="AS14" s="1812">
        <f t="shared" si="101"/>
        <v>523.08217564884706</v>
      </c>
      <c r="AT14" s="1807">
        <f t="shared" si="102"/>
        <v>9999</v>
      </c>
      <c r="AU14" s="1812">
        <f t="shared" si="103"/>
        <v>523.08217564884706</v>
      </c>
      <c r="AV14" s="1807">
        <f t="shared" si="104"/>
        <v>9999</v>
      </c>
      <c r="AW14" s="1812">
        <f t="shared" si="105"/>
        <v>523.08217564884706</v>
      </c>
      <c r="AX14" s="1807">
        <f t="shared" si="106"/>
        <v>9999</v>
      </c>
      <c r="AY14" s="1812">
        <f t="shared" si="107"/>
        <v>523.08217564884706</v>
      </c>
      <c r="AZ14" s="1807">
        <f t="shared" si="108"/>
        <v>9999</v>
      </c>
      <c r="BA14" s="1812">
        <f t="shared" si="109"/>
        <v>523.08217564884706</v>
      </c>
      <c r="BB14" s="1807">
        <f t="shared" si="110"/>
        <v>9999</v>
      </c>
      <c r="BC14" s="1812"/>
      <c r="BD14" s="1807"/>
      <c r="BE14" s="1812"/>
      <c r="BF14" s="1807"/>
      <c r="BG14" s="1812"/>
      <c r="BH14" s="1807"/>
      <c r="BI14" s="1812"/>
      <c r="BJ14" s="1807"/>
      <c r="BK14" s="1812"/>
      <c r="BL14" s="1807"/>
      <c r="BM14" s="1812"/>
      <c r="BN14" s="1807"/>
      <c r="BO14" s="1812"/>
      <c r="BP14" s="1807"/>
      <c r="BQ14" s="1812"/>
      <c r="BR14" s="1807"/>
      <c r="BS14" s="1812"/>
      <c r="BT14" s="1807"/>
      <c r="BU14" s="1812"/>
      <c r="BV14" s="1807"/>
      <c r="BW14" s="1812"/>
      <c r="BX14" s="1807"/>
      <c r="BY14" s="1812"/>
      <c r="BZ14" s="1807"/>
      <c r="CA14" s="1812"/>
      <c r="CB14" s="1807"/>
      <c r="CC14" s="1812"/>
      <c r="CD14" s="1807"/>
      <c r="CE14" s="1812"/>
      <c r="CF14" s="1807"/>
      <c r="CG14" s="1812"/>
      <c r="CH14" s="1807"/>
      <c r="CI14" s="1812"/>
      <c r="CJ14" s="1807"/>
      <c r="CK14" s="1812"/>
      <c r="CL14" s="1807"/>
      <c r="CM14" s="1812"/>
      <c r="CN14" s="1807"/>
      <c r="CO14" s="1812"/>
      <c r="CP14" s="1807"/>
      <c r="CQ14" s="1812"/>
      <c r="CR14" s="1807"/>
      <c r="CS14" s="1812"/>
      <c r="CT14" s="1807"/>
      <c r="CU14" s="1812"/>
      <c r="CV14" s="1807"/>
      <c r="CW14" s="1812"/>
      <c r="CX14" s="1807"/>
      <c r="CY14" s="1812"/>
      <c r="CZ14" s="1807"/>
      <c r="DA14" s="1812"/>
      <c r="DB14" s="1807"/>
      <c r="DC14" s="1812"/>
      <c r="DD14" s="1807"/>
      <c r="DE14" s="1812"/>
      <c r="DF14" s="1807"/>
      <c r="DG14" s="1812"/>
      <c r="DH14" s="1807"/>
      <c r="DI14" s="1812"/>
      <c r="DJ14" s="1807"/>
      <c r="DK14" s="1812"/>
      <c r="DL14" s="1807"/>
      <c r="DM14" s="1812"/>
      <c r="DN14" s="1807"/>
      <c r="DO14" s="1812"/>
      <c r="DP14" s="1807"/>
      <c r="DQ14" s="1812"/>
      <c r="DR14" s="1807"/>
      <c r="DS14" s="1812"/>
      <c r="DT14" s="1807"/>
      <c r="DU14" s="1812"/>
      <c r="DV14" s="1807"/>
      <c r="DW14" s="1812"/>
      <c r="DX14" s="1807"/>
      <c r="DY14" s="1812"/>
      <c r="DZ14" s="1808"/>
      <c r="IQ14" s="1729"/>
      <c r="IR14" s="1729"/>
      <c r="IS14" s="1729"/>
      <c r="IT14" s="1729"/>
      <c r="IU14" s="1729"/>
    </row>
    <row r="15" spans="1:257" s="1774" customFormat="1" ht="14.25" customHeight="1">
      <c r="B15" s="1791" t="s">
        <v>11</v>
      </c>
      <c r="C15" s="1792" t="s">
        <v>278</v>
      </c>
      <c r="D15" s="1809">
        <f t="shared" ref="D15:D51" si="111">INDEX(I15:DZ15,,MATCH($B$5,$I$5:$DZ$5,0))</f>
        <v>13.62340040220473</v>
      </c>
      <c r="E15" s="1794">
        <f t="shared" si="100"/>
        <v>223.06126545689906</v>
      </c>
      <c r="F15" s="1810" t="s">
        <v>10</v>
      </c>
      <c r="H15" s="1796" t="s">
        <v>434</v>
      </c>
      <c r="I15" s="1797">
        <f>$K$168</f>
        <v>13.62340040220473</v>
      </c>
      <c r="J15" s="1798">
        <f>$L$168</f>
        <v>223.06126545689906</v>
      </c>
      <c r="K15" s="1797">
        <f>$K$168</f>
        <v>13.62340040220473</v>
      </c>
      <c r="L15" s="1798">
        <f>$L$168</f>
        <v>223.06126545689906</v>
      </c>
      <c r="M15" s="1797">
        <f>$K$168</f>
        <v>13.62340040220473</v>
      </c>
      <c r="N15" s="1798">
        <f>$L$168</f>
        <v>223.06126545689906</v>
      </c>
      <c r="O15" s="1797">
        <f>$R$168</f>
        <v>13.737025494757269</v>
      </c>
      <c r="P15" s="1798">
        <f>$L$168</f>
        <v>223.06126545689906</v>
      </c>
      <c r="Q15" s="1797">
        <f>$R$168</f>
        <v>13.737025494757269</v>
      </c>
      <c r="R15" s="1798">
        <f>$L$168</f>
        <v>223.06126545689906</v>
      </c>
      <c r="S15" s="1797">
        <f>$R$168</f>
        <v>13.737025494757269</v>
      </c>
      <c r="T15" s="1798">
        <f>$L$168</f>
        <v>223.06126545689906</v>
      </c>
      <c r="U15" s="1797">
        <f>$Z$168</f>
        <v>15.180204551000177</v>
      </c>
      <c r="V15" s="1798">
        <f>$L$168</f>
        <v>223.06126545689906</v>
      </c>
      <c r="W15" s="1797">
        <f>$Z$168</f>
        <v>15.180204551000177</v>
      </c>
      <c r="X15" s="1798">
        <f>$L$168</f>
        <v>223.06126545689906</v>
      </c>
      <c r="Y15" s="1797">
        <f>$Z$168</f>
        <v>15.180204551000177</v>
      </c>
      <c r="Z15" s="1798">
        <f>$L$168</f>
        <v>223.06126545689906</v>
      </c>
      <c r="AA15" s="1797">
        <f>$AI$168</f>
        <v>10.372070208457128</v>
      </c>
      <c r="AB15" s="1798">
        <f>$L$168</f>
        <v>223.06126545689906</v>
      </c>
      <c r="AC15" s="1797">
        <f>$AK$168</f>
        <v>27.990957619710763</v>
      </c>
      <c r="AD15" s="1813">
        <f>$L$168</f>
        <v>223.06126545689906</v>
      </c>
      <c r="AE15" s="1802"/>
      <c r="AF15" s="1803"/>
      <c r="AG15" s="1811">
        <f>$AY$168</f>
        <v>14.180202100155793</v>
      </c>
      <c r="AH15" s="1814">
        <f>$L$168</f>
        <v>223.06126545689906</v>
      </c>
      <c r="AI15" s="1797">
        <f>$BC$168</f>
        <v>13.559772522691004</v>
      </c>
      <c r="AJ15" s="1798">
        <f>$L$168</f>
        <v>223.06126545689906</v>
      </c>
      <c r="AK15" s="1797">
        <f>$AP$168</f>
        <v>15.180204551000177</v>
      </c>
      <c r="AL15" s="1798">
        <f>$L$168</f>
        <v>223.06126545689906</v>
      </c>
      <c r="AM15" s="1797">
        <f>$AS$168</f>
        <v>15.161434065012546</v>
      </c>
      <c r="AN15" s="1798">
        <f>$L$168</f>
        <v>223.06126545689906</v>
      </c>
      <c r="AO15" s="1797">
        <f>$AU$168</f>
        <v>15.115453959415996</v>
      </c>
      <c r="AP15" s="1798">
        <f>$L$168</f>
        <v>223.06126545689906</v>
      </c>
      <c r="AQ15" s="1797">
        <f>'Calc.Exg'!I40</f>
        <v>13.62340040220473</v>
      </c>
      <c r="AR15" s="1798">
        <f>AR12*44</f>
        <v>216.0685531758981</v>
      </c>
      <c r="AS15" s="1812">
        <f t="shared" si="101"/>
        <v>13.62340040220473</v>
      </c>
      <c r="AT15" s="1807">
        <f t="shared" si="102"/>
        <v>216.0685531758981</v>
      </c>
      <c r="AU15" s="1812">
        <f t="shared" si="103"/>
        <v>13.62340040220473</v>
      </c>
      <c r="AV15" s="1807">
        <f t="shared" si="104"/>
        <v>216.0685531758981</v>
      </c>
      <c r="AW15" s="1812">
        <f t="shared" si="105"/>
        <v>13.62340040220473</v>
      </c>
      <c r="AX15" s="1807">
        <f t="shared" si="106"/>
        <v>216.0685531758981</v>
      </c>
      <c r="AY15" s="1812">
        <f t="shared" si="107"/>
        <v>13.62340040220473</v>
      </c>
      <c r="AZ15" s="1807">
        <f t="shared" si="108"/>
        <v>216.0685531758981</v>
      </c>
      <c r="BA15" s="1812">
        <f t="shared" si="109"/>
        <v>13.62340040220473</v>
      </c>
      <c r="BB15" s="1807">
        <f t="shared" si="110"/>
        <v>216.0685531758981</v>
      </c>
      <c r="BC15" s="1812"/>
      <c r="BD15" s="1807"/>
      <c r="BE15" s="1812"/>
      <c r="BF15" s="1807"/>
      <c r="BG15" s="1812"/>
      <c r="BH15" s="1807"/>
      <c r="BI15" s="1812"/>
      <c r="BJ15" s="1807"/>
      <c r="BK15" s="1812"/>
      <c r="BL15" s="1807"/>
      <c r="BM15" s="1812"/>
      <c r="BN15" s="1807"/>
      <c r="BO15" s="1812"/>
      <c r="BP15" s="1807"/>
      <c r="BQ15" s="1812"/>
      <c r="BR15" s="1807"/>
      <c r="BS15" s="1812"/>
      <c r="BT15" s="1807"/>
      <c r="BU15" s="1812"/>
      <c r="BV15" s="1807"/>
      <c r="BW15" s="1812"/>
      <c r="BX15" s="1807"/>
      <c r="BY15" s="1812"/>
      <c r="BZ15" s="1807"/>
      <c r="CA15" s="1812"/>
      <c r="CB15" s="1807"/>
      <c r="CC15" s="1812"/>
      <c r="CD15" s="1807"/>
      <c r="CE15" s="1812"/>
      <c r="CF15" s="1807"/>
      <c r="CG15" s="1812"/>
      <c r="CH15" s="1807"/>
      <c r="CI15" s="1812"/>
      <c r="CJ15" s="1807"/>
      <c r="CK15" s="1812"/>
      <c r="CL15" s="1807"/>
      <c r="CM15" s="1812"/>
      <c r="CN15" s="1807"/>
      <c r="CO15" s="1812"/>
      <c r="CP15" s="1807"/>
      <c r="CQ15" s="1812"/>
      <c r="CR15" s="1807"/>
      <c r="CS15" s="1812"/>
      <c r="CT15" s="1807"/>
      <c r="CU15" s="1812"/>
      <c r="CV15" s="1807"/>
      <c r="CW15" s="1812"/>
      <c r="CX15" s="1807"/>
      <c r="CY15" s="1812"/>
      <c r="CZ15" s="1807"/>
      <c r="DA15" s="1812"/>
      <c r="DB15" s="1807"/>
      <c r="DC15" s="1812"/>
      <c r="DD15" s="1807"/>
      <c r="DE15" s="1812"/>
      <c r="DF15" s="1807"/>
      <c r="DG15" s="1812"/>
      <c r="DH15" s="1807"/>
      <c r="DI15" s="1812"/>
      <c r="DJ15" s="1807"/>
      <c r="DK15" s="1812"/>
      <c r="DL15" s="1807"/>
      <c r="DM15" s="1812"/>
      <c r="DN15" s="1807"/>
      <c r="DO15" s="1812"/>
      <c r="DP15" s="1807"/>
      <c r="DQ15" s="1812"/>
      <c r="DR15" s="1807"/>
      <c r="DS15" s="1812"/>
      <c r="DT15" s="1807"/>
      <c r="DU15" s="1812"/>
      <c r="DV15" s="1807"/>
      <c r="DW15" s="1812"/>
      <c r="DX15" s="1807"/>
      <c r="DY15" s="1812"/>
      <c r="DZ15" s="1808"/>
      <c r="IQ15" s="1729"/>
      <c r="IR15" s="1729"/>
      <c r="IS15" s="1729"/>
      <c r="IT15" s="1729"/>
      <c r="IU15" s="1729"/>
    </row>
    <row r="16" spans="1:257" s="1774" customFormat="1" ht="14.25" customHeight="1">
      <c r="B16" s="1815" t="s">
        <v>12</v>
      </c>
      <c r="C16" s="1816" t="s">
        <v>280</v>
      </c>
      <c r="D16" s="1817">
        <f t="shared" si="111"/>
        <v>8.936258663315602</v>
      </c>
      <c r="E16" s="1818">
        <f t="shared" si="100"/>
        <v>50.695742149295242</v>
      </c>
      <c r="F16" s="1819" t="s">
        <v>10</v>
      </c>
      <c r="H16" s="1820" t="s">
        <v>435</v>
      </c>
      <c r="I16" s="1821">
        <f>$K$169</f>
        <v>8.936258663315602</v>
      </c>
      <c r="J16" s="1822">
        <f>$L$169</f>
        <v>50.695742149295242</v>
      </c>
      <c r="K16" s="1821">
        <f>$K$169</f>
        <v>8.936258663315602</v>
      </c>
      <c r="L16" s="1822">
        <f>$L$169</f>
        <v>50.695742149295242</v>
      </c>
      <c r="M16" s="1821">
        <f>$K$169</f>
        <v>8.936258663315602</v>
      </c>
      <c r="N16" s="1822">
        <f>$L$169</f>
        <v>50.695742149295242</v>
      </c>
      <c r="O16" s="1821">
        <f>$R$169</f>
        <v>8.9743040710857311</v>
      </c>
      <c r="P16" s="1822">
        <f>$L$169</f>
        <v>50.695742149295242</v>
      </c>
      <c r="Q16" s="1821">
        <f>$R$169</f>
        <v>8.9743040710857311</v>
      </c>
      <c r="R16" s="1822">
        <f>$L$169</f>
        <v>50.695742149295242</v>
      </c>
      <c r="S16" s="1821">
        <f>$R$169</f>
        <v>8.9743040710857311</v>
      </c>
      <c r="T16" s="1822">
        <f>$L$169</f>
        <v>50.695742149295242</v>
      </c>
      <c r="U16" s="1821">
        <f>$Z$169</f>
        <v>9.6894987046897345</v>
      </c>
      <c r="V16" s="1822">
        <f>$L$169</f>
        <v>50.695742149295242</v>
      </c>
      <c r="W16" s="1821">
        <f>$Z$169</f>
        <v>9.6894987046897345</v>
      </c>
      <c r="X16" s="1822">
        <f>$L$169</f>
        <v>50.695742149295242</v>
      </c>
      <c r="Y16" s="1821">
        <f>$Z$169</f>
        <v>9.6894987046897345</v>
      </c>
      <c r="Z16" s="1822">
        <f>$L$169</f>
        <v>50.695742149295242</v>
      </c>
      <c r="AA16" s="1821">
        <f>$AI$169</f>
        <v>9.9545783026417016</v>
      </c>
      <c r="AB16" s="1822">
        <f>$L$169</f>
        <v>50.695742149295242</v>
      </c>
      <c r="AC16" s="1821">
        <f>$AK$169</f>
        <v>17.351900602340422</v>
      </c>
      <c r="AD16" s="1823">
        <f>$L$169</f>
        <v>50.695742149295242</v>
      </c>
      <c r="AE16" s="1802"/>
      <c r="AF16" s="1803"/>
      <c r="AG16" s="1824">
        <f>$AY$169</f>
        <v>9.5146259714914496</v>
      </c>
      <c r="AH16" s="1822">
        <f>$L$169</f>
        <v>50.695742149295242</v>
      </c>
      <c r="AI16" s="1821">
        <f>$BC$169</f>
        <v>8.914891458217113</v>
      </c>
      <c r="AJ16" s="1822">
        <f>$L$169</f>
        <v>50.695742149295242</v>
      </c>
      <c r="AK16" s="1821">
        <f>$AP$169</f>
        <v>9.6894987046897345</v>
      </c>
      <c r="AL16" s="1822">
        <f>$L$169</f>
        <v>50.695742149295242</v>
      </c>
      <c r="AM16" s="1821">
        <f>$AS$169</f>
        <v>9.6826240057818875</v>
      </c>
      <c r="AN16" s="1822">
        <f>$L$169</f>
        <v>50.695742149295242</v>
      </c>
      <c r="AO16" s="1821">
        <f>$AU$169</f>
        <v>9.6657718188551289</v>
      </c>
      <c r="AP16" s="1822">
        <f>$L$169</f>
        <v>50.695742149295242</v>
      </c>
      <c r="AQ16" s="1821">
        <f>'Calc.Exg'!I43</f>
        <v>8.936258663315602</v>
      </c>
      <c r="AR16" s="1822">
        <f>(1/100*AR12)*1000</f>
        <v>49.106489358158662</v>
      </c>
      <c r="AS16" s="1825">
        <f t="shared" si="101"/>
        <v>8.936258663315602</v>
      </c>
      <c r="AT16" s="1826">
        <f t="shared" si="102"/>
        <v>49.106489358158662</v>
      </c>
      <c r="AU16" s="1825">
        <f t="shared" si="103"/>
        <v>8.936258663315602</v>
      </c>
      <c r="AV16" s="1826">
        <f t="shared" si="104"/>
        <v>49.106489358158662</v>
      </c>
      <c r="AW16" s="1825">
        <f t="shared" si="105"/>
        <v>8.936258663315602</v>
      </c>
      <c r="AX16" s="1826">
        <f t="shared" si="106"/>
        <v>49.106489358158662</v>
      </c>
      <c r="AY16" s="1825">
        <f t="shared" si="107"/>
        <v>8.936258663315602</v>
      </c>
      <c r="AZ16" s="1826">
        <f t="shared" si="108"/>
        <v>49.106489358158662</v>
      </c>
      <c r="BA16" s="1825">
        <f t="shared" si="109"/>
        <v>8.936258663315602</v>
      </c>
      <c r="BB16" s="1826">
        <f t="shared" si="110"/>
        <v>49.106489358158662</v>
      </c>
      <c r="BC16" s="1825"/>
      <c r="BD16" s="1826"/>
      <c r="BE16" s="1825"/>
      <c r="BF16" s="1826"/>
      <c r="BG16" s="1825"/>
      <c r="BH16" s="1826"/>
      <c r="BI16" s="1825"/>
      <c r="BJ16" s="1826"/>
      <c r="BK16" s="1825"/>
      <c r="BL16" s="1826"/>
      <c r="BM16" s="1825"/>
      <c r="BN16" s="1826"/>
      <c r="BO16" s="1825"/>
      <c r="BP16" s="1826"/>
      <c r="BQ16" s="1825"/>
      <c r="BR16" s="1826"/>
      <c r="BS16" s="1825"/>
      <c r="BT16" s="1826"/>
      <c r="BU16" s="1825"/>
      <c r="BV16" s="1826"/>
      <c r="BW16" s="1825"/>
      <c r="BX16" s="1826"/>
      <c r="BY16" s="1825"/>
      <c r="BZ16" s="1826"/>
      <c r="CA16" s="1825"/>
      <c r="CB16" s="1826"/>
      <c r="CC16" s="1825"/>
      <c r="CD16" s="1826"/>
      <c r="CE16" s="1825"/>
      <c r="CF16" s="1826"/>
      <c r="CG16" s="1825"/>
      <c r="CH16" s="1826"/>
      <c r="CI16" s="1825"/>
      <c r="CJ16" s="1826"/>
      <c r="CK16" s="1825"/>
      <c r="CL16" s="1826"/>
      <c r="CM16" s="1825"/>
      <c r="CN16" s="1826"/>
      <c r="CO16" s="1825"/>
      <c r="CP16" s="1826"/>
      <c r="CQ16" s="1825"/>
      <c r="CR16" s="1826"/>
      <c r="CS16" s="1825"/>
      <c r="CT16" s="1826"/>
      <c r="CU16" s="1825"/>
      <c r="CV16" s="1826"/>
      <c r="CW16" s="1825"/>
      <c r="CX16" s="1826"/>
      <c r="CY16" s="1825"/>
      <c r="CZ16" s="1826"/>
      <c r="DA16" s="1825"/>
      <c r="DB16" s="1826"/>
      <c r="DC16" s="1825"/>
      <c r="DD16" s="1826"/>
      <c r="DE16" s="1825"/>
      <c r="DF16" s="1826"/>
      <c r="DG16" s="1825"/>
      <c r="DH16" s="1826"/>
      <c r="DI16" s="1825"/>
      <c r="DJ16" s="1826"/>
      <c r="DK16" s="1825"/>
      <c r="DL16" s="1826"/>
      <c r="DM16" s="1825"/>
      <c r="DN16" s="1826"/>
      <c r="DO16" s="1825"/>
      <c r="DP16" s="1826"/>
      <c r="DQ16" s="1825"/>
      <c r="DR16" s="1826"/>
      <c r="DS16" s="1825"/>
      <c r="DT16" s="1826"/>
      <c r="DU16" s="1825"/>
      <c r="DV16" s="1826"/>
      <c r="DW16" s="1825"/>
      <c r="DX16" s="1826"/>
      <c r="DY16" s="1825"/>
      <c r="DZ16" s="1827"/>
      <c r="IQ16" s="1729"/>
      <c r="IR16" s="1729"/>
      <c r="IS16" s="1729"/>
      <c r="IT16" s="1729"/>
      <c r="IU16" s="1729"/>
    </row>
    <row r="17" spans="1:257" s="1739" customFormat="1" ht="14.25" customHeight="1">
      <c r="A17" s="1774"/>
      <c r="B17" s="1791" t="s">
        <v>13</v>
      </c>
      <c r="C17" s="1792" t="s">
        <v>274</v>
      </c>
      <c r="D17" s="1828">
        <f>INDEX(I17:DZ17,,MATCH($B$5,$I$5:$DZ$5,0))</f>
        <v>-53.07</v>
      </c>
      <c r="E17" s="1829">
        <f t="shared" si="100"/>
        <v>9999</v>
      </c>
      <c r="F17" s="1830" t="s">
        <v>10</v>
      </c>
      <c r="G17" s="1774"/>
      <c r="H17" s="1796" t="s">
        <v>903</v>
      </c>
      <c r="I17" s="1831">
        <f>$J$164</f>
        <v>-53.07</v>
      </c>
      <c r="J17" s="1798">
        <v>9999</v>
      </c>
      <c r="K17" s="1831">
        <f>$M$164</f>
        <v>-53.07</v>
      </c>
      <c r="L17" s="1814">
        <v>9999</v>
      </c>
      <c r="M17" s="1831">
        <f>$O$164</f>
        <v>-53.07</v>
      </c>
      <c r="N17" s="1798">
        <v>9999</v>
      </c>
      <c r="O17" s="1831">
        <f>$R$164</f>
        <v>-53.07</v>
      </c>
      <c r="P17" s="1798">
        <v>9999</v>
      </c>
      <c r="Q17" s="1831">
        <f>$T$164</f>
        <v>-53.07</v>
      </c>
      <c r="R17" s="1798">
        <v>9999</v>
      </c>
      <c r="S17" s="1831">
        <f>$V$164</f>
        <v>-53.07</v>
      </c>
      <c r="T17" s="1798">
        <v>9999</v>
      </c>
      <c r="U17" s="1831">
        <f>$Y$164</f>
        <v>-53.07</v>
      </c>
      <c r="V17" s="1798">
        <v>9999</v>
      </c>
      <c r="W17" s="1831">
        <f>$AB$164</f>
        <v>-53.07</v>
      </c>
      <c r="X17" s="1798">
        <v>9999</v>
      </c>
      <c r="Y17" s="1831">
        <f>$AD$164</f>
        <v>-53.07</v>
      </c>
      <c r="Z17" s="1798">
        <v>9999</v>
      </c>
      <c r="AA17" s="1831">
        <f>$AH$164</f>
        <v>-278.78542345919999</v>
      </c>
      <c r="AB17" s="1798">
        <v>9999</v>
      </c>
      <c r="AC17" s="1831">
        <f>$AK$164</f>
        <v>-53.07</v>
      </c>
      <c r="AD17" s="1798">
        <v>9999</v>
      </c>
      <c r="AE17" s="1802"/>
      <c r="AF17" s="1803"/>
      <c r="AG17" s="1811">
        <f>$AY$164</f>
        <v>-53.07</v>
      </c>
      <c r="AH17" s="1798">
        <v>9999</v>
      </c>
      <c r="AI17" s="1831">
        <f>$BC$164</f>
        <v>-53.07</v>
      </c>
      <c r="AJ17" s="1798">
        <v>9999</v>
      </c>
      <c r="AK17" s="1831">
        <f>$AP$164</f>
        <v>-53.07</v>
      </c>
      <c r="AL17" s="1798">
        <v>9999</v>
      </c>
      <c r="AM17" s="1831">
        <f>$AS$164</f>
        <v>-53.07</v>
      </c>
      <c r="AN17" s="1798">
        <v>9999</v>
      </c>
      <c r="AO17" s="1831">
        <f>$AU$164</f>
        <v>-53.07</v>
      </c>
      <c r="AP17" s="1798">
        <v>9999</v>
      </c>
      <c r="AQ17" s="1831">
        <f>'Calc.Exg'!I29</f>
        <v>344.81046301200382</v>
      </c>
      <c r="AR17" s="1814">
        <v>9999</v>
      </c>
      <c r="AS17" s="1832">
        <f t="shared" si="101"/>
        <v>344.81046301200382</v>
      </c>
      <c r="AT17" s="1833">
        <f t="shared" si="102"/>
        <v>9999</v>
      </c>
      <c r="AU17" s="1832">
        <f t="shared" si="103"/>
        <v>344.81046301200382</v>
      </c>
      <c r="AV17" s="1833">
        <f t="shared" si="104"/>
        <v>9999</v>
      </c>
      <c r="AW17" s="1832">
        <f t="shared" si="105"/>
        <v>344.81046301200382</v>
      </c>
      <c r="AX17" s="1833">
        <f t="shared" si="106"/>
        <v>9999</v>
      </c>
      <c r="AY17" s="1832">
        <f t="shared" si="107"/>
        <v>344.81046301200382</v>
      </c>
      <c r="AZ17" s="1833">
        <f t="shared" si="108"/>
        <v>9999</v>
      </c>
      <c r="BA17" s="1832">
        <f t="shared" si="109"/>
        <v>344.81046301200382</v>
      </c>
      <c r="BB17" s="1833">
        <f t="shared" si="110"/>
        <v>9999</v>
      </c>
      <c r="BC17" s="1832"/>
      <c r="BD17" s="1833"/>
      <c r="BE17" s="1832"/>
      <c r="BF17" s="1833"/>
      <c r="BG17" s="1834"/>
      <c r="BH17" s="1835"/>
      <c r="BI17" s="1832"/>
      <c r="BJ17" s="1833"/>
      <c r="BK17" s="1834"/>
      <c r="BL17" s="1835"/>
      <c r="BM17" s="1832"/>
      <c r="BN17" s="1833"/>
      <c r="BO17" s="1832"/>
      <c r="BP17" s="1833"/>
      <c r="BQ17" s="1832"/>
      <c r="BR17" s="1833"/>
      <c r="BS17" s="1832"/>
      <c r="BT17" s="1833"/>
      <c r="BU17" s="1832"/>
      <c r="BV17" s="1833"/>
      <c r="BW17" s="1832"/>
      <c r="BX17" s="1833"/>
      <c r="BY17" s="1832"/>
      <c r="BZ17" s="1833"/>
      <c r="CA17" s="1832"/>
      <c r="CB17" s="1833"/>
      <c r="CC17" s="1832"/>
      <c r="CD17" s="1833"/>
      <c r="CE17" s="1832"/>
      <c r="CF17" s="1833"/>
      <c r="CG17" s="1832"/>
      <c r="CH17" s="1833"/>
      <c r="CI17" s="1832"/>
      <c r="CJ17" s="1833"/>
      <c r="CK17" s="1832"/>
      <c r="CL17" s="1833"/>
      <c r="CM17" s="1832"/>
      <c r="CN17" s="1833"/>
      <c r="CO17" s="1832"/>
      <c r="CP17" s="1833"/>
      <c r="CQ17" s="1832"/>
      <c r="CR17" s="1833"/>
      <c r="CS17" s="1832"/>
      <c r="CT17" s="1833"/>
      <c r="CU17" s="1832"/>
      <c r="CV17" s="1833"/>
      <c r="CW17" s="1832"/>
      <c r="CX17" s="1833"/>
      <c r="CY17" s="1832"/>
      <c r="CZ17" s="1833"/>
      <c r="DA17" s="1832"/>
      <c r="DB17" s="1833"/>
      <c r="DC17" s="1832"/>
      <c r="DD17" s="1833"/>
      <c r="DE17" s="1832"/>
      <c r="DF17" s="1833"/>
      <c r="DG17" s="1832"/>
      <c r="DH17" s="1833"/>
      <c r="DI17" s="1832"/>
      <c r="DJ17" s="1833"/>
      <c r="DK17" s="1832"/>
      <c r="DL17" s="1833"/>
      <c r="DM17" s="1832"/>
      <c r="DN17" s="1833"/>
      <c r="DO17" s="1832"/>
      <c r="DP17" s="1833"/>
      <c r="DQ17" s="1832"/>
      <c r="DR17" s="1833"/>
      <c r="DS17" s="1832"/>
      <c r="DT17" s="1833"/>
      <c r="DU17" s="1832"/>
      <c r="DV17" s="1833"/>
      <c r="DW17" s="1832"/>
      <c r="DX17" s="1833"/>
      <c r="DY17" s="1832"/>
      <c r="DZ17" s="1836"/>
      <c r="IQ17" s="1729"/>
      <c r="IR17" s="1729"/>
      <c r="IS17" s="1729"/>
      <c r="IT17" s="1729"/>
      <c r="IU17" s="1729"/>
      <c r="IV17" s="1774"/>
      <c r="IW17" s="1774"/>
    </row>
    <row r="18" spans="1:257" s="1739" customFormat="1" ht="14.25" customHeight="1">
      <c r="A18" s="1774"/>
      <c r="B18" s="1791" t="s">
        <v>14</v>
      </c>
      <c r="C18" s="1792" t="s">
        <v>262</v>
      </c>
      <c r="D18" s="1828">
        <f t="shared" si="111"/>
        <v>1.4194807801802669</v>
      </c>
      <c r="E18" s="1829">
        <f t="shared" si="100"/>
        <v>9999</v>
      </c>
      <c r="F18" s="1830" t="s">
        <v>7</v>
      </c>
      <c r="G18" s="1774"/>
      <c r="H18" s="1796" t="s">
        <v>14</v>
      </c>
      <c r="I18" s="1831">
        <f>$L$192</f>
        <v>1.4194807801802669</v>
      </c>
      <c r="J18" s="1798">
        <v>9999</v>
      </c>
      <c r="K18" s="1831">
        <f>$L$192</f>
        <v>1.4194807801802669</v>
      </c>
      <c r="L18" s="1814">
        <v>9999</v>
      </c>
      <c r="M18" s="1831">
        <f>$L$192</f>
        <v>1.4194807801802669</v>
      </c>
      <c r="N18" s="1798">
        <v>9999</v>
      </c>
      <c r="O18" s="1831">
        <f>$L$192</f>
        <v>1.4194807801802669</v>
      </c>
      <c r="P18" s="1798">
        <v>9999</v>
      </c>
      <c r="Q18" s="1831">
        <f>$L$192</f>
        <v>1.4194807801802669</v>
      </c>
      <c r="R18" s="1798">
        <v>9999</v>
      </c>
      <c r="S18" s="1831">
        <f>$L$192</f>
        <v>1.4194807801802669</v>
      </c>
      <c r="T18" s="1798">
        <v>9999</v>
      </c>
      <c r="U18" s="1831">
        <f>$L$192</f>
        <v>1.4194807801802669</v>
      </c>
      <c r="V18" s="1798">
        <v>9999</v>
      </c>
      <c r="W18" s="1831">
        <f>$L$192</f>
        <v>1.4194807801802669</v>
      </c>
      <c r="X18" s="1798">
        <v>9999</v>
      </c>
      <c r="Y18" s="1831">
        <f>$L$192</f>
        <v>1.4194807801802669</v>
      </c>
      <c r="Z18" s="1798">
        <v>9999</v>
      </c>
      <c r="AA18" s="1831">
        <f>$L$192</f>
        <v>1.4194807801802669</v>
      </c>
      <c r="AB18" s="1798">
        <v>9999</v>
      </c>
      <c r="AC18" s="1831">
        <f>$L$192</f>
        <v>1.4194807801802669</v>
      </c>
      <c r="AD18" s="1798">
        <v>9999</v>
      </c>
      <c r="AE18" s="1802"/>
      <c r="AF18" s="1803"/>
      <c r="AG18" s="1811">
        <f>$L$192</f>
        <v>1.4194807801802669</v>
      </c>
      <c r="AH18" s="1798">
        <v>9999</v>
      </c>
      <c r="AI18" s="1831">
        <f>$L$192</f>
        <v>1.4194807801802669</v>
      </c>
      <c r="AJ18" s="1798">
        <v>9999</v>
      </c>
      <c r="AK18" s="1831">
        <f>$L$192</f>
        <v>1.4194807801802669</v>
      </c>
      <c r="AL18" s="1798">
        <v>9999</v>
      </c>
      <c r="AM18" s="1831">
        <f>$L$192</f>
        <v>1.4194807801802669</v>
      </c>
      <c r="AN18" s="1798">
        <v>9999</v>
      </c>
      <c r="AO18" s="1831">
        <f>$L$192</f>
        <v>1.4194807801802669</v>
      </c>
      <c r="AP18" s="1798">
        <v>9999</v>
      </c>
      <c r="AQ18" s="1831">
        <f>'Calc.Exg'!I17</f>
        <v>1.2276622339539665</v>
      </c>
      <c r="AR18" s="1814">
        <f>'Calc.Exg'!I16</f>
        <v>3.3392412763547892</v>
      </c>
      <c r="AS18" s="1832">
        <f t="shared" si="101"/>
        <v>1.2276622339539665</v>
      </c>
      <c r="AT18" s="1833">
        <f t="shared" si="102"/>
        <v>3.3392412763547892</v>
      </c>
      <c r="AU18" s="1832">
        <f t="shared" si="103"/>
        <v>1.2276622339539665</v>
      </c>
      <c r="AV18" s="1833">
        <f t="shared" si="104"/>
        <v>3.3392412763547892</v>
      </c>
      <c r="AW18" s="1832">
        <f t="shared" si="105"/>
        <v>1.2276622339539665</v>
      </c>
      <c r="AX18" s="1833">
        <f t="shared" si="106"/>
        <v>3.3392412763547892</v>
      </c>
      <c r="AY18" s="1832">
        <f t="shared" si="107"/>
        <v>1.2276622339539665</v>
      </c>
      <c r="AZ18" s="1833">
        <f t="shared" si="108"/>
        <v>3.3392412763547892</v>
      </c>
      <c r="BA18" s="1832">
        <f t="shared" si="109"/>
        <v>1.2276622339539665</v>
      </c>
      <c r="BB18" s="1833">
        <f t="shared" si="110"/>
        <v>3.3392412763547892</v>
      </c>
      <c r="BC18" s="1832"/>
      <c r="BD18" s="1833"/>
      <c r="BE18" s="1832"/>
      <c r="BF18" s="1833"/>
      <c r="BG18" s="1832"/>
      <c r="BH18" s="1833"/>
      <c r="BI18" s="1832"/>
      <c r="BJ18" s="1833"/>
      <c r="BK18" s="1832"/>
      <c r="BL18" s="1833"/>
      <c r="BM18" s="1832"/>
      <c r="BN18" s="1833"/>
      <c r="BO18" s="1832"/>
      <c r="BP18" s="1833"/>
      <c r="BQ18" s="1832"/>
      <c r="BR18" s="1833"/>
      <c r="BS18" s="1832"/>
      <c r="BT18" s="1833"/>
      <c r="BU18" s="1832"/>
      <c r="BV18" s="1833"/>
      <c r="BW18" s="1832"/>
      <c r="BX18" s="1833"/>
      <c r="BY18" s="1832"/>
      <c r="BZ18" s="1833"/>
      <c r="CA18" s="1832"/>
      <c r="CB18" s="1833"/>
      <c r="CC18" s="1832"/>
      <c r="CD18" s="1833"/>
      <c r="CE18" s="1832"/>
      <c r="CF18" s="1833"/>
      <c r="CG18" s="1832"/>
      <c r="CH18" s="1833"/>
      <c r="CI18" s="1832"/>
      <c r="CJ18" s="1833"/>
      <c r="CK18" s="1832"/>
      <c r="CL18" s="1833"/>
      <c r="CM18" s="1832"/>
      <c r="CN18" s="1833"/>
      <c r="CO18" s="1832"/>
      <c r="CP18" s="1833"/>
      <c r="CQ18" s="1832"/>
      <c r="CR18" s="1833"/>
      <c r="CS18" s="1832"/>
      <c r="CT18" s="1833"/>
      <c r="CU18" s="1832"/>
      <c r="CV18" s="1833"/>
      <c r="CW18" s="1832"/>
      <c r="CX18" s="1833"/>
      <c r="CY18" s="1832"/>
      <c r="CZ18" s="1833"/>
      <c r="DA18" s="1832"/>
      <c r="DB18" s="1833"/>
      <c r="DC18" s="1832"/>
      <c r="DD18" s="1833"/>
      <c r="DE18" s="1832"/>
      <c r="DF18" s="1833"/>
      <c r="DG18" s="1832"/>
      <c r="DH18" s="1833"/>
      <c r="DI18" s="1832"/>
      <c r="DJ18" s="1833"/>
      <c r="DK18" s="1832"/>
      <c r="DL18" s="1833"/>
      <c r="DM18" s="1832"/>
      <c r="DN18" s="1833"/>
      <c r="DO18" s="1832"/>
      <c r="DP18" s="1833"/>
      <c r="DQ18" s="1832"/>
      <c r="DR18" s="1833"/>
      <c r="DS18" s="1832"/>
      <c r="DT18" s="1833"/>
      <c r="DU18" s="1832"/>
      <c r="DV18" s="1833"/>
      <c r="DW18" s="1832"/>
      <c r="DX18" s="1833"/>
      <c r="DY18" s="1832"/>
      <c r="DZ18" s="1836"/>
      <c r="IQ18" s="1729"/>
      <c r="IR18" s="1729"/>
      <c r="IS18" s="1729"/>
      <c r="IT18" s="1729"/>
      <c r="IU18" s="1729"/>
      <c r="IV18" s="1774"/>
      <c r="IW18" s="1774"/>
    </row>
    <row r="19" spans="1:257" s="1739" customFormat="1" ht="14.25" customHeight="1">
      <c r="A19" s="1774"/>
      <c r="B19" s="1791" t="s">
        <v>15</v>
      </c>
      <c r="C19" s="1792" t="s">
        <v>264</v>
      </c>
      <c r="D19" s="1828">
        <f t="shared" si="111"/>
        <v>0</v>
      </c>
      <c r="E19" s="1829">
        <f t="shared" si="100"/>
        <v>304.17445289577142</v>
      </c>
      <c r="F19" s="1830" t="s">
        <v>10</v>
      </c>
      <c r="G19" s="1774"/>
      <c r="H19" s="1796" t="s">
        <v>433</v>
      </c>
      <c r="I19" s="1831">
        <v>0</v>
      </c>
      <c r="J19" s="1814">
        <f>$M$194</f>
        <v>304.17445289577142</v>
      </c>
      <c r="K19" s="1831">
        <v>0</v>
      </c>
      <c r="L19" s="1814">
        <f>$M$194</f>
        <v>304.17445289577142</v>
      </c>
      <c r="M19" s="1831">
        <v>0</v>
      </c>
      <c r="N19" s="1814">
        <f>$M$194</f>
        <v>304.17445289577142</v>
      </c>
      <c r="O19" s="1831">
        <v>0</v>
      </c>
      <c r="P19" s="1814">
        <f>$M$194</f>
        <v>304.17445289577142</v>
      </c>
      <c r="Q19" s="1831">
        <v>0</v>
      </c>
      <c r="R19" s="1814">
        <f>$M$194</f>
        <v>304.17445289577142</v>
      </c>
      <c r="S19" s="1831">
        <v>0</v>
      </c>
      <c r="T19" s="1814">
        <f>$M$194</f>
        <v>304.17445289577142</v>
      </c>
      <c r="U19" s="1831">
        <v>0</v>
      </c>
      <c r="V19" s="1814">
        <f>$M$194</f>
        <v>304.17445289577142</v>
      </c>
      <c r="W19" s="1831">
        <v>0</v>
      </c>
      <c r="X19" s="1814">
        <f>$M$194</f>
        <v>304.17445289577142</v>
      </c>
      <c r="Y19" s="1831">
        <v>0</v>
      </c>
      <c r="Z19" s="1814">
        <f>$M$194</f>
        <v>304.17445289577142</v>
      </c>
      <c r="AA19" s="1831">
        <v>0</v>
      </c>
      <c r="AB19" s="1814">
        <f>$M$194+550</f>
        <v>854.17445289577142</v>
      </c>
      <c r="AC19" s="1831">
        <v>0</v>
      </c>
      <c r="AD19" s="1813">
        <f>$M$194</f>
        <v>304.17445289577142</v>
      </c>
      <c r="AE19" s="1802"/>
      <c r="AF19" s="1803"/>
      <c r="AG19" s="1811">
        <v>0</v>
      </c>
      <c r="AH19" s="1814">
        <f>$M$194*1.15</f>
        <v>349.80062083013712</v>
      </c>
      <c r="AI19" s="1831">
        <v>0</v>
      </c>
      <c r="AJ19" s="1814">
        <f>$M$194</f>
        <v>304.17445289577142</v>
      </c>
      <c r="AK19" s="1831">
        <v>0</v>
      </c>
      <c r="AL19" s="1814">
        <f>$M$194</f>
        <v>304.17445289577142</v>
      </c>
      <c r="AM19" s="1831">
        <v>0</v>
      </c>
      <c r="AN19" s="1814">
        <f>$M$194</f>
        <v>304.17445289577142</v>
      </c>
      <c r="AO19" s="1831">
        <v>0</v>
      </c>
      <c r="AP19" s="1814">
        <f>$M$194</f>
        <v>304.17445289577142</v>
      </c>
      <c r="AQ19" s="1831">
        <v>0</v>
      </c>
      <c r="AR19" s="1814">
        <f>'Calc.Exg'!I14*1000</f>
        <v>343.74542550711061</v>
      </c>
      <c r="AS19" s="1832">
        <f t="shared" si="101"/>
        <v>0</v>
      </c>
      <c r="AT19" s="1833">
        <f t="shared" si="102"/>
        <v>343.74542550711061</v>
      </c>
      <c r="AU19" s="1832">
        <f t="shared" si="103"/>
        <v>0</v>
      </c>
      <c r="AV19" s="1833">
        <f t="shared" si="104"/>
        <v>343.74542550711061</v>
      </c>
      <c r="AW19" s="1832">
        <f t="shared" si="105"/>
        <v>0</v>
      </c>
      <c r="AX19" s="1833">
        <f t="shared" si="106"/>
        <v>343.74542550711061</v>
      </c>
      <c r="AY19" s="1832">
        <f t="shared" si="107"/>
        <v>0</v>
      </c>
      <c r="AZ19" s="1833">
        <f t="shared" si="108"/>
        <v>343.74542550711061</v>
      </c>
      <c r="BA19" s="1832">
        <f t="shared" si="109"/>
        <v>0</v>
      </c>
      <c r="BB19" s="1833">
        <f t="shared" si="110"/>
        <v>343.74542550711061</v>
      </c>
      <c r="BC19" s="1832"/>
      <c r="BD19" s="1833"/>
      <c r="BE19" s="1832"/>
      <c r="BF19" s="1833"/>
      <c r="BG19" s="1832"/>
      <c r="BH19" s="1833"/>
      <c r="BI19" s="1832"/>
      <c r="BJ19" s="1833"/>
      <c r="BK19" s="1832"/>
      <c r="BL19" s="1833"/>
      <c r="BM19" s="1832"/>
      <c r="BN19" s="1833"/>
      <c r="BO19" s="1832"/>
      <c r="BP19" s="1833"/>
      <c r="BQ19" s="1832"/>
      <c r="BR19" s="1833"/>
      <c r="BS19" s="1832"/>
      <c r="BT19" s="1833"/>
      <c r="BU19" s="1832"/>
      <c r="BV19" s="1833"/>
      <c r="BW19" s="1832"/>
      <c r="BX19" s="1833"/>
      <c r="BY19" s="1832"/>
      <c r="BZ19" s="1833"/>
      <c r="CA19" s="1832"/>
      <c r="CB19" s="1833"/>
      <c r="CC19" s="1832"/>
      <c r="CD19" s="1833"/>
      <c r="CE19" s="1832"/>
      <c r="CF19" s="1833"/>
      <c r="CG19" s="1832"/>
      <c r="CH19" s="1833"/>
      <c r="CI19" s="1832"/>
      <c r="CJ19" s="1833"/>
      <c r="CK19" s="1832"/>
      <c r="CL19" s="1833"/>
      <c r="CM19" s="1832"/>
      <c r="CN19" s="1833"/>
      <c r="CO19" s="1832"/>
      <c r="CP19" s="1833"/>
      <c r="CQ19" s="1832"/>
      <c r="CR19" s="1833"/>
      <c r="CS19" s="1832"/>
      <c r="CT19" s="1833"/>
      <c r="CU19" s="1832"/>
      <c r="CV19" s="1833"/>
      <c r="CW19" s="1832"/>
      <c r="CX19" s="1833"/>
      <c r="CY19" s="1832"/>
      <c r="CZ19" s="1833"/>
      <c r="DA19" s="1832"/>
      <c r="DB19" s="1833"/>
      <c r="DC19" s="1832"/>
      <c r="DD19" s="1833"/>
      <c r="DE19" s="1832"/>
      <c r="DF19" s="1833"/>
      <c r="DG19" s="1832"/>
      <c r="DH19" s="1833"/>
      <c r="DI19" s="1832"/>
      <c r="DJ19" s="1833"/>
      <c r="DK19" s="1832"/>
      <c r="DL19" s="1833"/>
      <c r="DM19" s="1832"/>
      <c r="DN19" s="1833"/>
      <c r="DO19" s="1832"/>
      <c r="DP19" s="1833"/>
      <c r="DQ19" s="1832"/>
      <c r="DR19" s="1833"/>
      <c r="DS19" s="1832"/>
      <c r="DT19" s="1833"/>
      <c r="DU19" s="1832"/>
      <c r="DV19" s="1833"/>
      <c r="DW19" s="1832"/>
      <c r="DX19" s="1833"/>
      <c r="DY19" s="1832"/>
      <c r="DZ19" s="1836"/>
      <c r="IQ19" s="1729"/>
      <c r="IR19" s="1729"/>
      <c r="IS19" s="1729"/>
      <c r="IT19" s="1729"/>
      <c r="IU19" s="1729"/>
      <c r="IV19" s="1774"/>
      <c r="IW19" s="1774"/>
    </row>
    <row r="20" spans="1:257" s="1739" customFormat="1" ht="14.25" customHeight="1">
      <c r="A20" s="1774"/>
      <c r="B20" s="1791" t="s">
        <v>16</v>
      </c>
      <c r="C20" s="1792" t="s">
        <v>282</v>
      </c>
      <c r="D20" s="1828">
        <f t="shared" si="111"/>
        <v>4.6658114589413353</v>
      </c>
      <c r="E20" s="1829">
        <f t="shared" si="100"/>
        <v>20.278296859718097</v>
      </c>
      <c r="F20" s="1830" t="s">
        <v>10</v>
      </c>
      <c r="G20" s="1774"/>
      <c r="H20" s="1796" t="s">
        <v>16</v>
      </c>
      <c r="I20" s="1831">
        <f>$K$170</f>
        <v>4.6658114589413353</v>
      </c>
      <c r="J20" s="1814">
        <f>$L$170</f>
        <v>20.278296859718097</v>
      </c>
      <c r="K20" s="1831">
        <f>$K$170</f>
        <v>4.6658114589413353</v>
      </c>
      <c r="L20" s="1814">
        <f>$L$170</f>
        <v>20.278296859718097</v>
      </c>
      <c r="M20" s="1831">
        <f>$K$170</f>
        <v>4.6658114589413353</v>
      </c>
      <c r="N20" s="1814">
        <f>$L$170</f>
        <v>20.278296859718097</v>
      </c>
      <c r="O20" s="1831">
        <f>$K$170</f>
        <v>4.6658114589413353</v>
      </c>
      <c r="P20" s="1814">
        <f>$L$170</f>
        <v>20.278296859718097</v>
      </c>
      <c r="Q20" s="1831">
        <f>$K$170</f>
        <v>4.6658114589413353</v>
      </c>
      <c r="R20" s="1814">
        <f>$L$170</f>
        <v>20.278296859718097</v>
      </c>
      <c r="S20" s="1831">
        <f>$K$170</f>
        <v>4.6658114589413353</v>
      </c>
      <c r="T20" s="1814">
        <f>$L$170</f>
        <v>20.278296859718097</v>
      </c>
      <c r="U20" s="1831">
        <f>$Z$170</f>
        <v>4.5688730875632366</v>
      </c>
      <c r="V20" s="1814">
        <f>$L$170</f>
        <v>20.278296859718097</v>
      </c>
      <c r="W20" s="1831">
        <f>$Z$170</f>
        <v>4.5688730875632366</v>
      </c>
      <c r="X20" s="1814">
        <f>$L$170</f>
        <v>20.278296859718097</v>
      </c>
      <c r="Y20" s="1831">
        <f>$Z$170</f>
        <v>4.5688730875632366</v>
      </c>
      <c r="Z20" s="1814">
        <f>$L$170</f>
        <v>20.278296859718097</v>
      </c>
      <c r="AA20" s="1831">
        <f>$AI$170</f>
        <v>4.6623937263216693</v>
      </c>
      <c r="AB20" s="1814">
        <f>$L$170</f>
        <v>20.278296859718097</v>
      </c>
      <c r="AC20" s="1831">
        <f>$AK$170</f>
        <v>5.9684915757053325</v>
      </c>
      <c r="AD20" s="1813">
        <f>$L$170</f>
        <v>20.278296859718097</v>
      </c>
      <c r="AE20" s="1802"/>
      <c r="AF20" s="1803"/>
      <c r="AG20" s="1811">
        <f>$AY$170</f>
        <v>5.0037137533292428</v>
      </c>
      <c r="AH20" s="1814">
        <f>$L$170</f>
        <v>20.278296859718097</v>
      </c>
      <c r="AI20" s="1831">
        <f>$BC$170</f>
        <v>4.5031278378362849</v>
      </c>
      <c r="AJ20" s="1814">
        <f>$L$170</f>
        <v>20.278296859718097</v>
      </c>
      <c r="AK20" s="1831">
        <f>$AP$170</f>
        <v>4.5688730875632366</v>
      </c>
      <c r="AL20" s="1814">
        <f>$L$170</f>
        <v>20.278296859718097</v>
      </c>
      <c r="AM20" s="1831">
        <f>$AS$170</f>
        <v>4.5683174239748991</v>
      </c>
      <c r="AN20" s="1814">
        <f>$L$170</f>
        <v>20.278296859718097</v>
      </c>
      <c r="AO20" s="1831">
        <f>$AU$170</f>
        <v>4.5669551492144764</v>
      </c>
      <c r="AP20" s="1814">
        <f>$L$170</f>
        <v>20.278296859718097</v>
      </c>
      <c r="AQ20" s="1831">
        <f>'Calc.Exg'!I46</f>
        <v>4.6658114589413344</v>
      </c>
      <c r="AR20" s="1814">
        <f>(0.4/100)*$AR$12*1000</f>
        <v>19.642595743263463</v>
      </c>
      <c r="AS20" s="1832">
        <f t="shared" si="101"/>
        <v>4.6658114589413344</v>
      </c>
      <c r="AT20" s="1833">
        <f t="shared" si="102"/>
        <v>19.642595743263463</v>
      </c>
      <c r="AU20" s="1832">
        <f t="shared" si="103"/>
        <v>4.6658114589413344</v>
      </c>
      <c r="AV20" s="1833">
        <f t="shared" si="104"/>
        <v>19.642595743263463</v>
      </c>
      <c r="AW20" s="1832">
        <f t="shared" si="105"/>
        <v>4.6658114589413344</v>
      </c>
      <c r="AX20" s="1833">
        <f t="shared" si="106"/>
        <v>19.642595743263463</v>
      </c>
      <c r="AY20" s="1832">
        <f t="shared" si="107"/>
        <v>4.6658114589413344</v>
      </c>
      <c r="AZ20" s="1833">
        <f t="shared" si="108"/>
        <v>19.642595743263463</v>
      </c>
      <c r="BA20" s="1832">
        <f t="shared" si="109"/>
        <v>4.6658114589413344</v>
      </c>
      <c r="BB20" s="1833">
        <f t="shared" si="110"/>
        <v>19.642595743263463</v>
      </c>
      <c r="BC20" s="1832"/>
      <c r="BD20" s="1833"/>
      <c r="BE20" s="1832"/>
      <c r="BF20" s="1833"/>
      <c r="BG20" s="1832"/>
      <c r="BH20" s="1833"/>
      <c r="BI20" s="1832"/>
      <c r="BJ20" s="1833"/>
      <c r="BK20" s="1832"/>
      <c r="BL20" s="1833"/>
      <c r="BM20" s="1832"/>
      <c r="BN20" s="1833"/>
      <c r="BO20" s="1832"/>
      <c r="BP20" s="1833"/>
      <c r="BQ20" s="1832"/>
      <c r="BR20" s="1833"/>
      <c r="BS20" s="1832"/>
      <c r="BT20" s="1833"/>
      <c r="BU20" s="1832"/>
      <c r="BV20" s="1833"/>
      <c r="BW20" s="1832"/>
      <c r="BX20" s="1833"/>
      <c r="BY20" s="1832"/>
      <c r="BZ20" s="1833"/>
      <c r="CA20" s="1832"/>
      <c r="CB20" s="1833"/>
      <c r="CC20" s="1832"/>
      <c r="CD20" s="1833"/>
      <c r="CE20" s="1832"/>
      <c r="CF20" s="1833"/>
      <c r="CG20" s="1832"/>
      <c r="CH20" s="1833"/>
      <c r="CI20" s="1832"/>
      <c r="CJ20" s="1833"/>
      <c r="CK20" s="1832"/>
      <c r="CL20" s="1833"/>
      <c r="CM20" s="1832"/>
      <c r="CN20" s="1833"/>
      <c r="CO20" s="1832"/>
      <c r="CP20" s="1833"/>
      <c r="CQ20" s="1832"/>
      <c r="CR20" s="1833"/>
      <c r="CS20" s="1832"/>
      <c r="CT20" s="1833"/>
      <c r="CU20" s="1832"/>
      <c r="CV20" s="1833"/>
      <c r="CW20" s="1832"/>
      <c r="CX20" s="1833"/>
      <c r="CY20" s="1832"/>
      <c r="CZ20" s="1833"/>
      <c r="DA20" s="1832"/>
      <c r="DB20" s="1833"/>
      <c r="DC20" s="1832"/>
      <c r="DD20" s="1833"/>
      <c r="DE20" s="1832"/>
      <c r="DF20" s="1833"/>
      <c r="DG20" s="1832"/>
      <c r="DH20" s="1833"/>
      <c r="DI20" s="1832"/>
      <c r="DJ20" s="1833"/>
      <c r="DK20" s="1832"/>
      <c r="DL20" s="1833"/>
      <c r="DM20" s="1832"/>
      <c r="DN20" s="1833"/>
      <c r="DO20" s="1832"/>
      <c r="DP20" s="1833"/>
      <c r="DQ20" s="1832"/>
      <c r="DR20" s="1833"/>
      <c r="DS20" s="1832"/>
      <c r="DT20" s="1833"/>
      <c r="DU20" s="1832"/>
      <c r="DV20" s="1833"/>
      <c r="DW20" s="1832"/>
      <c r="DX20" s="1833"/>
      <c r="DY20" s="1832"/>
      <c r="DZ20" s="1836"/>
      <c r="IQ20" s="1729"/>
      <c r="IR20" s="1729"/>
      <c r="IS20" s="1729"/>
      <c r="IT20" s="1729"/>
      <c r="IU20" s="1729"/>
      <c r="IV20" s="1774"/>
      <c r="IW20" s="1774"/>
    </row>
    <row r="21" spans="1:257" s="1774" customFormat="1" ht="14.25" customHeight="1">
      <c r="B21" s="1791" t="s">
        <v>17</v>
      </c>
      <c r="C21" s="1792" t="s">
        <v>286</v>
      </c>
      <c r="D21" s="1828">
        <f t="shared" si="111"/>
        <v>5.7026018072157338</v>
      </c>
      <c r="E21" s="1829">
        <f t="shared" si="100"/>
        <v>329.52232397041911</v>
      </c>
      <c r="F21" s="1830" t="s">
        <v>10</v>
      </c>
      <c r="H21" s="1796" t="s">
        <v>436</v>
      </c>
      <c r="I21" s="1831">
        <f>$K$171</f>
        <v>5.7026018072157338</v>
      </c>
      <c r="J21" s="1814">
        <f>$L$171</f>
        <v>329.52232397041911</v>
      </c>
      <c r="K21" s="1831">
        <f>$K$171</f>
        <v>5.7026018072157338</v>
      </c>
      <c r="L21" s="1814">
        <f>$L$171</f>
        <v>329.52232397041911</v>
      </c>
      <c r="M21" s="1831">
        <f>$K$171</f>
        <v>5.7026018072157338</v>
      </c>
      <c r="N21" s="1814">
        <f>$L$171</f>
        <v>329.52232397041911</v>
      </c>
      <c r="O21" s="1831">
        <f>$K$171</f>
        <v>5.7026018072157338</v>
      </c>
      <c r="P21" s="1814">
        <f>$L$171</f>
        <v>329.52232397041911</v>
      </c>
      <c r="Q21" s="1831">
        <f>$K$171</f>
        <v>5.7026018072157338</v>
      </c>
      <c r="R21" s="1814">
        <f>$L$171</f>
        <v>329.52232397041911</v>
      </c>
      <c r="S21" s="1831">
        <f>$K$171</f>
        <v>5.7026018072157338</v>
      </c>
      <c r="T21" s="1814">
        <f>$L$171</f>
        <v>329.52232397041911</v>
      </c>
      <c r="U21" s="1831">
        <f>$Z$171</f>
        <v>6.1245590179333487</v>
      </c>
      <c r="V21" s="1814">
        <f>$L$171</f>
        <v>329.52232397041911</v>
      </c>
      <c r="W21" s="1831">
        <f>$Z$171</f>
        <v>6.1245590179333487</v>
      </c>
      <c r="X21" s="1814">
        <f>$L$171</f>
        <v>329.52232397041911</v>
      </c>
      <c r="Y21" s="1831">
        <f>$Z$171</f>
        <v>6.1245590179333487</v>
      </c>
      <c r="Z21" s="1814">
        <f>$L$171</f>
        <v>329.52232397041911</v>
      </c>
      <c r="AA21" s="1831">
        <f>$AI$171</f>
        <v>5.6437336796721809</v>
      </c>
      <c r="AB21" s="1814">
        <f>$L$171</f>
        <v>329.52232397041911</v>
      </c>
      <c r="AC21" s="1831">
        <f>$AK$171</f>
        <v>9.5720978406431776</v>
      </c>
      <c r="AD21" s="1813">
        <f>$L$171</f>
        <v>329.52232397041911</v>
      </c>
      <c r="AE21" s="1802"/>
      <c r="AF21" s="1803"/>
      <c r="AG21" s="1811">
        <f>$AY$171</f>
        <v>6.0937159946096546</v>
      </c>
      <c r="AH21" s="1814">
        <f>$L$171</f>
        <v>329.52232397041911</v>
      </c>
      <c r="AI21" s="1831">
        <f>$BC$171</f>
        <v>5.5822442964964454</v>
      </c>
      <c r="AJ21" s="1814">
        <f>$L$171</f>
        <v>329.52232397041911</v>
      </c>
      <c r="AK21" s="1831">
        <f>$AP$171</f>
        <v>6.1245590179333487</v>
      </c>
      <c r="AL21" s="1814">
        <f>$L$171</f>
        <v>329.52232397041911</v>
      </c>
      <c r="AM21" s="1831">
        <f>$AS$171</f>
        <v>6.1239255810338182</v>
      </c>
      <c r="AN21" s="1814">
        <f>$L$171</f>
        <v>329.52232397041911</v>
      </c>
      <c r="AO21" s="1831">
        <f>$AU$171</f>
        <v>6.1223697899366893</v>
      </c>
      <c r="AP21" s="1814">
        <f>$L$171</f>
        <v>329.52232397041911</v>
      </c>
      <c r="AQ21" s="1831">
        <f>'Calc.Exg'!I52</f>
        <v>5.7026018072157338</v>
      </c>
      <c r="AR21" s="1814">
        <f>$L$171</f>
        <v>329.52232397041911</v>
      </c>
      <c r="AS21" s="1832">
        <f t="shared" si="101"/>
        <v>5.7026018072157338</v>
      </c>
      <c r="AT21" s="1833">
        <f t="shared" si="102"/>
        <v>329.52232397041911</v>
      </c>
      <c r="AU21" s="1832">
        <f t="shared" si="103"/>
        <v>5.7026018072157338</v>
      </c>
      <c r="AV21" s="1833">
        <f t="shared" si="104"/>
        <v>329.52232397041911</v>
      </c>
      <c r="AW21" s="1832">
        <f t="shared" si="105"/>
        <v>5.7026018072157338</v>
      </c>
      <c r="AX21" s="1833">
        <f t="shared" si="106"/>
        <v>329.52232397041911</v>
      </c>
      <c r="AY21" s="1832">
        <f t="shared" si="107"/>
        <v>5.7026018072157338</v>
      </c>
      <c r="AZ21" s="1833">
        <f t="shared" si="108"/>
        <v>329.52232397041911</v>
      </c>
      <c r="BA21" s="1832">
        <f t="shared" si="109"/>
        <v>5.7026018072157338</v>
      </c>
      <c r="BB21" s="1833">
        <f t="shared" si="110"/>
        <v>329.52232397041911</v>
      </c>
      <c r="BC21" s="1832"/>
      <c r="BD21" s="1833"/>
      <c r="BE21" s="1832"/>
      <c r="BF21" s="1833"/>
      <c r="BG21" s="1832"/>
      <c r="BH21" s="1833"/>
      <c r="BI21" s="1832"/>
      <c r="BJ21" s="1833"/>
      <c r="BK21" s="1832"/>
      <c r="BL21" s="1833"/>
      <c r="BM21" s="1832"/>
      <c r="BN21" s="1833"/>
      <c r="BO21" s="1832"/>
      <c r="BP21" s="1833"/>
      <c r="BQ21" s="1832"/>
      <c r="BR21" s="1833"/>
      <c r="BS21" s="1832"/>
      <c r="BT21" s="1833"/>
      <c r="BU21" s="1832"/>
      <c r="BV21" s="1833"/>
      <c r="BW21" s="1832"/>
      <c r="BX21" s="1833"/>
      <c r="BY21" s="1832"/>
      <c r="BZ21" s="1833"/>
      <c r="CA21" s="1832"/>
      <c r="CB21" s="1833"/>
      <c r="CC21" s="1832"/>
      <c r="CD21" s="1833"/>
      <c r="CE21" s="1832"/>
      <c r="CF21" s="1833"/>
      <c r="CG21" s="1832"/>
      <c r="CH21" s="1833"/>
      <c r="CI21" s="1832"/>
      <c r="CJ21" s="1833"/>
      <c r="CK21" s="1832"/>
      <c r="CL21" s="1833"/>
      <c r="CM21" s="1832"/>
      <c r="CN21" s="1833"/>
      <c r="CO21" s="1832"/>
      <c r="CP21" s="1833"/>
      <c r="CQ21" s="1832"/>
      <c r="CR21" s="1833"/>
      <c r="CS21" s="1832"/>
      <c r="CT21" s="1833"/>
      <c r="CU21" s="1832"/>
      <c r="CV21" s="1833"/>
      <c r="CW21" s="1832"/>
      <c r="CX21" s="1833"/>
      <c r="CY21" s="1832"/>
      <c r="CZ21" s="1833"/>
      <c r="DA21" s="1832"/>
      <c r="DB21" s="1833"/>
      <c r="DC21" s="1832"/>
      <c r="DD21" s="1833"/>
      <c r="DE21" s="1832"/>
      <c r="DF21" s="1833"/>
      <c r="DG21" s="1832"/>
      <c r="DH21" s="1833"/>
      <c r="DI21" s="1832"/>
      <c r="DJ21" s="1833"/>
      <c r="DK21" s="1832"/>
      <c r="DL21" s="1833"/>
      <c r="DM21" s="1832"/>
      <c r="DN21" s="1833"/>
      <c r="DO21" s="1832"/>
      <c r="DP21" s="1833"/>
      <c r="DQ21" s="1832"/>
      <c r="DR21" s="1833"/>
      <c r="DS21" s="1832"/>
      <c r="DT21" s="1833"/>
      <c r="DU21" s="1832"/>
      <c r="DV21" s="1833"/>
      <c r="DW21" s="1832"/>
      <c r="DX21" s="1833"/>
      <c r="DY21" s="1832"/>
      <c r="DZ21" s="1836"/>
    </row>
    <row r="22" spans="1:257" s="1774" customFormat="1" ht="14.25" customHeight="1">
      <c r="B22" s="1791" t="s">
        <v>18</v>
      </c>
      <c r="C22" s="1792" t="s">
        <v>284</v>
      </c>
      <c r="D22" s="1828">
        <f t="shared" si="111"/>
        <v>13.97478477855134</v>
      </c>
      <c r="E22" s="1829">
        <f t="shared" si="100"/>
        <v>152.08722644788571</v>
      </c>
      <c r="F22" s="1830" t="s">
        <v>10</v>
      </c>
      <c r="H22" s="1796" t="s">
        <v>18</v>
      </c>
      <c r="I22" s="1831">
        <f>$K$172</f>
        <v>13.97478477855134</v>
      </c>
      <c r="J22" s="1814">
        <f>$L$172</f>
        <v>152.08722644788571</v>
      </c>
      <c r="K22" s="1831">
        <f>$K$172</f>
        <v>13.97478477855134</v>
      </c>
      <c r="L22" s="1814">
        <f>$L$172</f>
        <v>152.08722644788571</v>
      </c>
      <c r="M22" s="1831">
        <f>$K$172</f>
        <v>13.97478477855134</v>
      </c>
      <c r="N22" s="1814">
        <f>$L$172</f>
        <v>152.08722644788571</v>
      </c>
      <c r="O22" s="1831">
        <f>$K$172</f>
        <v>13.97478477855134</v>
      </c>
      <c r="P22" s="1814">
        <f>$L$172</f>
        <v>152.08722644788571</v>
      </c>
      <c r="Q22" s="1831">
        <f>$K$172</f>
        <v>13.97478477855134</v>
      </c>
      <c r="R22" s="1814">
        <f>$L$172</f>
        <v>152.08722644788571</v>
      </c>
      <c r="S22" s="1831">
        <f>$K$172</f>
        <v>13.97478477855134</v>
      </c>
      <c r="T22" s="1814">
        <f>$L$172</f>
        <v>152.08722644788571</v>
      </c>
      <c r="U22" s="1831">
        <f>$Z$172</f>
        <v>14.048176920040554</v>
      </c>
      <c r="V22" s="1814">
        <f>$L$172</f>
        <v>152.08722644788571</v>
      </c>
      <c r="W22" s="1831">
        <f>$Z$172</f>
        <v>14.048176920040554</v>
      </c>
      <c r="X22" s="1814">
        <f>$L$172</f>
        <v>152.08722644788571</v>
      </c>
      <c r="Y22" s="1831">
        <f>$Z$172</f>
        <v>14.048176920040554</v>
      </c>
      <c r="Z22" s="1814">
        <f>$L$172</f>
        <v>152.08722644788571</v>
      </c>
      <c r="AA22" s="1831">
        <f>$AI$172</f>
        <v>13.234189725956917</v>
      </c>
      <c r="AB22" s="1814">
        <f>$L$172</f>
        <v>152.08722644788571</v>
      </c>
      <c r="AC22" s="1831">
        <f>$AK$172</f>
        <v>23.902155037870362</v>
      </c>
      <c r="AD22" s="1813">
        <f>$L$172</f>
        <v>152.08722644788571</v>
      </c>
      <c r="AE22" s="1802"/>
      <c r="AF22" s="1803"/>
      <c r="AG22" s="1811">
        <f>$AY$172</f>
        <v>14.61436819530236</v>
      </c>
      <c r="AH22" s="1814">
        <f>$L$172</f>
        <v>152.08722644788571</v>
      </c>
      <c r="AI22" s="1831">
        <f>$BC$172</f>
        <v>13.151930178773432</v>
      </c>
      <c r="AJ22" s="1814">
        <f>$L$172</f>
        <v>152.08722644788571</v>
      </c>
      <c r="AK22" s="1831">
        <f>$AP$172</f>
        <v>14.048176920040554</v>
      </c>
      <c r="AL22" s="1814">
        <f>$L$172</f>
        <v>152.08722644788571</v>
      </c>
      <c r="AM22" s="1831">
        <f>$AS$172</f>
        <v>14.051673551972733</v>
      </c>
      <c r="AN22" s="1814">
        <f>$L$172</f>
        <v>152.08722644788571</v>
      </c>
      <c r="AO22" s="1831">
        <f>$AU$172</f>
        <v>14.060294653844393</v>
      </c>
      <c r="AP22" s="1814">
        <f>$L$172</f>
        <v>152.08722644788571</v>
      </c>
      <c r="AQ22" s="1831">
        <f>'Calc.Exg'!I49</f>
        <v>13.974784778551339</v>
      </c>
      <c r="AR22" s="1814">
        <f>$L$172</f>
        <v>152.08722644788571</v>
      </c>
      <c r="AS22" s="1832">
        <f t="shared" si="101"/>
        <v>13.974784778551339</v>
      </c>
      <c r="AT22" s="1833">
        <f t="shared" si="102"/>
        <v>152.08722644788571</v>
      </c>
      <c r="AU22" s="1832">
        <f t="shared" si="103"/>
        <v>13.974784778551339</v>
      </c>
      <c r="AV22" s="1833">
        <f t="shared" si="104"/>
        <v>152.08722644788571</v>
      </c>
      <c r="AW22" s="1832">
        <f t="shared" si="105"/>
        <v>13.974784778551339</v>
      </c>
      <c r="AX22" s="1833">
        <f t="shared" si="106"/>
        <v>152.08722644788571</v>
      </c>
      <c r="AY22" s="1832">
        <f t="shared" si="107"/>
        <v>13.974784778551339</v>
      </c>
      <c r="AZ22" s="1833">
        <f t="shared" si="108"/>
        <v>152.08722644788571</v>
      </c>
      <c r="BA22" s="1832">
        <f t="shared" si="109"/>
        <v>13.974784778551339</v>
      </c>
      <c r="BB22" s="1833">
        <f t="shared" si="110"/>
        <v>152.08722644788571</v>
      </c>
      <c r="BC22" s="1832"/>
      <c r="BD22" s="1833"/>
      <c r="BE22" s="1832"/>
      <c r="BF22" s="1833"/>
      <c r="BG22" s="1832"/>
      <c r="BH22" s="1833"/>
      <c r="BI22" s="1832"/>
      <c r="BJ22" s="1833"/>
      <c r="BK22" s="1832"/>
      <c r="BL22" s="1833"/>
      <c r="BM22" s="1832"/>
      <c r="BN22" s="1833"/>
      <c r="BO22" s="1832"/>
      <c r="BP22" s="1833"/>
      <c r="BQ22" s="1832"/>
      <c r="BR22" s="1833"/>
      <c r="BS22" s="1832"/>
      <c r="BT22" s="1833"/>
      <c r="BU22" s="1832"/>
      <c r="BV22" s="1833"/>
      <c r="BW22" s="1832"/>
      <c r="BX22" s="1833"/>
      <c r="BY22" s="1832"/>
      <c r="BZ22" s="1833"/>
      <c r="CA22" s="1832"/>
      <c r="CB22" s="1833"/>
      <c r="CC22" s="1832"/>
      <c r="CD22" s="1833"/>
      <c r="CE22" s="1832"/>
      <c r="CF22" s="1833"/>
      <c r="CG22" s="1832"/>
      <c r="CH22" s="1833"/>
      <c r="CI22" s="1832"/>
      <c r="CJ22" s="1833"/>
      <c r="CK22" s="1832"/>
      <c r="CL22" s="1833"/>
      <c r="CM22" s="1832"/>
      <c r="CN22" s="1833"/>
      <c r="CO22" s="1832"/>
      <c r="CP22" s="1833"/>
      <c r="CQ22" s="1832"/>
      <c r="CR22" s="1833"/>
      <c r="CS22" s="1832"/>
      <c r="CT22" s="1833"/>
      <c r="CU22" s="1832"/>
      <c r="CV22" s="1833"/>
      <c r="CW22" s="1832"/>
      <c r="CX22" s="1833"/>
      <c r="CY22" s="1832"/>
      <c r="CZ22" s="1833"/>
      <c r="DA22" s="1832"/>
      <c r="DB22" s="1833"/>
      <c r="DC22" s="1832"/>
      <c r="DD22" s="1833"/>
      <c r="DE22" s="1832"/>
      <c r="DF22" s="1833"/>
      <c r="DG22" s="1832"/>
      <c r="DH22" s="1833"/>
      <c r="DI22" s="1832"/>
      <c r="DJ22" s="1833"/>
      <c r="DK22" s="1832"/>
      <c r="DL22" s="1833"/>
      <c r="DM22" s="1832"/>
      <c r="DN22" s="1833"/>
      <c r="DO22" s="1832"/>
      <c r="DP22" s="1833"/>
      <c r="DQ22" s="1832"/>
      <c r="DR22" s="1833"/>
      <c r="DS22" s="1832"/>
      <c r="DT22" s="1833"/>
      <c r="DU22" s="1832"/>
      <c r="DV22" s="1833"/>
      <c r="DW22" s="1832"/>
      <c r="DX22" s="1833"/>
      <c r="DY22" s="1832"/>
      <c r="DZ22" s="1836"/>
    </row>
    <row r="23" spans="1:257" s="1774" customFormat="1" ht="14.25" customHeight="1">
      <c r="B23" s="1791" t="s">
        <v>19</v>
      </c>
      <c r="C23" s="1792" t="s">
        <v>288</v>
      </c>
      <c r="D23" s="1828">
        <f t="shared" si="111"/>
        <v>5.5592716084106941</v>
      </c>
      <c r="E23" s="1829">
        <f t="shared" si="100"/>
        <v>20.278296859718097</v>
      </c>
      <c r="F23" s="1830" t="s">
        <v>10</v>
      </c>
      <c r="H23" s="1796" t="s">
        <v>19</v>
      </c>
      <c r="I23" s="1831">
        <f>$K$173</f>
        <v>5.5592716084106941</v>
      </c>
      <c r="J23" s="1814">
        <f>$L$173</f>
        <v>20.278296859718097</v>
      </c>
      <c r="K23" s="1831">
        <f>$K$173</f>
        <v>5.5592716084106941</v>
      </c>
      <c r="L23" s="1814">
        <f>$L$173</f>
        <v>20.278296859718097</v>
      </c>
      <c r="M23" s="1831">
        <f>$K$173</f>
        <v>5.5592716084106941</v>
      </c>
      <c r="N23" s="1814">
        <f>$L$173</f>
        <v>20.278296859718097</v>
      </c>
      <c r="O23" s="1831">
        <f>$K$173</f>
        <v>5.5592716084106941</v>
      </c>
      <c r="P23" s="1814">
        <f>$L$173</f>
        <v>20.278296859718097</v>
      </c>
      <c r="Q23" s="1831">
        <f>$K$173</f>
        <v>5.5592716084106941</v>
      </c>
      <c r="R23" s="1814">
        <f>$L$173</f>
        <v>20.278296859718097</v>
      </c>
      <c r="S23" s="1831">
        <f>$K$173</f>
        <v>5.5592716084106941</v>
      </c>
      <c r="T23" s="1814">
        <f>$L$173</f>
        <v>20.278296859718097</v>
      </c>
      <c r="U23" s="1831">
        <f>$Z$173</f>
        <v>5.5294777850216743</v>
      </c>
      <c r="V23" s="1814">
        <f>$L$173</f>
        <v>20.278296859718097</v>
      </c>
      <c r="W23" s="1831">
        <f>$Z$173</f>
        <v>5.5294777850216743</v>
      </c>
      <c r="X23" s="1814">
        <f>$L$173</f>
        <v>20.278296859718097</v>
      </c>
      <c r="Y23" s="1831">
        <f>$Z$173</f>
        <v>5.5294777850216743</v>
      </c>
      <c r="Z23" s="1814">
        <f>$L$173</f>
        <v>20.278296859718097</v>
      </c>
      <c r="AA23" s="1831">
        <f>$AI$173</f>
        <v>5.831753535019951</v>
      </c>
      <c r="AB23" s="1814">
        <f>$L$173</f>
        <v>20.278296859718097</v>
      </c>
      <c r="AC23" s="1831">
        <f>$AK$173</f>
        <v>8.3571241965298295</v>
      </c>
      <c r="AD23" s="1813">
        <f>$L$173</f>
        <v>20.278296859718097</v>
      </c>
      <c r="AE23" s="1802"/>
      <c r="AF23" s="1803"/>
      <c r="AG23" s="1811">
        <f>$AY$173</f>
        <v>5.9940562198667848</v>
      </c>
      <c r="AH23" s="1814">
        <f>$L$173</f>
        <v>20.278296859718097</v>
      </c>
      <c r="AI23" s="1831">
        <f>$BC$173</f>
        <v>5.5888194798926571</v>
      </c>
      <c r="AJ23" s="1814">
        <f>$L$173</f>
        <v>20.278296859718097</v>
      </c>
      <c r="AK23" s="1831">
        <f>$AP$173</f>
        <v>5.5294777850216743</v>
      </c>
      <c r="AL23" s="1814">
        <f>$L$173</f>
        <v>20.278296859718097</v>
      </c>
      <c r="AM23" s="1831">
        <f>$AS$173</f>
        <v>5.5407437659035388</v>
      </c>
      <c r="AN23" s="1814">
        <f>$L$173</f>
        <v>20.278296859718097</v>
      </c>
      <c r="AO23" s="1831">
        <f>$AU$173</f>
        <v>5.5686816929009346</v>
      </c>
      <c r="AP23" s="1814">
        <f>$L$173</f>
        <v>20.278296859718097</v>
      </c>
      <c r="AQ23" s="1831">
        <f>'Calc.Exg'!I55</f>
        <v>5.5592716084106941</v>
      </c>
      <c r="AR23" s="1814">
        <f>$L$173</f>
        <v>20.278296859718097</v>
      </c>
      <c r="AS23" s="1832">
        <f t="shared" si="101"/>
        <v>5.5592716084106941</v>
      </c>
      <c r="AT23" s="1833">
        <f t="shared" si="102"/>
        <v>20.278296859718097</v>
      </c>
      <c r="AU23" s="1832">
        <f t="shared" si="103"/>
        <v>5.5592716084106941</v>
      </c>
      <c r="AV23" s="1833">
        <f t="shared" si="104"/>
        <v>20.278296859718097</v>
      </c>
      <c r="AW23" s="1832">
        <f t="shared" si="105"/>
        <v>5.5592716084106941</v>
      </c>
      <c r="AX23" s="1833">
        <f t="shared" si="106"/>
        <v>20.278296859718097</v>
      </c>
      <c r="AY23" s="1832">
        <f t="shared" si="107"/>
        <v>5.5592716084106941</v>
      </c>
      <c r="AZ23" s="1833">
        <f t="shared" si="108"/>
        <v>20.278296859718097</v>
      </c>
      <c r="BA23" s="1832">
        <f t="shared" si="109"/>
        <v>5.5592716084106941</v>
      </c>
      <c r="BB23" s="1833">
        <f t="shared" si="110"/>
        <v>20.278296859718097</v>
      </c>
      <c r="BC23" s="1832"/>
      <c r="BD23" s="1833"/>
      <c r="BE23" s="1832"/>
      <c r="BF23" s="1833"/>
      <c r="BG23" s="1832"/>
      <c r="BH23" s="1833"/>
      <c r="BI23" s="1832"/>
      <c r="BJ23" s="1833"/>
      <c r="BK23" s="1832"/>
      <c r="BL23" s="1833"/>
      <c r="BM23" s="1832"/>
      <c r="BN23" s="1833"/>
      <c r="BO23" s="1832"/>
      <c r="BP23" s="1833"/>
      <c r="BQ23" s="1832"/>
      <c r="BR23" s="1833"/>
      <c r="BS23" s="1832"/>
      <c r="BT23" s="1833"/>
      <c r="BU23" s="1832"/>
      <c r="BV23" s="1833"/>
      <c r="BW23" s="1832"/>
      <c r="BX23" s="1833"/>
      <c r="BY23" s="1832"/>
      <c r="BZ23" s="1833"/>
      <c r="CA23" s="1832"/>
      <c r="CB23" s="1833"/>
      <c r="CC23" s="1832"/>
      <c r="CD23" s="1833"/>
      <c r="CE23" s="1832"/>
      <c r="CF23" s="1833"/>
      <c r="CG23" s="1832"/>
      <c r="CH23" s="1833"/>
      <c r="CI23" s="1832"/>
      <c r="CJ23" s="1833"/>
      <c r="CK23" s="1832"/>
      <c r="CL23" s="1833"/>
      <c r="CM23" s="1832"/>
      <c r="CN23" s="1833"/>
      <c r="CO23" s="1832"/>
      <c r="CP23" s="1833"/>
      <c r="CQ23" s="1832"/>
      <c r="CR23" s="1833"/>
      <c r="CS23" s="1832"/>
      <c r="CT23" s="1833"/>
      <c r="CU23" s="1832"/>
      <c r="CV23" s="1833"/>
      <c r="CW23" s="1832"/>
      <c r="CX23" s="1833"/>
      <c r="CY23" s="1832"/>
      <c r="CZ23" s="1833"/>
      <c r="DA23" s="1832"/>
      <c r="DB23" s="1833"/>
      <c r="DC23" s="1832"/>
      <c r="DD23" s="1833"/>
      <c r="DE23" s="1832"/>
      <c r="DF23" s="1833"/>
      <c r="DG23" s="1832"/>
      <c r="DH23" s="1833"/>
      <c r="DI23" s="1832"/>
      <c r="DJ23" s="1833"/>
      <c r="DK23" s="1832"/>
      <c r="DL23" s="1833"/>
      <c r="DM23" s="1832"/>
      <c r="DN23" s="1833"/>
      <c r="DO23" s="1832"/>
      <c r="DP23" s="1833"/>
      <c r="DQ23" s="1832"/>
      <c r="DR23" s="1833"/>
      <c r="DS23" s="1832"/>
      <c r="DT23" s="1833"/>
      <c r="DU23" s="1832"/>
      <c r="DV23" s="1833"/>
      <c r="DW23" s="1832"/>
      <c r="DX23" s="1833"/>
      <c r="DY23" s="1832"/>
      <c r="DZ23" s="1836"/>
    </row>
    <row r="24" spans="1:257" s="1774" customFormat="1" ht="14.25" customHeight="1">
      <c r="B24" s="1791" t="s">
        <v>20</v>
      </c>
      <c r="C24" s="1792" t="s">
        <v>294</v>
      </c>
      <c r="D24" s="1828">
        <f t="shared" si="111"/>
        <v>9.9216764145481644</v>
      </c>
      <c r="E24" s="1829">
        <f t="shared" si="100"/>
        <v>506.95742149295245</v>
      </c>
      <c r="F24" s="1830" t="s">
        <v>21</v>
      </c>
      <c r="H24" s="1796" t="s">
        <v>20</v>
      </c>
      <c r="I24" s="1831">
        <f>Cobre</f>
        <v>9.9216764145481644</v>
      </c>
      <c r="J24" s="1814">
        <f>$L$178</f>
        <v>506.95742149295245</v>
      </c>
      <c r="K24" s="1831">
        <f>Cobre</f>
        <v>9.9216764145481644</v>
      </c>
      <c r="L24" s="1814">
        <f>$L$178</f>
        <v>506.95742149295245</v>
      </c>
      <c r="M24" s="1831">
        <f>Cobre</f>
        <v>9.9216764145481644</v>
      </c>
      <c r="N24" s="1814">
        <f>$L$178</f>
        <v>506.95742149295245</v>
      </c>
      <c r="O24" s="1831">
        <f>Cobre</f>
        <v>9.9216764145481644</v>
      </c>
      <c r="P24" s="1814">
        <f>$L$178</f>
        <v>506.95742149295245</v>
      </c>
      <c r="Q24" s="1831">
        <f>Cobre</f>
        <v>9.9216764145481644</v>
      </c>
      <c r="R24" s="1814">
        <f>$L$178</f>
        <v>506.95742149295245</v>
      </c>
      <c r="S24" s="1831">
        <f>Cobre</f>
        <v>9.9216764145481644</v>
      </c>
      <c r="T24" s="1814">
        <f>$L$178</f>
        <v>506.95742149295245</v>
      </c>
      <c r="U24" s="1831">
        <f>Cobre</f>
        <v>9.9216764145481644</v>
      </c>
      <c r="V24" s="1814">
        <f>$L$178</f>
        <v>506.95742149295245</v>
      </c>
      <c r="W24" s="1831">
        <f>Cobre</f>
        <v>9.9216764145481644</v>
      </c>
      <c r="X24" s="1814">
        <f>$L$178</f>
        <v>506.95742149295245</v>
      </c>
      <c r="Y24" s="1831">
        <f>Cobre</f>
        <v>9.9216764145481644</v>
      </c>
      <c r="Z24" s="1814">
        <f>$L$178</f>
        <v>506.95742149295245</v>
      </c>
      <c r="AA24" s="1831">
        <f>Cobre</f>
        <v>9.9216764145481644</v>
      </c>
      <c r="AB24" s="1814">
        <f>$L$178</f>
        <v>506.95742149295245</v>
      </c>
      <c r="AC24" s="1831">
        <f>Cobre</f>
        <v>9.9216764145481644</v>
      </c>
      <c r="AD24" s="1813">
        <f>$L$178</f>
        <v>506.95742149295245</v>
      </c>
      <c r="AE24" s="1802"/>
      <c r="AF24" s="1803"/>
      <c r="AG24" s="1811">
        <f>IF($AF$6&lt;136,Cobre,IF($AF$6&lt;231,Cobre*1.12,Cobre*1.33))</f>
        <v>9.9216764145481644</v>
      </c>
      <c r="AH24" s="1814">
        <f>$L$178</f>
        <v>506.95742149295245</v>
      </c>
      <c r="AI24" s="1831">
        <f>Cobre</f>
        <v>9.9216764145481644</v>
      </c>
      <c r="AJ24" s="1814">
        <f>$L$178</f>
        <v>506.95742149295245</v>
      </c>
      <c r="AK24" s="1831">
        <f>Cobre</f>
        <v>9.9216764145481644</v>
      </c>
      <c r="AL24" s="1814">
        <f>$L$178</f>
        <v>506.95742149295245</v>
      </c>
      <c r="AM24" s="1831">
        <f>Cobre</f>
        <v>9.9216764145481644</v>
      </c>
      <c r="AN24" s="1814">
        <f>$L$178</f>
        <v>506.95742149295245</v>
      </c>
      <c r="AO24" s="1831">
        <f>Cobre</f>
        <v>9.9216764145481644</v>
      </c>
      <c r="AP24" s="1814">
        <f>$L$178</f>
        <v>506.95742149295245</v>
      </c>
      <c r="AQ24" s="1831">
        <f>'Calc.Exg'!I61</f>
        <v>37.399486419919235</v>
      </c>
      <c r="AR24" s="1814">
        <f>$L$178</f>
        <v>506.95742149295245</v>
      </c>
      <c r="AS24" s="1832">
        <f t="shared" si="101"/>
        <v>37.399486419919235</v>
      </c>
      <c r="AT24" s="1833">
        <f t="shared" si="102"/>
        <v>506.95742149295245</v>
      </c>
      <c r="AU24" s="1832">
        <f t="shared" si="103"/>
        <v>37.399486419919235</v>
      </c>
      <c r="AV24" s="1833">
        <f t="shared" si="104"/>
        <v>506.95742149295245</v>
      </c>
      <c r="AW24" s="1832">
        <f t="shared" si="105"/>
        <v>37.399486419919235</v>
      </c>
      <c r="AX24" s="1833">
        <f t="shared" si="106"/>
        <v>506.95742149295245</v>
      </c>
      <c r="AY24" s="1832">
        <f t="shared" si="107"/>
        <v>37.399486419919235</v>
      </c>
      <c r="AZ24" s="1833">
        <f t="shared" si="108"/>
        <v>506.95742149295245</v>
      </c>
      <c r="BA24" s="1832">
        <f t="shared" si="109"/>
        <v>37.399486419919235</v>
      </c>
      <c r="BB24" s="1833">
        <f t="shared" si="110"/>
        <v>506.95742149295245</v>
      </c>
      <c r="BC24" s="1832"/>
      <c r="BD24" s="1833"/>
      <c r="BE24" s="1832"/>
      <c r="BF24" s="1833"/>
      <c r="BG24" s="1832"/>
      <c r="BH24" s="1833"/>
      <c r="BI24" s="1832"/>
      <c r="BJ24" s="1833"/>
      <c r="BK24" s="1832"/>
      <c r="BL24" s="1833"/>
      <c r="BM24" s="1832"/>
      <c r="BN24" s="1833"/>
      <c r="BO24" s="1832"/>
      <c r="BP24" s="1833"/>
      <c r="BQ24" s="1832"/>
      <c r="BR24" s="1833"/>
      <c r="BS24" s="1832"/>
      <c r="BT24" s="1833"/>
      <c r="BU24" s="1832"/>
      <c r="BV24" s="1833"/>
      <c r="BW24" s="1832"/>
      <c r="BX24" s="1833"/>
      <c r="BY24" s="1832"/>
      <c r="BZ24" s="1833"/>
      <c r="CA24" s="1832"/>
      <c r="CB24" s="1833"/>
      <c r="CC24" s="1832"/>
      <c r="CD24" s="1833"/>
      <c r="CE24" s="1832"/>
      <c r="CF24" s="1833"/>
      <c r="CG24" s="1832"/>
      <c r="CH24" s="1833"/>
      <c r="CI24" s="1832"/>
      <c r="CJ24" s="1833"/>
      <c r="CK24" s="1832"/>
      <c r="CL24" s="1833"/>
      <c r="CM24" s="1832"/>
      <c r="CN24" s="1833"/>
      <c r="CO24" s="1832"/>
      <c r="CP24" s="1833"/>
      <c r="CQ24" s="1832"/>
      <c r="CR24" s="1833"/>
      <c r="CS24" s="1832"/>
      <c r="CT24" s="1833"/>
      <c r="CU24" s="1832"/>
      <c r="CV24" s="1833"/>
      <c r="CW24" s="1832"/>
      <c r="CX24" s="1833"/>
      <c r="CY24" s="1832"/>
      <c r="CZ24" s="1833"/>
      <c r="DA24" s="1832"/>
      <c r="DB24" s="1833"/>
      <c r="DC24" s="1832"/>
      <c r="DD24" s="1833"/>
      <c r="DE24" s="1832"/>
      <c r="DF24" s="1833"/>
      <c r="DG24" s="1832"/>
      <c r="DH24" s="1833"/>
      <c r="DI24" s="1832"/>
      <c r="DJ24" s="1833"/>
      <c r="DK24" s="1832"/>
      <c r="DL24" s="1833"/>
      <c r="DM24" s="1832"/>
      <c r="DN24" s="1833"/>
      <c r="DO24" s="1832"/>
      <c r="DP24" s="1833"/>
      <c r="DQ24" s="1832"/>
      <c r="DR24" s="1833"/>
      <c r="DS24" s="1832"/>
      <c r="DT24" s="1833"/>
      <c r="DU24" s="1832"/>
      <c r="DV24" s="1833"/>
      <c r="DW24" s="1832"/>
      <c r="DX24" s="1833"/>
      <c r="DY24" s="1832"/>
      <c r="DZ24" s="1836"/>
    </row>
    <row r="25" spans="1:257" s="1774" customFormat="1" ht="14.25" customHeight="1">
      <c r="B25" s="1791" t="s">
        <v>22</v>
      </c>
      <c r="C25" s="1792" t="s">
        <v>302</v>
      </c>
      <c r="D25" s="1828">
        <f t="shared" si="111"/>
        <v>29.765029243644495</v>
      </c>
      <c r="E25" s="1829">
        <f t="shared" si="100"/>
        <v>2534.7871074647619</v>
      </c>
      <c r="F25" s="1830" t="s">
        <v>21</v>
      </c>
      <c r="H25" s="1796" t="s">
        <v>22</v>
      </c>
      <c r="I25" s="1831">
        <f>Zinco</f>
        <v>29.765029243644495</v>
      </c>
      <c r="J25" s="1814">
        <f>$L$183</f>
        <v>2534.7871074647619</v>
      </c>
      <c r="K25" s="1831">
        <f>Zinco</f>
        <v>29.765029243644495</v>
      </c>
      <c r="L25" s="1814">
        <f>$L$183</f>
        <v>2534.7871074647619</v>
      </c>
      <c r="M25" s="1831">
        <f>Zinco</f>
        <v>29.765029243644495</v>
      </c>
      <c r="N25" s="1814">
        <f>$L$183</f>
        <v>2534.7871074647619</v>
      </c>
      <c r="O25" s="1831">
        <f>Zinco</f>
        <v>29.765029243644495</v>
      </c>
      <c r="P25" s="1814">
        <f>$L$183</f>
        <v>2534.7871074647619</v>
      </c>
      <c r="Q25" s="1831">
        <f>Zinco</f>
        <v>29.765029243644495</v>
      </c>
      <c r="R25" s="1814">
        <f>$L$183</f>
        <v>2534.7871074647619</v>
      </c>
      <c r="S25" s="1831">
        <f>Zinco</f>
        <v>29.765029243644495</v>
      </c>
      <c r="T25" s="1814">
        <f>$L$183</f>
        <v>2534.7871074647619</v>
      </c>
      <c r="U25" s="1831">
        <f>Zinco</f>
        <v>29.765029243644495</v>
      </c>
      <c r="V25" s="1814">
        <f>$L$183</f>
        <v>2534.7871074647619</v>
      </c>
      <c r="W25" s="1831">
        <f>Zinco</f>
        <v>29.765029243644495</v>
      </c>
      <c r="X25" s="1814">
        <f>$L$183</f>
        <v>2534.7871074647619</v>
      </c>
      <c r="Y25" s="1831">
        <f>Zinco</f>
        <v>29.765029243644495</v>
      </c>
      <c r="Z25" s="1814">
        <f>$L$183</f>
        <v>2534.7871074647619</v>
      </c>
      <c r="AA25" s="1831">
        <f>Zinco</f>
        <v>29.765029243644495</v>
      </c>
      <c r="AB25" s="1814">
        <f>$L$183</f>
        <v>2534.7871074647619</v>
      </c>
      <c r="AC25" s="1831">
        <f>Zinco</f>
        <v>29.765029243644495</v>
      </c>
      <c r="AD25" s="1813">
        <f>$L$183</f>
        <v>2534.7871074647619</v>
      </c>
      <c r="AE25" s="1802"/>
      <c r="AF25" s="1803"/>
      <c r="AG25" s="1811">
        <f>IF($AF$6&lt;136,Zinco,IF($AF$6&lt;231,Zinco*1.12,Zinco*1.33))</f>
        <v>29.765029243644495</v>
      </c>
      <c r="AH25" s="1814">
        <f>$L$183</f>
        <v>2534.7871074647619</v>
      </c>
      <c r="AI25" s="1831">
        <f>Zinco</f>
        <v>29.765029243644495</v>
      </c>
      <c r="AJ25" s="1814">
        <f>$L$183</f>
        <v>2534.7871074647619</v>
      </c>
      <c r="AK25" s="1831">
        <f>Zinco</f>
        <v>29.765029243644495</v>
      </c>
      <c r="AL25" s="1814">
        <f>$L$183</f>
        <v>2534.7871074647619</v>
      </c>
      <c r="AM25" s="1831">
        <f>Zinco</f>
        <v>29.765029243644495</v>
      </c>
      <c r="AN25" s="1814">
        <f>$L$183</f>
        <v>2534.7871074647619</v>
      </c>
      <c r="AO25" s="1831">
        <f>Zinco</f>
        <v>29.765029243644495</v>
      </c>
      <c r="AP25" s="1814">
        <f>$L$183</f>
        <v>2534.7871074647619</v>
      </c>
      <c r="AQ25" s="1831">
        <f>'Calc.Exg'!I80</f>
        <v>208.79104545140953</v>
      </c>
      <c r="AR25" s="1814">
        <f>$L$183</f>
        <v>2534.7871074647619</v>
      </c>
      <c r="AS25" s="1832">
        <f t="shared" si="101"/>
        <v>208.79104545140953</v>
      </c>
      <c r="AT25" s="1833">
        <f t="shared" si="102"/>
        <v>2534.7871074647619</v>
      </c>
      <c r="AU25" s="1832">
        <f t="shared" si="103"/>
        <v>208.79104545140953</v>
      </c>
      <c r="AV25" s="1833">
        <f t="shared" si="104"/>
        <v>2534.7871074647619</v>
      </c>
      <c r="AW25" s="1832">
        <f t="shared" si="105"/>
        <v>208.79104545140953</v>
      </c>
      <c r="AX25" s="1833">
        <f t="shared" si="106"/>
        <v>2534.7871074647619</v>
      </c>
      <c r="AY25" s="1832">
        <f t="shared" si="107"/>
        <v>208.79104545140953</v>
      </c>
      <c r="AZ25" s="1833">
        <f t="shared" si="108"/>
        <v>2534.7871074647619</v>
      </c>
      <c r="BA25" s="1832">
        <f t="shared" si="109"/>
        <v>208.79104545140953</v>
      </c>
      <c r="BB25" s="1833">
        <f t="shared" si="110"/>
        <v>2534.7871074647619</v>
      </c>
      <c r="BC25" s="1832"/>
      <c r="BD25" s="1833"/>
      <c r="BE25" s="1832"/>
      <c r="BF25" s="1833"/>
      <c r="BG25" s="1832"/>
      <c r="BH25" s="1833"/>
      <c r="BI25" s="1832"/>
      <c r="BJ25" s="1833"/>
      <c r="BK25" s="1832"/>
      <c r="BL25" s="1833"/>
      <c r="BM25" s="1832"/>
      <c r="BN25" s="1833"/>
      <c r="BO25" s="1832"/>
      <c r="BP25" s="1833"/>
      <c r="BQ25" s="1832"/>
      <c r="BR25" s="1833"/>
      <c r="BS25" s="1832"/>
      <c r="BT25" s="1833"/>
      <c r="BU25" s="1832"/>
      <c r="BV25" s="1833"/>
      <c r="BW25" s="1832"/>
      <c r="BX25" s="1833"/>
      <c r="BY25" s="1832"/>
      <c r="BZ25" s="1833"/>
      <c r="CA25" s="1832"/>
      <c r="CB25" s="1833"/>
      <c r="CC25" s="1832"/>
      <c r="CD25" s="1833"/>
      <c r="CE25" s="1832"/>
      <c r="CF25" s="1833"/>
      <c r="CG25" s="1832"/>
      <c r="CH25" s="1833"/>
      <c r="CI25" s="1832"/>
      <c r="CJ25" s="1833"/>
      <c r="CK25" s="1832"/>
      <c r="CL25" s="1833"/>
      <c r="CM25" s="1832"/>
      <c r="CN25" s="1833"/>
      <c r="CO25" s="1832"/>
      <c r="CP25" s="1833"/>
      <c r="CQ25" s="1832"/>
      <c r="CR25" s="1833"/>
      <c r="CS25" s="1832"/>
      <c r="CT25" s="1833"/>
      <c r="CU25" s="1832"/>
      <c r="CV25" s="1833"/>
      <c r="CW25" s="1832"/>
      <c r="CX25" s="1833"/>
      <c r="CY25" s="1832"/>
      <c r="CZ25" s="1833"/>
      <c r="DA25" s="1832"/>
      <c r="DB25" s="1833"/>
      <c r="DC25" s="1832"/>
      <c r="DD25" s="1833"/>
      <c r="DE25" s="1832"/>
      <c r="DF25" s="1833"/>
      <c r="DG25" s="1832"/>
      <c r="DH25" s="1833"/>
      <c r="DI25" s="1832"/>
      <c r="DJ25" s="1833"/>
      <c r="DK25" s="1832"/>
      <c r="DL25" s="1833"/>
      <c r="DM25" s="1832"/>
      <c r="DN25" s="1833"/>
      <c r="DO25" s="1832"/>
      <c r="DP25" s="1833"/>
      <c r="DQ25" s="1832"/>
      <c r="DR25" s="1833"/>
      <c r="DS25" s="1832"/>
      <c r="DT25" s="1833"/>
      <c r="DU25" s="1832"/>
      <c r="DV25" s="1833"/>
      <c r="DW25" s="1832"/>
      <c r="DX25" s="1833"/>
      <c r="DY25" s="1832"/>
      <c r="DZ25" s="1836"/>
    </row>
    <row r="26" spans="1:257" s="1774" customFormat="1" ht="14.25" customHeight="1">
      <c r="B26" s="1791" t="s">
        <v>23</v>
      </c>
      <c r="C26" s="1792" t="s">
        <v>308</v>
      </c>
      <c r="D26" s="1828">
        <f t="shared" si="111"/>
        <v>49.608382072740824</v>
      </c>
      <c r="E26" s="1829">
        <f t="shared" si="100"/>
        <v>5069.5742149295238</v>
      </c>
      <c r="F26" s="1830" t="s">
        <v>21</v>
      </c>
      <c r="H26" s="1796" t="s">
        <v>23</v>
      </c>
      <c r="I26" s="1831">
        <f>Ferro</f>
        <v>49.608382072740824</v>
      </c>
      <c r="J26" s="1814">
        <f>$L$180</f>
        <v>5069.5742149295238</v>
      </c>
      <c r="K26" s="1831">
        <f>Ferro</f>
        <v>49.608382072740824</v>
      </c>
      <c r="L26" s="1814">
        <f>$L$180</f>
        <v>5069.5742149295238</v>
      </c>
      <c r="M26" s="1831">
        <f>Ferro</f>
        <v>49.608382072740824</v>
      </c>
      <c r="N26" s="1814">
        <f>$L$180</f>
        <v>5069.5742149295238</v>
      </c>
      <c r="O26" s="1831">
        <f>Ferro</f>
        <v>49.608382072740824</v>
      </c>
      <c r="P26" s="1814">
        <f>$L$180</f>
        <v>5069.5742149295238</v>
      </c>
      <c r="Q26" s="1831">
        <f>Ferro</f>
        <v>49.608382072740824</v>
      </c>
      <c r="R26" s="1814">
        <f>$L$180</f>
        <v>5069.5742149295238</v>
      </c>
      <c r="S26" s="1831">
        <f>Ferro</f>
        <v>49.608382072740824</v>
      </c>
      <c r="T26" s="1814">
        <f>$L$180</f>
        <v>5069.5742149295238</v>
      </c>
      <c r="U26" s="1831">
        <f>Ferro</f>
        <v>49.608382072740824</v>
      </c>
      <c r="V26" s="1814">
        <f>$L$180</f>
        <v>5069.5742149295238</v>
      </c>
      <c r="W26" s="1831">
        <f>Ferro</f>
        <v>49.608382072740824</v>
      </c>
      <c r="X26" s="1814">
        <f>$L$180</f>
        <v>5069.5742149295238</v>
      </c>
      <c r="Y26" s="1831">
        <f>Ferro</f>
        <v>49.608382072740824</v>
      </c>
      <c r="Z26" s="1814">
        <f>$L$180</f>
        <v>5069.5742149295238</v>
      </c>
      <c r="AA26" s="1831">
        <f>Ferro</f>
        <v>49.608382072740824</v>
      </c>
      <c r="AB26" s="1814">
        <f>$L$180</f>
        <v>5069.5742149295238</v>
      </c>
      <c r="AC26" s="1831">
        <f>Ferro</f>
        <v>49.608382072740824</v>
      </c>
      <c r="AD26" s="1813">
        <f>$L$180</f>
        <v>5069.5742149295238</v>
      </c>
      <c r="AE26" s="1802"/>
      <c r="AF26" s="1803"/>
      <c r="AG26" s="1811">
        <f>IF($AF$6&lt;136,Ferro,IF($AF$6&lt;231,Ferro*1.12,Ferro*1.33))</f>
        <v>49.608382072740824</v>
      </c>
      <c r="AH26" s="1814">
        <f>$L$180</f>
        <v>5069.5742149295238</v>
      </c>
      <c r="AI26" s="1831">
        <f>Ferro</f>
        <v>49.608382072740824</v>
      </c>
      <c r="AJ26" s="1814">
        <f>$L$180</f>
        <v>5069.5742149295238</v>
      </c>
      <c r="AK26" s="1831">
        <f>Ferro</f>
        <v>49.608382072740824</v>
      </c>
      <c r="AL26" s="1814">
        <f>$L$180</f>
        <v>5069.5742149295238</v>
      </c>
      <c r="AM26" s="1831">
        <f>Ferro</f>
        <v>49.608382072740824</v>
      </c>
      <c r="AN26" s="1814">
        <f>$L$180</f>
        <v>5069.5742149295238</v>
      </c>
      <c r="AO26" s="1831">
        <f>Ferro</f>
        <v>49.608382072740824</v>
      </c>
      <c r="AP26" s="1814">
        <f>$L$180</f>
        <v>5069.5742149295238</v>
      </c>
      <c r="AQ26" s="1831">
        <f>'Calc.Exg'!I67</f>
        <v>1030.492180655147</v>
      </c>
      <c r="AR26" s="1814">
        <f>$L$180</f>
        <v>5069.5742149295238</v>
      </c>
      <c r="AS26" s="1832">
        <f t="shared" si="101"/>
        <v>1030.492180655147</v>
      </c>
      <c r="AT26" s="1833">
        <f t="shared" si="102"/>
        <v>5069.5742149295238</v>
      </c>
      <c r="AU26" s="1832">
        <f t="shared" si="103"/>
        <v>1030.492180655147</v>
      </c>
      <c r="AV26" s="1833">
        <f t="shared" si="104"/>
        <v>5069.5742149295238</v>
      </c>
      <c r="AW26" s="1832">
        <f t="shared" si="105"/>
        <v>1030.492180655147</v>
      </c>
      <c r="AX26" s="1833">
        <f t="shared" si="106"/>
        <v>5069.5742149295238</v>
      </c>
      <c r="AY26" s="1832">
        <f t="shared" si="107"/>
        <v>1030.492180655147</v>
      </c>
      <c r="AZ26" s="1833">
        <f t="shared" si="108"/>
        <v>5069.5742149295238</v>
      </c>
      <c r="BA26" s="1832">
        <f t="shared" si="109"/>
        <v>1030.492180655147</v>
      </c>
      <c r="BB26" s="1833">
        <f t="shared" si="110"/>
        <v>5069.5742149295238</v>
      </c>
      <c r="BC26" s="1832"/>
      <c r="BD26" s="1833"/>
      <c r="BE26" s="1832"/>
      <c r="BF26" s="1833"/>
      <c r="BG26" s="1832"/>
      <c r="BH26" s="1833"/>
      <c r="BI26" s="1832"/>
      <c r="BJ26" s="1833"/>
      <c r="BK26" s="1832"/>
      <c r="BL26" s="1833"/>
      <c r="BM26" s="1832"/>
      <c r="BN26" s="1833"/>
      <c r="BO26" s="1832"/>
      <c r="BP26" s="1833"/>
      <c r="BQ26" s="1832"/>
      <c r="BR26" s="1833"/>
      <c r="BS26" s="1832"/>
      <c r="BT26" s="1833"/>
      <c r="BU26" s="1832"/>
      <c r="BV26" s="1833"/>
      <c r="BW26" s="1832"/>
      <c r="BX26" s="1833"/>
      <c r="BY26" s="1832"/>
      <c r="BZ26" s="1833"/>
      <c r="CA26" s="1832"/>
      <c r="CB26" s="1833"/>
      <c r="CC26" s="1832"/>
      <c r="CD26" s="1833"/>
      <c r="CE26" s="1832"/>
      <c r="CF26" s="1833"/>
      <c r="CG26" s="1832"/>
      <c r="CH26" s="1833"/>
      <c r="CI26" s="1832"/>
      <c r="CJ26" s="1833"/>
      <c r="CK26" s="1832"/>
      <c r="CL26" s="1833"/>
      <c r="CM26" s="1832"/>
      <c r="CN26" s="1833"/>
      <c r="CO26" s="1832"/>
      <c r="CP26" s="1833"/>
      <c r="CQ26" s="1832"/>
      <c r="CR26" s="1833"/>
      <c r="CS26" s="1832"/>
      <c r="CT26" s="1833"/>
      <c r="CU26" s="1832"/>
      <c r="CV26" s="1833"/>
      <c r="CW26" s="1832"/>
      <c r="CX26" s="1833"/>
      <c r="CY26" s="1832"/>
      <c r="CZ26" s="1833"/>
      <c r="DA26" s="1832"/>
      <c r="DB26" s="1833"/>
      <c r="DC26" s="1832"/>
      <c r="DD26" s="1833"/>
      <c r="DE26" s="1832"/>
      <c r="DF26" s="1833"/>
      <c r="DG26" s="1832"/>
      <c r="DH26" s="1833"/>
      <c r="DI26" s="1832"/>
      <c r="DJ26" s="1833"/>
      <c r="DK26" s="1832"/>
      <c r="DL26" s="1833"/>
      <c r="DM26" s="1832"/>
      <c r="DN26" s="1833"/>
      <c r="DO26" s="1832"/>
      <c r="DP26" s="1833"/>
      <c r="DQ26" s="1832"/>
      <c r="DR26" s="1833"/>
      <c r="DS26" s="1832"/>
      <c r="DT26" s="1833"/>
      <c r="DU26" s="1832"/>
      <c r="DV26" s="1833"/>
      <c r="DW26" s="1832"/>
      <c r="DX26" s="1833"/>
      <c r="DY26" s="1832"/>
      <c r="DZ26" s="1836"/>
    </row>
    <row r="27" spans="1:257" s="1774" customFormat="1" ht="14.25" customHeight="1">
      <c r="B27" s="1791" t="s">
        <v>24</v>
      </c>
      <c r="C27" s="1792" t="s">
        <v>298</v>
      </c>
      <c r="D27" s="1828">
        <f t="shared" si="111"/>
        <v>19.843352829096329</v>
      </c>
      <c r="E27" s="1829">
        <f t="shared" si="100"/>
        <v>5069.5742149295238</v>
      </c>
      <c r="F27" s="1830" t="s">
        <v>21</v>
      </c>
      <c r="H27" s="1796" t="s">
        <v>24</v>
      </c>
      <c r="I27" s="1831">
        <f>Mang</f>
        <v>19.843352829096329</v>
      </c>
      <c r="J27" s="1814">
        <f>$L$181</f>
        <v>5069.5742149295238</v>
      </c>
      <c r="K27" s="1831">
        <f>Mang</f>
        <v>19.843352829096329</v>
      </c>
      <c r="L27" s="1814">
        <f>$L$181</f>
        <v>5069.5742149295238</v>
      </c>
      <c r="M27" s="1831">
        <f>Mang</f>
        <v>19.843352829096329</v>
      </c>
      <c r="N27" s="1814">
        <f>$L$181</f>
        <v>5069.5742149295238</v>
      </c>
      <c r="O27" s="1831">
        <f>Mang</f>
        <v>19.843352829096329</v>
      </c>
      <c r="P27" s="1814">
        <f>$L$181</f>
        <v>5069.5742149295238</v>
      </c>
      <c r="Q27" s="1831">
        <f>Mang</f>
        <v>19.843352829096329</v>
      </c>
      <c r="R27" s="1814">
        <f>$L$181</f>
        <v>5069.5742149295238</v>
      </c>
      <c r="S27" s="1831">
        <f>Mang</f>
        <v>19.843352829096329</v>
      </c>
      <c r="T27" s="1814">
        <f>$L$181</f>
        <v>5069.5742149295238</v>
      </c>
      <c r="U27" s="1831">
        <f>Mang</f>
        <v>19.843352829096329</v>
      </c>
      <c r="V27" s="1814">
        <f>$L$181</f>
        <v>5069.5742149295238</v>
      </c>
      <c r="W27" s="1831">
        <f>Mang</f>
        <v>19.843352829096329</v>
      </c>
      <c r="X27" s="1814">
        <f>$L$181</f>
        <v>5069.5742149295238</v>
      </c>
      <c r="Y27" s="1831">
        <f>Mang</f>
        <v>19.843352829096329</v>
      </c>
      <c r="Z27" s="1814">
        <f>$L$181</f>
        <v>5069.5742149295238</v>
      </c>
      <c r="AA27" s="1831">
        <f>Mang</f>
        <v>19.843352829096329</v>
      </c>
      <c r="AB27" s="1814">
        <f>$L$181</f>
        <v>5069.5742149295238</v>
      </c>
      <c r="AC27" s="1831">
        <f>Mang</f>
        <v>19.843352829096329</v>
      </c>
      <c r="AD27" s="1813">
        <f>$L$181</f>
        <v>5069.5742149295238</v>
      </c>
      <c r="AE27" s="1802"/>
      <c r="AF27" s="1803"/>
      <c r="AG27" s="1811">
        <f>IF($AF$6&lt;136,Mang,IF($AF$6&lt;231,Mang*1.12,Mang*1.33))</f>
        <v>19.843352829096329</v>
      </c>
      <c r="AH27" s="1814">
        <f>$L$181</f>
        <v>5069.5742149295238</v>
      </c>
      <c r="AI27" s="1831">
        <f>Mang</f>
        <v>19.843352829096329</v>
      </c>
      <c r="AJ27" s="1814">
        <f>$L$181</f>
        <v>5069.5742149295238</v>
      </c>
      <c r="AK27" s="1831">
        <f>Mang</f>
        <v>19.843352829096329</v>
      </c>
      <c r="AL27" s="1814">
        <f>$L$181</f>
        <v>5069.5742149295238</v>
      </c>
      <c r="AM27" s="1831">
        <f>Mang</f>
        <v>19.843352829096329</v>
      </c>
      <c r="AN27" s="1814">
        <f>$L$181</f>
        <v>5069.5742149295238</v>
      </c>
      <c r="AO27" s="1831">
        <f>Mang</f>
        <v>19.843352829096329</v>
      </c>
      <c r="AP27" s="1814">
        <f>$L$181</f>
        <v>5069.5742149295238</v>
      </c>
      <c r="AQ27" s="1831">
        <f>'Calc.Exg'!I71</f>
        <v>111.25190641809967</v>
      </c>
      <c r="AR27" s="1814">
        <f>$L$181</f>
        <v>5069.5742149295238</v>
      </c>
      <c r="AS27" s="1832">
        <f t="shared" si="101"/>
        <v>111.25190641809967</v>
      </c>
      <c r="AT27" s="1833">
        <f t="shared" si="102"/>
        <v>5069.5742149295238</v>
      </c>
      <c r="AU27" s="1832">
        <f t="shared" si="103"/>
        <v>111.25190641809967</v>
      </c>
      <c r="AV27" s="1833">
        <f t="shared" si="104"/>
        <v>5069.5742149295238</v>
      </c>
      <c r="AW27" s="1832">
        <f t="shared" si="105"/>
        <v>111.25190641809967</v>
      </c>
      <c r="AX27" s="1833">
        <f t="shared" si="106"/>
        <v>5069.5742149295238</v>
      </c>
      <c r="AY27" s="1832">
        <f t="shared" si="107"/>
        <v>111.25190641809967</v>
      </c>
      <c r="AZ27" s="1833">
        <f t="shared" si="108"/>
        <v>5069.5742149295238</v>
      </c>
      <c r="BA27" s="1832">
        <f t="shared" si="109"/>
        <v>111.25190641809967</v>
      </c>
      <c r="BB27" s="1833">
        <f t="shared" si="110"/>
        <v>5069.5742149295238</v>
      </c>
      <c r="BC27" s="1832"/>
      <c r="BD27" s="1833"/>
      <c r="BE27" s="1832"/>
      <c r="BF27" s="1833"/>
      <c r="BG27" s="1832"/>
      <c r="BH27" s="1833"/>
      <c r="BI27" s="1832"/>
      <c r="BJ27" s="1833"/>
      <c r="BK27" s="1832"/>
      <c r="BL27" s="1833"/>
      <c r="BM27" s="1832"/>
      <c r="BN27" s="1833"/>
      <c r="BO27" s="1832"/>
      <c r="BP27" s="1833"/>
      <c r="BQ27" s="1832"/>
      <c r="BR27" s="1833"/>
      <c r="BS27" s="1832"/>
      <c r="BT27" s="1833"/>
      <c r="BU27" s="1832"/>
      <c r="BV27" s="1833"/>
      <c r="BW27" s="1832"/>
      <c r="BX27" s="1833"/>
      <c r="BY27" s="1832"/>
      <c r="BZ27" s="1833"/>
      <c r="CA27" s="1832"/>
      <c r="CB27" s="1833"/>
      <c r="CC27" s="1832"/>
      <c r="CD27" s="1833"/>
      <c r="CE27" s="1832"/>
      <c r="CF27" s="1833"/>
      <c r="CG27" s="1832"/>
      <c r="CH27" s="1833"/>
      <c r="CI27" s="1832"/>
      <c r="CJ27" s="1833"/>
      <c r="CK27" s="1832"/>
      <c r="CL27" s="1833"/>
      <c r="CM27" s="1832"/>
      <c r="CN27" s="1833"/>
      <c r="CO27" s="1832"/>
      <c r="CP27" s="1833"/>
      <c r="CQ27" s="1832"/>
      <c r="CR27" s="1833"/>
      <c r="CS27" s="1832"/>
      <c r="CT27" s="1833"/>
      <c r="CU27" s="1832"/>
      <c r="CV27" s="1833"/>
      <c r="CW27" s="1832"/>
      <c r="CX27" s="1833"/>
      <c r="CY27" s="1832"/>
      <c r="CZ27" s="1833"/>
      <c r="DA27" s="1832"/>
      <c r="DB27" s="1833"/>
      <c r="DC27" s="1832"/>
      <c r="DD27" s="1833"/>
      <c r="DE27" s="1832"/>
      <c r="DF27" s="1833"/>
      <c r="DG27" s="1832"/>
      <c r="DH27" s="1833"/>
      <c r="DI27" s="1832"/>
      <c r="DJ27" s="1833"/>
      <c r="DK27" s="1832"/>
      <c r="DL27" s="1833"/>
      <c r="DM27" s="1832"/>
      <c r="DN27" s="1833"/>
      <c r="DO27" s="1832"/>
      <c r="DP27" s="1833"/>
      <c r="DQ27" s="1832"/>
      <c r="DR27" s="1833"/>
      <c r="DS27" s="1832"/>
      <c r="DT27" s="1833"/>
      <c r="DU27" s="1832"/>
      <c r="DV27" s="1833"/>
      <c r="DW27" s="1832"/>
      <c r="DX27" s="1833"/>
      <c r="DY27" s="1832"/>
      <c r="DZ27" s="1836"/>
    </row>
    <row r="28" spans="1:257" s="1774" customFormat="1" ht="14.25" customHeight="1">
      <c r="B28" s="1791" t="s">
        <v>25</v>
      </c>
      <c r="C28" s="1792" t="s">
        <v>296</v>
      </c>
      <c r="D28" s="1828">
        <f t="shared" si="111"/>
        <v>0.49608382072740825</v>
      </c>
      <c r="E28" s="1829">
        <f t="shared" si="100"/>
        <v>253.47871074647622</v>
      </c>
      <c r="F28" s="1830" t="s">
        <v>21</v>
      </c>
      <c r="H28" s="1796" t="s">
        <v>25</v>
      </c>
      <c r="I28" s="1831">
        <f>Iodo</f>
        <v>0.49608382072740825</v>
      </c>
      <c r="J28" s="1814">
        <f>$L$179</f>
        <v>253.47871074647622</v>
      </c>
      <c r="K28" s="1831">
        <f>Iodo</f>
        <v>0.49608382072740825</v>
      </c>
      <c r="L28" s="1814">
        <f>$L$179</f>
        <v>253.47871074647622</v>
      </c>
      <c r="M28" s="1831">
        <f>Iodo</f>
        <v>0.49608382072740825</v>
      </c>
      <c r="N28" s="1814">
        <f>$L$179</f>
        <v>253.47871074647622</v>
      </c>
      <c r="O28" s="1831">
        <f>Iodo</f>
        <v>0.49608382072740825</v>
      </c>
      <c r="P28" s="1814">
        <f>$L$179</f>
        <v>253.47871074647622</v>
      </c>
      <c r="Q28" s="1831">
        <f>Iodo</f>
        <v>0.49608382072740825</v>
      </c>
      <c r="R28" s="1814">
        <f>$L$179</f>
        <v>253.47871074647622</v>
      </c>
      <c r="S28" s="1831">
        <f>Iodo</f>
        <v>0.49608382072740825</v>
      </c>
      <c r="T28" s="1814">
        <f>$L$179</f>
        <v>253.47871074647622</v>
      </c>
      <c r="U28" s="1831">
        <f>Iodo</f>
        <v>0.49608382072740825</v>
      </c>
      <c r="V28" s="1814">
        <f>$L$179</f>
        <v>253.47871074647622</v>
      </c>
      <c r="W28" s="1831">
        <f>Iodo</f>
        <v>0.49608382072740825</v>
      </c>
      <c r="X28" s="1814">
        <f>$L$179</f>
        <v>253.47871074647622</v>
      </c>
      <c r="Y28" s="1831">
        <f>Iodo</f>
        <v>0.49608382072740825</v>
      </c>
      <c r="Z28" s="1814">
        <f>$L$179</f>
        <v>253.47871074647622</v>
      </c>
      <c r="AA28" s="1831">
        <f>Iodo</f>
        <v>0.49608382072740825</v>
      </c>
      <c r="AB28" s="1814">
        <f>$L$179</f>
        <v>253.47871074647622</v>
      </c>
      <c r="AC28" s="1831">
        <f>Iodo</f>
        <v>0.49608382072740825</v>
      </c>
      <c r="AD28" s="1813">
        <f>$L$179</f>
        <v>253.47871074647622</v>
      </c>
      <c r="AE28" s="1802"/>
      <c r="AF28" s="1803"/>
      <c r="AG28" s="1811">
        <f>IF($AF$6&lt;136,Iodo,IF($AF$6&lt;231,Iodo*1.12,Iodo*1.33))</f>
        <v>0.49608382072740825</v>
      </c>
      <c r="AH28" s="1814">
        <f>$L$179</f>
        <v>253.47871074647622</v>
      </c>
      <c r="AI28" s="1831">
        <f>Iodo</f>
        <v>0.49608382072740825</v>
      </c>
      <c r="AJ28" s="1814">
        <f>$L$179</f>
        <v>253.47871074647622</v>
      </c>
      <c r="AK28" s="1831">
        <f>Iodo</f>
        <v>0.49608382072740825</v>
      </c>
      <c r="AL28" s="1814">
        <f>$L$179</f>
        <v>253.47871074647622</v>
      </c>
      <c r="AM28" s="1831">
        <f>Iodo</f>
        <v>0.49608382072740825</v>
      </c>
      <c r="AN28" s="1814">
        <f>$L$179</f>
        <v>253.47871074647622</v>
      </c>
      <c r="AO28" s="1831">
        <f>Iodo</f>
        <v>0.49608382072740825</v>
      </c>
      <c r="AP28" s="1814">
        <f>$L$179</f>
        <v>253.47871074647622</v>
      </c>
      <c r="AQ28" s="1831">
        <f>'Calc.Exg'!I70</f>
        <v>2.4290176527292759</v>
      </c>
      <c r="AR28" s="1814">
        <f>$L$179</f>
        <v>253.47871074647622</v>
      </c>
      <c r="AS28" s="1832">
        <f t="shared" si="101"/>
        <v>2.4290176527292759</v>
      </c>
      <c r="AT28" s="1833">
        <f t="shared" si="102"/>
        <v>253.47871074647622</v>
      </c>
      <c r="AU28" s="1832">
        <f t="shared" si="103"/>
        <v>2.4290176527292759</v>
      </c>
      <c r="AV28" s="1833">
        <f t="shared" si="104"/>
        <v>253.47871074647622</v>
      </c>
      <c r="AW28" s="1832">
        <f t="shared" si="105"/>
        <v>2.4290176527292759</v>
      </c>
      <c r="AX28" s="1833">
        <f t="shared" si="106"/>
        <v>253.47871074647622</v>
      </c>
      <c r="AY28" s="1832">
        <f t="shared" si="107"/>
        <v>2.4290176527292759</v>
      </c>
      <c r="AZ28" s="1833">
        <f t="shared" si="108"/>
        <v>253.47871074647622</v>
      </c>
      <c r="BA28" s="1832">
        <f t="shared" si="109"/>
        <v>2.4290176527292759</v>
      </c>
      <c r="BB28" s="1833">
        <f t="shared" si="110"/>
        <v>253.47871074647622</v>
      </c>
      <c r="BC28" s="1832"/>
      <c r="BD28" s="1833"/>
      <c r="BE28" s="1832"/>
      <c r="BF28" s="1833"/>
      <c r="BG28" s="1832"/>
      <c r="BH28" s="1833"/>
      <c r="BI28" s="1832"/>
      <c r="BJ28" s="1833"/>
      <c r="BK28" s="1832"/>
      <c r="BL28" s="1833"/>
      <c r="BM28" s="1832"/>
      <c r="BN28" s="1833"/>
      <c r="BO28" s="1832"/>
      <c r="BP28" s="1833"/>
      <c r="BQ28" s="1832"/>
      <c r="BR28" s="1833"/>
      <c r="BS28" s="1832"/>
      <c r="BT28" s="1833"/>
      <c r="BU28" s="1832"/>
      <c r="BV28" s="1833"/>
      <c r="BW28" s="1832"/>
      <c r="BX28" s="1833"/>
      <c r="BY28" s="1832"/>
      <c r="BZ28" s="1833"/>
      <c r="CA28" s="1832"/>
      <c r="CB28" s="1833"/>
      <c r="CC28" s="1832"/>
      <c r="CD28" s="1833"/>
      <c r="CE28" s="1832"/>
      <c r="CF28" s="1833"/>
      <c r="CG28" s="1832"/>
      <c r="CH28" s="1833"/>
      <c r="CI28" s="1832"/>
      <c r="CJ28" s="1833"/>
      <c r="CK28" s="1832"/>
      <c r="CL28" s="1833"/>
      <c r="CM28" s="1832"/>
      <c r="CN28" s="1833"/>
      <c r="CO28" s="1832"/>
      <c r="CP28" s="1833"/>
      <c r="CQ28" s="1832"/>
      <c r="CR28" s="1833"/>
      <c r="CS28" s="1832"/>
      <c r="CT28" s="1833"/>
      <c r="CU28" s="1832"/>
      <c r="CV28" s="1833"/>
      <c r="CW28" s="1832"/>
      <c r="CX28" s="1833"/>
      <c r="CY28" s="1832"/>
      <c r="CZ28" s="1833"/>
      <c r="DA28" s="1832"/>
      <c r="DB28" s="1833"/>
      <c r="DC28" s="1832"/>
      <c r="DD28" s="1833"/>
      <c r="DE28" s="1832"/>
      <c r="DF28" s="1833"/>
      <c r="DG28" s="1832"/>
      <c r="DH28" s="1833"/>
      <c r="DI28" s="1832"/>
      <c r="DJ28" s="1833"/>
      <c r="DK28" s="1832"/>
      <c r="DL28" s="1833"/>
      <c r="DM28" s="1832"/>
      <c r="DN28" s="1833"/>
      <c r="DO28" s="1832"/>
      <c r="DP28" s="1833"/>
      <c r="DQ28" s="1832"/>
      <c r="DR28" s="1833"/>
      <c r="DS28" s="1832"/>
      <c r="DT28" s="1833"/>
      <c r="DU28" s="1832"/>
      <c r="DV28" s="1833"/>
      <c r="DW28" s="1832"/>
      <c r="DX28" s="1833"/>
      <c r="DY28" s="1832"/>
      <c r="DZ28" s="1836"/>
    </row>
    <row r="29" spans="1:257" s="1774" customFormat="1" ht="14.25" customHeight="1">
      <c r="B29" s="1791" t="s">
        <v>26</v>
      </c>
      <c r="C29" s="1792" t="s">
        <v>292</v>
      </c>
      <c r="D29" s="1828">
        <f t="shared" si="111"/>
        <v>9.9216764145481653E-2</v>
      </c>
      <c r="E29" s="1829">
        <f t="shared" si="100"/>
        <v>50.695742149295242</v>
      </c>
      <c r="F29" s="1830" t="s">
        <v>21</v>
      </c>
      <c r="H29" s="1796" t="s">
        <v>26</v>
      </c>
      <c r="I29" s="1831">
        <f>Co</f>
        <v>9.9216764145481653E-2</v>
      </c>
      <c r="J29" s="1814">
        <f>$L$177</f>
        <v>50.695742149295242</v>
      </c>
      <c r="K29" s="1831">
        <f>Co</f>
        <v>9.9216764145481653E-2</v>
      </c>
      <c r="L29" s="1814">
        <f>$L$177</f>
        <v>50.695742149295242</v>
      </c>
      <c r="M29" s="1831">
        <f>Co</f>
        <v>9.9216764145481653E-2</v>
      </c>
      <c r="N29" s="1814">
        <f>$L$177</f>
        <v>50.695742149295242</v>
      </c>
      <c r="O29" s="1831">
        <f>Co</f>
        <v>9.9216764145481653E-2</v>
      </c>
      <c r="P29" s="1814">
        <f>$L$177</f>
        <v>50.695742149295242</v>
      </c>
      <c r="Q29" s="1831">
        <f>Co</f>
        <v>9.9216764145481653E-2</v>
      </c>
      <c r="R29" s="1814">
        <f>$L$177</f>
        <v>50.695742149295242</v>
      </c>
      <c r="S29" s="1831">
        <f>Co</f>
        <v>9.9216764145481653E-2</v>
      </c>
      <c r="T29" s="1814">
        <f>$L$177</f>
        <v>50.695742149295242</v>
      </c>
      <c r="U29" s="1831">
        <f>Co</f>
        <v>9.9216764145481653E-2</v>
      </c>
      <c r="V29" s="1814">
        <f>$L$177</f>
        <v>50.695742149295242</v>
      </c>
      <c r="W29" s="1831">
        <f>Co</f>
        <v>9.9216764145481653E-2</v>
      </c>
      <c r="X29" s="1814">
        <f>$L$177</f>
        <v>50.695742149295242</v>
      </c>
      <c r="Y29" s="1831">
        <f>Co</f>
        <v>9.9216764145481653E-2</v>
      </c>
      <c r="Z29" s="1814">
        <f>$L$177</f>
        <v>50.695742149295242</v>
      </c>
      <c r="AA29" s="1831">
        <f>Co</f>
        <v>9.9216764145481653E-2</v>
      </c>
      <c r="AB29" s="1814">
        <f>$L$177</f>
        <v>50.695742149295242</v>
      </c>
      <c r="AC29" s="1831">
        <f>Co</f>
        <v>9.9216764145481653E-2</v>
      </c>
      <c r="AD29" s="1813">
        <f>$L$177</f>
        <v>50.695742149295242</v>
      </c>
      <c r="AE29" s="1802"/>
      <c r="AF29" s="1803"/>
      <c r="AG29" s="1811">
        <f>IF($AF$6&lt;136,Co,IF($AF$6&lt;231,Co*1.12,Co*1.33))</f>
        <v>9.9216764145481653E-2</v>
      </c>
      <c r="AH29" s="1814">
        <f>$L$177</f>
        <v>50.695742149295242</v>
      </c>
      <c r="AI29" s="1831">
        <f>Co</f>
        <v>9.9216764145481653E-2</v>
      </c>
      <c r="AJ29" s="1814">
        <f>$L$177</f>
        <v>50.695742149295242</v>
      </c>
      <c r="AK29" s="1831">
        <f>Co</f>
        <v>9.9216764145481653E-2</v>
      </c>
      <c r="AL29" s="1814">
        <f>$L$177</f>
        <v>50.695742149295242</v>
      </c>
      <c r="AM29" s="1831">
        <f>Co</f>
        <v>9.9216764145481653E-2</v>
      </c>
      <c r="AN29" s="1814">
        <f>$L$177</f>
        <v>50.695742149295242</v>
      </c>
      <c r="AO29" s="1831">
        <f>Co</f>
        <v>9.9216764145481653E-2</v>
      </c>
      <c r="AP29" s="1814">
        <f>$L$177</f>
        <v>50.695742149295242</v>
      </c>
      <c r="AQ29" s="1831">
        <f>'Calc.Exg'!I58</f>
        <v>3.9256391705952089</v>
      </c>
      <c r="AR29" s="1814">
        <f>$L$177</f>
        <v>50.695742149295242</v>
      </c>
      <c r="AS29" s="1832">
        <f t="shared" si="101"/>
        <v>3.9256391705952089</v>
      </c>
      <c r="AT29" s="1833">
        <f t="shared" si="102"/>
        <v>50.695742149295242</v>
      </c>
      <c r="AU29" s="1832">
        <f t="shared" si="103"/>
        <v>3.9256391705952089</v>
      </c>
      <c r="AV29" s="1833">
        <f t="shared" si="104"/>
        <v>50.695742149295242</v>
      </c>
      <c r="AW29" s="1832">
        <f t="shared" si="105"/>
        <v>3.9256391705952089</v>
      </c>
      <c r="AX29" s="1833">
        <f t="shared" si="106"/>
        <v>50.695742149295242</v>
      </c>
      <c r="AY29" s="1832">
        <f t="shared" si="107"/>
        <v>3.9256391705952089</v>
      </c>
      <c r="AZ29" s="1833">
        <f t="shared" si="108"/>
        <v>50.695742149295242</v>
      </c>
      <c r="BA29" s="1832">
        <f t="shared" si="109"/>
        <v>3.9256391705952089</v>
      </c>
      <c r="BB29" s="1833">
        <f t="shared" si="110"/>
        <v>50.695742149295242</v>
      </c>
      <c r="BC29" s="1832"/>
      <c r="BD29" s="1833"/>
      <c r="BE29" s="1832"/>
      <c r="BF29" s="1833"/>
      <c r="BG29" s="1832"/>
      <c r="BH29" s="1833"/>
      <c r="BI29" s="1832"/>
      <c r="BJ29" s="1833"/>
      <c r="BK29" s="1832"/>
      <c r="BL29" s="1833"/>
      <c r="BM29" s="1832"/>
      <c r="BN29" s="1833"/>
      <c r="BO29" s="1832"/>
      <c r="BP29" s="1833"/>
      <c r="BQ29" s="1832"/>
      <c r="BR29" s="1833"/>
      <c r="BS29" s="1832"/>
      <c r="BT29" s="1833"/>
      <c r="BU29" s="1832"/>
      <c r="BV29" s="1833"/>
      <c r="BW29" s="1832"/>
      <c r="BX29" s="1833"/>
      <c r="BY29" s="1832"/>
      <c r="BZ29" s="1833"/>
      <c r="CA29" s="1832"/>
      <c r="CB29" s="1833"/>
      <c r="CC29" s="1832"/>
      <c r="CD29" s="1833"/>
      <c r="CE29" s="1832"/>
      <c r="CF29" s="1833"/>
      <c r="CG29" s="1832"/>
      <c r="CH29" s="1833"/>
      <c r="CI29" s="1832"/>
      <c r="CJ29" s="1833"/>
      <c r="CK29" s="1832"/>
      <c r="CL29" s="1833"/>
      <c r="CM29" s="1832"/>
      <c r="CN29" s="1833"/>
      <c r="CO29" s="1832"/>
      <c r="CP29" s="1833"/>
      <c r="CQ29" s="1832"/>
      <c r="CR29" s="1833"/>
      <c r="CS29" s="1832"/>
      <c r="CT29" s="1833"/>
      <c r="CU29" s="1832"/>
      <c r="CV29" s="1833"/>
      <c r="CW29" s="1832"/>
      <c r="CX29" s="1833"/>
      <c r="CY29" s="1832"/>
      <c r="CZ29" s="1833"/>
      <c r="DA29" s="1832"/>
      <c r="DB29" s="1833"/>
      <c r="DC29" s="1832"/>
      <c r="DD29" s="1833"/>
      <c r="DE29" s="1832"/>
      <c r="DF29" s="1833"/>
      <c r="DG29" s="1832"/>
      <c r="DH29" s="1833"/>
      <c r="DI29" s="1832"/>
      <c r="DJ29" s="1833"/>
      <c r="DK29" s="1832"/>
      <c r="DL29" s="1833"/>
      <c r="DM29" s="1832"/>
      <c r="DN29" s="1833"/>
      <c r="DO29" s="1832"/>
      <c r="DP29" s="1833"/>
      <c r="DQ29" s="1832"/>
      <c r="DR29" s="1833"/>
      <c r="DS29" s="1832"/>
      <c r="DT29" s="1833"/>
      <c r="DU29" s="1832"/>
      <c r="DV29" s="1833"/>
      <c r="DW29" s="1832"/>
      <c r="DX29" s="1833"/>
      <c r="DY29" s="1832"/>
      <c r="DZ29" s="1836"/>
    </row>
    <row r="30" spans="1:257" s="1774" customFormat="1" ht="14.25" customHeight="1">
      <c r="B30" s="1791" t="s">
        <v>27</v>
      </c>
      <c r="C30" s="1792" t="s">
        <v>300</v>
      </c>
      <c r="D30" s="1837">
        <f t="shared" si="111"/>
        <v>0.19843352829096331</v>
      </c>
      <c r="E30" s="1838">
        <f t="shared" si="100"/>
        <v>25.347871074647621</v>
      </c>
      <c r="F30" s="1830" t="s">
        <v>21</v>
      </c>
      <c r="H30" s="1796" t="s">
        <v>27</v>
      </c>
      <c r="I30" s="1831">
        <f>Selen</f>
        <v>0.19843352829096331</v>
      </c>
      <c r="J30" s="1839">
        <f>$L$182</f>
        <v>25.347871074647621</v>
      </c>
      <c r="K30" s="1840">
        <f>Selen</f>
        <v>0.19843352829096331</v>
      </c>
      <c r="L30" s="1839">
        <f>$L$182</f>
        <v>25.347871074647621</v>
      </c>
      <c r="M30" s="1840">
        <f>Selen</f>
        <v>0.19843352829096331</v>
      </c>
      <c r="N30" s="1839">
        <f>$L$182</f>
        <v>25.347871074647621</v>
      </c>
      <c r="O30" s="1840">
        <f>Selen</f>
        <v>0.19843352829096331</v>
      </c>
      <c r="P30" s="1839">
        <f>$L$182</f>
        <v>25.347871074647621</v>
      </c>
      <c r="Q30" s="1840">
        <f>Selen</f>
        <v>0.19843352829096331</v>
      </c>
      <c r="R30" s="1839">
        <f>$L$182</f>
        <v>25.347871074647621</v>
      </c>
      <c r="S30" s="1840">
        <f>Selen</f>
        <v>0.19843352829096331</v>
      </c>
      <c r="T30" s="1839">
        <f>$L$182</f>
        <v>25.347871074647621</v>
      </c>
      <c r="U30" s="1840">
        <f>Selen</f>
        <v>0.19843352829096331</v>
      </c>
      <c r="V30" s="1839">
        <f>$L$182</f>
        <v>25.347871074647621</v>
      </c>
      <c r="W30" s="1840">
        <f>Selen</f>
        <v>0.19843352829096331</v>
      </c>
      <c r="X30" s="1839">
        <f>$L$182</f>
        <v>25.347871074647621</v>
      </c>
      <c r="Y30" s="1840">
        <f>Selen</f>
        <v>0.19843352829096331</v>
      </c>
      <c r="Z30" s="1839">
        <f>$L$182</f>
        <v>25.347871074647621</v>
      </c>
      <c r="AA30" s="1840">
        <f>Selen</f>
        <v>0.19843352829096331</v>
      </c>
      <c r="AB30" s="1839">
        <f>$L$182</f>
        <v>25.347871074647621</v>
      </c>
      <c r="AC30" s="1840">
        <f>Selen</f>
        <v>0.19843352829096331</v>
      </c>
      <c r="AD30" s="1823">
        <f>$L$182</f>
        <v>25.347871074647621</v>
      </c>
      <c r="AE30" s="1802"/>
      <c r="AF30" s="1803"/>
      <c r="AG30" s="1824">
        <f>IF($AF$6&lt;136,Selen,IF($AF$6&lt;231,Selen*1.12,Selen*1.33))</f>
        <v>0.19843352829096331</v>
      </c>
      <c r="AH30" s="1839">
        <f>$L$182</f>
        <v>25.347871074647621</v>
      </c>
      <c r="AI30" s="1840">
        <f>Selen</f>
        <v>0.19843352829096331</v>
      </c>
      <c r="AJ30" s="1839">
        <f>$L$182</f>
        <v>25.347871074647621</v>
      </c>
      <c r="AK30" s="1840">
        <f>Selen</f>
        <v>0.19843352829096331</v>
      </c>
      <c r="AL30" s="1839">
        <f>$L$182</f>
        <v>25.347871074647621</v>
      </c>
      <c r="AM30" s="1840">
        <f>Selen</f>
        <v>0.19843352829096331</v>
      </c>
      <c r="AN30" s="1839">
        <f>$L$182</f>
        <v>25.347871074647621</v>
      </c>
      <c r="AO30" s="1840">
        <f>Selen</f>
        <v>0.19843352829096331</v>
      </c>
      <c r="AP30" s="1839">
        <f>$L$182</f>
        <v>25.347871074647621</v>
      </c>
      <c r="AQ30" s="1840">
        <f>'Calc.Exg'!I77</f>
        <v>2.63664809547027</v>
      </c>
      <c r="AR30" s="1839">
        <f>$L$182</f>
        <v>25.347871074647621</v>
      </c>
      <c r="AS30" s="1841">
        <f t="shared" si="101"/>
        <v>2.63664809547027</v>
      </c>
      <c r="AT30" s="1842">
        <f t="shared" si="102"/>
        <v>25.347871074647621</v>
      </c>
      <c r="AU30" s="1841">
        <f t="shared" si="103"/>
        <v>2.63664809547027</v>
      </c>
      <c r="AV30" s="1842">
        <f t="shared" si="104"/>
        <v>25.347871074647621</v>
      </c>
      <c r="AW30" s="1841">
        <f t="shared" si="105"/>
        <v>2.63664809547027</v>
      </c>
      <c r="AX30" s="1842">
        <f t="shared" si="106"/>
        <v>25.347871074647621</v>
      </c>
      <c r="AY30" s="1841">
        <f t="shared" si="107"/>
        <v>2.63664809547027</v>
      </c>
      <c r="AZ30" s="1842">
        <f t="shared" si="108"/>
        <v>25.347871074647621</v>
      </c>
      <c r="BA30" s="1841">
        <f t="shared" si="109"/>
        <v>2.63664809547027</v>
      </c>
      <c r="BB30" s="1842">
        <f t="shared" si="110"/>
        <v>25.347871074647621</v>
      </c>
      <c r="BC30" s="1841"/>
      <c r="BD30" s="1842"/>
      <c r="BE30" s="1841"/>
      <c r="BF30" s="1842"/>
      <c r="BG30" s="1841"/>
      <c r="BH30" s="1842"/>
      <c r="BI30" s="1841"/>
      <c r="BJ30" s="1842"/>
      <c r="BK30" s="1841"/>
      <c r="BL30" s="1842"/>
      <c r="BM30" s="1841"/>
      <c r="BN30" s="1842"/>
      <c r="BO30" s="1841"/>
      <c r="BP30" s="1842"/>
      <c r="BQ30" s="1841"/>
      <c r="BR30" s="1842"/>
      <c r="BS30" s="1841"/>
      <c r="BT30" s="1842"/>
      <c r="BU30" s="1843"/>
      <c r="BV30" s="1844"/>
      <c r="BW30" s="1841"/>
      <c r="BX30" s="1842"/>
      <c r="BY30" s="1841"/>
      <c r="BZ30" s="1842"/>
      <c r="CA30" s="1843"/>
      <c r="CB30" s="1844"/>
      <c r="CC30" s="1843"/>
      <c r="CD30" s="1844"/>
      <c r="CE30" s="1841"/>
      <c r="CF30" s="1842"/>
      <c r="CG30" s="1841"/>
      <c r="CH30" s="1842"/>
      <c r="CI30" s="1843"/>
      <c r="CJ30" s="1844"/>
      <c r="CK30" s="1843"/>
      <c r="CL30" s="1844"/>
      <c r="CM30" s="1841"/>
      <c r="CN30" s="1842"/>
      <c r="CO30" s="1841"/>
      <c r="CP30" s="1842"/>
      <c r="CQ30" s="1841"/>
      <c r="CR30" s="1842"/>
      <c r="CS30" s="1841"/>
      <c r="CT30" s="1842"/>
      <c r="CU30" s="1841"/>
      <c r="CV30" s="1842"/>
      <c r="CW30" s="1841"/>
      <c r="CX30" s="1842"/>
      <c r="CY30" s="1843"/>
      <c r="CZ30" s="1844"/>
      <c r="DA30" s="1841"/>
      <c r="DB30" s="1842"/>
      <c r="DC30" s="1841"/>
      <c r="DD30" s="1842"/>
      <c r="DE30" s="1841"/>
      <c r="DF30" s="1842"/>
      <c r="DG30" s="1841"/>
      <c r="DH30" s="1842"/>
      <c r="DI30" s="1843"/>
      <c r="DJ30" s="1844"/>
      <c r="DK30" s="1841"/>
      <c r="DL30" s="1842"/>
      <c r="DM30" s="1841"/>
      <c r="DN30" s="1842"/>
      <c r="DO30" s="1841"/>
      <c r="DP30" s="1842"/>
      <c r="DQ30" s="1841"/>
      <c r="DR30" s="1842"/>
      <c r="DS30" s="1841"/>
      <c r="DT30" s="1842"/>
      <c r="DU30" s="1841"/>
      <c r="DV30" s="1842"/>
      <c r="DW30" s="1841"/>
      <c r="DX30" s="1842"/>
      <c r="DY30" s="1841"/>
      <c r="DZ30" s="1845"/>
    </row>
    <row r="31" spans="1:257" s="1774" customFormat="1" ht="14.25" customHeight="1">
      <c r="B31" s="1846" t="s">
        <v>28</v>
      </c>
      <c r="C31" s="1792"/>
      <c r="D31" s="1847">
        <f t="shared" si="111"/>
        <v>0</v>
      </c>
      <c r="E31" s="1848">
        <f t="shared" si="100"/>
        <v>99999</v>
      </c>
      <c r="F31" s="1849" t="s">
        <v>10</v>
      </c>
      <c r="H31" s="1850" t="s">
        <v>28</v>
      </c>
      <c r="I31" s="1851">
        <v>0</v>
      </c>
      <c r="J31" s="1835">
        <v>99999</v>
      </c>
      <c r="K31" s="1834">
        <v>0</v>
      </c>
      <c r="L31" s="1835">
        <v>99999</v>
      </c>
      <c r="M31" s="1834">
        <v>0</v>
      </c>
      <c r="N31" s="1835">
        <v>99999</v>
      </c>
      <c r="O31" s="1834">
        <v>0</v>
      </c>
      <c r="P31" s="1835">
        <v>99999</v>
      </c>
      <c r="Q31" s="1834">
        <v>0</v>
      </c>
      <c r="R31" s="1835">
        <v>99999</v>
      </c>
      <c r="S31" s="1834">
        <v>0</v>
      </c>
      <c r="T31" s="1835">
        <v>99999</v>
      </c>
      <c r="U31" s="1834">
        <v>0</v>
      </c>
      <c r="V31" s="1835">
        <v>99999</v>
      </c>
      <c r="W31" s="1834">
        <v>0</v>
      </c>
      <c r="X31" s="1835">
        <v>99999</v>
      </c>
      <c r="Y31" s="1834">
        <v>0</v>
      </c>
      <c r="Z31" s="1835">
        <v>99999</v>
      </c>
      <c r="AA31" s="1834">
        <v>0</v>
      </c>
      <c r="AB31" s="1835">
        <v>99999</v>
      </c>
      <c r="AC31" s="1834">
        <v>0</v>
      </c>
      <c r="AD31" s="1852">
        <v>99999</v>
      </c>
      <c r="AE31" s="1802"/>
      <c r="AF31" s="1803"/>
      <c r="AG31" s="1853">
        <v>0</v>
      </c>
      <c r="AH31" s="1854">
        <v>99999</v>
      </c>
      <c r="AI31" s="1834">
        <v>0</v>
      </c>
      <c r="AJ31" s="1835">
        <v>99999</v>
      </c>
      <c r="AK31" s="1834">
        <v>0</v>
      </c>
      <c r="AL31" s="1835">
        <v>99999</v>
      </c>
      <c r="AM31" s="1834">
        <v>0</v>
      </c>
      <c r="AN31" s="1835">
        <v>99999</v>
      </c>
      <c r="AO31" s="1834">
        <v>0</v>
      </c>
      <c r="AP31" s="1835">
        <v>99999</v>
      </c>
      <c r="AQ31" s="1834">
        <v>0</v>
      </c>
      <c r="AR31" s="1835">
        <v>99999</v>
      </c>
      <c r="AS31" s="1834">
        <f t="shared" si="101"/>
        <v>0</v>
      </c>
      <c r="AT31" s="1835">
        <f t="shared" si="102"/>
        <v>99999</v>
      </c>
      <c r="AU31" s="1834">
        <f t="shared" si="103"/>
        <v>0</v>
      </c>
      <c r="AV31" s="1835">
        <f t="shared" si="104"/>
        <v>99999</v>
      </c>
      <c r="AW31" s="1834">
        <v>0</v>
      </c>
      <c r="AX31" s="1835">
        <v>99999</v>
      </c>
      <c r="AY31" s="1834">
        <v>0</v>
      </c>
      <c r="AZ31" s="1835">
        <v>99999</v>
      </c>
      <c r="BA31" s="1834">
        <v>0</v>
      </c>
      <c r="BB31" s="1835">
        <v>99999</v>
      </c>
      <c r="BC31" s="1834">
        <v>0</v>
      </c>
      <c r="BD31" s="1835">
        <v>99999</v>
      </c>
      <c r="BE31" s="1834">
        <v>0</v>
      </c>
      <c r="BF31" s="1835">
        <v>99999</v>
      </c>
      <c r="BG31" s="1834">
        <v>0</v>
      </c>
      <c r="BH31" s="1835">
        <v>99999</v>
      </c>
      <c r="BI31" s="1834">
        <v>0</v>
      </c>
      <c r="BJ31" s="1835">
        <v>99999</v>
      </c>
      <c r="BK31" s="1834">
        <v>0</v>
      </c>
      <c r="BL31" s="1835">
        <v>99999</v>
      </c>
      <c r="BM31" s="1834">
        <v>0</v>
      </c>
      <c r="BN31" s="1835">
        <v>99999</v>
      </c>
      <c r="BO31" s="1834">
        <v>0</v>
      </c>
      <c r="BP31" s="1835">
        <v>99999</v>
      </c>
      <c r="BQ31" s="1834">
        <v>0</v>
      </c>
      <c r="BR31" s="1835">
        <v>99999</v>
      </c>
      <c r="BS31" s="1834">
        <v>0</v>
      </c>
      <c r="BT31" s="1835">
        <v>99999</v>
      </c>
      <c r="BU31" s="1834">
        <v>0</v>
      </c>
      <c r="BV31" s="1835">
        <v>99999</v>
      </c>
      <c r="BW31" s="1834">
        <v>0</v>
      </c>
      <c r="BX31" s="1835">
        <v>99999</v>
      </c>
      <c r="BY31" s="1834">
        <v>0</v>
      </c>
      <c r="BZ31" s="1835">
        <v>99999</v>
      </c>
      <c r="CA31" s="1834">
        <v>0</v>
      </c>
      <c r="CB31" s="1835">
        <v>99999</v>
      </c>
      <c r="CC31" s="1834">
        <v>0</v>
      </c>
      <c r="CD31" s="1835">
        <v>99999</v>
      </c>
      <c r="CE31" s="1834">
        <v>0</v>
      </c>
      <c r="CF31" s="1835">
        <v>99999</v>
      </c>
      <c r="CG31" s="1834">
        <v>0</v>
      </c>
      <c r="CH31" s="1835">
        <v>99999</v>
      </c>
      <c r="CI31" s="1834">
        <v>0</v>
      </c>
      <c r="CJ31" s="1835">
        <v>99999</v>
      </c>
      <c r="CK31" s="1834">
        <v>0</v>
      </c>
      <c r="CL31" s="1835">
        <v>99999</v>
      </c>
      <c r="CM31" s="1832">
        <v>0</v>
      </c>
      <c r="CN31" s="1832">
        <v>99999</v>
      </c>
      <c r="CO31" s="1834">
        <v>0</v>
      </c>
      <c r="CP31" s="1835">
        <v>99999</v>
      </c>
      <c r="CQ31" s="1834">
        <v>0</v>
      </c>
      <c r="CR31" s="1835">
        <v>99999</v>
      </c>
      <c r="CS31" s="1834">
        <v>0</v>
      </c>
      <c r="CT31" s="1835">
        <v>99999</v>
      </c>
      <c r="CU31" s="1834">
        <v>0</v>
      </c>
      <c r="CV31" s="1835">
        <v>99999</v>
      </c>
      <c r="CW31" s="1834">
        <v>0</v>
      </c>
      <c r="CX31" s="1835">
        <v>99999</v>
      </c>
      <c r="CY31" s="1834">
        <v>0</v>
      </c>
      <c r="CZ31" s="1835">
        <v>99999</v>
      </c>
      <c r="DA31" s="1834">
        <v>0</v>
      </c>
      <c r="DB31" s="1835">
        <v>99999</v>
      </c>
      <c r="DC31" s="1834">
        <v>0</v>
      </c>
      <c r="DD31" s="1835">
        <v>99999</v>
      </c>
      <c r="DE31" s="1832">
        <v>0</v>
      </c>
      <c r="DF31" s="1832">
        <v>99999</v>
      </c>
      <c r="DG31" s="1834">
        <v>0</v>
      </c>
      <c r="DH31" s="1835">
        <v>99999</v>
      </c>
      <c r="DI31" s="1834">
        <v>0</v>
      </c>
      <c r="DJ31" s="1835">
        <v>99999</v>
      </c>
      <c r="DK31" s="1834">
        <v>0</v>
      </c>
      <c r="DL31" s="1835">
        <v>99999</v>
      </c>
      <c r="DM31" s="1834">
        <v>0</v>
      </c>
      <c r="DN31" s="1835">
        <v>99999</v>
      </c>
      <c r="DO31" s="1834">
        <v>0</v>
      </c>
      <c r="DP31" s="1835">
        <v>99999</v>
      </c>
      <c r="DQ31" s="1834">
        <v>0</v>
      </c>
      <c r="DR31" s="1835">
        <v>99999</v>
      </c>
      <c r="DS31" s="1834">
        <v>0</v>
      </c>
      <c r="DT31" s="1835">
        <v>99999</v>
      </c>
      <c r="DU31" s="1834">
        <v>0</v>
      </c>
      <c r="DV31" s="1835">
        <v>99999</v>
      </c>
      <c r="DW31" s="1834">
        <v>0</v>
      </c>
      <c r="DX31" s="1835">
        <v>99999</v>
      </c>
      <c r="DY31" s="1834">
        <v>0</v>
      </c>
      <c r="DZ31" s="1855">
        <v>99999</v>
      </c>
    </row>
    <row r="32" spans="1:257" s="1774" customFormat="1" ht="14.25" customHeight="1">
      <c r="B32" s="1791" t="s">
        <v>29</v>
      </c>
      <c r="C32" s="1792"/>
      <c r="D32" s="1847">
        <f>INDEX(I32:DZ32,,MATCH($B$5,$I$5:$DZ$5,0))</f>
        <v>0</v>
      </c>
      <c r="E32" s="1848">
        <f t="shared" si="100"/>
        <v>99999</v>
      </c>
      <c r="F32" s="1830" t="s">
        <v>21</v>
      </c>
      <c r="G32" s="1856"/>
      <c r="H32" s="1857" t="s">
        <v>29</v>
      </c>
      <c r="I32" s="1834">
        <v>0</v>
      </c>
      <c r="J32" s="1835">
        <v>99999</v>
      </c>
      <c r="K32" s="1834">
        <v>0</v>
      </c>
      <c r="L32" s="1835">
        <v>99999</v>
      </c>
      <c r="M32" s="1834">
        <v>0</v>
      </c>
      <c r="N32" s="1835">
        <v>99999</v>
      </c>
      <c r="O32" s="1834">
        <v>0</v>
      </c>
      <c r="P32" s="1835">
        <v>99999</v>
      </c>
      <c r="Q32" s="1834">
        <v>0</v>
      </c>
      <c r="R32" s="1835">
        <v>99999</v>
      </c>
      <c r="S32" s="1834">
        <v>0</v>
      </c>
      <c r="T32" s="1835">
        <v>99999</v>
      </c>
      <c r="U32" s="1834">
        <v>0</v>
      </c>
      <c r="V32" s="1835">
        <v>99999</v>
      </c>
      <c r="W32" s="1834">
        <v>0</v>
      </c>
      <c r="X32" s="1835">
        <v>99999</v>
      </c>
      <c r="Y32" s="1834">
        <v>0</v>
      </c>
      <c r="Z32" s="1835">
        <v>99999</v>
      </c>
      <c r="AA32" s="1834">
        <v>0</v>
      </c>
      <c r="AB32" s="1835">
        <v>99999</v>
      </c>
      <c r="AC32" s="1834">
        <v>0</v>
      </c>
      <c r="AD32" s="1852">
        <v>99999</v>
      </c>
      <c r="AE32" s="1802"/>
      <c r="AF32" s="1803"/>
      <c r="AG32" s="1853">
        <v>0</v>
      </c>
      <c r="AH32" s="1835">
        <v>99999</v>
      </c>
      <c r="AI32" s="1834">
        <v>0</v>
      </c>
      <c r="AJ32" s="1835">
        <v>99999</v>
      </c>
      <c r="AK32" s="1834">
        <v>0</v>
      </c>
      <c r="AL32" s="1835">
        <v>99999</v>
      </c>
      <c r="AM32" s="1834">
        <v>0</v>
      </c>
      <c r="AN32" s="1835">
        <v>99999</v>
      </c>
      <c r="AO32" s="1834">
        <v>0</v>
      </c>
      <c r="AP32" s="1835">
        <v>99999</v>
      </c>
      <c r="AQ32" s="1834">
        <v>0</v>
      </c>
      <c r="AR32" s="1835">
        <v>99999</v>
      </c>
      <c r="AS32" s="1834">
        <f t="shared" si="101"/>
        <v>0</v>
      </c>
      <c r="AT32" s="1835">
        <f t="shared" si="102"/>
        <v>99999</v>
      </c>
      <c r="AU32" s="1834">
        <f t="shared" si="103"/>
        <v>0</v>
      </c>
      <c r="AV32" s="1835">
        <f t="shared" si="104"/>
        <v>99999</v>
      </c>
      <c r="AW32" s="1834">
        <v>0</v>
      </c>
      <c r="AX32" s="1835">
        <v>99999</v>
      </c>
      <c r="AY32" s="1834">
        <v>0</v>
      </c>
      <c r="AZ32" s="1835">
        <v>99999</v>
      </c>
      <c r="BA32" s="1834">
        <v>0</v>
      </c>
      <c r="BB32" s="1835">
        <v>99999</v>
      </c>
      <c r="BC32" s="1834">
        <v>0</v>
      </c>
      <c r="BD32" s="1835">
        <v>99999</v>
      </c>
      <c r="BE32" s="1834">
        <v>0</v>
      </c>
      <c r="BF32" s="1835">
        <v>99999</v>
      </c>
      <c r="BG32" s="1834">
        <v>0</v>
      </c>
      <c r="BH32" s="1835">
        <v>99999</v>
      </c>
      <c r="BI32" s="1834">
        <v>0</v>
      </c>
      <c r="BJ32" s="1835">
        <v>99999</v>
      </c>
      <c r="BK32" s="1834">
        <v>0</v>
      </c>
      <c r="BL32" s="1835">
        <v>99999</v>
      </c>
      <c r="BM32" s="1834">
        <v>0</v>
      </c>
      <c r="BN32" s="1835">
        <v>99999</v>
      </c>
      <c r="BO32" s="1834">
        <v>0</v>
      </c>
      <c r="BP32" s="1835">
        <v>99999</v>
      </c>
      <c r="BQ32" s="1834">
        <v>0</v>
      </c>
      <c r="BR32" s="1835">
        <v>99999</v>
      </c>
      <c r="BS32" s="1834">
        <v>0</v>
      </c>
      <c r="BT32" s="1835">
        <v>99999</v>
      </c>
      <c r="BU32" s="1834">
        <v>0</v>
      </c>
      <c r="BV32" s="1835">
        <v>99999</v>
      </c>
      <c r="BW32" s="1834">
        <v>0</v>
      </c>
      <c r="BX32" s="1835">
        <v>99999</v>
      </c>
      <c r="BY32" s="1834">
        <v>0</v>
      </c>
      <c r="BZ32" s="1835">
        <v>99999</v>
      </c>
      <c r="CA32" s="1834">
        <v>0</v>
      </c>
      <c r="CB32" s="1835">
        <v>99999</v>
      </c>
      <c r="CC32" s="1834">
        <v>0</v>
      </c>
      <c r="CD32" s="1835">
        <v>99999</v>
      </c>
      <c r="CE32" s="1834">
        <v>0</v>
      </c>
      <c r="CF32" s="1835">
        <v>99999</v>
      </c>
      <c r="CG32" s="1834">
        <v>0</v>
      </c>
      <c r="CH32" s="1835">
        <v>99999</v>
      </c>
      <c r="CI32" s="1834">
        <v>0</v>
      </c>
      <c r="CJ32" s="1835">
        <v>99999</v>
      </c>
      <c r="CK32" s="1834">
        <v>0</v>
      </c>
      <c r="CL32" s="1835">
        <v>99999</v>
      </c>
      <c r="CM32" s="1832">
        <v>0</v>
      </c>
      <c r="CN32" s="1832">
        <v>99999</v>
      </c>
      <c r="CO32" s="1834">
        <v>0</v>
      </c>
      <c r="CP32" s="1835">
        <v>99999</v>
      </c>
      <c r="CQ32" s="1834">
        <v>0</v>
      </c>
      <c r="CR32" s="1835">
        <v>99999</v>
      </c>
      <c r="CS32" s="1834">
        <v>0</v>
      </c>
      <c r="CT32" s="1835">
        <v>99999</v>
      </c>
      <c r="CU32" s="1834">
        <v>0</v>
      </c>
      <c r="CV32" s="1835">
        <v>99999</v>
      </c>
      <c r="CW32" s="1834">
        <v>0</v>
      </c>
      <c r="CX32" s="1835">
        <v>99999</v>
      </c>
      <c r="CY32" s="1834">
        <v>0</v>
      </c>
      <c r="CZ32" s="1835">
        <v>99999</v>
      </c>
      <c r="DA32" s="1834">
        <v>0</v>
      </c>
      <c r="DB32" s="1835">
        <v>99999</v>
      </c>
      <c r="DC32" s="1834">
        <v>0</v>
      </c>
      <c r="DD32" s="1835">
        <v>99999</v>
      </c>
      <c r="DE32" s="1832">
        <v>0</v>
      </c>
      <c r="DF32" s="1832">
        <v>99999</v>
      </c>
      <c r="DG32" s="1834">
        <v>0</v>
      </c>
      <c r="DH32" s="1835">
        <v>99999</v>
      </c>
      <c r="DI32" s="1834">
        <v>0</v>
      </c>
      <c r="DJ32" s="1835">
        <v>99999</v>
      </c>
      <c r="DK32" s="1834">
        <v>0</v>
      </c>
      <c r="DL32" s="1835">
        <v>99999</v>
      </c>
      <c r="DM32" s="1834">
        <v>0</v>
      </c>
      <c r="DN32" s="1835">
        <v>99999</v>
      </c>
      <c r="DO32" s="1834">
        <v>0</v>
      </c>
      <c r="DP32" s="1835">
        <v>99999</v>
      </c>
      <c r="DQ32" s="1834">
        <v>0</v>
      </c>
      <c r="DR32" s="1835">
        <v>99999</v>
      </c>
      <c r="DS32" s="1834">
        <v>0</v>
      </c>
      <c r="DT32" s="1835">
        <v>99999</v>
      </c>
      <c r="DU32" s="1834">
        <v>0</v>
      </c>
      <c r="DV32" s="1835">
        <v>99999</v>
      </c>
      <c r="DW32" s="1834">
        <v>0</v>
      </c>
      <c r="DX32" s="1835">
        <v>99999</v>
      </c>
      <c r="DY32" s="1834">
        <v>0</v>
      </c>
      <c r="DZ32" s="1855">
        <v>99999</v>
      </c>
    </row>
    <row r="33" spans="2:250" s="1774" customFormat="1" ht="14.25" customHeight="1">
      <c r="B33" s="1791" t="s">
        <v>30</v>
      </c>
      <c r="C33" s="1792"/>
      <c r="D33" s="1847">
        <f t="shared" si="111"/>
        <v>0</v>
      </c>
      <c r="E33" s="1848">
        <f t="shared" si="100"/>
        <v>99999</v>
      </c>
      <c r="F33" s="1830" t="s">
        <v>7</v>
      </c>
      <c r="G33" s="1856"/>
      <c r="H33" s="1857" t="s">
        <v>30</v>
      </c>
      <c r="I33" s="1834">
        <v>0</v>
      </c>
      <c r="J33" s="1835">
        <v>99999</v>
      </c>
      <c r="K33" s="1834">
        <v>0</v>
      </c>
      <c r="L33" s="1835">
        <v>99999</v>
      </c>
      <c r="M33" s="1834">
        <v>0</v>
      </c>
      <c r="N33" s="1835">
        <v>99999</v>
      </c>
      <c r="O33" s="1834">
        <v>0</v>
      </c>
      <c r="P33" s="1835">
        <v>99999</v>
      </c>
      <c r="Q33" s="1834">
        <v>0</v>
      </c>
      <c r="R33" s="1835">
        <v>99999</v>
      </c>
      <c r="S33" s="1834">
        <v>0</v>
      </c>
      <c r="T33" s="1835">
        <v>99999</v>
      </c>
      <c r="U33" s="1834">
        <v>0</v>
      </c>
      <c r="V33" s="1835">
        <v>99999</v>
      </c>
      <c r="W33" s="1834">
        <v>0</v>
      </c>
      <c r="X33" s="1835">
        <v>99999</v>
      </c>
      <c r="Y33" s="1834">
        <v>0</v>
      </c>
      <c r="Z33" s="1835">
        <v>99999</v>
      </c>
      <c r="AA33" s="1834">
        <v>0</v>
      </c>
      <c r="AB33" s="1835">
        <v>99999</v>
      </c>
      <c r="AC33" s="1834">
        <v>0</v>
      </c>
      <c r="AD33" s="1852">
        <v>99999</v>
      </c>
      <c r="AE33" s="1802"/>
      <c r="AF33" s="1803"/>
      <c r="AG33" s="1853">
        <v>0</v>
      </c>
      <c r="AH33" s="1854">
        <v>99999</v>
      </c>
      <c r="AI33" s="1858">
        <v>0</v>
      </c>
      <c r="AJ33" s="1835">
        <v>99999</v>
      </c>
      <c r="AK33" s="1834">
        <v>0</v>
      </c>
      <c r="AL33" s="1835">
        <v>99999</v>
      </c>
      <c r="AM33" s="1834">
        <v>0</v>
      </c>
      <c r="AN33" s="1835">
        <v>99999</v>
      </c>
      <c r="AO33" s="1834">
        <v>0</v>
      </c>
      <c r="AP33" s="1835">
        <v>99999</v>
      </c>
      <c r="AQ33" s="1834">
        <v>0</v>
      </c>
      <c r="AR33" s="1835">
        <v>99999</v>
      </c>
      <c r="AS33" s="1834">
        <f t="shared" si="101"/>
        <v>0</v>
      </c>
      <c r="AT33" s="1835">
        <f t="shared" si="102"/>
        <v>99999</v>
      </c>
      <c r="AU33" s="1834">
        <f t="shared" si="103"/>
        <v>0</v>
      </c>
      <c r="AV33" s="1835">
        <f t="shared" si="104"/>
        <v>99999</v>
      </c>
      <c r="AW33" s="1834">
        <v>0</v>
      </c>
      <c r="AX33" s="1835">
        <v>99999</v>
      </c>
      <c r="AY33" s="1834">
        <v>0</v>
      </c>
      <c r="AZ33" s="1835">
        <v>99999</v>
      </c>
      <c r="BA33" s="1834">
        <v>0</v>
      </c>
      <c r="BB33" s="1835">
        <v>99999</v>
      </c>
      <c r="BC33" s="1834">
        <v>0</v>
      </c>
      <c r="BD33" s="1835">
        <v>99999</v>
      </c>
      <c r="BE33" s="1834">
        <v>0</v>
      </c>
      <c r="BF33" s="1835">
        <v>99999</v>
      </c>
      <c r="BG33" s="1834">
        <v>0</v>
      </c>
      <c r="BH33" s="1835">
        <v>99999</v>
      </c>
      <c r="BI33" s="1834">
        <v>0</v>
      </c>
      <c r="BJ33" s="1835">
        <v>99999</v>
      </c>
      <c r="BK33" s="1834">
        <v>0</v>
      </c>
      <c r="BL33" s="1835">
        <v>99999</v>
      </c>
      <c r="BM33" s="1834">
        <v>0</v>
      </c>
      <c r="BN33" s="1835">
        <v>99999</v>
      </c>
      <c r="BO33" s="1834">
        <v>0</v>
      </c>
      <c r="BP33" s="1835">
        <v>99999</v>
      </c>
      <c r="BQ33" s="1834">
        <v>0</v>
      </c>
      <c r="BR33" s="1835">
        <v>99999</v>
      </c>
      <c r="BS33" s="1834">
        <v>0</v>
      </c>
      <c r="BT33" s="1835">
        <v>99999</v>
      </c>
      <c r="BU33" s="1834">
        <v>0</v>
      </c>
      <c r="BV33" s="1835">
        <v>99999</v>
      </c>
      <c r="BW33" s="1834">
        <v>0</v>
      </c>
      <c r="BX33" s="1835">
        <v>99999</v>
      </c>
      <c r="BY33" s="1834">
        <v>0</v>
      </c>
      <c r="BZ33" s="1835">
        <v>99999</v>
      </c>
      <c r="CA33" s="1834">
        <v>0</v>
      </c>
      <c r="CB33" s="1835">
        <v>99999</v>
      </c>
      <c r="CC33" s="1834">
        <v>0</v>
      </c>
      <c r="CD33" s="1835">
        <v>99999</v>
      </c>
      <c r="CE33" s="1834">
        <v>0</v>
      </c>
      <c r="CF33" s="1835">
        <v>99999</v>
      </c>
      <c r="CG33" s="1834">
        <v>0</v>
      </c>
      <c r="CH33" s="1835">
        <v>99999</v>
      </c>
      <c r="CI33" s="1834">
        <v>0</v>
      </c>
      <c r="CJ33" s="1835">
        <v>99999</v>
      </c>
      <c r="CK33" s="1834">
        <v>0</v>
      </c>
      <c r="CL33" s="1835">
        <v>99999</v>
      </c>
      <c r="CM33" s="1832">
        <v>0</v>
      </c>
      <c r="CN33" s="1832">
        <v>99999</v>
      </c>
      <c r="CO33" s="1834">
        <v>0</v>
      </c>
      <c r="CP33" s="1835">
        <v>99999</v>
      </c>
      <c r="CQ33" s="1834">
        <v>0</v>
      </c>
      <c r="CR33" s="1835">
        <v>99999</v>
      </c>
      <c r="CS33" s="1834">
        <v>0</v>
      </c>
      <c r="CT33" s="1835">
        <v>99999</v>
      </c>
      <c r="CU33" s="1834">
        <v>0</v>
      </c>
      <c r="CV33" s="1835">
        <v>99999</v>
      </c>
      <c r="CW33" s="1834">
        <v>0</v>
      </c>
      <c r="CX33" s="1835">
        <v>99999</v>
      </c>
      <c r="CY33" s="1834">
        <v>0</v>
      </c>
      <c r="CZ33" s="1835">
        <v>99999</v>
      </c>
      <c r="DA33" s="1834">
        <v>0</v>
      </c>
      <c r="DB33" s="1835">
        <v>99999</v>
      </c>
      <c r="DC33" s="1834">
        <v>0</v>
      </c>
      <c r="DD33" s="1835">
        <v>99999</v>
      </c>
      <c r="DE33" s="1832">
        <v>0</v>
      </c>
      <c r="DF33" s="1832">
        <v>99999</v>
      </c>
      <c r="DG33" s="1834">
        <v>0</v>
      </c>
      <c r="DH33" s="1835">
        <v>99999</v>
      </c>
      <c r="DI33" s="1834">
        <v>0</v>
      </c>
      <c r="DJ33" s="1835">
        <v>99999</v>
      </c>
      <c r="DK33" s="1834">
        <v>0</v>
      </c>
      <c r="DL33" s="1835">
        <v>99999</v>
      </c>
      <c r="DM33" s="1834">
        <v>0</v>
      </c>
      <c r="DN33" s="1835">
        <v>99999</v>
      </c>
      <c r="DO33" s="1834">
        <v>0</v>
      </c>
      <c r="DP33" s="1835">
        <v>99999</v>
      </c>
      <c r="DQ33" s="1834">
        <v>0</v>
      </c>
      <c r="DR33" s="1835">
        <v>99999</v>
      </c>
      <c r="DS33" s="1834">
        <v>0</v>
      </c>
      <c r="DT33" s="1835">
        <v>99999</v>
      </c>
      <c r="DU33" s="1834">
        <v>0</v>
      </c>
      <c r="DV33" s="1835">
        <v>99999</v>
      </c>
      <c r="DW33" s="1834">
        <v>0</v>
      </c>
      <c r="DX33" s="1835">
        <v>99999</v>
      </c>
      <c r="DY33" s="1834">
        <v>0</v>
      </c>
      <c r="DZ33" s="1855">
        <v>99999</v>
      </c>
    </row>
    <row r="34" spans="2:250" s="1774" customFormat="1" ht="14.25" customHeight="1">
      <c r="B34" s="1791" t="s">
        <v>31</v>
      </c>
      <c r="C34" s="1792" t="s">
        <v>673</v>
      </c>
      <c r="D34" s="1847">
        <f t="shared" si="111"/>
        <v>0</v>
      </c>
      <c r="E34" s="1859">
        <f t="shared" si="100"/>
        <v>-31.841999999999999</v>
      </c>
      <c r="F34" s="1830" t="s">
        <v>10</v>
      </c>
      <c r="G34" s="1739"/>
      <c r="H34" s="1857" t="s">
        <v>31</v>
      </c>
      <c r="I34" s="1834">
        <v>0</v>
      </c>
      <c r="J34" s="1860">
        <f>$D$17*0.6</f>
        <v>-31.841999999999999</v>
      </c>
      <c r="K34" s="1834">
        <v>0</v>
      </c>
      <c r="L34" s="1860">
        <f>$D$17*0.6</f>
        <v>-31.841999999999999</v>
      </c>
      <c r="M34" s="1834">
        <v>0</v>
      </c>
      <c r="N34" s="1860">
        <f>$D$17*0.6</f>
        <v>-31.841999999999999</v>
      </c>
      <c r="O34" s="1834">
        <v>0</v>
      </c>
      <c r="P34" s="1860">
        <f>$D$17*0.6</f>
        <v>-31.841999999999999</v>
      </c>
      <c r="Q34" s="1834">
        <v>0</v>
      </c>
      <c r="R34" s="1860">
        <f>$D$17*0.6</f>
        <v>-31.841999999999999</v>
      </c>
      <c r="S34" s="1834">
        <v>0</v>
      </c>
      <c r="T34" s="1860">
        <f>$D$17*0.6</f>
        <v>-31.841999999999999</v>
      </c>
      <c r="U34" s="1834">
        <v>0</v>
      </c>
      <c r="V34" s="1860">
        <f>$D$17*0.6</f>
        <v>-31.841999999999999</v>
      </c>
      <c r="W34" s="1834">
        <v>0</v>
      </c>
      <c r="X34" s="1860">
        <f>$D$17*0.6</f>
        <v>-31.841999999999999</v>
      </c>
      <c r="Y34" s="1834">
        <v>0</v>
      </c>
      <c r="Z34" s="1860">
        <f>$D$17*0.6</f>
        <v>-31.841999999999999</v>
      </c>
      <c r="AA34" s="1834">
        <v>0</v>
      </c>
      <c r="AB34" s="1860">
        <f>$D$17*0.6</f>
        <v>-31.841999999999999</v>
      </c>
      <c r="AC34" s="1834">
        <v>0</v>
      </c>
      <c r="AD34" s="1861">
        <f>$D$17*0.6</f>
        <v>-31.841999999999999</v>
      </c>
      <c r="AE34" s="1802"/>
      <c r="AF34" s="1803"/>
      <c r="AG34" s="1858">
        <v>0</v>
      </c>
      <c r="AH34" s="1814">
        <f>$D$17*0.6</f>
        <v>-31.841999999999999</v>
      </c>
      <c r="AI34" s="1858">
        <v>0</v>
      </c>
      <c r="AJ34" s="1860">
        <f>$D$17*0.6</f>
        <v>-31.841999999999999</v>
      </c>
      <c r="AK34" s="1834">
        <v>0</v>
      </c>
      <c r="AL34" s="1860">
        <f>$D$17*0.6</f>
        <v>-31.841999999999999</v>
      </c>
      <c r="AM34" s="1834">
        <v>0</v>
      </c>
      <c r="AN34" s="1860">
        <f>$D$17*0.6</f>
        <v>-31.841999999999999</v>
      </c>
      <c r="AO34" s="1834">
        <v>0</v>
      </c>
      <c r="AP34" s="1860">
        <f>$D$17*0.6</f>
        <v>-31.841999999999999</v>
      </c>
      <c r="AQ34" s="1834">
        <v>0</v>
      </c>
      <c r="AR34" s="1835">
        <f>AQ17*0.6</f>
        <v>206.88627780720228</v>
      </c>
      <c r="AS34" s="1834">
        <f t="shared" si="101"/>
        <v>0</v>
      </c>
      <c r="AT34" s="1860">
        <f t="shared" si="102"/>
        <v>206.88627780720228</v>
      </c>
      <c r="AU34" s="1834">
        <f t="shared" si="103"/>
        <v>0</v>
      </c>
      <c r="AV34" s="1860">
        <f t="shared" si="104"/>
        <v>206.88627780720228</v>
      </c>
      <c r="AW34" s="1834">
        <v>0</v>
      </c>
      <c r="AX34" s="1835">
        <f>AW17*0.6</f>
        <v>206.88627780720228</v>
      </c>
      <c r="AY34" s="1834">
        <v>0</v>
      </c>
      <c r="AZ34" s="1835">
        <f>AY17*0.6</f>
        <v>206.88627780720228</v>
      </c>
      <c r="BA34" s="1834">
        <v>0</v>
      </c>
      <c r="BB34" s="1835">
        <f>BA17*0.6</f>
        <v>206.88627780720228</v>
      </c>
      <c r="BC34" s="1834">
        <v>0</v>
      </c>
      <c r="BD34" s="1835">
        <f>BC17*0.6</f>
        <v>0</v>
      </c>
      <c r="BE34" s="1834">
        <v>0</v>
      </c>
      <c r="BF34" s="1835">
        <f>BE17*0.6</f>
        <v>0</v>
      </c>
      <c r="BG34" s="1834">
        <v>0</v>
      </c>
      <c r="BH34" s="1835">
        <f>BG17*0.6</f>
        <v>0</v>
      </c>
      <c r="BI34" s="1834">
        <v>0</v>
      </c>
      <c r="BJ34" s="1835">
        <f>BI17*0.6</f>
        <v>0</v>
      </c>
      <c r="BK34" s="1834">
        <v>0</v>
      </c>
      <c r="BL34" s="1835">
        <f>BK17*0.6</f>
        <v>0</v>
      </c>
      <c r="BM34" s="1834">
        <v>0</v>
      </c>
      <c r="BN34" s="1835">
        <f>BM17*0.6</f>
        <v>0</v>
      </c>
      <c r="BO34" s="1834">
        <v>0</v>
      </c>
      <c r="BP34" s="1835">
        <f>BO17*0.6</f>
        <v>0</v>
      </c>
      <c r="BQ34" s="1834">
        <v>0</v>
      </c>
      <c r="BR34" s="1835">
        <f>BQ17*0.6</f>
        <v>0</v>
      </c>
      <c r="BS34" s="1834">
        <v>0</v>
      </c>
      <c r="BT34" s="1835">
        <f>BS17*0.6</f>
        <v>0</v>
      </c>
      <c r="BU34" s="1834">
        <v>0</v>
      </c>
      <c r="BV34" s="1835">
        <f>BU17*0.6</f>
        <v>0</v>
      </c>
      <c r="BW34" s="1834">
        <v>0</v>
      </c>
      <c r="BX34" s="1835">
        <f>BW17*0.6</f>
        <v>0</v>
      </c>
      <c r="BY34" s="1834">
        <v>0</v>
      </c>
      <c r="BZ34" s="1835">
        <f>BY17*0.6</f>
        <v>0</v>
      </c>
      <c r="CA34" s="1834">
        <v>0</v>
      </c>
      <c r="CB34" s="1835">
        <f>CA17*0.6</f>
        <v>0</v>
      </c>
      <c r="CC34" s="1834">
        <v>0</v>
      </c>
      <c r="CD34" s="1835">
        <f>CC17*0.6</f>
        <v>0</v>
      </c>
      <c r="CE34" s="1834">
        <v>0</v>
      </c>
      <c r="CF34" s="1835">
        <f>CE17*0.6</f>
        <v>0</v>
      </c>
      <c r="CG34" s="1834">
        <v>0</v>
      </c>
      <c r="CH34" s="1835">
        <f>CG17*0.6</f>
        <v>0</v>
      </c>
      <c r="CI34" s="1834">
        <v>0</v>
      </c>
      <c r="CJ34" s="1835">
        <f>CI17*0.6</f>
        <v>0</v>
      </c>
      <c r="CK34" s="1834">
        <v>0</v>
      </c>
      <c r="CL34" s="1835">
        <f>CK17*0.6</f>
        <v>0</v>
      </c>
      <c r="CM34" s="1832">
        <v>0</v>
      </c>
      <c r="CN34" s="1833">
        <f>CM17*0.6</f>
        <v>0</v>
      </c>
      <c r="CO34" s="1834">
        <v>0</v>
      </c>
      <c r="CP34" s="1835">
        <f>CO17*0.6</f>
        <v>0</v>
      </c>
      <c r="CQ34" s="1834">
        <v>0</v>
      </c>
      <c r="CR34" s="1835">
        <f>CQ17*0.6</f>
        <v>0</v>
      </c>
      <c r="CS34" s="1834">
        <v>0</v>
      </c>
      <c r="CT34" s="1835">
        <f>CS17*0.6</f>
        <v>0</v>
      </c>
      <c r="CU34" s="1834">
        <v>0</v>
      </c>
      <c r="CV34" s="1835">
        <f>CU17*0.6</f>
        <v>0</v>
      </c>
      <c r="CW34" s="1834">
        <v>0</v>
      </c>
      <c r="CX34" s="1835">
        <f>CW17*0.6</f>
        <v>0</v>
      </c>
      <c r="CY34" s="1834">
        <v>0</v>
      </c>
      <c r="CZ34" s="1835">
        <f>CY17*0.6</f>
        <v>0</v>
      </c>
      <c r="DA34" s="1834">
        <v>0</v>
      </c>
      <c r="DB34" s="1835">
        <f>DA17*0.6</f>
        <v>0</v>
      </c>
      <c r="DC34" s="1834">
        <v>0</v>
      </c>
      <c r="DD34" s="1835">
        <f>DC17*0.6</f>
        <v>0</v>
      </c>
      <c r="DE34" s="1832">
        <v>0</v>
      </c>
      <c r="DF34" s="1833">
        <f>DE17*0.6</f>
        <v>0</v>
      </c>
      <c r="DG34" s="1834">
        <v>0</v>
      </c>
      <c r="DH34" s="1835">
        <f>DG17*0.6</f>
        <v>0</v>
      </c>
      <c r="DI34" s="1834">
        <v>0</v>
      </c>
      <c r="DJ34" s="1835">
        <f>DI17*0.6</f>
        <v>0</v>
      </c>
      <c r="DK34" s="1834">
        <v>0</v>
      </c>
      <c r="DL34" s="1835">
        <f>DK17*0.6</f>
        <v>0</v>
      </c>
      <c r="DM34" s="1834">
        <v>0</v>
      </c>
      <c r="DN34" s="1835">
        <f>DM17*0.6</f>
        <v>0</v>
      </c>
      <c r="DO34" s="1834">
        <v>0</v>
      </c>
      <c r="DP34" s="1835">
        <f>DO17*0.6</f>
        <v>0</v>
      </c>
      <c r="DQ34" s="1834">
        <v>0</v>
      </c>
      <c r="DR34" s="1835">
        <f>DQ17*0.6</f>
        <v>0</v>
      </c>
      <c r="DS34" s="1834">
        <v>0</v>
      </c>
      <c r="DT34" s="1835">
        <f>DS17*0.6</f>
        <v>0</v>
      </c>
      <c r="DU34" s="1834">
        <v>0</v>
      </c>
      <c r="DV34" s="1835">
        <f>DU17*0.6</f>
        <v>0</v>
      </c>
      <c r="DW34" s="1834">
        <v>0</v>
      </c>
      <c r="DX34" s="1835">
        <f>DW17*0.6</f>
        <v>0</v>
      </c>
      <c r="DY34" s="1834">
        <v>0</v>
      </c>
      <c r="DZ34" s="1855">
        <f>DY17*0.6</f>
        <v>0</v>
      </c>
      <c r="EA34" s="1739"/>
      <c r="EB34" s="1739"/>
      <c r="EC34" s="1739"/>
      <c r="ED34" s="1739"/>
      <c r="EE34" s="1739"/>
      <c r="EF34" s="1739"/>
      <c r="EG34" s="1739"/>
      <c r="EH34" s="1739"/>
      <c r="EI34" s="1739"/>
      <c r="EJ34" s="1739"/>
      <c r="EK34" s="1739"/>
      <c r="EL34" s="1739"/>
      <c r="EM34" s="1739"/>
      <c r="EN34" s="1739"/>
      <c r="EO34" s="1739"/>
      <c r="EP34" s="1739"/>
      <c r="EQ34" s="1739"/>
      <c r="ER34" s="1739"/>
      <c r="ES34" s="1739"/>
      <c r="ET34" s="1739"/>
      <c r="EU34" s="1739"/>
      <c r="EV34" s="1739"/>
      <c r="EW34" s="1739"/>
      <c r="EX34" s="1739"/>
      <c r="EY34" s="1739"/>
      <c r="EZ34" s="1739"/>
      <c r="FA34" s="1739"/>
      <c r="FB34" s="1739"/>
      <c r="FC34" s="1739"/>
      <c r="FD34" s="1739"/>
      <c r="FE34" s="1739"/>
      <c r="FF34" s="1739"/>
      <c r="FG34" s="1739"/>
      <c r="FH34" s="1739"/>
      <c r="FI34" s="1739"/>
      <c r="FJ34" s="1739"/>
      <c r="FK34" s="1739"/>
      <c r="FL34" s="1739"/>
      <c r="FM34" s="1739"/>
      <c r="FN34" s="1739"/>
      <c r="FO34" s="1739"/>
      <c r="FP34" s="1739"/>
      <c r="FQ34" s="1739"/>
      <c r="FR34" s="1739"/>
      <c r="FS34" s="1739"/>
      <c r="FT34" s="1739"/>
      <c r="FU34" s="1739"/>
      <c r="FV34" s="1739"/>
      <c r="FW34" s="1739"/>
      <c r="FX34" s="1739"/>
      <c r="FY34" s="1739"/>
      <c r="FZ34" s="1739"/>
      <c r="GA34" s="1739"/>
      <c r="GB34" s="1739"/>
      <c r="GC34" s="1739"/>
      <c r="GD34" s="1739"/>
      <c r="GE34" s="1739"/>
      <c r="GF34" s="1739"/>
      <c r="GG34" s="1739"/>
      <c r="GH34" s="1739"/>
      <c r="GI34" s="1739"/>
      <c r="GJ34" s="1739"/>
      <c r="GK34" s="1739"/>
      <c r="GL34" s="1739"/>
      <c r="GM34" s="1739"/>
      <c r="GN34" s="1739"/>
      <c r="GO34" s="1739"/>
      <c r="GP34" s="1739"/>
      <c r="GQ34" s="1739"/>
      <c r="GR34" s="1739"/>
      <c r="GS34" s="1739"/>
      <c r="GT34" s="1739"/>
      <c r="GU34" s="1739"/>
      <c r="GV34" s="1739"/>
      <c r="GW34" s="1739"/>
      <c r="GX34" s="1739"/>
      <c r="GY34" s="1739"/>
      <c r="GZ34" s="1739"/>
      <c r="HA34" s="1739"/>
      <c r="HB34" s="1739"/>
      <c r="HC34" s="1739"/>
      <c r="HD34" s="1739"/>
      <c r="HE34" s="1739"/>
      <c r="HF34" s="1739"/>
      <c r="HG34" s="1739"/>
      <c r="HH34" s="1739"/>
      <c r="HI34" s="1739"/>
      <c r="HJ34" s="1739"/>
      <c r="HK34" s="1739"/>
      <c r="HL34" s="1739"/>
      <c r="HM34" s="1739"/>
      <c r="HN34" s="1739"/>
      <c r="HO34" s="1739"/>
      <c r="HP34" s="1739"/>
      <c r="HQ34" s="1739"/>
      <c r="HR34" s="1739"/>
      <c r="HS34" s="1739"/>
      <c r="HT34" s="1739"/>
      <c r="HU34" s="1739"/>
      <c r="HV34" s="1739"/>
      <c r="HW34" s="1739"/>
      <c r="HX34" s="1739"/>
      <c r="HY34" s="1739"/>
      <c r="HZ34" s="1739"/>
      <c r="IA34" s="1739"/>
      <c r="IB34" s="1739"/>
      <c r="IC34" s="1739"/>
      <c r="ID34" s="1739"/>
      <c r="IE34" s="1739"/>
      <c r="IF34" s="1739"/>
      <c r="IG34" s="1739"/>
      <c r="IH34" s="1739"/>
      <c r="II34" s="1739"/>
      <c r="IJ34" s="1739"/>
      <c r="IK34" s="1739"/>
      <c r="IL34" s="1739"/>
      <c r="IM34" s="1739"/>
      <c r="IN34" s="1739"/>
      <c r="IO34" s="1739"/>
      <c r="IP34" s="1739"/>
    </row>
    <row r="35" spans="2:250" s="1774" customFormat="1" ht="14.25" customHeight="1">
      <c r="B35" s="1791" t="s">
        <v>32</v>
      </c>
      <c r="C35" s="1862" t="s">
        <v>306</v>
      </c>
      <c r="D35" s="1847">
        <f t="shared" si="111"/>
        <v>0</v>
      </c>
      <c r="E35" s="1848">
        <f t="shared" si="100"/>
        <v>99999</v>
      </c>
      <c r="F35" s="1830" t="s">
        <v>33</v>
      </c>
      <c r="G35" s="1856"/>
      <c r="H35" s="1857" t="s">
        <v>32</v>
      </c>
      <c r="I35" s="1834">
        <v>0</v>
      </c>
      <c r="J35" s="1835">
        <v>99999</v>
      </c>
      <c r="K35" s="1834">
        <v>0</v>
      </c>
      <c r="L35" s="1835">
        <v>99999</v>
      </c>
      <c r="M35" s="1834">
        <v>0</v>
      </c>
      <c r="N35" s="1835">
        <v>99999</v>
      </c>
      <c r="O35" s="1834">
        <v>0</v>
      </c>
      <c r="P35" s="1835">
        <v>99999</v>
      </c>
      <c r="Q35" s="1834">
        <v>0</v>
      </c>
      <c r="R35" s="1835">
        <v>99999</v>
      </c>
      <c r="S35" s="1834">
        <v>0</v>
      </c>
      <c r="T35" s="1835">
        <v>99999</v>
      </c>
      <c r="U35" s="1834">
        <v>0</v>
      </c>
      <c r="V35" s="1835">
        <v>99999</v>
      </c>
      <c r="W35" s="1834">
        <v>0</v>
      </c>
      <c r="X35" s="1835">
        <v>99999</v>
      </c>
      <c r="Y35" s="1834">
        <v>0</v>
      </c>
      <c r="Z35" s="1835">
        <v>99999</v>
      </c>
      <c r="AA35" s="1834">
        <v>0</v>
      </c>
      <c r="AB35" s="1835">
        <v>99999</v>
      </c>
      <c r="AC35" s="1834">
        <v>0</v>
      </c>
      <c r="AD35" s="1852">
        <v>99999</v>
      </c>
      <c r="AE35" s="1802"/>
      <c r="AF35" s="1803"/>
      <c r="AG35" s="1858">
        <v>0</v>
      </c>
      <c r="AH35" s="1854">
        <v>99999</v>
      </c>
      <c r="AI35" s="1858">
        <v>0</v>
      </c>
      <c r="AJ35" s="1835">
        <v>99999</v>
      </c>
      <c r="AK35" s="1834">
        <v>0</v>
      </c>
      <c r="AL35" s="1835">
        <v>99999</v>
      </c>
      <c r="AM35" s="1834">
        <v>0</v>
      </c>
      <c r="AN35" s="1835">
        <v>99999</v>
      </c>
      <c r="AO35" s="1834">
        <v>0</v>
      </c>
      <c r="AP35" s="1835">
        <v>99999</v>
      </c>
      <c r="AQ35" s="1834">
        <v>0</v>
      </c>
      <c r="AR35" s="1835">
        <v>99999</v>
      </c>
      <c r="AS35" s="1834">
        <f t="shared" si="101"/>
        <v>0</v>
      </c>
      <c r="AT35" s="1835">
        <f t="shared" si="102"/>
        <v>99999</v>
      </c>
      <c r="AU35" s="1834">
        <f t="shared" si="103"/>
        <v>0</v>
      </c>
      <c r="AV35" s="1835">
        <f t="shared" si="104"/>
        <v>99999</v>
      </c>
      <c r="AW35" s="1834">
        <v>0</v>
      </c>
      <c r="AX35" s="1835">
        <v>99999</v>
      </c>
      <c r="AY35" s="1834">
        <v>0</v>
      </c>
      <c r="AZ35" s="1835">
        <v>99999</v>
      </c>
      <c r="BA35" s="1834">
        <v>0</v>
      </c>
      <c r="BB35" s="1835">
        <v>99999</v>
      </c>
      <c r="BC35" s="1834">
        <v>0</v>
      </c>
      <c r="BD35" s="1835">
        <v>99999</v>
      </c>
      <c r="BE35" s="1834">
        <v>0</v>
      </c>
      <c r="BF35" s="1835">
        <v>99999</v>
      </c>
      <c r="BG35" s="1834">
        <v>0</v>
      </c>
      <c r="BH35" s="1835">
        <v>99999</v>
      </c>
      <c r="BI35" s="1834">
        <v>0</v>
      </c>
      <c r="BJ35" s="1835">
        <v>99999</v>
      </c>
      <c r="BK35" s="1834">
        <v>0</v>
      </c>
      <c r="BL35" s="1835">
        <v>99999</v>
      </c>
      <c r="BM35" s="1834">
        <v>0</v>
      </c>
      <c r="BN35" s="1835">
        <v>99999</v>
      </c>
      <c r="BO35" s="1834">
        <v>0</v>
      </c>
      <c r="BP35" s="1835">
        <v>99999</v>
      </c>
      <c r="BQ35" s="1834">
        <v>0</v>
      </c>
      <c r="BR35" s="1835">
        <v>99999</v>
      </c>
      <c r="BS35" s="1834">
        <v>0</v>
      </c>
      <c r="BT35" s="1835">
        <v>99999</v>
      </c>
      <c r="BU35" s="1834">
        <v>0</v>
      </c>
      <c r="BV35" s="1835">
        <v>99999</v>
      </c>
      <c r="BW35" s="1834">
        <v>0</v>
      </c>
      <c r="BX35" s="1835">
        <v>99999</v>
      </c>
      <c r="BY35" s="1834">
        <v>0</v>
      </c>
      <c r="BZ35" s="1835">
        <v>99999</v>
      </c>
      <c r="CA35" s="1834">
        <v>0</v>
      </c>
      <c r="CB35" s="1835">
        <v>99999</v>
      </c>
      <c r="CC35" s="1834">
        <v>0</v>
      </c>
      <c r="CD35" s="1835">
        <v>99999</v>
      </c>
      <c r="CE35" s="1834">
        <v>0</v>
      </c>
      <c r="CF35" s="1835">
        <v>99999</v>
      </c>
      <c r="CG35" s="1834">
        <v>0</v>
      </c>
      <c r="CH35" s="1835">
        <v>99999</v>
      </c>
      <c r="CI35" s="1834">
        <v>0</v>
      </c>
      <c r="CJ35" s="1835">
        <v>99999</v>
      </c>
      <c r="CK35" s="1834">
        <v>0</v>
      </c>
      <c r="CL35" s="1835">
        <v>99999</v>
      </c>
      <c r="CM35" s="1832">
        <v>0</v>
      </c>
      <c r="CN35" s="1832">
        <v>99999</v>
      </c>
      <c r="CO35" s="1834">
        <v>0</v>
      </c>
      <c r="CP35" s="1835">
        <v>99999</v>
      </c>
      <c r="CQ35" s="1834">
        <v>0</v>
      </c>
      <c r="CR35" s="1835">
        <v>99999</v>
      </c>
      <c r="CS35" s="1834">
        <v>0</v>
      </c>
      <c r="CT35" s="1835">
        <v>99999</v>
      </c>
      <c r="CU35" s="1834">
        <v>0</v>
      </c>
      <c r="CV35" s="1835">
        <v>99999</v>
      </c>
      <c r="CW35" s="1834">
        <v>0</v>
      </c>
      <c r="CX35" s="1835">
        <v>99999</v>
      </c>
      <c r="CY35" s="1834">
        <v>0</v>
      </c>
      <c r="CZ35" s="1835">
        <v>99999</v>
      </c>
      <c r="DA35" s="1834">
        <v>0</v>
      </c>
      <c r="DB35" s="1835">
        <v>99999</v>
      </c>
      <c r="DC35" s="1834">
        <v>0</v>
      </c>
      <c r="DD35" s="1835">
        <v>99999</v>
      </c>
      <c r="DE35" s="1832">
        <v>0</v>
      </c>
      <c r="DF35" s="1832">
        <v>99999</v>
      </c>
      <c r="DG35" s="1834">
        <v>0</v>
      </c>
      <c r="DH35" s="1835">
        <v>99999</v>
      </c>
      <c r="DI35" s="1834">
        <v>0</v>
      </c>
      <c r="DJ35" s="1835">
        <v>99999</v>
      </c>
      <c r="DK35" s="1834">
        <v>0</v>
      </c>
      <c r="DL35" s="1835">
        <v>99999</v>
      </c>
      <c r="DM35" s="1834">
        <v>0</v>
      </c>
      <c r="DN35" s="1835">
        <v>99999</v>
      </c>
      <c r="DO35" s="1834">
        <v>0</v>
      </c>
      <c r="DP35" s="1835">
        <v>99999</v>
      </c>
      <c r="DQ35" s="1834">
        <v>0</v>
      </c>
      <c r="DR35" s="1835">
        <v>99999</v>
      </c>
      <c r="DS35" s="1834">
        <v>0</v>
      </c>
      <c r="DT35" s="1835">
        <v>99999</v>
      </c>
      <c r="DU35" s="1834">
        <v>0</v>
      </c>
      <c r="DV35" s="1835">
        <v>99999</v>
      </c>
      <c r="DW35" s="1834">
        <v>0</v>
      </c>
      <c r="DX35" s="1835">
        <v>99999</v>
      </c>
      <c r="DY35" s="1834">
        <v>0</v>
      </c>
      <c r="DZ35" s="1855">
        <v>99999</v>
      </c>
    </row>
    <row r="36" spans="2:250" s="1774" customFormat="1" ht="14.25" customHeight="1">
      <c r="B36" s="1791" t="s">
        <v>34</v>
      </c>
      <c r="C36" s="1792" t="s">
        <v>263</v>
      </c>
      <c r="D36" s="1863">
        <f t="shared" si="111"/>
        <v>1.0646105851352001</v>
      </c>
      <c r="E36" s="1848">
        <f>INDEX(I36:DZ36,,MATCH($B$6,$I$5:$DZ$5,0))</f>
        <v>99999</v>
      </c>
      <c r="F36" s="1830" t="s">
        <v>7</v>
      </c>
      <c r="G36" s="1856"/>
      <c r="H36" s="1857" t="s">
        <v>34</v>
      </c>
      <c r="I36" s="1797">
        <f>0.21*$E$12</f>
        <v>1.0646105851352001</v>
      </c>
      <c r="J36" s="1835">
        <v>99999</v>
      </c>
      <c r="K36" s="1797">
        <f>0.21*$E$12</f>
        <v>1.0646105851352001</v>
      </c>
      <c r="L36" s="1835">
        <v>99999</v>
      </c>
      <c r="M36" s="1797">
        <f>0.21*$E$12</f>
        <v>1.0646105851352001</v>
      </c>
      <c r="N36" s="1835">
        <v>99999</v>
      </c>
      <c r="O36" s="1797">
        <f>0.21*$E$12</f>
        <v>1.0646105851352001</v>
      </c>
      <c r="P36" s="1835">
        <v>99999</v>
      </c>
      <c r="Q36" s="1797">
        <f>0.21*$E$12</f>
        <v>1.0646105851352001</v>
      </c>
      <c r="R36" s="1835">
        <v>99999</v>
      </c>
      <c r="S36" s="1797">
        <f>0.21*$E$12</f>
        <v>1.0646105851352001</v>
      </c>
      <c r="T36" s="1835">
        <v>99999</v>
      </c>
      <c r="U36" s="1797">
        <f>0.21*$E$12</f>
        <v>1.0646105851352001</v>
      </c>
      <c r="V36" s="1835">
        <v>99999</v>
      </c>
      <c r="W36" s="1797">
        <f>0.21*$E$12</f>
        <v>1.0646105851352001</v>
      </c>
      <c r="X36" s="1835">
        <v>99999</v>
      </c>
      <c r="Y36" s="1797">
        <f>0.21*$E$12</f>
        <v>1.0646105851352001</v>
      </c>
      <c r="Z36" s="1835">
        <v>99999</v>
      </c>
      <c r="AA36" s="1797">
        <f>0.21*$E$12</f>
        <v>1.0646105851352001</v>
      </c>
      <c r="AB36" s="1835">
        <v>99999</v>
      </c>
      <c r="AC36" s="1797">
        <f>0.21*$E$12</f>
        <v>1.0646105851352001</v>
      </c>
      <c r="AD36" s="1852">
        <v>99999</v>
      </c>
      <c r="AE36" s="1802"/>
      <c r="AF36" s="1803"/>
      <c r="AG36" s="1864">
        <f>0.21*$E$12</f>
        <v>1.0646105851352001</v>
      </c>
      <c r="AH36" s="1835">
        <v>99999</v>
      </c>
      <c r="AI36" s="1797">
        <f>0.21*$E$12</f>
        <v>1.0646105851352001</v>
      </c>
      <c r="AJ36" s="1835">
        <v>99999</v>
      </c>
      <c r="AK36" s="1797">
        <f>0.21*$E$12</f>
        <v>1.0646105851352001</v>
      </c>
      <c r="AL36" s="1835">
        <v>99999</v>
      </c>
      <c r="AM36" s="1797">
        <f>0.21*$E$12</f>
        <v>1.0646105851352001</v>
      </c>
      <c r="AN36" s="1835">
        <v>99999</v>
      </c>
      <c r="AO36" s="1797">
        <f>0.21*$E$12</f>
        <v>1.0646105851352001</v>
      </c>
      <c r="AP36" s="1835">
        <v>99999</v>
      </c>
      <c r="AQ36" s="1797">
        <f>0.21*AR12</f>
        <v>1.0312362765213319</v>
      </c>
      <c r="AR36" s="1835">
        <v>99999</v>
      </c>
      <c r="AS36" s="1797">
        <f t="shared" si="101"/>
        <v>1.0312362765213319</v>
      </c>
      <c r="AT36" s="1835">
        <f t="shared" si="102"/>
        <v>99999</v>
      </c>
      <c r="AU36" s="1797">
        <f t="shared" si="103"/>
        <v>1.0312362765213319</v>
      </c>
      <c r="AV36" s="1835">
        <f t="shared" si="104"/>
        <v>99999</v>
      </c>
      <c r="AW36" s="1834">
        <f>0.21*AX12</f>
        <v>1.0312362765213319</v>
      </c>
      <c r="AX36" s="1835">
        <v>99999</v>
      </c>
      <c r="AY36" s="1834">
        <f>0.21*AZ12</f>
        <v>1.0312362765213319</v>
      </c>
      <c r="AZ36" s="1835">
        <v>99999</v>
      </c>
      <c r="BA36" s="1834">
        <f>0.21*BB12</f>
        <v>1.0312362765213319</v>
      </c>
      <c r="BB36" s="1835">
        <v>99999</v>
      </c>
      <c r="BC36" s="1834">
        <f>0.21*BD12</f>
        <v>0</v>
      </c>
      <c r="BD36" s="1835">
        <v>99999</v>
      </c>
      <c r="BE36" s="1834">
        <f>0.21*BF12</f>
        <v>0</v>
      </c>
      <c r="BF36" s="1835">
        <v>99999</v>
      </c>
      <c r="BG36" s="1834">
        <f>0.21*BH12</f>
        <v>0</v>
      </c>
      <c r="BH36" s="1835">
        <v>99999</v>
      </c>
      <c r="BI36" s="1834">
        <f>0.21*BJ12</f>
        <v>0</v>
      </c>
      <c r="BJ36" s="1835">
        <v>99999</v>
      </c>
      <c r="BK36" s="1834">
        <f>0.21*BL12</f>
        <v>0</v>
      </c>
      <c r="BL36" s="1835">
        <v>99999</v>
      </c>
      <c r="BM36" s="1834">
        <f>0.21*BN12</f>
        <v>0</v>
      </c>
      <c r="BN36" s="1835">
        <v>99999</v>
      </c>
      <c r="BO36" s="1834">
        <f>0.21*BP12</f>
        <v>0</v>
      </c>
      <c r="BP36" s="1835">
        <v>99999</v>
      </c>
      <c r="BQ36" s="1834">
        <f>0.21*BR12</f>
        <v>0</v>
      </c>
      <c r="BR36" s="1835">
        <v>99999</v>
      </c>
      <c r="BS36" s="1834">
        <f>0.21*BT12</f>
        <v>0</v>
      </c>
      <c r="BT36" s="1835">
        <v>99999</v>
      </c>
      <c r="BU36" s="1834">
        <f>0.21*BV12</f>
        <v>0</v>
      </c>
      <c r="BV36" s="1835">
        <v>99999</v>
      </c>
      <c r="BW36" s="1834">
        <f>0.21*BX12</f>
        <v>0</v>
      </c>
      <c r="BX36" s="1835">
        <v>99999</v>
      </c>
      <c r="BY36" s="1834">
        <f>0.21*BZ12</f>
        <v>0</v>
      </c>
      <c r="BZ36" s="1835">
        <v>99999</v>
      </c>
      <c r="CA36" s="1834">
        <f>0.21*CB12</f>
        <v>0</v>
      </c>
      <c r="CB36" s="1835">
        <v>99999</v>
      </c>
      <c r="CC36" s="1834">
        <f>0.21*CD12</f>
        <v>0</v>
      </c>
      <c r="CD36" s="1835">
        <v>99999</v>
      </c>
      <c r="CE36" s="1834">
        <f>0.21*CF12</f>
        <v>0</v>
      </c>
      <c r="CF36" s="1835">
        <v>99999</v>
      </c>
      <c r="CG36" s="1834">
        <f>0.21*CH12</f>
        <v>0</v>
      </c>
      <c r="CH36" s="1835">
        <v>99999</v>
      </c>
      <c r="CI36" s="1834">
        <f>0.21*CJ12</f>
        <v>0</v>
      </c>
      <c r="CJ36" s="1835">
        <v>99999</v>
      </c>
      <c r="CK36" s="1834">
        <f>0.21*CL12</f>
        <v>0</v>
      </c>
      <c r="CL36" s="1835">
        <v>99999</v>
      </c>
      <c r="CM36" s="1832">
        <f>0.21*CN12</f>
        <v>0</v>
      </c>
      <c r="CN36" s="1832">
        <v>99999</v>
      </c>
      <c r="CO36" s="1834">
        <f>0.21*CP12</f>
        <v>0</v>
      </c>
      <c r="CP36" s="1835">
        <v>99999</v>
      </c>
      <c r="CQ36" s="1834">
        <f>0.21*CR12</f>
        <v>0</v>
      </c>
      <c r="CR36" s="1835">
        <v>99999</v>
      </c>
      <c r="CS36" s="1834">
        <f>0.21*CT12</f>
        <v>0</v>
      </c>
      <c r="CT36" s="1835">
        <v>99999</v>
      </c>
      <c r="CU36" s="1834">
        <f>0.21*CV12</f>
        <v>0</v>
      </c>
      <c r="CV36" s="1835">
        <v>99999</v>
      </c>
      <c r="CW36" s="1834">
        <f>0.21*CX12</f>
        <v>0</v>
      </c>
      <c r="CX36" s="1835">
        <v>99999</v>
      </c>
      <c r="CY36" s="1834">
        <f>0.21*CZ12</f>
        <v>0</v>
      </c>
      <c r="CZ36" s="1835">
        <v>99999</v>
      </c>
      <c r="DA36" s="1834">
        <f>0.21*DB12</f>
        <v>0</v>
      </c>
      <c r="DB36" s="1835">
        <v>99999</v>
      </c>
      <c r="DC36" s="1834">
        <f>0.21*DD12</f>
        <v>0</v>
      </c>
      <c r="DD36" s="1835">
        <v>99999</v>
      </c>
      <c r="DE36" s="1832">
        <f>0.21*DF12</f>
        <v>0</v>
      </c>
      <c r="DF36" s="1832">
        <v>99999</v>
      </c>
      <c r="DG36" s="1834">
        <f>0.21*DH12</f>
        <v>0</v>
      </c>
      <c r="DH36" s="1835">
        <v>99999</v>
      </c>
      <c r="DI36" s="1834">
        <f>0.21*DJ12</f>
        <v>0</v>
      </c>
      <c r="DJ36" s="1835">
        <v>99999</v>
      </c>
      <c r="DK36" s="1834">
        <f>0.21*DL12</f>
        <v>0</v>
      </c>
      <c r="DL36" s="1835">
        <v>99999</v>
      </c>
      <c r="DM36" s="1834">
        <f>0.21*DN12</f>
        <v>0</v>
      </c>
      <c r="DN36" s="1835">
        <v>99999</v>
      </c>
      <c r="DO36" s="1834">
        <f>0.21*DP12</f>
        <v>0</v>
      </c>
      <c r="DP36" s="1835">
        <v>99999</v>
      </c>
      <c r="DQ36" s="1834">
        <f>0.21*DR12</f>
        <v>0</v>
      </c>
      <c r="DR36" s="1835">
        <v>99999</v>
      </c>
      <c r="DS36" s="1834">
        <f>0.21*DT12</f>
        <v>0</v>
      </c>
      <c r="DT36" s="1835">
        <v>99999</v>
      </c>
      <c r="DU36" s="1834">
        <f>0.21*DV12</f>
        <v>0</v>
      </c>
      <c r="DV36" s="1835">
        <v>99999</v>
      </c>
      <c r="DW36" s="1834">
        <f>0.21*DX12</f>
        <v>0</v>
      </c>
      <c r="DX36" s="1835">
        <v>99999</v>
      </c>
      <c r="DY36" s="1834">
        <f>0.21*DZ12</f>
        <v>0</v>
      </c>
      <c r="DZ36" s="1855">
        <v>99999</v>
      </c>
    </row>
    <row r="37" spans="2:250" s="1774" customFormat="1" ht="14.25" customHeight="1">
      <c r="B37" s="1791" t="s">
        <v>35</v>
      </c>
      <c r="C37" s="1792" t="s">
        <v>289</v>
      </c>
      <c r="D37" s="1847">
        <f>INDEX(I37:DZ37,,MATCH($B$5,$I$5:$DZ$5,0))</f>
        <v>0</v>
      </c>
      <c r="E37" s="1848">
        <f t="shared" si="100"/>
        <v>99999</v>
      </c>
      <c r="F37" s="1830" t="s">
        <v>10</v>
      </c>
      <c r="G37" s="1856"/>
      <c r="H37" s="1857" t="s">
        <v>35</v>
      </c>
      <c r="I37" s="1834">
        <v>0</v>
      </c>
      <c r="J37" s="1835">
        <v>99999</v>
      </c>
      <c r="K37" s="1834">
        <v>0</v>
      </c>
      <c r="L37" s="1835">
        <v>99999</v>
      </c>
      <c r="M37" s="1834">
        <v>0</v>
      </c>
      <c r="N37" s="1835">
        <v>99999</v>
      </c>
      <c r="O37" s="1834">
        <v>0</v>
      </c>
      <c r="P37" s="1835">
        <v>99999</v>
      </c>
      <c r="Q37" s="1834">
        <v>0</v>
      </c>
      <c r="R37" s="1835">
        <v>99999</v>
      </c>
      <c r="S37" s="1834">
        <v>0</v>
      </c>
      <c r="T37" s="1835">
        <v>99999</v>
      </c>
      <c r="U37" s="1834">
        <v>0</v>
      </c>
      <c r="V37" s="1835">
        <v>99999</v>
      </c>
      <c r="W37" s="1834">
        <v>0</v>
      </c>
      <c r="X37" s="1835">
        <v>99999</v>
      </c>
      <c r="Y37" s="1834">
        <v>0</v>
      </c>
      <c r="Z37" s="1835">
        <v>99999</v>
      </c>
      <c r="AA37" s="1834">
        <v>0</v>
      </c>
      <c r="AB37" s="1835">
        <v>99999</v>
      </c>
      <c r="AC37" s="1834">
        <v>0</v>
      </c>
      <c r="AD37" s="1852">
        <v>99999</v>
      </c>
      <c r="AE37" s="1802"/>
      <c r="AF37" s="1803"/>
      <c r="AG37" s="1858">
        <v>0</v>
      </c>
      <c r="AH37" s="1835">
        <v>99999</v>
      </c>
      <c r="AI37" s="1834">
        <v>0</v>
      </c>
      <c r="AJ37" s="1835">
        <v>99999</v>
      </c>
      <c r="AK37" s="1834">
        <v>0</v>
      </c>
      <c r="AL37" s="1835">
        <v>99999</v>
      </c>
      <c r="AM37" s="1834">
        <v>0</v>
      </c>
      <c r="AN37" s="1835">
        <v>99999</v>
      </c>
      <c r="AO37" s="1834">
        <v>0</v>
      </c>
      <c r="AP37" s="1835">
        <v>99999</v>
      </c>
      <c r="AQ37" s="1834">
        <v>0</v>
      </c>
      <c r="AR37" s="1835">
        <v>99999</v>
      </c>
      <c r="AS37" s="1834">
        <f t="shared" si="101"/>
        <v>0</v>
      </c>
      <c r="AT37" s="1835">
        <f t="shared" si="102"/>
        <v>99999</v>
      </c>
      <c r="AU37" s="1834">
        <f t="shared" si="103"/>
        <v>0</v>
      </c>
      <c r="AV37" s="1835">
        <f t="shared" si="104"/>
        <v>99999</v>
      </c>
      <c r="AW37" s="1834">
        <v>0</v>
      </c>
      <c r="AX37" s="1835">
        <v>99999</v>
      </c>
      <c r="AY37" s="1834">
        <v>0</v>
      </c>
      <c r="AZ37" s="1835">
        <v>99999</v>
      </c>
      <c r="BA37" s="1834">
        <v>0</v>
      </c>
      <c r="BB37" s="1835">
        <v>99999</v>
      </c>
      <c r="BC37" s="1834">
        <v>0</v>
      </c>
      <c r="BD37" s="1835">
        <v>99999</v>
      </c>
      <c r="BE37" s="1834">
        <v>0</v>
      </c>
      <c r="BF37" s="1835">
        <v>99999</v>
      </c>
      <c r="BG37" s="1834">
        <v>0</v>
      </c>
      <c r="BH37" s="1835">
        <v>99999</v>
      </c>
      <c r="BI37" s="1834">
        <v>0</v>
      </c>
      <c r="BJ37" s="1835">
        <v>99999</v>
      </c>
      <c r="BK37" s="1834">
        <v>0</v>
      </c>
      <c r="BL37" s="1835">
        <v>99999</v>
      </c>
      <c r="BM37" s="1834">
        <v>0</v>
      </c>
      <c r="BN37" s="1835">
        <v>99999</v>
      </c>
      <c r="BO37" s="1834">
        <v>0</v>
      </c>
      <c r="BP37" s="1835">
        <v>99999</v>
      </c>
      <c r="BQ37" s="1834">
        <v>0</v>
      </c>
      <c r="BR37" s="1835">
        <v>99999</v>
      </c>
      <c r="BS37" s="1834">
        <v>0</v>
      </c>
      <c r="BT37" s="1835">
        <v>99999</v>
      </c>
      <c r="BU37" s="1834">
        <v>0</v>
      </c>
      <c r="BV37" s="1835">
        <v>99999</v>
      </c>
      <c r="BW37" s="1834">
        <v>0</v>
      </c>
      <c r="BX37" s="1835">
        <v>99999</v>
      </c>
      <c r="BY37" s="1834">
        <v>0</v>
      </c>
      <c r="BZ37" s="1835">
        <v>99999</v>
      </c>
      <c r="CA37" s="1834">
        <v>0</v>
      </c>
      <c r="CB37" s="1835">
        <v>99999</v>
      </c>
      <c r="CC37" s="1834">
        <v>0</v>
      </c>
      <c r="CD37" s="1835">
        <v>99999</v>
      </c>
      <c r="CE37" s="1834">
        <v>0</v>
      </c>
      <c r="CF37" s="1835">
        <v>99999</v>
      </c>
      <c r="CG37" s="1834">
        <v>0</v>
      </c>
      <c r="CH37" s="1835">
        <v>99999</v>
      </c>
      <c r="CI37" s="1834">
        <v>0</v>
      </c>
      <c r="CJ37" s="1835">
        <v>99999</v>
      </c>
      <c r="CK37" s="1834">
        <v>0</v>
      </c>
      <c r="CL37" s="1835">
        <v>99999</v>
      </c>
      <c r="CM37" s="1832">
        <v>0</v>
      </c>
      <c r="CN37" s="1832">
        <v>99999</v>
      </c>
      <c r="CO37" s="1834">
        <v>0</v>
      </c>
      <c r="CP37" s="1835">
        <v>99999</v>
      </c>
      <c r="CQ37" s="1834">
        <v>0</v>
      </c>
      <c r="CR37" s="1835">
        <v>99999</v>
      </c>
      <c r="CS37" s="1834">
        <v>0</v>
      </c>
      <c r="CT37" s="1835">
        <v>99999</v>
      </c>
      <c r="CU37" s="1834">
        <v>0</v>
      </c>
      <c r="CV37" s="1835">
        <v>99999</v>
      </c>
      <c r="CW37" s="1834">
        <v>0</v>
      </c>
      <c r="CX37" s="1835">
        <v>99999</v>
      </c>
      <c r="CY37" s="1834">
        <v>0</v>
      </c>
      <c r="CZ37" s="1835">
        <v>99999</v>
      </c>
      <c r="DA37" s="1834">
        <v>0</v>
      </c>
      <c r="DB37" s="1835">
        <v>99999</v>
      </c>
      <c r="DC37" s="1834">
        <v>0</v>
      </c>
      <c r="DD37" s="1835">
        <v>99999</v>
      </c>
      <c r="DE37" s="1832">
        <v>0</v>
      </c>
      <c r="DF37" s="1832">
        <v>99999</v>
      </c>
      <c r="DG37" s="1834">
        <v>0</v>
      </c>
      <c r="DH37" s="1835">
        <v>99999</v>
      </c>
      <c r="DI37" s="1834">
        <v>0</v>
      </c>
      <c r="DJ37" s="1835">
        <v>99999</v>
      </c>
      <c r="DK37" s="1834">
        <v>0</v>
      </c>
      <c r="DL37" s="1835">
        <v>99999</v>
      </c>
      <c r="DM37" s="1834">
        <v>0</v>
      </c>
      <c r="DN37" s="1835">
        <v>99999</v>
      </c>
      <c r="DO37" s="1834">
        <v>0</v>
      </c>
      <c r="DP37" s="1835">
        <v>99999</v>
      </c>
      <c r="DQ37" s="1834">
        <v>0</v>
      </c>
      <c r="DR37" s="1835">
        <v>99999</v>
      </c>
      <c r="DS37" s="1834">
        <v>0</v>
      </c>
      <c r="DT37" s="1835">
        <v>99999</v>
      </c>
      <c r="DU37" s="1834">
        <v>0</v>
      </c>
      <c r="DV37" s="1835">
        <v>99999</v>
      </c>
      <c r="DW37" s="1834">
        <v>0</v>
      </c>
      <c r="DX37" s="1835">
        <v>99999</v>
      </c>
      <c r="DY37" s="1834">
        <v>0</v>
      </c>
      <c r="DZ37" s="1855">
        <v>99999</v>
      </c>
    </row>
    <row r="38" spans="2:250" s="1774" customFormat="1" ht="14.25" customHeight="1">
      <c r="B38" s="1791" t="s">
        <v>36</v>
      </c>
      <c r="C38" s="1792" t="s">
        <v>290</v>
      </c>
      <c r="D38" s="1847">
        <f t="shared" si="111"/>
        <v>0</v>
      </c>
      <c r="E38" s="1848">
        <f t="shared" si="100"/>
        <v>99999</v>
      </c>
      <c r="F38" s="1830" t="s">
        <v>10</v>
      </c>
      <c r="G38" s="1856"/>
      <c r="H38" s="1857" t="s">
        <v>36</v>
      </c>
      <c r="I38" s="1834">
        <v>0</v>
      </c>
      <c r="J38" s="1835">
        <v>99999</v>
      </c>
      <c r="K38" s="1834">
        <v>0</v>
      </c>
      <c r="L38" s="1835">
        <v>99999</v>
      </c>
      <c r="M38" s="1834">
        <v>0</v>
      </c>
      <c r="N38" s="1835">
        <v>99999</v>
      </c>
      <c r="O38" s="1834">
        <v>0</v>
      </c>
      <c r="P38" s="1835">
        <v>99999</v>
      </c>
      <c r="Q38" s="1834">
        <v>0</v>
      </c>
      <c r="R38" s="1835">
        <v>99999</v>
      </c>
      <c r="S38" s="1834">
        <v>0</v>
      </c>
      <c r="T38" s="1835">
        <v>99999</v>
      </c>
      <c r="U38" s="1834">
        <v>0</v>
      </c>
      <c r="V38" s="1835">
        <v>99999</v>
      </c>
      <c r="W38" s="1834">
        <v>0</v>
      </c>
      <c r="X38" s="1835">
        <v>99999</v>
      </c>
      <c r="Y38" s="1834">
        <v>0</v>
      </c>
      <c r="Z38" s="1835">
        <v>99999</v>
      </c>
      <c r="AA38" s="1834">
        <v>0</v>
      </c>
      <c r="AB38" s="1835">
        <v>99999</v>
      </c>
      <c r="AC38" s="1834">
        <v>0</v>
      </c>
      <c r="AD38" s="1852">
        <v>99999</v>
      </c>
      <c r="AE38" s="1802"/>
      <c r="AF38" s="1803"/>
      <c r="AG38" s="1858">
        <v>0</v>
      </c>
      <c r="AH38" s="1835">
        <v>99999</v>
      </c>
      <c r="AI38" s="1834">
        <v>0</v>
      </c>
      <c r="AJ38" s="1835">
        <v>99999</v>
      </c>
      <c r="AK38" s="1834">
        <v>0</v>
      </c>
      <c r="AL38" s="1835">
        <v>99999</v>
      </c>
      <c r="AM38" s="1834">
        <v>0</v>
      </c>
      <c r="AN38" s="1835">
        <v>99999</v>
      </c>
      <c r="AO38" s="1834">
        <v>0</v>
      </c>
      <c r="AP38" s="1835">
        <v>99999</v>
      </c>
      <c r="AQ38" s="1834">
        <v>0</v>
      </c>
      <c r="AR38" s="1835">
        <v>99999</v>
      </c>
      <c r="AS38" s="1834">
        <f t="shared" si="101"/>
        <v>0</v>
      </c>
      <c r="AT38" s="1835">
        <f t="shared" si="102"/>
        <v>99999</v>
      </c>
      <c r="AU38" s="1834">
        <f t="shared" si="103"/>
        <v>0</v>
      </c>
      <c r="AV38" s="1835">
        <f t="shared" si="104"/>
        <v>99999</v>
      </c>
      <c r="AW38" s="1834">
        <v>0</v>
      </c>
      <c r="AX38" s="1835">
        <v>99999</v>
      </c>
      <c r="AY38" s="1834">
        <v>0</v>
      </c>
      <c r="AZ38" s="1835">
        <v>99999</v>
      </c>
      <c r="BA38" s="1834">
        <v>0</v>
      </c>
      <c r="BB38" s="1835">
        <v>99999</v>
      </c>
      <c r="BC38" s="1834">
        <v>0</v>
      </c>
      <c r="BD38" s="1835">
        <v>99999</v>
      </c>
      <c r="BE38" s="1834">
        <v>0</v>
      </c>
      <c r="BF38" s="1835">
        <v>99999</v>
      </c>
      <c r="BG38" s="1834">
        <v>0</v>
      </c>
      <c r="BH38" s="1835">
        <v>99999</v>
      </c>
      <c r="BI38" s="1834">
        <v>0</v>
      </c>
      <c r="BJ38" s="1835">
        <v>99999</v>
      </c>
      <c r="BK38" s="1834">
        <v>0</v>
      </c>
      <c r="BL38" s="1835">
        <v>99999</v>
      </c>
      <c r="BM38" s="1834">
        <v>0</v>
      </c>
      <c r="BN38" s="1835">
        <v>99999</v>
      </c>
      <c r="BO38" s="1834">
        <v>0</v>
      </c>
      <c r="BP38" s="1835">
        <v>99999</v>
      </c>
      <c r="BQ38" s="1834">
        <v>0</v>
      </c>
      <c r="BR38" s="1835">
        <v>99999</v>
      </c>
      <c r="BS38" s="1834">
        <v>0</v>
      </c>
      <c r="BT38" s="1835">
        <v>99999</v>
      </c>
      <c r="BU38" s="1834">
        <v>0</v>
      </c>
      <c r="BV38" s="1835">
        <v>99999</v>
      </c>
      <c r="BW38" s="1834">
        <v>0</v>
      </c>
      <c r="BX38" s="1835">
        <v>99999</v>
      </c>
      <c r="BY38" s="1834">
        <v>0</v>
      </c>
      <c r="BZ38" s="1835">
        <v>99999</v>
      </c>
      <c r="CA38" s="1834">
        <v>0</v>
      </c>
      <c r="CB38" s="1835">
        <v>99999</v>
      </c>
      <c r="CC38" s="1834">
        <v>0</v>
      </c>
      <c r="CD38" s="1835">
        <v>99999</v>
      </c>
      <c r="CE38" s="1834">
        <v>0</v>
      </c>
      <c r="CF38" s="1835">
        <v>99999</v>
      </c>
      <c r="CG38" s="1834">
        <v>0</v>
      </c>
      <c r="CH38" s="1835">
        <v>99999</v>
      </c>
      <c r="CI38" s="1834">
        <v>0</v>
      </c>
      <c r="CJ38" s="1835">
        <v>99999</v>
      </c>
      <c r="CK38" s="1834">
        <v>0</v>
      </c>
      <c r="CL38" s="1835">
        <v>99999</v>
      </c>
      <c r="CM38" s="1832">
        <v>0</v>
      </c>
      <c r="CN38" s="1832">
        <v>99999</v>
      </c>
      <c r="CO38" s="1834">
        <v>0</v>
      </c>
      <c r="CP38" s="1835">
        <v>99999</v>
      </c>
      <c r="CQ38" s="1834">
        <v>0</v>
      </c>
      <c r="CR38" s="1835">
        <v>99999</v>
      </c>
      <c r="CS38" s="1834">
        <v>0</v>
      </c>
      <c r="CT38" s="1835">
        <v>99999</v>
      </c>
      <c r="CU38" s="1834">
        <v>0</v>
      </c>
      <c r="CV38" s="1835">
        <v>99999</v>
      </c>
      <c r="CW38" s="1834">
        <v>0</v>
      </c>
      <c r="CX38" s="1835">
        <v>99999</v>
      </c>
      <c r="CY38" s="1834">
        <v>0</v>
      </c>
      <c r="CZ38" s="1835">
        <v>99999</v>
      </c>
      <c r="DA38" s="1834">
        <v>0</v>
      </c>
      <c r="DB38" s="1835">
        <v>99999</v>
      </c>
      <c r="DC38" s="1834">
        <v>0</v>
      </c>
      <c r="DD38" s="1835">
        <v>99999</v>
      </c>
      <c r="DE38" s="1832">
        <v>0</v>
      </c>
      <c r="DF38" s="1832">
        <v>99999</v>
      </c>
      <c r="DG38" s="1834">
        <v>0</v>
      </c>
      <c r="DH38" s="1835">
        <v>99999</v>
      </c>
      <c r="DI38" s="1834">
        <v>0</v>
      </c>
      <c r="DJ38" s="1835">
        <v>99999</v>
      </c>
      <c r="DK38" s="1834">
        <v>0</v>
      </c>
      <c r="DL38" s="1835">
        <v>99999</v>
      </c>
      <c r="DM38" s="1834">
        <v>0</v>
      </c>
      <c r="DN38" s="1835">
        <v>99999</v>
      </c>
      <c r="DO38" s="1834">
        <v>0</v>
      </c>
      <c r="DP38" s="1835">
        <v>99999</v>
      </c>
      <c r="DQ38" s="1834">
        <v>0</v>
      </c>
      <c r="DR38" s="1835">
        <v>99999</v>
      </c>
      <c r="DS38" s="1834">
        <v>0</v>
      </c>
      <c r="DT38" s="1835">
        <v>99999</v>
      </c>
      <c r="DU38" s="1834">
        <v>0</v>
      </c>
      <c r="DV38" s="1835">
        <v>99999</v>
      </c>
      <c r="DW38" s="1834">
        <v>0</v>
      </c>
      <c r="DX38" s="1835">
        <v>99999</v>
      </c>
      <c r="DY38" s="1834">
        <v>0</v>
      </c>
      <c r="DZ38" s="1855">
        <v>99999</v>
      </c>
    </row>
    <row r="39" spans="2:250" s="1774" customFormat="1" ht="14.25" customHeight="1">
      <c r="B39" s="1791" t="s">
        <v>37</v>
      </c>
      <c r="C39" s="1792"/>
      <c r="D39" s="1847">
        <f t="shared" si="111"/>
        <v>0</v>
      </c>
      <c r="E39" s="1848">
        <f t="shared" si="100"/>
        <v>99999</v>
      </c>
      <c r="F39" s="1830" t="s">
        <v>10</v>
      </c>
      <c r="G39" s="1856"/>
      <c r="H39" s="1857" t="s">
        <v>37</v>
      </c>
      <c r="I39" s="1834">
        <v>0</v>
      </c>
      <c r="J39" s="1835">
        <v>99999</v>
      </c>
      <c r="K39" s="1834">
        <v>0</v>
      </c>
      <c r="L39" s="1835">
        <v>99999</v>
      </c>
      <c r="M39" s="1834">
        <v>0</v>
      </c>
      <c r="N39" s="1835">
        <v>99999</v>
      </c>
      <c r="O39" s="1834">
        <v>0</v>
      </c>
      <c r="P39" s="1835">
        <v>99999</v>
      </c>
      <c r="Q39" s="1834">
        <v>0</v>
      </c>
      <c r="R39" s="1835">
        <v>99999</v>
      </c>
      <c r="S39" s="1834">
        <v>0</v>
      </c>
      <c r="T39" s="1835">
        <v>99999</v>
      </c>
      <c r="U39" s="1834">
        <v>0</v>
      </c>
      <c r="V39" s="1835">
        <v>99999</v>
      </c>
      <c r="W39" s="1834">
        <v>0</v>
      </c>
      <c r="X39" s="1835">
        <v>99999</v>
      </c>
      <c r="Y39" s="1834">
        <v>0</v>
      </c>
      <c r="Z39" s="1835">
        <v>99999</v>
      </c>
      <c r="AA39" s="1834">
        <v>0</v>
      </c>
      <c r="AB39" s="1835">
        <v>99999</v>
      </c>
      <c r="AC39" s="1834">
        <v>0</v>
      </c>
      <c r="AD39" s="1852">
        <v>99999</v>
      </c>
      <c r="AE39" s="1802"/>
      <c r="AF39" s="1803"/>
      <c r="AG39" s="1853">
        <v>0</v>
      </c>
      <c r="AH39" s="1835">
        <v>99999</v>
      </c>
      <c r="AI39" s="1834">
        <v>0</v>
      </c>
      <c r="AJ39" s="1835">
        <v>99999</v>
      </c>
      <c r="AK39" s="1834">
        <v>0</v>
      </c>
      <c r="AL39" s="1835">
        <v>99999</v>
      </c>
      <c r="AM39" s="1834">
        <v>0</v>
      </c>
      <c r="AN39" s="1835">
        <v>99999</v>
      </c>
      <c r="AO39" s="1834">
        <v>0</v>
      </c>
      <c r="AP39" s="1835">
        <v>99999</v>
      </c>
      <c r="AQ39" s="1834">
        <v>0</v>
      </c>
      <c r="AR39" s="1835">
        <v>99999</v>
      </c>
      <c r="AS39" s="1834">
        <f t="shared" si="101"/>
        <v>0</v>
      </c>
      <c r="AT39" s="1835">
        <f t="shared" si="102"/>
        <v>99999</v>
      </c>
      <c r="AU39" s="1834">
        <f t="shared" si="103"/>
        <v>0</v>
      </c>
      <c r="AV39" s="1835">
        <f t="shared" si="104"/>
        <v>99999</v>
      </c>
      <c r="AW39" s="1834">
        <v>0</v>
      </c>
      <c r="AX39" s="1835">
        <v>99999</v>
      </c>
      <c r="AY39" s="1834">
        <v>0</v>
      </c>
      <c r="AZ39" s="1835">
        <v>99999</v>
      </c>
      <c r="BA39" s="1834">
        <v>0</v>
      </c>
      <c r="BB39" s="1835">
        <v>99999</v>
      </c>
      <c r="BC39" s="1834">
        <v>0</v>
      </c>
      <c r="BD39" s="1835">
        <v>99999</v>
      </c>
      <c r="BE39" s="1834">
        <v>0</v>
      </c>
      <c r="BF39" s="1835">
        <v>99999</v>
      </c>
      <c r="BG39" s="1834">
        <v>0</v>
      </c>
      <c r="BH39" s="1835">
        <v>99999</v>
      </c>
      <c r="BI39" s="1834">
        <v>0</v>
      </c>
      <c r="BJ39" s="1835">
        <v>99999</v>
      </c>
      <c r="BK39" s="1834">
        <v>0</v>
      </c>
      <c r="BL39" s="1835">
        <v>99999</v>
      </c>
      <c r="BM39" s="1834">
        <v>0</v>
      </c>
      <c r="BN39" s="1835">
        <v>99999</v>
      </c>
      <c r="BO39" s="1834">
        <v>0</v>
      </c>
      <c r="BP39" s="1835">
        <v>99999</v>
      </c>
      <c r="BQ39" s="1834">
        <v>0</v>
      </c>
      <c r="BR39" s="1835">
        <v>99999</v>
      </c>
      <c r="BS39" s="1834">
        <v>0</v>
      </c>
      <c r="BT39" s="1835">
        <v>99999</v>
      </c>
      <c r="BU39" s="1834">
        <v>0</v>
      </c>
      <c r="BV39" s="1835">
        <v>99999</v>
      </c>
      <c r="BW39" s="1834">
        <v>0</v>
      </c>
      <c r="BX39" s="1835">
        <v>99999</v>
      </c>
      <c r="BY39" s="1834">
        <v>0</v>
      </c>
      <c r="BZ39" s="1835">
        <v>99999</v>
      </c>
      <c r="CA39" s="1834">
        <v>0</v>
      </c>
      <c r="CB39" s="1835">
        <v>99999</v>
      </c>
      <c r="CC39" s="1834">
        <v>0</v>
      </c>
      <c r="CD39" s="1835">
        <v>99999</v>
      </c>
      <c r="CE39" s="1834">
        <v>0</v>
      </c>
      <c r="CF39" s="1835">
        <v>99999</v>
      </c>
      <c r="CG39" s="1834">
        <v>0</v>
      </c>
      <c r="CH39" s="1835">
        <v>99999</v>
      </c>
      <c r="CI39" s="1834">
        <v>0</v>
      </c>
      <c r="CJ39" s="1835">
        <v>99999</v>
      </c>
      <c r="CK39" s="1834">
        <v>0</v>
      </c>
      <c r="CL39" s="1835">
        <v>99999</v>
      </c>
      <c r="CM39" s="1832">
        <v>0</v>
      </c>
      <c r="CN39" s="1832">
        <v>99999</v>
      </c>
      <c r="CO39" s="1834">
        <v>0</v>
      </c>
      <c r="CP39" s="1835">
        <v>99999</v>
      </c>
      <c r="CQ39" s="1834">
        <v>0</v>
      </c>
      <c r="CR39" s="1835">
        <v>99999</v>
      </c>
      <c r="CS39" s="1834">
        <v>0</v>
      </c>
      <c r="CT39" s="1835">
        <v>99999</v>
      </c>
      <c r="CU39" s="1834">
        <v>0</v>
      </c>
      <c r="CV39" s="1835">
        <v>99999</v>
      </c>
      <c r="CW39" s="1834">
        <v>0</v>
      </c>
      <c r="CX39" s="1835">
        <v>99999</v>
      </c>
      <c r="CY39" s="1834">
        <v>0</v>
      </c>
      <c r="CZ39" s="1835">
        <v>99999</v>
      </c>
      <c r="DA39" s="1834">
        <v>0</v>
      </c>
      <c r="DB39" s="1835">
        <v>99999</v>
      </c>
      <c r="DC39" s="1834">
        <v>0</v>
      </c>
      <c r="DD39" s="1835">
        <v>99999</v>
      </c>
      <c r="DE39" s="1832">
        <v>0</v>
      </c>
      <c r="DF39" s="1832">
        <v>99999</v>
      </c>
      <c r="DG39" s="1834">
        <v>0</v>
      </c>
      <c r="DH39" s="1835">
        <v>99999</v>
      </c>
      <c r="DI39" s="1834">
        <v>0</v>
      </c>
      <c r="DJ39" s="1835">
        <v>99999</v>
      </c>
      <c r="DK39" s="1834">
        <v>0</v>
      </c>
      <c r="DL39" s="1835">
        <v>99999</v>
      </c>
      <c r="DM39" s="1834">
        <v>0</v>
      </c>
      <c r="DN39" s="1835">
        <v>99999</v>
      </c>
      <c r="DO39" s="1834">
        <v>0</v>
      </c>
      <c r="DP39" s="1835">
        <v>99999</v>
      </c>
      <c r="DQ39" s="1834">
        <v>0</v>
      </c>
      <c r="DR39" s="1835">
        <v>99999</v>
      </c>
      <c r="DS39" s="1834">
        <v>0</v>
      </c>
      <c r="DT39" s="1835">
        <v>99999</v>
      </c>
      <c r="DU39" s="1834">
        <v>0</v>
      </c>
      <c r="DV39" s="1835">
        <v>99999</v>
      </c>
      <c r="DW39" s="1834">
        <v>0</v>
      </c>
      <c r="DX39" s="1835">
        <v>99999</v>
      </c>
      <c r="DY39" s="1834">
        <v>0</v>
      </c>
      <c r="DZ39" s="1855">
        <v>99999</v>
      </c>
    </row>
    <row r="40" spans="2:250" s="1774" customFormat="1" ht="14.25" customHeight="1">
      <c r="B40" s="1791" t="s">
        <v>38</v>
      </c>
      <c r="C40" s="1792" t="s">
        <v>304</v>
      </c>
      <c r="D40" s="1847">
        <f t="shared" si="111"/>
        <v>0</v>
      </c>
      <c r="E40" s="1848">
        <f t="shared" si="100"/>
        <v>99999</v>
      </c>
      <c r="F40" s="1830" t="s">
        <v>39</v>
      </c>
      <c r="G40" s="1856"/>
      <c r="H40" s="1857" t="s">
        <v>38</v>
      </c>
      <c r="I40" s="1834">
        <v>0</v>
      </c>
      <c r="J40" s="1835">
        <v>99999</v>
      </c>
      <c r="K40" s="1834">
        <v>0</v>
      </c>
      <c r="L40" s="1835">
        <v>99999</v>
      </c>
      <c r="M40" s="1834">
        <v>0</v>
      </c>
      <c r="N40" s="1835">
        <v>99999</v>
      </c>
      <c r="O40" s="1834">
        <v>0</v>
      </c>
      <c r="P40" s="1835">
        <v>99999</v>
      </c>
      <c r="Q40" s="1834">
        <v>0</v>
      </c>
      <c r="R40" s="1835">
        <v>99999</v>
      </c>
      <c r="S40" s="1834">
        <v>0</v>
      </c>
      <c r="T40" s="1835">
        <v>99999</v>
      </c>
      <c r="U40" s="1834">
        <v>0</v>
      </c>
      <c r="V40" s="1835">
        <v>99999</v>
      </c>
      <c r="W40" s="1834">
        <v>0</v>
      </c>
      <c r="X40" s="1835">
        <v>99999</v>
      </c>
      <c r="Y40" s="1834">
        <v>0</v>
      </c>
      <c r="Z40" s="1835">
        <v>99999</v>
      </c>
      <c r="AA40" s="1834">
        <v>0</v>
      </c>
      <c r="AB40" s="1835">
        <v>99999</v>
      </c>
      <c r="AC40" s="1834">
        <v>0</v>
      </c>
      <c r="AD40" s="1852">
        <v>99999</v>
      </c>
      <c r="AE40" s="1802"/>
      <c r="AF40" s="1803"/>
      <c r="AG40" s="1853">
        <v>0</v>
      </c>
      <c r="AH40" s="1835">
        <v>99999</v>
      </c>
      <c r="AI40" s="1834">
        <v>0</v>
      </c>
      <c r="AJ40" s="1835">
        <v>99999</v>
      </c>
      <c r="AK40" s="1834">
        <v>0</v>
      </c>
      <c r="AL40" s="1835">
        <v>99999</v>
      </c>
      <c r="AM40" s="1834">
        <v>0</v>
      </c>
      <c r="AN40" s="1835">
        <v>99999</v>
      </c>
      <c r="AO40" s="1834">
        <v>0</v>
      </c>
      <c r="AP40" s="1835">
        <v>99999</v>
      </c>
      <c r="AQ40" s="1834">
        <v>0</v>
      </c>
      <c r="AR40" s="1835">
        <v>99999</v>
      </c>
      <c r="AS40" s="1834">
        <f t="shared" si="101"/>
        <v>0</v>
      </c>
      <c r="AT40" s="1835">
        <f t="shared" si="102"/>
        <v>99999</v>
      </c>
      <c r="AU40" s="1834">
        <f t="shared" si="103"/>
        <v>0</v>
      </c>
      <c r="AV40" s="1835">
        <f t="shared" si="104"/>
        <v>99999</v>
      </c>
      <c r="AW40" s="1834">
        <v>0</v>
      </c>
      <c r="AX40" s="1835">
        <v>99999</v>
      </c>
      <c r="AY40" s="1834">
        <v>0</v>
      </c>
      <c r="AZ40" s="1835">
        <v>99999</v>
      </c>
      <c r="BA40" s="1834">
        <v>0</v>
      </c>
      <c r="BB40" s="1835">
        <v>99999</v>
      </c>
      <c r="BC40" s="1834">
        <v>0</v>
      </c>
      <c r="BD40" s="1835">
        <v>99999</v>
      </c>
      <c r="BE40" s="1834">
        <v>0</v>
      </c>
      <c r="BF40" s="1835">
        <v>99999</v>
      </c>
      <c r="BG40" s="1834">
        <v>0</v>
      </c>
      <c r="BH40" s="1835">
        <v>99999</v>
      </c>
      <c r="BI40" s="1834">
        <v>0</v>
      </c>
      <c r="BJ40" s="1835">
        <v>99999</v>
      </c>
      <c r="BK40" s="1834">
        <v>0</v>
      </c>
      <c r="BL40" s="1835">
        <v>99999</v>
      </c>
      <c r="BM40" s="1834">
        <v>0</v>
      </c>
      <c r="BN40" s="1835">
        <v>99999</v>
      </c>
      <c r="BO40" s="1834">
        <v>0</v>
      </c>
      <c r="BP40" s="1835">
        <v>99999</v>
      </c>
      <c r="BQ40" s="1834">
        <v>0</v>
      </c>
      <c r="BR40" s="1835">
        <v>99999</v>
      </c>
      <c r="BS40" s="1834">
        <v>0</v>
      </c>
      <c r="BT40" s="1835">
        <v>99999</v>
      </c>
      <c r="BU40" s="1834">
        <v>0</v>
      </c>
      <c r="BV40" s="1835">
        <v>99999</v>
      </c>
      <c r="BW40" s="1834">
        <v>0</v>
      </c>
      <c r="BX40" s="1835">
        <v>99999</v>
      </c>
      <c r="BY40" s="1834">
        <v>0</v>
      </c>
      <c r="BZ40" s="1835">
        <v>99999</v>
      </c>
      <c r="CA40" s="1834">
        <v>0</v>
      </c>
      <c r="CB40" s="1835">
        <v>99999</v>
      </c>
      <c r="CC40" s="1834">
        <v>0</v>
      </c>
      <c r="CD40" s="1835">
        <v>99999</v>
      </c>
      <c r="CE40" s="1834">
        <v>0</v>
      </c>
      <c r="CF40" s="1835">
        <v>99999</v>
      </c>
      <c r="CG40" s="1834">
        <v>0</v>
      </c>
      <c r="CH40" s="1835">
        <v>99999</v>
      </c>
      <c r="CI40" s="1834">
        <v>0</v>
      </c>
      <c r="CJ40" s="1835">
        <v>99999</v>
      </c>
      <c r="CK40" s="1834">
        <v>0</v>
      </c>
      <c r="CL40" s="1835">
        <v>99999</v>
      </c>
      <c r="CM40" s="1832">
        <v>0</v>
      </c>
      <c r="CN40" s="1832">
        <v>99999</v>
      </c>
      <c r="CO40" s="1834">
        <v>0</v>
      </c>
      <c r="CP40" s="1835">
        <v>99999</v>
      </c>
      <c r="CQ40" s="1834">
        <v>0</v>
      </c>
      <c r="CR40" s="1835">
        <v>99999</v>
      </c>
      <c r="CS40" s="1834">
        <v>0</v>
      </c>
      <c r="CT40" s="1835">
        <v>99999</v>
      </c>
      <c r="CU40" s="1834">
        <v>0</v>
      </c>
      <c r="CV40" s="1835">
        <v>99999</v>
      </c>
      <c r="CW40" s="1834">
        <v>0</v>
      </c>
      <c r="CX40" s="1835">
        <v>99999</v>
      </c>
      <c r="CY40" s="1834">
        <v>0</v>
      </c>
      <c r="CZ40" s="1835">
        <v>99999</v>
      </c>
      <c r="DA40" s="1834">
        <v>0</v>
      </c>
      <c r="DB40" s="1835">
        <v>99999</v>
      </c>
      <c r="DC40" s="1834">
        <v>0</v>
      </c>
      <c r="DD40" s="1835">
        <v>99999</v>
      </c>
      <c r="DE40" s="1832">
        <v>0</v>
      </c>
      <c r="DF40" s="1832">
        <v>99999</v>
      </c>
      <c r="DG40" s="1834">
        <v>0</v>
      </c>
      <c r="DH40" s="1835">
        <v>99999</v>
      </c>
      <c r="DI40" s="1834">
        <v>0</v>
      </c>
      <c r="DJ40" s="1835">
        <v>99999</v>
      </c>
      <c r="DK40" s="1834">
        <v>0</v>
      </c>
      <c r="DL40" s="1835">
        <v>99999</v>
      </c>
      <c r="DM40" s="1834">
        <v>0</v>
      </c>
      <c r="DN40" s="1835">
        <v>99999</v>
      </c>
      <c r="DO40" s="1834">
        <v>0</v>
      </c>
      <c r="DP40" s="1835">
        <v>99999</v>
      </c>
      <c r="DQ40" s="1834">
        <v>0</v>
      </c>
      <c r="DR40" s="1835">
        <v>99999</v>
      </c>
      <c r="DS40" s="1834">
        <v>0</v>
      </c>
      <c r="DT40" s="1835">
        <v>99999</v>
      </c>
      <c r="DU40" s="1834">
        <v>0</v>
      </c>
      <c r="DV40" s="1835">
        <v>99999</v>
      </c>
      <c r="DW40" s="1834">
        <v>0</v>
      </c>
      <c r="DX40" s="1835">
        <v>99999</v>
      </c>
      <c r="DY40" s="1834">
        <v>0</v>
      </c>
      <c r="DZ40" s="1855">
        <v>99999</v>
      </c>
      <c r="EA40" s="1865"/>
      <c r="EB40" s="1866"/>
      <c r="EC40" s="1866"/>
      <c r="ED40" s="1866"/>
      <c r="EE40" s="1866"/>
      <c r="EF40" s="1866"/>
      <c r="EG40" s="1866"/>
      <c r="EH40" s="1866"/>
      <c r="EI40" s="1866"/>
      <c r="EJ40" s="1866"/>
      <c r="EK40" s="1866"/>
      <c r="EL40" s="1866"/>
      <c r="EM40" s="1866"/>
      <c r="EN40" s="1866"/>
      <c r="EO40" s="1866"/>
      <c r="EP40" s="1866"/>
      <c r="EQ40" s="1866"/>
      <c r="ER40" s="1866"/>
      <c r="ES40" s="1866"/>
      <c r="ET40" s="1866"/>
      <c r="EU40" s="1866"/>
      <c r="EV40" s="1866"/>
      <c r="EW40" s="1866"/>
      <c r="EX40" s="1866"/>
      <c r="EY40" s="1866"/>
    </row>
    <row r="41" spans="2:250" s="1774" customFormat="1" ht="14.25" customHeight="1">
      <c r="B41" s="1791" t="s">
        <v>40</v>
      </c>
      <c r="C41" s="1792" t="s">
        <v>315</v>
      </c>
      <c r="D41" s="1847">
        <f t="shared" si="111"/>
        <v>0</v>
      </c>
      <c r="E41" s="1848">
        <f t="shared" si="100"/>
        <v>99999</v>
      </c>
      <c r="F41" s="1830" t="s">
        <v>41</v>
      </c>
      <c r="G41" s="1856"/>
      <c r="H41" s="1857" t="s">
        <v>40</v>
      </c>
      <c r="I41" s="1834">
        <v>0</v>
      </c>
      <c r="J41" s="1835">
        <v>99999</v>
      </c>
      <c r="K41" s="1834">
        <v>0</v>
      </c>
      <c r="L41" s="1835">
        <v>99999</v>
      </c>
      <c r="M41" s="1834">
        <v>0</v>
      </c>
      <c r="N41" s="1835">
        <v>99999</v>
      </c>
      <c r="O41" s="1834">
        <v>0</v>
      </c>
      <c r="P41" s="1835">
        <v>99999</v>
      </c>
      <c r="Q41" s="1834">
        <v>0</v>
      </c>
      <c r="R41" s="1835">
        <v>99999</v>
      </c>
      <c r="S41" s="1834">
        <v>0</v>
      </c>
      <c r="T41" s="1835">
        <v>99999</v>
      </c>
      <c r="U41" s="1834">
        <v>0</v>
      </c>
      <c r="V41" s="1835">
        <v>99999</v>
      </c>
      <c r="W41" s="1834">
        <v>0</v>
      </c>
      <c r="X41" s="1835">
        <v>99999</v>
      </c>
      <c r="Y41" s="1834">
        <v>0</v>
      </c>
      <c r="Z41" s="1835">
        <v>99999</v>
      </c>
      <c r="AA41" s="1834">
        <v>0</v>
      </c>
      <c r="AB41" s="1835">
        <v>99999</v>
      </c>
      <c r="AC41" s="1834">
        <v>0</v>
      </c>
      <c r="AD41" s="1852">
        <v>99999</v>
      </c>
      <c r="AE41" s="1802"/>
      <c r="AF41" s="1803"/>
      <c r="AG41" s="1853">
        <v>0</v>
      </c>
      <c r="AH41" s="1835">
        <v>99999</v>
      </c>
      <c r="AI41" s="1834">
        <v>0</v>
      </c>
      <c r="AJ41" s="1835">
        <v>99999</v>
      </c>
      <c r="AK41" s="1834">
        <v>0</v>
      </c>
      <c r="AL41" s="1835">
        <v>99999</v>
      </c>
      <c r="AM41" s="1834">
        <v>0</v>
      </c>
      <c r="AN41" s="1835">
        <v>99999</v>
      </c>
      <c r="AO41" s="1834">
        <v>0</v>
      </c>
      <c r="AP41" s="1835">
        <v>99999</v>
      </c>
      <c r="AQ41" s="1834">
        <v>0</v>
      </c>
      <c r="AR41" s="1835">
        <v>99999</v>
      </c>
      <c r="AS41" s="1834">
        <f t="shared" si="101"/>
        <v>0</v>
      </c>
      <c r="AT41" s="1835">
        <f t="shared" si="102"/>
        <v>99999</v>
      </c>
      <c r="AU41" s="1834">
        <f t="shared" si="103"/>
        <v>0</v>
      </c>
      <c r="AV41" s="1835">
        <f t="shared" si="104"/>
        <v>99999</v>
      </c>
      <c r="AW41" s="1834">
        <v>0</v>
      </c>
      <c r="AX41" s="1835">
        <v>99999</v>
      </c>
      <c r="AY41" s="1834">
        <v>0</v>
      </c>
      <c r="AZ41" s="1835">
        <v>99999</v>
      </c>
      <c r="BA41" s="1834">
        <v>0</v>
      </c>
      <c r="BB41" s="1835">
        <v>99999</v>
      </c>
      <c r="BC41" s="1834">
        <v>0</v>
      </c>
      <c r="BD41" s="1835">
        <v>99999</v>
      </c>
      <c r="BE41" s="1834">
        <v>0</v>
      </c>
      <c r="BF41" s="1835">
        <v>99999</v>
      </c>
      <c r="BG41" s="1834">
        <v>0</v>
      </c>
      <c r="BH41" s="1835">
        <v>99999</v>
      </c>
      <c r="BI41" s="1834">
        <v>0</v>
      </c>
      <c r="BJ41" s="1835">
        <v>99999</v>
      </c>
      <c r="BK41" s="1834">
        <v>0</v>
      </c>
      <c r="BL41" s="1835">
        <v>99999</v>
      </c>
      <c r="BM41" s="1834">
        <v>0</v>
      </c>
      <c r="BN41" s="1835">
        <v>99999</v>
      </c>
      <c r="BO41" s="1834">
        <v>0</v>
      </c>
      <c r="BP41" s="1835">
        <v>99999</v>
      </c>
      <c r="BQ41" s="1834">
        <v>0</v>
      </c>
      <c r="BR41" s="1835">
        <v>99999</v>
      </c>
      <c r="BS41" s="1834">
        <v>0</v>
      </c>
      <c r="BT41" s="1835">
        <v>99999</v>
      </c>
      <c r="BU41" s="1834">
        <v>0</v>
      </c>
      <c r="BV41" s="1835">
        <v>99999</v>
      </c>
      <c r="BW41" s="1834">
        <v>0</v>
      </c>
      <c r="BX41" s="1835">
        <v>99999</v>
      </c>
      <c r="BY41" s="1834">
        <v>0</v>
      </c>
      <c r="BZ41" s="1835">
        <v>99999</v>
      </c>
      <c r="CA41" s="1834">
        <v>0</v>
      </c>
      <c r="CB41" s="1835">
        <v>99999</v>
      </c>
      <c r="CC41" s="1834">
        <v>0</v>
      </c>
      <c r="CD41" s="1835">
        <v>99999</v>
      </c>
      <c r="CE41" s="1834">
        <v>0</v>
      </c>
      <c r="CF41" s="1835">
        <v>99999</v>
      </c>
      <c r="CG41" s="1834">
        <v>0</v>
      </c>
      <c r="CH41" s="1835">
        <v>99999</v>
      </c>
      <c r="CI41" s="1834">
        <v>0</v>
      </c>
      <c r="CJ41" s="1835">
        <v>99999</v>
      </c>
      <c r="CK41" s="1834">
        <v>0</v>
      </c>
      <c r="CL41" s="1835">
        <v>99999</v>
      </c>
      <c r="CM41" s="1832">
        <v>0</v>
      </c>
      <c r="CN41" s="1832">
        <v>99999</v>
      </c>
      <c r="CO41" s="1834">
        <v>0</v>
      </c>
      <c r="CP41" s="1835">
        <v>99999</v>
      </c>
      <c r="CQ41" s="1834">
        <v>0</v>
      </c>
      <c r="CR41" s="1835">
        <v>99999</v>
      </c>
      <c r="CS41" s="1834">
        <v>0</v>
      </c>
      <c r="CT41" s="1835">
        <v>99999</v>
      </c>
      <c r="CU41" s="1834">
        <v>0</v>
      </c>
      <c r="CV41" s="1835">
        <v>99999</v>
      </c>
      <c r="CW41" s="1834">
        <v>0</v>
      </c>
      <c r="CX41" s="1835">
        <v>99999</v>
      </c>
      <c r="CY41" s="1834">
        <v>0</v>
      </c>
      <c r="CZ41" s="1835">
        <v>99999</v>
      </c>
      <c r="DA41" s="1834">
        <v>0</v>
      </c>
      <c r="DB41" s="1835">
        <v>99999</v>
      </c>
      <c r="DC41" s="1834">
        <v>0</v>
      </c>
      <c r="DD41" s="1835">
        <v>99999</v>
      </c>
      <c r="DE41" s="1832">
        <v>0</v>
      </c>
      <c r="DF41" s="1832">
        <v>99999</v>
      </c>
      <c r="DG41" s="1834">
        <v>0</v>
      </c>
      <c r="DH41" s="1835">
        <v>99999</v>
      </c>
      <c r="DI41" s="1834">
        <v>0</v>
      </c>
      <c r="DJ41" s="1835">
        <v>99999</v>
      </c>
      <c r="DK41" s="1834">
        <v>0</v>
      </c>
      <c r="DL41" s="1835">
        <v>99999</v>
      </c>
      <c r="DM41" s="1834">
        <v>0</v>
      </c>
      <c r="DN41" s="1835">
        <v>99999</v>
      </c>
      <c r="DO41" s="1834">
        <v>0</v>
      </c>
      <c r="DP41" s="1835">
        <v>99999</v>
      </c>
      <c r="DQ41" s="1834">
        <v>0</v>
      </c>
      <c r="DR41" s="1835">
        <v>99999</v>
      </c>
      <c r="DS41" s="1834">
        <v>0</v>
      </c>
      <c r="DT41" s="1835">
        <v>99999</v>
      </c>
      <c r="DU41" s="1834">
        <v>0</v>
      </c>
      <c r="DV41" s="1835">
        <v>99999</v>
      </c>
      <c r="DW41" s="1834">
        <v>0</v>
      </c>
      <c r="DX41" s="1835">
        <v>99999</v>
      </c>
      <c r="DY41" s="1834">
        <v>0</v>
      </c>
      <c r="DZ41" s="1855">
        <v>99999</v>
      </c>
      <c r="EA41" s="1867"/>
      <c r="EB41" s="1868"/>
      <c r="EC41" s="1868"/>
      <c r="ED41" s="1868"/>
      <c r="EE41" s="1868"/>
      <c r="EF41" s="1868"/>
      <c r="EG41" s="1868"/>
      <c r="EH41" s="1868"/>
      <c r="EI41" s="1868"/>
      <c r="EJ41" s="1868"/>
      <c r="EK41" s="1868"/>
      <c r="EL41" s="1868"/>
      <c r="EM41" s="1868"/>
      <c r="EN41" s="1868"/>
      <c r="EO41" s="1868"/>
      <c r="EP41" s="1868"/>
      <c r="EQ41" s="1868"/>
      <c r="ER41" s="1868"/>
      <c r="ES41" s="1868"/>
      <c r="ET41" s="1868"/>
      <c r="EU41" s="1868"/>
      <c r="EV41" s="1868"/>
      <c r="EW41" s="1868"/>
      <c r="EX41" s="1868"/>
      <c r="EY41" s="1868"/>
    </row>
    <row r="42" spans="2:250" s="1774" customFormat="1" ht="14.25" customHeight="1">
      <c r="B42" s="1791" t="s">
        <v>324</v>
      </c>
      <c r="C42" s="1792"/>
      <c r="D42" s="1847">
        <f t="shared" si="111"/>
        <v>0</v>
      </c>
      <c r="E42" s="1848">
        <f t="shared" si="100"/>
        <v>99999</v>
      </c>
      <c r="F42" s="1869" t="s">
        <v>10</v>
      </c>
      <c r="G42" s="1856"/>
      <c r="H42" s="1857" t="str">
        <f>B42 &amp; " (" &amp;  F42 &amp;  ")"</f>
        <v>Matéria Mineral (g)</v>
      </c>
      <c r="I42" s="1834">
        <v>0</v>
      </c>
      <c r="J42" s="1835">
        <v>99999</v>
      </c>
      <c r="K42" s="1834">
        <v>0</v>
      </c>
      <c r="L42" s="1835">
        <v>99999</v>
      </c>
      <c r="M42" s="1834">
        <v>0</v>
      </c>
      <c r="N42" s="1835">
        <v>99999</v>
      </c>
      <c r="O42" s="1834">
        <v>0</v>
      </c>
      <c r="P42" s="1835">
        <v>99999</v>
      </c>
      <c r="Q42" s="1834">
        <v>0</v>
      </c>
      <c r="R42" s="1835">
        <v>99999</v>
      </c>
      <c r="S42" s="1834">
        <v>0</v>
      </c>
      <c r="T42" s="1835">
        <v>99999</v>
      </c>
      <c r="U42" s="1834">
        <v>0</v>
      </c>
      <c r="V42" s="1835">
        <v>99999</v>
      </c>
      <c r="W42" s="1834">
        <v>0</v>
      </c>
      <c r="X42" s="1835">
        <v>99999</v>
      </c>
      <c r="Y42" s="1834">
        <v>0</v>
      </c>
      <c r="Z42" s="1835">
        <v>99999</v>
      </c>
      <c r="AA42" s="1834">
        <v>0</v>
      </c>
      <c r="AB42" s="1835">
        <v>99999</v>
      </c>
      <c r="AC42" s="1834">
        <v>0</v>
      </c>
      <c r="AD42" s="1852">
        <v>99999</v>
      </c>
      <c r="AE42" s="1802"/>
      <c r="AF42" s="1803"/>
      <c r="AG42" s="1853">
        <v>0</v>
      </c>
      <c r="AH42" s="1835">
        <v>99999</v>
      </c>
      <c r="AI42" s="1834">
        <v>0</v>
      </c>
      <c r="AJ42" s="1835">
        <v>99999</v>
      </c>
      <c r="AK42" s="1834">
        <v>0</v>
      </c>
      <c r="AL42" s="1835">
        <v>99999</v>
      </c>
      <c r="AM42" s="1834">
        <v>0</v>
      </c>
      <c r="AN42" s="1835">
        <v>99999</v>
      </c>
      <c r="AO42" s="1834">
        <v>0</v>
      </c>
      <c r="AP42" s="1835">
        <v>99999</v>
      </c>
      <c r="AQ42" s="1834">
        <v>0</v>
      </c>
      <c r="AR42" s="1835">
        <v>99999</v>
      </c>
      <c r="AS42" s="1834">
        <f t="shared" si="101"/>
        <v>0</v>
      </c>
      <c r="AT42" s="1835">
        <f t="shared" si="102"/>
        <v>99999</v>
      </c>
      <c r="AU42" s="1834">
        <f t="shared" si="103"/>
        <v>0</v>
      </c>
      <c r="AV42" s="1835">
        <f t="shared" si="104"/>
        <v>99999</v>
      </c>
      <c r="AW42" s="1834">
        <v>0</v>
      </c>
      <c r="AX42" s="1835">
        <v>99999</v>
      </c>
      <c r="AY42" s="1834">
        <v>0</v>
      </c>
      <c r="AZ42" s="1835">
        <v>99999</v>
      </c>
      <c r="BA42" s="1834">
        <v>0</v>
      </c>
      <c r="BB42" s="1835">
        <v>99999</v>
      </c>
      <c r="BC42" s="1834">
        <v>0</v>
      </c>
      <c r="BD42" s="1835">
        <v>99999</v>
      </c>
      <c r="BE42" s="1834">
        <v>0</v>
      </c>
      <c r="BF42" s="1835">
        <v>99999</v>
      </c>
      <c r="BG42" s="1834">
        <v>0</v>
      </c>
      <c r="BH42" s="1835">
        <v>99999</v>
      </c>
      <c r="BI42" s="1834">
        <v>0</v>
      </c>
      <c r="BJ42" s="1835">
        <v>99999</v>
      </c>
      <c r="BK42" s="1834">
        <v>0</v>
      </c>
      <c r="BL42" s="1835">
        <v>99999</v>
      </c>
      <c r="BM42" s="1834">
        <v>0</v>
      </c>
      <c r="BN42" s="1835">
        <v>99999</v>
      </c>
      <c r="BO42" s="1834">
        <v>0</v>
      </c>
      <c r="BP42" s="1835">
        <v>99999</v>
      </c>
      <c r="BQ42" s="1834">
        <v>0</v>
      </c>
      <c r="BR42" s="1835">
        <v>99999</v>
      </c>
      <c r="BS42" s="1834">
        <v>0</v>
      </c>
      <c r="BT42" s="1835">
        <v>99999</v>
      </c>
      <c r="BU42" s="1834">
        <v>0</v>
      </c>
      <c r="BV42" s="1835">
        <v>99999</v>
      </c>
      <c r="BW42" s="1834">
        <v>0</v>
      </c>
      <c r="BX42" s="1835">
        <v>99999</v>
      </c>
      <c r="BY42" s="1834">
        <v>0</v>
      </c>
      <c r="BZ42" s="1835">
        <v>99999</v>
      </c>
      <c r="CA42" s="1834">
        <v>0</v>
      </c>
      <c r="CB42" s="1835">
        <v>99999</v>
      </c>
      <c r="CC42" s="1834">
        <v>0</v>
      </c>
      <c r="CD42" s="1835">
        <v>99999</v>
      </c>
      <c r="CE42" s="1834">
        <v>0</v>
      </c>
      <c r="CF42" s="1835">
        <v>99999</v>
      </c>
      <c r="CG42" s="1834">
        <v>0</v>
      </c>
      <c r="CH42" s="1835">
        <v>99999</v>
      </c>
      <c r="CI42" s="1834">
        <v>0</v>
      </c>
      <c r="CJ42" s="1835">
        <v>99999</v>
      </c>
      <c r="CK42" s="1834">
        <v>0</v>
      </c>
      <c r="CL42" s="1835">
        <v>99999</v>
      </c>
      <c r="CM42" s="1832">
        <v>0</v>
      </c>
      <c r="CN42" s="1832">
        <v>99999</v>
      </c>
      <c r="CO42" s="1834">
        <v>0</v>
      </c>
      <c r="CP42" s="1835">
        <v>99999</v>
      </c>
      <c r="CQ42" s="1834">
        <v>0</v>
      </c>
      <c r="CR42" s="1835">
        <v>99999</v>
      </c>
      <c r="CS42" s="1834">
        <v>0</v>
      </c>
      <c r="CT42" s="1835">
        <v>99999</v>
      </c>
      <c r="CU42" s="1834">
        <v>0</v>
      </c>
      <c r="CV42" s="1835">
        <v>99999</v>
      </c>
      <c r="CW42" s="1834">
        <v>0</v>
      </c>
      <c r="CX42" s="1835">
        <v>99999</v>
      </c>
      <c r="CY42" s="1834">
        <v>0</v>
      </c>
      <c r="CZ42" s="1835">
        <v>99999</v>
      </c>
      <c r="DA42" s="1834">
        <v>0</v>
      </c>
      <c r="DB42" s="1835">
        <v>99999</v>
      </c>
      <c r="DC42" s="1834">
        <v>0</v>
      </c>
      <c r="DD42" s="1835">
        <v>99999</v>
      </c>
      <c r="DE42" s="1832">
        <v>0</v>
      </c>
      <c r="DF42" s="1832">
        <v>99999</v>
      </c>
      <c r="DG42" s="1834">
        <v>0</v>
      </c>
      <c r="DH42" s="1835">
        <v>99999</v>
      </c>
      <c r="DI42" s="1834">
        <v>0</v>
      </c>
      <c r="DJ42" s="1835">
        <v>99999</v>
      </c>
      <c r="DK42" s="1834">
        <v>0</v>
      </c>
      <c r="DL42" s="1835">
        <v>99999</v>
      </c>
      <c r="DM42" s="1834">
        <v>0</v>
      </c>
      <c r="DN42" s="1835">
        <v>99999</v>
      </c>
      <c r="DO42" s="1834">
        <v>0</v>
      </c>
      <c r="DP42" s="1835">
        <v>99999</v>
      </c>
      <c r="DQ42" s="1834">
        <v>0</v>
      </c>
      <c r="DR42" s="1835">
        <v>99999</v>
      </c>
      <c r="DS42" s="1834">
        <v>0</v>
      </c>
      <c r="DT42" s="1835">
        <v>99999</v>
      </c>
      <c r="DU42" s="1834">
        <v>0</v>
      </c>
      <c r="DV42" s="1835">
        <v>99999</v>
      </c>
      <c r="DW42" s="1834">
        <v>0</v>
      </c>
      <c r="DX42" s="1835">
        <v>99999</v>
      </c>
      <c r="DY42" s="1834">
        <v>0</v>
      </c>
      <c r="DZ42" s="1855">
        <v>99999</v>
      </c>
      <c r="EA42" s="1867"/>
      <c r="EB42" s="1868"/>
      <c r="EC42" s="1868"/>
      <c r="ED42" s="1868"/>
      <c r="EE42" s="1868"/>
      <c r="EF42" s="1868"/>
      <c r="EG42" s="1868"/>
      <c r="EH42" s="1868"/>
      <c r="EI42" s="1868"/>
      <c r="EJ42" s="1868"/>
      <c r="EK42" s="1868"/>
      <c r="EL42" s="1868"/>
      <c r="EM42" s="1868"/>
      <c r="EN42" s="1868"/>
      <c r="EO42" s="1868"/>
      <c r="EP42" s="1868"/>
      <c r="EQ42" s="1868"/>
      <c r="ER42" s="1868"/>
      <c r="ES42" s="1868"/>
      <c r="ET42" s="1868"/>
      <c r="EU42" s="1868"/>
      <c r="EV42" s="1868"/>
      <c r="EW42" s="1868"/>
      <c r="EX42" s="1868"/>
      <c r="EY42" s="1868"/>
    </row>
    <row r="43" spans="2:250" s="1774" customFormat="1" ht="14.25" customHeight="1">
      <c r="B43" s="1791" t="s">
        <v>325</v>
      </c>
      <c r="C43" s="1792"/>
      <c r="D43" s="1847">
        <f t="shared" si="111"/>
        <v>0</v>
      </c>
      <c r="E43" s="1848">
        <f t="shared" si="100"/>
        <v>99999</v>
      </c>
      <c r="F43" s="1869" t="s">
        <v>10</v>
      </c>
      <c r="G43" s="1856"/>
      <c r="H43" s="1857" t="str">
        <f t="shared" ref="H43:H50" si="112">B43 &amp; " (" &amp;  F43 &amp;  ")"</f>
        <v>Matéria Orgânica (g)</v>
      </c>
      <c r="I43" s="1834">
        <v>0</v>
      </c>
      <c r="J43" s="1835">
        <v>99999</v>
      </c>
      <c r="K43" s="1834">
        <v>0</v>
      </c>
      <c r="L43" s="1835">
        <v>99999</v>
      </c>
      <c r="M43" s="1834">
        <v>0</v>
      </c>
      <c r="N43" s="1835">
        <v>99999</v>
      </c>
      <c r="O43" s="1834">
        <v>0</v>
      </c>
      <c r="P43" s="1835">
        <v>99999</v>
      </c>
      <c r="Q43" s="1834">
        <v>0</v>
      </c>
      <c r="R43" s="1835">
        <v>99999</v>
      </c>
      <c r="S43" s="1834">
        <v>0</v>
      </c>
      <c r="T43" s="1835">
        <v>99999</v>
      </c>
      <c r="U43" s="1834">
        <v>0</v>
      </c>
      <c r="V43" s="1835">
        <v>99999</v>
      </c>
      <c r="W43" s="1834">
        <v>0</v>
      </c>
      <c r="X43" s="1835">
        <v>99999</v>
      </c>
      <c r="Y43" s="1834">
        <v>0</v>
      </c>
      <c r="Z43" s="1835">
        <v>99999</v>
      </c>
      <c r="AA43" s="1834">
        <v>0</v>
      </c>
      <c r="AB43" s="1835">
        <v>99999</v>
      </c>
      <c r="AC43" s="1834">
        <v>0</v>
      </c>
      <c r="AD43" s="1852">
        <v>99999</v>
      </c>
      <c r="AE43" s="1802"/>
      <c r="AF43" s="1803"/>
      <c r="AG43" s="1853">
        <v>0</v>
      </c>
      <c r="AH43" s="1835">
        <v>99999</v>
      </c>
      <c r="AI43" s="1834">
        <v>0</v>
      </c>
      <c r="AJ43" s="1835">
        <v>99999</v>
      </c>
      <c r="AK43" s="1834">
        <v>0</v>
      </c>
      <c r="AL43" s="1835">
        <v>99999</v>
      </c>
      <c r="AM43" s="1834">
        <v>0</v>
      </c>
      <c r="AN43" s="1835">
        <v>99999</v>
      </c>
      <c r="AO43" s="1834">
        <v>0</v>
      </c>
      <c r="AP43" s="1835">
        <v>99999</v>
      </c>
      <c r="AQ43" s="1834">
        <v>0</v>
      </c>
      <c r="AR43" s="1835">
        <v>99999</v>
      </c>
      <c r="AS43" s="1834">
        <f t="shared" si="101"/>
        <v>0</v>
      </c>
      <c r="AT43" s="1835">
        <f t="shared" si="102"/>
        <v>99999</v>
      </c>
      <c r="AU43" s="1834">
        <f t="shared" si="103"/>
        <v>0</v>
      </c>
      <c r="AV43" s="1835">
        <f t="shared" si="104"/>
        <v>99999</v>
      </c>
      <c r="AW43" s="1834">
        <v>0</v>
      </c>
      <c r="AX43" s="1835">
        <v>99999</v>
      </c>
      <c r="AY43" s="1834">
        <v>0</v>
      </c>
      <c r="AZ43" s="1835">
        <v>99999</v>
      </c>
      <c r="BA43" s="1834">
        <v>0</v>
      </c>
      <c r="BB43" s="1835">
        <v>99999</v>
      </c>
      <c r="BC43" s="1834">
        <v>0</v>
      </c>
      <c r="BD43" s="1835">
        <v>99999</v>
      </c>
      <c r="BE43" s="1834">
        <v>0</v>
      </c>
      <c r="BF43" s="1835">
        <v>99999</v>
      </c>
      <c r="BG43" s="1834">
        <v>0</v>
      </c>
      <c r="BH43" s="1835">
        <v>99999</v>
      </c>
      <c r="BI43" s="1834">
        <v>0</v>
      </c>
      <c r="BJ43" s="1835">
        <v>99999</v>
      </c>
      <c r="BK43" s="1834">
        <v>0</v>
      </c>
      <c r="BL43" s="1835">
        <v>99999</v>
      </c>
      <c r="BM43" s="1834">
        <v>0</v>
      </c>
      <c r="BN43" s="1835">
        <v>99999</v>
      </c>
      <c r="BO43" s="1834">
        <v>0</v>
      </c>
      <c r="BP43" s="1835">
        <v>99999</v>
      </c>
      <c r="BQ43" s="1834">
        <v>0</v>
      </c>
      <c r="BR43" s="1835">
        <v>99999</v>
      </c>
      <c r="BS43" s="1834">
        <v>0</v>
      </c>
      <c r="BT43" s="1835">
        <v>99999</v>
      </c>
      <c r="BU43" s="1834">
        <v>0</v>
      </c>
      <c r="BV43" s="1835">
        <v>99999</v>
      </c>
      <c r="BW43" s="1834">
        <v>0</v>
      </c>
      <c r="BX43" s="1835">
        <v>99999</v>
      </c>
      <c r="BY43" s="1834">
        <v>0</v>
      </c>
      <c r="BZ43" s="1835">
        <v>99999</v>
      </c>
      <c r="CA43" s="1834">
        <v>0</v>
      </c>
      <c r="CB43" s="1835">
        <v>99999</v>
      </c>
      <c r="CC43" s="1834">
        <v>0</v>
      </c>
      <c r="CD43" s="1835">
        <v>99999</v>
      </c>
      <c r="CE43" s="1834">
        <v>0</v>
      </c>
      <c r="CF43" s="1835">
        <v>99999</v>
      </c>
      <c r="CG43" s="1834">
        <v>0</v>
      </c>
      <c r="CH43" s="1835">
        <v>99999</v>
      </c>
      <c r="CI43" s="1834">
        <v>0</v>
      </c>
      <c r="CJ43" s="1835">
        <v>99999</v>
      </c>
      <c r="CK43" s="1834">
        <v>0</v>
      </c>
      <c r="CL43" s="1835">
        <v>99999</v>
      </c>
      <c r="CM43" s="1832">
        <v>0</v>
      </c>
      <c r="CN43" s="1832">
        <v>99999</v>
      </c>
      <c r="CO43" s="1834">
        <v>0</v>
      </c>
      <c r="CP43" s="1835">
        <v>99999</v>
      </c>
      <c r="CQ43" s="1834">
        <v>0</v>
      </c>
      <c r="CR43" s="1835">
        <v>99999</v>
      </c>
      <c r="CS43" s="1834">
        <v>0</v>
      </c>
      <c r="CT43" s="1835">
        <v>99999</v>
      </c>
      <c r="CU43" s="1834">
        <v>0</v>
      </c>
      <c r="CV43" s="1835">
        <v>99999</v>
      </c>
      <c r="CW43" s="1834">
        <v>0</v>
      </c>
      <c r="CX43" s="1835">
        <v>99999</v>
      </c>
      <c r="CY43" s="1834">
        <v>0</v>
      </c>
      <c r="CZ43" s="1835">
        <v>99999</v>
      </c>
      <c r="DA43" s="1834">
        <v>0</v>
      </c>
      <c r="DB43" s="1835">
        <v>99999</v>
      </c>
      <c r="DC43" s="1834">
        <v>0</v>
      </c>
      <c r="DD43" s="1835">
        <v>99999</v>
      </c>
      <c r="DE43" s="1832">
        <v>0</v>
      </c>
      <c r="DF43" s="1832">
        <v>99999</v>
      </c>
      <c r="DG43" s="1834">
        <v>0</v>
      </c>
      <c r="DH43" s="1835">
        <v>99999</v>
      </c>
      <c r="DI43" s="1834">
        <v>0</v>
      </c>
      <c r="DJ43" s="1835">
        <v>99999</v>
      </c>
      <c r="DK43" s="1834">
        <v>0</v>
      </c>
      <c r="DL43" s="1835">
        <v>99999</v>
      </c>
      <c r="DM43" s="1834">
        <v>0</v>
      </c>
      <c r="DN43" s="1835">
        <v>99999</v>
      </c>
      <c r="DO43" s="1834">
        <v>0</v>
      </c>
      <c r="DP43" s="1835">
        <v>99999</v>
      </c>
      <c r="DQ43" s="1834">
        <v>0</v>
      </c>
      <c r="DR43" s="1835">
        <v>99999</v>
      </c>
      <c r="DS43" s="1834">
        <v>0</v>
      </c>
      <c r="DT43" s="1835">
        <v>99999</v>
      </c>
      <c r="DU43" s="1834">
        <v>0</v>
      </c>
      <c r="DV43" s="1835">
        <v>99999</v>
      </c>
      <c r="DW43" s="1834">
        <v>0</v>
      </c>
      <c r="DX43" s="1835">
        <v>99999</v>
      </c>
      <c r="DY43" s="1834">
        <v>0</v>
      </c>
      <c r="DZ43" s="1855">
        <v>99999</v>
      </c>
      <c r="EA43" s="1867"/>
      <c r="EB43" s="1868"/>
      <c r="EC43" s="1868"/>
      <c r="ED43" s="1868"/>
      <c r="EE43" s="1868"/>
      <c r="EF43" s="1868"/>
      <c r="EG43" s="1868"/>
      <c r="EH43" s="1868"/>
      <c r="EI43" s="1868"/>
      <c r="EJ43" s="1868"/>
      <c r="EK43" s="1868"/>
      <c r="EL43" s="1868"/>
      <c r="EM43" s="1868"/>
      <c r="EN43" s="1868"/>
      <c r="EO43" s="1868"/>
      <c r="EP43" s="1868"/>
      <c r="EQ43" s="1868"/>
      <c r="ER43" s="1868"/>
      <c r="ES43" s="1868"/>
      <c r="ET43" s="1868"/>
      <c r="EU43" s="1868"/>
      <c r="EV43" s="1868"/>
      <c r="EW43" s="1868"/>
      <c r="EX43" s="1868"/>
      <c r="EY43" s="1868"/>
    </row>
    <row r="44" spans="2:250" s="1774" customFormat="1" ht="14.25" customHeight="1">
      <c r="B44" s="1791" t="s">
        <v>260</v>
      </c>
      <c r="C44" s="1792" t="s">
        <v>261</v>
      </c>
      <c r="D44" s="1847">
        <f t="shared" si="111"/>
        <v>0</v>
      </c>
      <c r="E44" s="1848">
        <f t="shared" si="100"/>
        <v>99999</v>
      </c>
      <c r="F44" s="1869" t="s">
        <v>10</v>
      </c>
      <c r="G44" s="1856"/>
      <c r="H44" s="1857" t="str">
        <f t="shared" si="112"/>
        <v>Carboidratos Não Fibrosos (g)</v>
      </c>
      <c r="I44" s="1834">
        <v>0</v>
      </c>
      <c r="J44" s="1835">
        <v>99999</v>
      </c>
      <c r="K44" s="1834">
        <v>0</v>
      </c>
      <c r="L44" s="1835">
        <v>99999</v>
      </c>
      <c r="M44" s="1834">
        <v>0</v>
      </c>
      <c r="N44" s="1835">
        <v>99999</v>
      </c>
      <c r="O44" s="1834">
        <v>0</v>
      </c>
      <c r="P44" s="1835">
        <v>99999</v>
      </c>
      <c r="Q44" s="1834">
        <v>0</v>
      </c>
      <c r="R44" s="1835">
        <v>99999</v>
      </c>
      <c r="S44" s="1834">
        <v>0</v>
      </c>
      <c r="T44" s="1835">
        <v>99999</v>
      </c>
      <c r="U44" s="1834">
        <v>0</v>
      </c>
      <c r="V44" s="1835">
        <v>99999</v>
      </c>
      <c r="W44" s="1834">
        <v>0</v>
      </c>
      <c r="X44" s="1835">
        <v>99999</v>
      </c>
      <c r="Y44" s="1834">
        <v>0</v>
      </c>
      <c r="Z44" s="1835">
        <v>99999</v>
      </c>
      <c r="AA44" s="1834">
        <v>0</v>
      </c>
      <c r="AB44" s="1835">
        <v>99999</v>
      </c>
      <c r="AC44" s="1834">
        <v>0</v>
      </c>
      <c r="AD44" s="1852">
        <v>99999</v>
      </c>
      <c r="AE44" s="1802"/>
      <c r="AF44" s="1803"/>
      <c r="AG44" s="1853">
        <v>0</v>
      </c>
      <c r="AH44" s="1835">
        <v>99999</v>
      </c>
      <c r="AI44" s="1834">
        <v>0</v>
      </c>
      <c r="AJ44" s="1835">
        <v>99999</v>
      </c>
      <c r="AK44" s="1834">
        <v>0</v>
      </c>
      <c r="AL44" s="1835">
        <v>99999</v>
      </c>
      <c r="AM44" s="1834">
        <v>0</v>
      </c>
      <c r="AN44" s="1835">
        <v>99999</v>
      </c>
      <c r="AO44" s="1834">
        <v>0</v>
      </c>
      <c r="AP44" s="1835">
        <v>99999</v>
      </c>
      <c r="AQ44" s="1834">
        <v>0</v>
      </c>
      <c r="AR44" s="1835">
        <v>99999</v>
      </c>
      <c r="AS44" s="1834">
        <f t="shared" si="101"/>
        <v>0</v>
      </c>
      <c r="AT44" s="1835">
        <f t="shared" si="102"/>
        <v>99999</v>
      </c>
      <c r="AU44" s="1834">
        <f t="shared" si="103"/>
        <v>0</v>
      </c>
      <c r="AV44" s="1835">
        <f t="shared" si="104"/>
        <v>99999</v>
      </c>
      <c r="AW44" s="1834">
        <v>0</v>
      </c>
      <c r="AX44" s="1835">
        <v>99999</v>
      </c>
      <c r="AY44" s="1834">
        <v>0</v>
      </c>
      <c r="AZ44" s="1835">
        <v>99999</v>
      </c>
      <c r="BA44" s="1834">
        <v>0</v>
      </c>
      <c r="BB44" s="1835">
        <v>99999</v>
      </c>
      <c r="BC44" s="1834">
        <v>0</v>
      </c>
      <c r="BD44" s="1835">
        <v>99999</v>
      </c>
      <c r="BE44" s="1834">
        <v>0</v>
      </c>
      <c r="BF44" s="1835">
        <v>99999</v>
      </c>
      <c r="BG44" s="1834">
        <v>0</v>
      </c>
      <c r="BH44" s="1835">
        <v>99999</v>
      </c>
      <c r="BI44" s="1834">
        <v>0</v>
      </c>
      <c r="BJ44" s="1835">
        <v>99999</v>
      </c>
      <c r="BK44" s="1834">
        <v>0</v>
      </c>
      <c r="BL44" s="1835">
        <v>99999</v>
      </c>
      <c r="BM44" s="1834">
        <v>0</v>
      </c>
      <c r="BN44" s="1835">
        <v>99999</v>
      </c>
      <c r="BO44" s="1834">
        <v>0</v>
      </c>
      <c r="BP44" s="1835">
        <v>99999</v>
      </c>
      <c r="BQ44" s="1834">
        <v>0</v>
      </c>
      <c r="BR44" s="1835">
        <v>99999</v>
      </c>
      <c r="BS44" s="1834">
        <v>0</v>
      </c>
      <c r="BT44" s="1835">
        <v>99999</v>
      </c>
      <c r="BU44" s="1834">
        <v>0</v>
      </c>
      <c r="BV44" s="1835">
        <v>99999</v>
      </c>
      <c r="BW44" s="1834">
        <v>0</v>
      </c>
      <c r="BX44" s="1835">
        <v>99999</v>
      </c>
      <c r="BY44" s="1834">
        <v>0</v>
      </c>
      <c r="BZ44" s="1835">
        <v>99999</v>
      </c>
      <c r="CA44" s="1834">
        <v>0</v>
      </c>
      <c r="CB44" s="1835">
        <v>99999</v>
      </c>
      <c r="CC44" s="1834">
        <v>0</v>
      </c>
      <c r="CD44" s="1835">
        <v>99999</v>
      </c>
      <c r="CE44" s="1834">
        <v>0</v>
      </c>
      <c r="CF44" s="1835">
        <v>99999</v>
      </c>
      <c r="CG44" s="1834">
        <v>0</v>
      </c>
      <c r="CH44" s="1835">
        <v>99999</v>
      </c>
      <c r="CI44" s="1834">
        <v>0</v>
      </c>
      <c r="CJ44" s="1835">
        <v>99999</v>
      </c>
      <c r="CK44" s="1834">
        <v>0</v>
      </c>
      <c r="CL44" s="1835">
        <v>99999</v>
      </c>
      <c r="CM44" s="1832">
        <v>0</v>
      </c>
      <c r="CN44" s="1832">
        <v>99999</v>
      </c>
      <c r="CO44" s="1834">
        <v>0</v>
      </c>
      <c r="CP44" s="1835">
        <v>99999</v>
      </c>
      <c r="CQ44" s="1834">
        <v>0</v>
      </c>
      <c r="CR44" s="1835">
        <v>99999</v>
      </c>
      <c r="CS44" s="1834">
        <v>0</v>
      </c>
      <c r="CT44" s="1835">
        <v>99999</v>
      </c>
      <c r="CU44" s="1834">
        <v>0</v>
      </c>
      <c r="CV44" s="1835">
        <v>99999</v>
      </c>
      <c r="CW44" s="1834">
        <v>0</v>
      </c>
      <c r="CX44" s="1835">
        <v>99999</v>
      </c>
      <c r="CY44" s="1834">
        <v>0</v>
      </c>
      <c r="CZ44" s="1835">
        <v>99999</v>
      </c>
      <c r="DA44" s="1834">
        <v>0</v>
      </c>
      <c r="DB44" s="1835">
        <v>99999</v>
      </c>
      <c r="DC44" s="1834">
        <v>0</v>
      </c>
      <c r="DD44" s="1835">
        <v>99999</v>
      </c>
      <c r="DE44" s="1832">
        <v>0</v>
      </c>
      <c r="DF44" s="1832">
        <v>99999</v>
      </c>
      <c r="DG44" s="1834">
        <v>0</v>
      </c>
      <c r="DH44" s="1835">
        <v>99999</v>
      </c>
      <c r="DI44" s="1834">
        <v>0</v>
      </c>
      <c r="DJ44" s="1835">
        <v>99999</v>
      </c>
      <c r="DK44" s="1834">
        <v>0</v>
      </c>
      <c r="DL44" s="1835">
        <v>99999</v>
      </c>
      <c r="DM44" s="1834">
        <v>0</v>
      </c>
      <c r="DN44" s="1835">
        <v>99999</v>
      </c>
      <c r="DO44" s="1834">
        <v>0</v>
      </c>
      <c r="DP44" s="1835">
        <v>99999</v>
      </c>
      <c r="DQ44" s="1834">
        <v>0</v>
      </c>
      <c r="DR44" s="1835">
        <v>99999</v>
      </c>
      <c r="DS44" s="1834">
        <v>0</v>
      </c>
      <c r="DT44" s="1835">
        <v>99999</v>
      </c>
      <c r="DU44" s="1834">
        <v>0</v>
      </c>
      <c r="DV44" s="1835">
        <v>99999</v>
      </c>
      <c r="DW44" s="1834">
        <v>0</v>
      </c>
      <c r="DX44" s="1835">
        <v>99999</v>
      </c>
      <c r="DY44" s="1834">
        <v>0</v>
      </c>
      <c r="DZ44" s="1855">
        <v>99999</v>
      </c>
      <c r="EA44" s="1867"/>
      <c r="EB44" s="1868"/>
      <c r="EC44" s="1868"/>
      <c r="ED44" s="1868"/>
      <c r="EE44" s="1868"/>
      <c r="EF44" s="1868"/>
      <c r="EG44" s="1868"/>
      <c r="EH44" s="1868"/>
      <c r="EI44" s="1868"/>
      <c r="EJ44" s="1868"/>
      <c r="EK44" s="1868"/>
      <c r="EL44" s="1868"/>
      <c r="EM44" s="1868"/>
      <c r="EN44" s="1868"/>
      <c r="EO44" s="1868"/>
      <c r="EP44" s="1868"/>
      <c r="EQ44" s="1868"/>
      <c r="ER44" s="1868"/>
      <c r="ES44" s="1868"/>
      <c r="ET44" s="1868"/>
      <c r="EU44" s="1868"/>
      <c r="EV44" s="1868"/>
      <c r="EW44" s="1868"/>
      <c r="EX44" s="1868"/>
      <c r="EY44" s="1868"/>
    </row>
    <row r="45" spans="2:250" s="1774" customFormat="1" ht="14.25" customHeight="1">
      <c r="B45" s="1791" t="s">
        <v>266</v>
      </c>
      <c r="C45" s="1862" t="s">
        <v>267</v>
      </c>
      <c r="D45" s="1847">
        <f t="shared" si="111"/>
        <v>0</v>
      </c>
      <c r="E45" s="1848">
        <f t="shared" si="100"/>
        <v>99999</v>
      </c>
      <c r="F45" s="1869" t="s">
        <v>904</v>
      </c>
      <c r="G45" s="1856"/>
      <c r="H45" s="1857" t="str">
        <f t="shared" si="112"/>
        <v>Energia Metabolizável (Mcal/kg)</v>
      </c>
      <c r="I45" s="1834">
        <v>0</v>
      </c>
      <c r="J45" s="1835">
        <v>99999</v>
      </c>
      <c r="K45" s="1834">
        <v>0</v>
      </c>
      <c r="L45" s="1835">
        <v>99999</v>
      </c>
      <c r="M45" s="1834">
        <v>0</v>
      </c>
      <c r="N45" s="1835">
        <v>99999</v>
      </c>
      <c r="O45" s="1834">
        <v>0</v>
      </c>
      <c r="P45" s="1835">
        <v>99999</v>
      </c>
      <c r="Q45" s="1834">
        <v>0</v>
      </c>
      <c r="R45" s="1835">
        <v>99999</v>
      </c>
      <c r="S45" s="1834">
        <v>0</v>
      </c>
      <c r="T45" s="1835">
        <v>99999</v>
      </c>
      <c r="U45" s="1834">
        <v>0</v>
      </c>
      <c r="V45" s="1835">
        <v>99999</v>
      </c>
      <c r="W45" s="1834">
        <v>0</v>
      </c>
      <c r="X45" s="1835">
        <v>99999</v>
      </c>
      <c r="Y45" s="1834">
        <v>0</v>
      </c>
      <c r="Z45" s="1835">
        <v>99999</v>
      </c>
      <c r="AA45" s="1834">
        <v>0</v>
      </c>
      <c r="AB45" s="1835">
        <v>99999</v>
      </c>
      <c r="AC45" s="1834">
        <v>0</v>
      </c>
      <c r="AD45" s="1852">
        <v>99999</v>
      </c>
      <c r="AE45" s="1802"/>
      <c r="AF45" s="1803"/>
      <c r="AG45" s="1853">
        <v>0</v>
      </c>
      <c r="AH45" s="1835">
        <v>99999</v>
      </c>
      <c r="AI45" s="1834">
        <v>0</v>
      </c>
      <c r="AJ45" s="1835">
        <v>99999</v>
      </c>
      <c r="AK45" s="1834">
        <v>0</v>
      </c>
      <c r="AL45" s="1835">
        <v>99999</v>
      </c>
      <c r="AM45" s="1834">
        <v>0</v>
      </c>
      <c r="AN45" s="1835">
        <v>99999</v>
      </c>
      <c r="AO45" s="1834">
        <v>0</v>
      </c>
      <c r="AP45" s="1835">
        <v>99999</v>
      </c>
      <c r="AQ45" s="1834">
        <v>0</v>
      </c>
      <c r="AR45" s="1835">
        <v>99999</v>
      </c>
      <c r="AS45" s="1834">
        <f t="shared" si="101"/>
        <v>0</v>
      </c>
      <c r="AT45" s="1835">
        <f t="shared" si="102"/>
        <v>99999</v>
      </c>
      <c r="AU45" s="1834">
        <f t="shared" si="103"/>
        <v>0</v>
      </c>
      <c r="AV45" s="1835">
        <f t="shared" si="104"/>
        <v>99999</v>
      </c>
      <c r="AW45" s="1834">
        <v>0</v>
      </c>
      <c r="AX45" s="1835">
        <v>99999</v>
      </c>
      <c r="AY45" s="1834">
        <v>0</v>
      </c>
      <c r="AZ45" s="1835">
        <v>99999</v>
      </c>
      <c r="BA45" s="1834">
        <v>0</v>
      </c>
      <c r="BB45" s="1835">
        <v>99999</v>
      </c>
      <c r="BC45" s="1834">
        <v>0</v>
      </c>
      <c r="BD45" s="1835">
        <v>99999</v>
      </c>
      <c r="BE45" s="1834">
        <v>0</v>
      </c>
      <c r="BF45" s="1835">
        <v>99999</v>
      </c>
      <c r="BG45" s="1834">
        <v>0</v>
      </c>
      <c r="BH45" s="1835">
        <v>99999</v>
      </c>
      <c r="BI45" s="1834">
        <v>0</v>
      </c>
      <c r="BJ45" s="1835">
        <v>99999</v>
      </c>
      <c r="BK45" s="1834">
        <v>0</v>
      </c>
      <c r="BL45" s="1835">
        <v>99999</v>
      </c>
      <c r="BM45" s="1834">
        <v>0</v>
      </c>
      <c r="BN45" s="1835">
        <v>99999</v>
      </c>
      <c r="BO45" s="1834">
        <v>0</v>
      </c>
      <c r="BP45" s="1835">
        <v>99999</v>
      </c>
      <c r="BQ45" s="1834">
        <v>0</v>
      </c>
      <c r="BR45" s="1835">
        <v>99999</v>
      </c>
      <c r="BS45" s="1834">
        <v>0</v>
      </c>
      <c r="BT45" s="1835">
        <v>99999</v>
      </c>
      <c r="BU45" s="1834">
        <v>0</v>
      </c>
      <c r="BV45" s="1835">
        <v>99999</v>
      </c>
      <c r="BW45" s="1834">
        <v>0</v>
      </c>
      <c r="BX45" s="1835">
        <v>99999</v>
      </c>
      <c r="BY45" s="1834">
        <v>0</v>
      </c>
      <c r="BZ45" s="1835">
        <v>99999</v>
      </c>
      <c r="CA45" s="1834">
        <v>0</v>
      </c>
      <c r="CB45" s="1835">
        <v>99999</v>
      </c>
      <c r="CC45" s="1834">
        <v>0</v>
      </c>
      <c r="CD45" s="1835">
        <v>99999</v>
      </c>
      <c r="CE45" s="1834">
        <v>0</v>
      </c>
      <c r="CF45" s="1835">
        <v>99999</v>
      </c>
      <c r="CG45" s="1834">
        <v>0</v>
      </c>
      <c r="CH45" s="1835">
        <v>99999</v>
      </c>
      <c r="CI45" s="1834">
        <v>0</v>
      </c>
      <c r="CJ45" s="1835">
        <v>99999</v>
      </c>
      <c r="CK45" s="1834">
        <v>0</v>
      </c>
      <c r="CL45" s="1835">
        <v>99999</v>
      </c>
      <c r="CM45" s="1832">
        <v>0</v>
      </c>
      <c r="CN45" s="1832">
        <v>99999</v>
      </c>
      <c r="CO45" s="1834">
        <v>0</v>
      </c>
      <c r="CP45" s="1835">
        <v>99999</v>
      </c>
      <c r="CQ45" s="1834">
        <v>0</v>
      </c>
      <c r="CR45" s="1835">
        <v>99999</v>
      </c>
      <c r="CS45" s="1834">
        <v>0</v>
      </c>
      <c r="CT45" s="1835">
        <v>99999</v>
      </c>
      <c r="CU45" s="1834">
        <v>0</v>
      </c>
      <c r="CV45" s="1835">
        <v>99999</v>
      </c>
      <c r="CW45" s="1834">
        <v>0</v>
      </c>
      <c r="CX45" s="1835">
        <v>99999</v>
      </c>
      <c r="CY45" s="1834">
        <v>0</v>
      </c>
      <c r="CZ45" s="1835">
        <v>99999</v>
      </c>
      <c r="DA45" s="1834">
        <v>0</v>
      </c>
      <c r="DB45" s="1835">
        <v>99999</v>
      </c>
      <c r="DC45" s="1834">
        <v>0</v>
      </c>
      <c r="DD45" s="1835">
        <v>99999</v>
      </c>
      <c r="DE45" s="1832">
        <v>0</v>
      </c>
      <c r="DF45" s="1832">
        <v>99999</v>
      </c>
      <c r="DG45" s="1834">
        <v>0</v>
      </c>
      <c r="DH45" s="1835">
        <v>99999</v>
      </c>
      <c r="DI45" s="1834">
        <v>0</v>
      </c>
      <c r="DJ45" s="1835">
        <v>99999</v>
      </c>
      <c r="DK45" s="1834">
        <v>0</v>
      </c>
      <c r="DL45" s="1835">
        <v>99999</v>
      </c>
      <c r="DM45" s="1834">
        <v>0</v>
      </c>
      <c r="DN45" s="1835">
        <v>99999</v>
      </c>
      <c r="DO45" s="1834">
        <v>0</v>
      </c>
      <c r="DP45" s="1835">
        <v>99999</v>
      </c>
      <c r="DQ45" s="1834">
        <v>0</v>
      </c>
      <c r="DR45" s="1835">
        <v>99999</v>
      </c>
      <c r="DS45" s="1834">
        <v>0</v>
      </c>
      <c r="DT45" s="1835">
        <v>99999</v>
      </c>
      <c r="DU45" s="1834">
        <v>0</v>
      </c>
      <c r="DV45" s="1835">
        <v>99999</v>
      </c>
      <c r="DW45" s="1834">
        <v>0</v>
      </c>
      <c r="DX45" s="1835">
        <v>99999</v>
      </c>
      <c r="DY45" s="1834">
        <v>0</v>
      </c>
      <c r="DZ45" s="1855">
        <v>99999</v>
      </c>
      <c r="EA45" s="1867"/>
      <c r="EB45" s="1868"/>
      <c r="EC45" s="1868"/>
      <c r="ED45" s="1868"/>
      <c r="EE45" s="1868"/>
      <c r="EF45" s="1868"/>
      <c r="EG45" s="1868"/>
      <c r="EH45" s="1868"/>
      <c r="EI45" s="1868"/>
      <c r="EJ45" s="1868"/>
      <c r="EK45" s="1868"/>
      <c r="EL45" s="1868"/>
      <c r="EM45" s="1868"/>
      <c r="EN45" s="1868"/>
      <c r="EO45" s="1868"/>
      <c r="EP45" s="1868"/>
      <c r="EQ45" s="1868"/>
      <c r="ER45" s="1868"/>
      <c r="ES45" s="1868"/>
      <c r="ET45" s="1868"/>
      <c r="EU45" s="1868"/>
      <c r="EV45" s="1868"/>
      <c r="EW45" s="1868"/>
      <c r="EX45" s="1868"/>
      <c r="EY45" s="1868"/>
    </row>
    <row r="46" spans="2:250" s="1774" customFormat="1" ht="14.25" customHeight="1">
      <c r="B46" s="1791" t="s">
        <v>326</v>
      </c>
      <c r="C46" s="1792" t="s">
        <v>276</v>
      </c>
      <c r="D46" s="1847">
        <f t="shared" si="111"/>
        <v>0</v>
      </c>
      <c r="E46" s="1848">
        <f t="shared" si="100"/>
        <v>99999</v>
      </c>
      <c r="F46" s="1869" t="s">
        <v>10</v>
      </c>
      <c r="G46" s="1856"/>
      <c r="H46" s="1857" t="str">
        <f t="shared" si="112"/>
        <v>Proteína Não Degradável no Rúmen (g)</v>
      </c>
      <c r="I46" s="1834">
        <v>0</v>
      </c>
      <c r="J46" s="1835">
        <v>99999</v>
      </c>
      <c r="K46" s="1834">
        <v>0</v>
      </c>
      <c r="L46" s="1835">
        <v>99999</v>
      </c>
      <c r="M46" s="1834">
        <v>0</v>
      </c>
      <c r="N46" s="1835">
        <v>99999</v>
      </c>
      <c r="O46" s="1834">
        <v>0</v>
      </c>
      <c r="P46" s="1835">
        <v>99999</v>
      </c>
      <c r="Q46" s="1834">
        <v>0</v>
      </c>
      <c r="R46" s="1835">
        <v>99999</v>
      </c>
      <c r="S46" s="1834">
        <v>0</v>
      </c>
      <c r="T46" s="1835">
        <v>99999</v>
      </c>
      <c r="U46" s="1834">
        <v>0</v>
      </c>
      <c r="V46" s="1835">
        <v>99999</v>
      </c>
      <c r="W46" s="1834">
        <v>0</v>
      </c>
      <c r="X46" s="1835">
        <v>99999</v>
      </c>
      <c r="Y46" s="1834">
        <v>0</v>
      </c>
      <c r="Z46" s="1835">
        <v>99999</v>
      </c>
      <c r="AA46" s="1834">
        <v>0</v>
      </c>
      <c r="AB46" s="1835">
        <v>99999</v>
      </c>
      <c r="AC46" s="1834">
        <v>0</v>
      </c>
      <c r="AD46" s="1852">
        <v>99999</v>
      </c>
      <c r="AE46" s="1802"/>
      <c r="AF46" s="1803"/>
      <c r="AG46" s="1853">
        <v>0</v>
      </c>
      <c r="AH46" s="1835">
        <v>99999</v>
      </c>
      <c r="AI46" s="1834">
        <v>0</v>
      </c>
      <c r="AJ46" s="1835">
        <v>99999</v>
      </c>
      <c r="AK46" s="1834">
        <v>0</v>
      </c>
      <c r="AL46" s="1835">
        <v>99999</v>
      </c>
      <c r="AM46" s="1834">
        <v>0</v>
      </c>
      <c r="AN46" s="1835">
        <v>99999</v>
      </c>
      <c r="AO46" s="1834">
        <v>0</v>
      </c>
      <c r="AP46" s="1835">
        <v>99999</v>
      </c>
      <c r="AQ46" s="1834">
        <v>0</v>
      </c>
      <c r="AR46" s="1835">
        <v>99999</v>
      </c>
      <c r="AS46" s="1834">
        <f t="shared" si="101"/>
        <v>0</v>
      </c>
      <c r="AT46" s="1835">
        <f t="shared" si="102"/>
        <v>99999</v>
      </c>
      <c r="AU46" s="1834">
        <f t="shared" si="103"/>
        <v>0</v>
      </c>
      <c r="AV46" s="1835">
        <f t="shared" si="104"/>
        <v>99999</v>
      </c>
      <c r="AW46" s="1834">
        <v>0</v>
      </c>
      <c r="AX46" s="1835">
        <v>99999</v>
      </c>
      <c r="AY46" s="1834">
        <v>0</v>
      </c>
      <c r="AZ46" s="1835">
        <v>99999</v>
      </c>
      <c r="BA46" s="1834">
        <v>0</v>
      </c>
      <c r="BB46" s="1835">
        <v>99999</v>
      </c>
      <c r="BC46" s="1834">
        <v>0</v>
      </c>
      <c r="BD46" s="1835">
        <v>99999</v>
      </c>
      <c r="BE46" s="1834">
        <v>0</v>
      </c>
      <c r="BF46" s="1835">
        <v>99999</v>
      </c>
      <c r="BG46" s="1834">
        <v>0</v>
      </c>
      <c r="BH46" s="1835">
        <v>99999</v>
      </c>
      <c r="BI46" s="1834">
        <v>0</v>
      </c>
      <c r="BJ46" s="1835">
        <v>99999</v>
      </c>
      <c r="BK46" s="1834">
        <v>0</v>
      </c>
      <c r="BL46" s="1835">
        <v>99999</v>
      </c>
      <c r="BM46" s="1834">
        <v>0</v>
      </c>
      <c r="BN46" s="1835">
        <v>99999</v>
      </c>
      <c r="BO46" s="1834">
        <v>0</v>
      </c>
      <c r="BP46" s="1835">
        <v>99999</v>
      </c>
      <c r="BQ46" s="1834">
        <v>0</v>
      </c>
      <c r="BR46" s="1835">
        <v>99999</v>
      </c>
      <c r="BS46" s="1834">
        <v>0</v>
      </c>
      <c r="BT46" s="1835">
        <v>99999</v>
      </c>
      <c r="BU46" s="1834">
        <v>0</v>
      </c>
      <c r="BV46" s="1835">
        <v>99999</v>
      </c>
      <c r="BW46" s="1834">
        <v>0</v>
      </c>
      <c r="BX46" s="1835">
        <v>99999</v>
      </c>
      <c r="BY46" s="1834">
        <v>0</v>
      </c>
      <c r="BZ46" s="1835">
        <v>99999</v>
      </c>
      <c r="CA46" s="1834">
        <v>0</v>
      </c>
      <c r="CB46" s="1835">
        <v>99999</v>
      </c>
      <c r="CC46" s="1834">
        <v>0</v>
      </c>
      <c r="CD46" s="1835">
        <v>99999</v>
      </c>
      <c r="CE46" s="1834">
        <v>0</v>
      </c>
      <c r="CF46" s="1835">
        <v>99999</v>
      </c>
      <c r="CG46" s="1834">
        <v>0</v>
      </c>
      <c r="CH46" s="1835">
        <v>99999</v>
      </c>
      <c r="CI46" s="1834">
        <v>0</v>
      </c>
      <c r="CJ46" s="1835">
        <v>99999</v>
      </c>
      <c r="CK46" s="1834">
        <v>0</v>
      </c>
      <c r="CL46" s="1835">
        <v>99999</v>
      </c>
      <c r="CM46" s="1832">
        <v>0</v>
      </c>
      <c r="CN46" s="1832">
        <v>99999</v>
      </c>
      <c r="CO46" s="1834">
        <v>0</v>
      </c>
      <c r="CP46" s="1835">
        <v>99999</v>
      </c>
      <c r="CQ46" s="1834">
        <v>0</v>
      </c>
      <c r="CR46" s="1835">
        <v>99999</v>
      </c>
      <c r="CS46" s="1834">
        <v>0</v>
      </c>
      <c r="CT46" s="1835">
        <v>99999</v>
      </c>
      <c r="CU46" s="1834">
        <v>0</v>
      </c>
      <c r="CV46" s="1835">
        <v>99999</v>
      </c>
      <c r="CW46" s="1834">
        <v>0</v>
      </c>
      <c r="CX46" s="1835">
        <v>99999</v>
      </c>
      <c r="CY46" s="1834">
        <v>0</v>
      </c>
      <c r="CZ46" s="1835">
        <v>99999</v>
      </c>
      <c r="DA46" s="1834">
        <v>0</v>
      </c>
      <c r="DB46" s="1835">
        <v>99999</v>
      </c>
      <c r="DC46" s="1834">
        <v>0</v>
      </c>
      <c r="DD46" s="1835">
        <v>99999</v>
      </c>
      <c r="DE46" s="1832">
        <v>0</v>
      </c>
      <c r="DF46" s="1832">
        <v>99999</v>
      </c>
      <c r="DG46" s="1834">
        <v>0</v>
      </c>
      <c r="DH46" s="1835">
        <v>99999</v>
      </c>
      <c r="DI46" s="1834">
        <v>0</v>
      </c>
      <c r="DJ46" s="1835">
        <v>99999</v>
      </c>
      <c r="DK46" s="1834">
        <v>0</v>
      </c>
      <c r="DL46" s="1835">
        <v>99999</v>
      </c>
      <c r="DM46" s="1834">
        <v>0</v>
      </c>
      <c r="DN46" s="1835">
        <v>99999</v>
      </c>
      <c r="DO46" s="1834">
        <v>0</v>
      </c>
      <c r="DP46" s="1835">
        <v>99999</v>
      </c>
      <c r="DQ46" s="1834">
        <v>0</v>
      </c>
      <c r="DR46" s="1835">
        <v>99999</v>
      </c>
      <c r="DS46" s="1834">
        <v>0</v>
      </c>
      <c r="DT46" s="1835">
        <v>99999</v>
      </c>
      <c r="DU46" s="1834">
        <v>0</v>
      </c>
      <c r="DV46" s="1835">
        <v>99999</v>
      </c>
      <c r="DW46" s="1834">
        <v>0</v>
      </c>
      <c r="DX46" s="1835">
        <v>99999</v>
      </c>
      <c r="DY46" s="1834">
        <v>0</v>
      </c>
      <c r="DZ46" s="1855">
        <v>99999</v>
      </c>
      <c r="EA46" s="1856"/>
      <c r="EB46" s="1856"/>
      <c r="EC46" s="1856"/>
      <c r="ED46" s="1856"/>
      <c r="EE46" s="1856"/>
      <c r="EF46" s="1856"/>
      <c r="EG46" s="1856"/>
      <c r="EH46" s="1856"/>
      <c r="EI46" s="1856"/>
    </row>
    <row r="47" spans="2:250" s="1774" customFormat="1" ht="14.25" customHeight="1">
      <c r="B47" s="1791" t="s">
        <v>327</v>
      </c>
      <c r="C47" s="1792"/>
      <c r="D47" s="1847">
        <f t="shared" si="111"/>
        <v>0</v>
      </c>
      <c r="E47" s="1848">
        <f t="shared" si="100"/>
        <v>99999</v>
      </c>
      <c r="F47" s="1869" t="s">
        <v>10</v>
      </c>
      <c r="G47" s="1856"/>
      <c r="H47" s="1857" t="str">
        <f t="shared" si="112"/>
        <v>PB Fração Solúvel A (g)</v>
      </c>
      <c r="I47" s="1834">
        <v>0</v>
      </c>
      <c r="J47" s="1835">
        <v>99999</v>
      </c>
      <c r="K47" s="1834">
        <v>0</v>
      </c>
      <c r="L47" s="1835">
        <v>99999</v>
      </c>
      <c r="M47" s="1834">
        <v>0</v>
      </c>
      <c r="N47" s="1835">
        <v>99999</v>
      </c>
      <c r="O47" s="1834">
        <v>0</v>
      </c>
      <c r="P47" s="1835">
        <v>99999</v>
      </c>
      <c r="Q47" s="1834">
        <v>0</v>
      </c>
      <c r="R47" s="1835">
        <v>99999</v>
      </c>
      <c r="S47" s="1834">
        <v>0</v>
      </c>
      <c r="T47" s="1835">
        <v>99999</v>
      </c>
      <c r="U47" s="1834">
        <v>0</v>
      </c>
      <c r="V47" s="1835">
        <v>99999</v>
      </c>
      <c r="W47" s="1834">
        <v>0</v>
      </c>
      <c r="X47" s="1835">
        <v>99999</v>
      </c>
      <c r="Y47" s="1834">
        <v>0</v>
      </c>
      <c r="Z47" s="1835">
        <v>99999</v>
      </c>
      <c r="AA47" s="1834">
        <v>0</v>
      </c>
      <c r="AB47" s="1835">
        <v>99999</v>
      </c>
      <c r="AC47" s="1834">
        <v>0</v>
      </c>
      <c r="AD47" s="1852">
        <v>99999</v>
      </c>
      <c r="AE47" s="1802"/>
      <c r="AF47" s="1803"/>
      <c r="AG47" s="1853">
        <v>0</v>
      </c>
      <c r="AH47" s="1835">
        <v>99999</v>
      </c>
      <c r="AI47" s="1834">
        <v>0</v>
      </c>
      <c r="AJ47" s="1835">
        <v>99999</v>
      </c>
      <c r="AK47" s="1834">
        <v>0</v>
      </c>
      <c r="AL47" s="1835">
        <v>99999</v>
      </c>
      <c r="AM47" s="1834">
        <v>0</v>
      </c>
      <c r="AN47" s="1835">
        <v>99999</v>
      </c>
      <c r="AO47" s="1834">
        <v>0</v>
      </c>
      <c r="AP47" s="1835">
        <v>99999</v>
      </c>
      <c r="AQ47" s="1834">
        <v>0</v>
      </c>
      <c r="AR47" s="1835">
        <v>99999</v>
      </c>
      <c r="AS47" s="1834">
        <f t="shared" si="101"/>
        <v>0</v>
      </c>
      <c r="AT47" s="1835">
        <f t="shared" si="102"/>
        <v>99999</v>
      </c>
      <c r="AU47" s="1834">
        <f t="shared" si="103"/>
        <v>0</v>
      </c>
      <c r="AV47" s="1835">
        <f t="shared" si="104"/>
        <v>99999</v>
      </c>
      <c r="AW47" s="1834">
        <v>0</v>
      </c>
      <c r="AX47" s="1835">
        <v>99999</v>
      </c>
      <c r="AY47" s="1834">
        <v>0</v>
      </c>
      <c r="AZ47" s="1835">
        <v>99999</v>
      </c>
      <c r="BA47" s="1834">
        <v>0</v>
      </c>
      <c r="BB47" s="1835">
        <v>99999</v>
      </c>
      <c r="BC47" s="1834">
        <v>0</v>
      </c>
      <c r="BD47" s="1835">
        <v>99999</v>
      </c>
      <c r="BE47" s="1834">
        <v>0</v>
      </c>
      <c r="BF47" s="1835">
        <v>99999</v>
      </c>
      <c r="BG47" s="1834">
        <v>0</v>
      </c>
      <c r="BH47" s="1835">
        <v>99999</v>
      </c>
      <c r="BI47" s="1834">
        <v>0</v>
      </c>
      <c r="BJ47" s="1835">
        <v>99999</v>
      </c>
      <c r="BK47" s="1834">
        <v>0</v>
      </c>
      <c r="BL47" s="1835">
        <v>99999</v>
      </c>
      <c r="BM47" s="1834">
        <v>0</v>
      </c>
      <c r="BN47" s="1835">
        <v>99999</v>
      </c>
      <c r="BO47" s="1834">
        <v>0</v>
      </c>
      <c r="BP47" s="1835">
        <v>99999</v>
      </c>
      <c r="BQ47" s="1834">
        <v>0</v>
      </c>
      <c r="BR47" s="1835">
        <v>99999</v>
      </c>
      <c r="BS47" s="1834">
        <v>0</v>
      </c>
      <c r="BT47" s="1835">
        <v>99999</v>
      </c>
      <c r="BU47" s="1834">
        <v>0</v>
      </c>
      <c r="BV47" s="1835">
        <v>99999</v>
      </c>
      <c r="BW47" s="1834">
        <v>0</v>
      </c>
      <c r="BX47" s="1835">
        <v>99999</v>
      </c>
      <c r="BY47" s="1834">
        <v>0</v>
      </c>
      <c r="BZ47" s="1835">
        <v>99999</v>
      </c>
      <c r="CA47" s="1834">
        <v>0</v>
      </c>
      <c r="CB47" s="1835">
        <v>99999</v>
      </c>
      <c r="CC47" s="1834">
        <v>0</v>
      </c>
      <c r="CD47" s="1835">
        <v>99999</v>
      </c>
      <c r="CE47" s="1834">
        <v>0</v>
      </c>
      <c r="CF47" s="1835">
        <v>99999</v>
      </c>
      <c r="CG47" s="1834">
        <v>0</v>
      </c>
      <c r="CH47" s="1835">
        <v>99999</v>
      </c>
      <c r="CI47" s="1834">
        <v>0</v>
      </c>
      <c r="CJ47" s="1835">
        <v>99999</v>
      </c>
      <c r="CK47" s="1834">
        <v>0</v>
      </c>
      <c r="CL47" s="1835">
        <v>99999</v>
      </c>
      <c r="CM47" s="1832">
        <v>0</v>
      </c>
      <c r="CN47" s="1832">
        <v>99999</v>
      </c>
      <c r="CO47" s="1834">
        <v>0</v>
      </c>
      <c r="CP47" s="1835">
        <v>99999</v>
      </c>
      <c r="CQ47" s="1834">
        <v>0</v>
      </c>
      <c r="CR47" s="1835">
        <v>99999</v>
      </c>
      <c r="CS47" s="1834">
        <v>0</v>
      </c>
      <c r="CT47" s="1835">
        <v>99999</v>
      </c>
      <c r="CU47" s="1834">
        <v>0</v>
      </c>
      <c r="CV47" s="1835">
        <v>99999</v>
      </c>
      <c r="CW47" s="1834">
        <v>0</v>
      </c>
      <c r="CX47" s="1835">
        <v>99999</v>
      </c>
      <c r="CY47" s="1834">
        <v>0</v>
      </c>
      <c r="CZ47" s="1835">
        <v>99999</v>
      </c>
      <c r="DA47" s="1834">
        <v>0</v>
      </c>
      <c r="DB47" s="1835">
        <v>99999</v>
      </c>
      <c r="DC47" s="1834">
        <v>0</v>
      </c>
      <c r="DD47" s="1835">
        <v>99999</v>
      </c>
      <c r="DE47" s="1832">
        <v>0</v>
      </c>
      <c r="DF47" s="1832">
        <v>99999</v>
      </c>
      <c r="DG47" s="1834">
        <v>0</v>
      </c>
      <c r="DH47" s="1835">
        <v>99999</v>
      </c>
      <c r="DI47" s="1834">
        <v>0</v>
      </c>
      <c r="DJ47" s="1835">
        <v>99999</v>
      </c>
      <c r="DK47" s="1834">
        <v>0</v>
      </c>
      <c r="DL47" s="1835">
        <v>99999</v>
      </c>
      <c r="DM47" s="1834">
        <v>0</v>
      </c>
      <c r="DN47" s="1835">
        <v>99999</v>
      </c>
      <c r="DO47" s="1834">
        <v>0</v>
      </c>
      <c r="DP47" s="1835">
        <v>99999</v>
      </c>
      <c r="DQ47" s="1834">
        <v>0</v>
      </c>
      <c r="DR47" s="1835">
        <v>99999</v>
      </c>
      <c r="DS47" s="1834">
        <v>0</v>
      </c>
      <c r="DT47" s="1835">
        <v>99999</v>
      </c>
      <c r="DU47" s="1834">
        <v>0</v>
      </c>
      <c r="DV47" s="1835">
        <v>99999</v>
      </c>
      <c r="DW47" s="1834">
        <v>0</v>
      </c>
      <c r="DX47" s="1835">
        <v>99999</v>
      </c>
      <c r="DY47" s="1834">
        <v>0</v>
      </c>
      <c r="DZ47" s="1855">
        <v>99999</v>
      </c>
      <c r="EA47" s="1856"/>
      <c r="EB47" s="1856"/>
      <c r="EC47" s="1856"/>
      <c r="ED47" s="1856"/>
      <c r="EE47" s="1856"/>
      <c r="EF47" s="1856"/>
      <c r="EG47" s="1856"/>
      <c r="EH47" s="1856"/>
      <c r="EI47" s="1856"/>
    </row>
    <row r="48" spans="2:250" s="1774" customFormat="1" ht="14.25" customHeight="1">
      <c r="B48" s="1791" t="s">
        <v>328</v>
      </c>
      <c r="C48" s="1792"/>
      <c r="D48" s="1847">
        <f t="shared" si="111"/>
        <v>0</v>
      </c>
      <c r="E48" s="1848">
        <f t="shared" si="100"/>
        <v>99999</v>
      </c>
      <c r="F48" s="1869" t="s">
        <v>10</v>
      </c>
      <c r="G48" s="1856"/>
      <c r="H48" s="1857" t="str">
        <f t="shared" si="112"/>
        <v>PB Fração Degradável B (g)</v>
      </c>
      <c r="I48" s="1834">
        <v>0</v>
      </c>
      <c r="J48" s="1835">
        <v>99999</v>
      </c>
      <c r="K48" s="1834">
        <v>0</v>
      </c>
      <c r="L48" s="1835">
        <v>99999</v>
      </c>
      <c r="M48" s="1834">
        <v>0</v>
      </c>
      <c r="N48" s="1835">
        <v>99999</v>
      </c>
      <c r="O48" s="1834">
        <v>0</v>
      </c>
      <c r="P48" s="1835">
        <v>99999</v>
      </c>
      <c r="Q48" s="1834">
        <v>0</v>
      </c>
      <c r="R48" s="1835">
        <v>99999</v>
      </c>
      <c r="S48" s="1834">
        <v>0</v>
      </c>
      <c r="T48" s="1835">
        <v>99999</v>
      </c>
      <c r="U48" s="1834">
        <v>0</v>
      </c>
      <c r="V48" s="1835">
        <v>99999</v>
      </c>
      <c r="W48" s="1834">
        <v>0</v>
      </c>
      <c r="X48" s="1835">
        <v>99999</v>
      </c>
      <c r="Y48" s="1834">
        <v>0</v>
      </c>
      <c r="Z48" s="1835">
        <v>99999</v>
      </c>
      <c r="AA48" s="1834">
        <v>0</v>
      </c>
      <c r="AB48" s="1835">
        <v>99999</v>
      </c>
      <c r="AC48" s="1834">
        <v>0</v>
      </c>
      <c r="AD48" s="1852">
        <v>99999</v>
      </c>
      <c r="AE48" s="1802"/>
      <c r="AF48" s="1803"/>
      <c r="AG48" s="1853">
        <v>0</v>
      </c>
      <c r="AH48" s="1835">
        <v>99999</v>
      </c>
      <c r="AI48" s="1834">
        <v>0</v>
      </c>
      <c r="AJ48" s="1835">
        <v>99999</v>
      </c>
      <c r="AK48" s="1834">
        <v>0</v>
      </c>
      <c r="AL48" s="1835">
        <v>99999</v>
      </c>
      <c r="AM48" s="1834">
        <v>0</v>
      </c>
      <c r="AN48" s="1835">
        <v>99999</v>
      </c>
      <c r="AO48" s="1834">
        <v>0</v>
      </c>
      <c r="AP48" s="1835">
        <v>99999</v>
      </c>
      <c r="AQ48" s="1834">
        <v>0</v>
      </c>
      <c r="AR48" s="1835">
        <v>99999</v>
      </c>
      <c r="AS48" s="1834">
        <f t="shared" si="101"/>
        <v>0</v>
      </c>
      <c r="AT48" s="1835">
        <f t="shared" si="102"/>
        <v>99999</v>
      </c>
      <c r="AU48" s="1834">
        <f t="shared" si="103"/>
        <v>0</v>
      </c>
      <c r="AV48" s="1835">
        <f t="shared" si="104"/>
        <v>99999</v>
      </c>
      <c r="AW48" s="1834">
        <v>0</v>
      </c>
      <c r="AX48" s="1835">
        <v>99999</v>
      </c>
      <c r="AY48" s="1834">
        <v>0</v>
      </c>
      <c r="AZ48" s="1835">
        <v>99999</v>
      </c>
      <c r="BA48" s="1834">
        <v>0</v>
      </c>
      <c r="BB48" s="1835">
        <v>99999</v>
      </c>
      <c r="BC48" s="1834">
        <v>0</v>
      </c>
      <c r="BD48" s="1835">
        <v>99999</v>
      </c>
      <c r="BE48" s="1834">
        <v>0</v>
      </c>
      <c r="BF48" s="1835">
        <v>99999</v>
      </c>
      <c r="BG48" s="1834">
        <v>0</v>
      </c>
      <c r="BH48" s="1835">
        <v>99999</v>
      </c>
      <c r="BI48" s="1834">
        <v>0</v>
      </c>
      <c r="BJ48" s="1835">
        <v>99999</v>
      </c>
      <c r="BK48" s="1834">
        <v>0</v>
      </c>
      <c r="BL48" s="1835">
        <v>99999</v>
      </c>
      <c r="BM48" s="1834">
        <v>0</v>
      </c>
      <c r="BN48" s="1835">
        <v>99999</v>
      </c>
      <c r="BO48" s="1834">
        <v>0</v>
      </c>
      <c r="BP48" s="1835">
        <v>99999</v>
      </c>
      <c r="BQ48" s="1834">
        <v>0</v>
      </c>
      <c r="BR48" s="1835">
        <v>99999</v>
      </c>
      <c r="BS48" s="1834">
        <v>0</v>
      </c>
      <c r="BT48" s="1835">
        <v>99999</v>
      </c>
      <c r="BU48" s="1834">
        <v>0</v>
      </c>
      <c r="BV48" s="1835">
        <v>99999</v>
      </c>
      <c r="BW48" s="1834">
        <v>0</v>
      </c>
      <c r="BX48" s="1835">
        <v>99999</v>
      </c>
      <c r="BY48" s="1834">
        <v>0</v>
      </c>
      <c r="BZ48" s="1835">
        <v>99999</v>
      </c>
      <c r="CA48" s="1834">
        <v>0</v>
      </c>
      <c r="CB48" s="1835">
        <v>99999</v>
      </c>
      <c r="CC48" s="1834">
        <v>0</v>
      </c>
      <c r="CD48" s="1835">
        <v>99999</v>
      </c>
      <c r="CE48" s="1834">
        <v>0</v>
      </c>
      <c r="CF48" s="1835">
        <v>99999</v>
      </c>
      <c r="CG48" s="1834">
        <v>0</v>
      </c>
      <c r="CH48" s="1835">
        <v>99999</v>
      </c>
      <c r="CI48" s="1834">
        <v>0</v>
      </c>
      <c r="CJ48" s="1835">
        <v>99999</v>
      </c>
      <c r="CK48" s="1834">
        <v>0</v>
      </c>
      <c r="CL48" s="1835">
        <v>99999</v>
      </c>
      <c r="CM48" s="1832">
        <v>0</v>
      </c>
      <c r="CN48" s="1832">
        <v>99999</v>
      </c>
      <c r="CO48" s="1834">
        <v>0</v>
      </c>
      <c r="CP48" s="1835">
        <v>99999</v>
      </c>
      <c r="CQ48" s="1834">
        <v>0</v>
      </c>
      <c r="CR48" s="1835">
        <v>99999</v>
      </c>
      <c r="CS48" s="1834">
        <v>0</v>
      </c>
      <c r="CT48" s="1835">
        <v>99999</v>
      </c>
      <c r="CU48" s="1834">
        <v>0</v>
      </c>
      <c r="CV48" s="1835">
        <v>99999</v>
      </c>
      <c r="CW48" s="1834">
        <v>0</v>
      </c>
      <c r="CX48" s="1835">
        <v>99999</v>
      </c>
      <c r="CY48" s="1834">
        <v>0</v>
      </c>
      <c r="CZ48" s="1835">
        <v>99999</v>
      </c>
      <c r="DA48" s="1834">
        <v>0</v>
      </c>
      <c r="DB48" s="1835">
        <v>99999</v>
      </c>
      <c r="DC48" s="1834">
        <v>0</v>
      </c>
      <c r="DD48" s="1835">
        <v>99999</v>
      </c>
      <c r="DE48" s="1832">
        <v>0</v>
      </c>
      <c r="DF48" s="1832">
        <v>99999</v>
      </c>
      <c r="DG48" s="1834">
        <v>0</v>
      </c>
      <c r="DH48" s="1835">
        <v>99999</v>
      </c>
      <c r="DI48" s="1834">
        <v>0</v>
      </c>
      <c r="DJ48" s="1835">
        <v>99999</v>
      </c>
      <c r="DK48" s="1834">
        <v>0</v>
      </c>
      <c r="DL48" s="1835">
        <v>99999</v>
      </c>
      <c r="DM48" s="1834">
        <v>0</v>
      </c>
      <c r="DN48" s="1835">
        <v>99999</v>
      </c>
      <c r="DO48" s="1834">
        <v>0</v>
      </c>
      <c r="DP48" s="1835">
        <v>99999</v>
      </c>
      <c r="DQ48" s="1834">
        <v>0</v>
      </c>
      <c r="DR48" s="1835">
        <v>99999</v>
      </c>
      <c r="DS48" s="1834">
        <v>0</v>
      </c>
      <c r="DT48" s="1835">
        <v>99999</v>
      </c>
      <c r="DU48" s="1834">
        <v>0</v>
      </c>
      <c r="DV48" s="1835">
        <v>99999</v>
      </c>
      <c r="DW48" s="1834">
        <v>0</v>
      </c>
      <c r="DX48" s="1835">
        <v>99999</v>
      </c>
      <c r="DY48" s="1834">
        <v>0</v>
      </c>
      <c r="DZ48" s="1855">
        <v>99999</v>
      </c>
      <c r="EA48" s="1856"/>
      <c r="EB48" s="1856"/>
      <c r="EC48" s="1856"/>
      <c r="ED48" s="1856"/>
      <c r="EE48" s="1856"/>
      <c r="EF48" s="1856"/>
      <c r="EG48" s="1856"/>
      <c r="EH48" s="1856"/>
      <c r="EI48" s="1856"/>
    </row>
    <row r="49" spans="2:223" s="1774" customFormat="1" ht="14.25" customHeight="1">
      <c r="B49" s="1791" t="s">
        <v>4</v>
      </c>
      <c r="C49" s="1792"/>
      <c r="D49" s="1847">
        <f t="shared" si="111"/>
        <v>0</v>
      </c>
      <c r="E49" s="1848">
        <f t="shared" si="100"/>
        <v>99999</v>
      </c>
      <c r="F49" s="1830" t="s">
        <v>7</v>
      </c>
      <c r="H49" s="1857" t="str">
        <f t="shared" si="112"/>
        <v>Concentrado (kg)</v>
      </c>
      <c r="I49" s="1834">
        <v>0</v>
      </c>
      <c r="J49" s="1835">
        <v>99999</v>
      </c>
      <c r="K49" s="1834">
        <v>0</v>
      </c>
      <c r="L49" s="1835">
        <v>99999</v>
      </c>
      <c r="M49" s="1834">
        <v>0</v>
      </c>
      <c r="N49" s="1835">
        <v>99999</v>
      </c>
      <c r="O49" s="1834">
        <v>0</v>
      </c>
      <c r="P49" s="1835">
        <v>99999</v>
      </c>
      <c r="Q49" s="1834">
        <v>0</v>
      </c>
      <c r="R49" s="1835">
        <v>99999</v>
      </c>
      <c r="S49" s="1834">
        <v>0</v>
      </c>
      <c r="T49" s="1835">
        <v>99999</v>
      </c>
      <c r="U49" s="1834">
        <v>0</v>
      </c>
      <c r="V49" s="1835">
        <v>99999</v>
      </c>
      <c r="W49" s="1834">
        <v>0</v>
      </c>
      <c r="X49" s="1835">
        <v>99999</v>
      </c>
      <c r="Y49" s="1834">
        <v>0</v>
      </c>
      <c r="Z49" s="1835">
        <v>99999</v>
      </c>
      <c r="AA49" s="1834">
        <v>0</v>
      </c>
      <c r="AB49" s="1835">
        <v>99999</v>
      </c>
      <c r="AC49" s="1834">
        <v>0</v>
      </c>
      <c r="AD49" s="1852">
        <v>99999</v>
      </c>
      <c r="AE49" s="1802"/>
      <c r="AF49" s="1803"/>
      <c r="AG49" s="1853">
        <v>0</v>
      </c>
      <c r="AH49" s="1835">
        <v>99999</v>
      </c>
      <c r="AI49" s="1834">
        <v>0</v>
      </c>
      <c r="AJ49" s="1835">
        <v>99999</v>
      </c>
      <c r="AK49" s="1834">
        <v>0</v>
      </c>
      <c r="AL49" s="1835">
        <v>99999</v>
      </c>
      <c r="AM49" s="1834">
        <v>0</v>
      </c>
      <c r="AN49" s="1835">
        <v>99999</v>
      </c>
      <c r="AO49" s="1834">
        <v>0</v>
      </c>
      <c r="AP49" s="1835">
        <v>99999</v>
      </c>
      <c r="AQ49" s="1834">
        <v>0</v>
      </c>
      <c r="AR49" s="1835">
        <v>99999</v>
      </c>
      <c r="AS49" s="1834">
        <f t="shared" si="101"/>
        <v>0</v>
      </c>
      <c r="AT49" s="1835">
        <f t="shared" si="102"/>
        <v>99999</v>
      </c>
      <c r="AU49" s="1834">
        <f t="shared" si="103"/>
        <v>0</v>
      </c>
      <c r="AV49" s="1835">
        <f t="shared" si="104"/>
        <v>99999</v>
      </c>
      <c r="AW49" s="1834">
        <v>0</v>
      </c>
      <c r="AX49" s="1835">
        <v>99999</v>
      </c>
      <c r="AY49" s="1834">
        <v>0</v>
      </c>
      <c r="AZ49" s="1835">
        <v>99999</v>
      </c>
      <c r="BA49" s="1834">
        <v>0</v>
      </c>
      <c r="BB49" s="1835">
        <v>99999</v>
      </c>
      <c r="BC49" s="1834">
        <v>0</v>
      </c>
      <c r="BD49" s="1835">
        <v>99999</v>
      </c>
      <c r="BE49" s="1834">
        <v>0</v>
      </c>
      <c r="BF49" s="1835">
        <v>99999</v>
      </c>
      <c r="BG49" s="1834">
        <v>0</v>
      </c>
      <c r="BH49" s="1835">
        <v>99999</v>
      </c>
      <c r="BI49" s="1834">
        <v>0</v>
      </c>
      <c r="BJ49" s="1835">
        <v>99999</v>
      </c>
      <c r="BK49" s="1834">
        <v>0</v>
      </c>
      <c r="BL49" s="1835">
        <v>99999</v>
      </c>
      <c r="BM49" s="1834">
        <v>0</v>
      </c>
      <c r="BN49" s="1835">
        <v>99999</v>
      </c>
      <c r="BO49" s="1834">
        <v>0</v>
      </c>
      <c r="BP49" s="1835">
        <v>99999</v>
      </c>
      <c r="BQ49" s="1834">
        <v>0</v>
      </c>
      <c r="BR49" s="1835">
        <v>99999</v>
      </c>
      <c r="BS49" s="1834">
        <v>0</v>
      </c>
      <c r="BT49" s="1835">
        <v>99999</v>
      </c>
      <c r="BU49" s="1834">
        <v>0</v>
      </c>
      <c r="BV49" s="1835">
        <v>99999</v>
      </c>
      <c r="BW49" s="1834">
        <v>0</v>
      </c>
      <c r="BX49" s="1835">
        <v>99999</v>
      </c>
      <c r="BY49" s="1834">
        <v>0</v>
      </c>
      <c r="BZ49" s="1835">
        <v>99999</v>
      </c>
      <c r="CA49" s="1834">
        <v>0</v>
      </c>
      <c r="CB49" s="1835">
        <v>99999</v>
      </c>
      <c r="CC49" s="1834">
        <v>0</v>
      </c>
      <c r="CD49" s="1835">
        <v>99999</v>
      </c>
      <c r="CE49" s="1834">
        <v>0</v>
      </c>
      <c r="CF49" s="1835">
        <v>99999</v>
      </c>
      <c r="CG49" s="1834">
        <v>0</v>
      </c>
      <c r="CH49" s="1835">
        <v>99999</v>
      </c>
      <c r="CI49" s="1834">
        <v>0</v>
      </c>
      <c r="CJ49" s="1835">
        <v>99999</v>
      </c>
      <c r="CK49" s="1834">
        <v>0</v>
      </c>
      <c r="CL49" s="1835">
        <v>99999</v>
      </c>
      <c r="CM49" s="1832">
        <v>0</v>
      </c>
      <c r="CN49" s="1832">
        <v>99999</v>
      </c>
      <c r="CO49" s="1834">
        <v>0</v>
      </c>
      <c r="CP49" s="1835">
        <v>99999</v>
      </c>
      <c r="CQ49" s="1834">
        <v>0</v>
      </c>
      <c r="CR49" s="1835">
        <v>99999</v>
      </c>
      <c r="CS49" s="1834">
        <v>0</v>
      </c>
      <c r="CT49" s="1835">
        <v>99999</v>
      </c>
      <c r="CU49" s="1834">
        <v>0</v>
      </c>
      <c r="CV49" s="1835">
        <v>99999</v>
      </c>
      <c r="CW49" s="1834">
        <v>0</v>
      </c>
      <c r="CX49" s="1835">
        <v>99999</v>
      </c>
      <c r="CY49" s="1834">
        <v>0</v>
      </c>
      <c r="CZ49" s="1835">
        <v>99999</v>
      </c>
      <c r="DA49" s="1834">
        <v>0</v>
      </c>
      <c r="DB49" s="1835">
        <v>99999</v>
      </c>
      <c r="DC49" s="1834">
        <v>0</v>
      </c>
      <c r="DD49" s="1835">
        <v>99999</v>
      </c>
      <c r="DE49" s="1832">
        <v>0</v>
      </c>
      <c r="DF49" s="1832">
        <v>99999</v>
      </c>
      <c r="DG49" s="1834">
        <v>0</v>
      </c>
      <c r="DH49" s="1835">
        <v>99999</v>
      </c>
      <c r="DI49" s="1834">
        <v>0</v>
      </c>
      <c r="DJ49" s="1835">
        <v>99999</v>
      </c>
      <c r="DK49" s="1834">
        <v>0</v>
      </c>
      <c r="DL49" s="1835">
        <v>99999</v>
      </c>
      <c r="DM49" s="1834">
        <v>0</v>
      </c>
      <c r="DN49" s="1835">
        <v>99999</v>
      </c>
      <c r="DO49" s="1834">
        <v>0</v>
      </c>
      <c r="DP49" s="1835">
        <v>99999</v>
      </c>
      <c r="DQ49" s="1834">
        <v>0</v>
      </c>
      <c r="DR49" s="1835">
        <v>99999</v>
      </c>
      <c r="DS49" s="1834">
        <v>0</v>
      </c>
      <c r="DT49" s="1835">
        <v>99999</v>
      </c>
      <c r="DU49" s="1834">
        <v>0</v>
      </c>
      <c r="DV49" s="1835">
        <v>99999</v>
      </c>
      <c r="DW49" s="1834">
        <v>0</v>
      </c>
      <c r="DX49" s="1835">
        <v>99999</v>
      </c>
      <c r="DY49" s="1834">
        <v>0</v>
      </c>
      <c r="DZ49" s="1855">
        <v>99999</v>
      </c>
    </row>
    <row r="50" spans="2:223" s="1774" customFormat="1" ht="14.25" customHeight="1">
      <c r="B50" s="1791" t="s">
        <v>271</v>
      </c>
      <c r="C50" s="1792" t="s">
        <v>272</v>
      </c>
      <c r="D50" s="1847">
        <f t="shared" si="111"/>
        <v>0</v>
      </c>
      <c r="E50" s="1848">
        <f t="shared" si="100"/>
        <v>99999</v>
      </c>
      <c r="F50" s="1830" t="s">
        <v>10</v>
      </c>
      <c r="H50" s="1857" t="str">
        <f t="shared" si="112"/>
        <v>Proteína Metabolizável (g)</v>
      </c>
      <c r="I50" s="1834">
        <v>0</v>
      </c>
      <c r="J50" s="1835">
        <v>99999</v>
      </c>
      <c r="K50" s="1834">
        <v>0</v>
      </c>
      <c r="L50" s="1835">
        <v>99999</v>
      </c>
      <c r="M50" s="1834">
        <v>0</v>
      </c>
      <c r="N50" s="1835">
        <v>99999</v>
      </c>
      <c r="O50" s="1834">
        <v>0</v>
      </c>
      <c r="P50" s="1835">
        <v>99999</v>
      </c>
      <c r="Q50" s="1834">
        <v>0</v>
      </c>
      <c r="R50" s="1835">
        <v>99999</v>
      </c>
      <c r="S50" s="1834">
        <v>0</v>
      </c>
      <c r="T50" s="1835">
        <v>99999</v>
      </c>
      <c r="U50" s="1834">
        <v>0</v>
      </c>
      <c r="V50" s="1835">
        <v>99999</v>
      </c>
      <c r="W50" s="1834">
        <v>0</v>
      </c>
      <c r="X50" s="1835">
        <v>99999</v>
      </c>
      <c r="Y50" s="1834">
        <v>0</v>
      </c>
      <c r="Z50" s="1835">
        <v>99999</v>
      </c>
      <c r="AA50" s="1834">
        <v>0</v>
      </c>
      <c r="AB50" s="1835">
        <v>99999</v>
      </c>
      <c r="AC50" s="1834">
        <v>0</v>
      </c>
      <c r="AD50" s="1852">
        <v>99999</v>
      </c>
      <c r="AE50" s="1802"/>
      <c r="AF50" s="1803"/>
      <c r="AG50" s="1853">
        <v>0</v>
      </c>
      <c r="AH50" s="1835">
        <v>99999</v>
      </c>
      <c r="AI50" s="1834">
        <v>0</v>
      </c>
      <c r="AJ50" s="1835">
        <v>99999</v>
      </c>
      <c r="AK50" s="1834">
        <v>0</v>
      </c>
      <c r="AL50" s="1835">
        <v>99999</v>
      </c>
      <c r="AM50" s="1834">
        <v>0</v>
      </c>
      <c r="AN50" s="1835">
        <v>99999</v>
      </c>
      <c r="AO50" s="1834">
        <v>0</v>
      </c>
      <c r="AP50" s="1835">
        <v>99999</v>
      </c>
      <c r="AQ50" s="1834">
        <v>0</v>
      </c>
      <c r="AR50" s="1835">
        <v>99999</v>
      </c>
      <c r="AS50" s="1834">
        <f t="shared" si="101"/>
        <v>0</v>
      </c>
      <c r="AT50" s="1835">
        <f t="shared" si="102"/>
        <v>99999</v>
      </c>
      <c r="AU50" s="1834">
        <f t="shared" si="103"/>
        <v>0</v>
      </c>
      <c r="AV50" s="1835">
        <f t="shared" si="104"/>
        <v>99999</v>
      </c>
      <c r="AW50" s="1834">
        <v>0</v>
      </c>
      <c r="AX50" s="1835">
        <v>99999</v>
      </c>
      <c r="AY50" s="1834">
        <v>0</v>
      </c>
      <c r="AZ50" s="1835">
        <v>99999</v>
      </c>
      <c r="BA50" s="1834">
        <v>0</v>
      </c>
      <c r="BB50" s="1835">
        <v>99999</v>
      </c>
      <c r="BC50" s="1834">
        <v>0</v>
      </c>
      <c r="BD50" s="1835">
        <v>99999</v>
      </c>
      <c r="BE50" s="1834">
        <v>0</v>
      </c>
      <c r="BF50" s="1835">
        <v>99999</v>
      </c>
      <c r="BG50" s="1834">
        <v>0</v>
      </c>
      <c r="BH50" s="1835">
        <v>99999</v>
      </c>
      <c r="BI50" s="1834">
        <v>0</v>
      </c>
      <c r="BJ50" s="1835">
        <v>99999</v>
      </c>
      <c r="BK50" s="1834">
        <v>0</v>
      </c>
      <c r="BL50" s="1835">
        <v>99999</v>
      </c>
      <c r="BM50" s="1834">
        <v>0</v>
      </c>
      <c r="BN50" s="1835">
        <v>99999</v>
      </c>
      <c r="BO50" s="1834">
        <v>0</v>
      </c>
      <c r="BP50" s="1835">
        <v>99999</v>
      </c>
      <c r="BQ50" s="1834">
        <v>0</v>
      </c>
      <c r="BR50" s="1835">
        <v>99999</v>
      </c>
      <c r="BS50" s="1834">
        <v>0</v>
      </c>
      <c r="BT50" s="1835">
        <v>99999</v>
      </c>
      <c r="BU50" s="1834">
        <v>0</v>
      </c>
      <c r="BV50" s="1835">
        <v>99999</v>
      </c>
      <c r="BW50" s="1834">
        <v>0</v>
      </c>
      <c r="BX50" s="1835">
        <v>99999</v>
      </c>
      <c r="BY50" s="1834">
        <v>0</v>
      </c>
      <c r="BZ50" s="1835">
        <v>99999</v>
      </c>
      <c r="CA50" s="1834">
        <v>0</v>
      </c>
      <c r="CB50" s="1835">
        <v>99999</v>
      </c>
      <c r="CC50" s="1834">
        <v>0</v>
      </c>
      <c r="CD50" s="1835">
        <v>99999</v>
      </c>
      <c r="CE50" s="1834">
        <v>0</v>
      </c>
      <c r="CF50" s="1835">
        <v>99999</v>
      </c>
      <c r="CG50" s="1834">
        <v>0</v>
      </c>
      <c r="CH50" s="1835">
        <v>99999</v>
      </c>
      <c r="CI50" s="1834">
        <v>0</v>
      </c>
      <c r="CJ50" s="1835">
        <v>99999</v>
      </c>
      <c r="CK50" s="1834">
        <v>0</v>
      </c>
      <c r="CL50" s="1835">
        <v>99999</v>
      </c>
      <c r="CM50" s="1832">
        <v>0</v>
      </c>
      <c r="CN50" s="1832">
        <v>99999</v>
      </c>
      <c r="CO50" s="1834">
        <v>0</v>
      </c>
      <c r="CP50" s="1835">
        <v>99999</v>
      </c>
      <c r="CQ50" s="1834">
        <v>0</v>
      </c>
      <c r="CR50" s="1835">
        <v>99999</v>
      </c>
      <c r="CS50" s="1834">
        <v>0</v>
      </c>
      <c r="CT50" s="1835">
        <v>99999</v>
      </c>
      <c r="CU50" s="1834">
        <v>0</v>
      </c>
      <c r="CV50" s="1835">
        <v>99999</v>
      </c>
      <c r="CW50" s="1834">
        <v>0</v>
      </c>
      <c r="CX50" s="1835">
        <v>99999</v>
      </c>
      <c r="CY50" s="1834">
        <v>0</v>
      </c>
      <c r="CZ50" s="1835">
        <v>99999</v>
      </c>
      <c r="DA50" s="1834">
        <v>0</v>
      </c>
      <c r="DB50" s="1835">
        <v>99999</v>
      </c>
      <c r="DC50" s="1834">
        <v>0</v>
      </c>
      <c r="DD50" s="1835">
        <v>99999</v>
      </c>
      <c r="DE50" s="1832">
        <v>0</v>
      </c>
      <c r="DF50" s="1832">
        <v>99999</v>
      </c>
      <c r="DG50" s="1834">
        <v>0</v>
      </c>
      <c r="DH50" s="1835">
        <v>99999</v>
      </c>
      <c r="DI50" s="1834">
        <v>0</v>
      </c>
      <c r="DJ50" s="1835">
        <v>99999</v>
      </c>
      <c r="DK50" s="1834">
        <v>0</v>
      </c>
      <c r="DL50" s="1835">
        <v>99999</v>
      </c>
      <c r="DM50" s="1834">
        <v>0</v>
      </c>
      <c r="DN50" s="1835">
        <v>99999</v>
      </c>
      <c r="DO50" s="1834">
        <v>0</v>
      </c>
      <c r="DP50" s="1835">
        <v>99999</v>
      </c>
      <c r="DQ50" s="1834">
        <v>0</v>
      </c>
      <c r="DR50" s="1835">
        <v>99999</v>
      </c>
      <c r="DS50" s="1834">
        <v>0</v>
      </c>
      <c r="DT50" s="1835">
        <v>99999</v>
      </c>
      <c r="DU50" s="1834">
        <v>0</v>
      </c>
      <c r="DV50" s="1835">
        <v>99999</v>
      </c>
      <c r="DW50" s="1834">
        <v>0</v>
      </c>
      <c r="DX50" s="1835">
        <v>99999</v>
      </c>
      <c r="DY50" s="1834">
        <v>0</v>
      </c>
      <c r="DZ50" s="1855">
        <v>99999</v>
      </c>
    </row>
    <row r="51" spans="2:223" s="1774" customFormat="1" ht="14.25" customHeight="1" thickBot="1">
      <c r="B51" s="1870" t="s">
        <v>329</v>
      </c>
      <c r="C51" s="1792"/>
      <c r="D51" s="1871">
        <f t="shared" si="111"/>
        <v>0</v>
      </c>
      <c r="E51" s="1872">
        <f>INDEX(I51:DZ51,,MATCH($B$6,$I$5:$DZ$5,0))</f>
        <v>99999</v>
      </c>
      <c r="F51" s="1873" t="s">
        <v>10</v>
      </c>
      <c r="H51" s="1874" t="str">
        <f>B51 &amp; " (" &amp;  F51 &amp;  ")"</f>
        <v>Lignina (g)</v>
      </c>
      <c r="I51" s="1875">
        <v>0</v>
      </c>
      <c r="J51" s="1876">
        <v>99999</v>
      </c>
      <c r="K51" s="1875">
        <v>0</v>
      </c>
      <c r="L51" s="1876">
        <v>99999</v>
      </c>
      <c r="M51" s="1875">
        <v>0</v>
      </c>
      <c r="N51" s="1876">
        <v>99999</v>
      </c>
      <c r="O51" s="1875">
        <v>0</v>
      </c>
      <c r="P51" s="1876">
        <v>99999</v>
      </c>
      <c r="Q51" s="1875">
        <v>0</v>
      </c>
      <c r="R51" s="1876">
        <v>99999</v>
      </c>
      <c r="S51" s="1875">
        <v>0</v>
      </c>
      <c r="T51" s="1876">
        <v>99999</v>
      </c>
      <c r="U51" s="1875">
        <v>0</v>
      </c>
      <c r="V51" s="1876">
        <v>99999</v>
      </c>
      <c r="W51" s="1875">
        <v>0</v>
      </c>
      <c r="X51" s="1876">
        <v>99999</v>
      </c>
      <c r="Y51" s="1875">
        <v>0</v>
      </c>
      <c r="Z51" s="1876">
        <v>99999</v>
      </c>
      <c r="AA51" s="1875">
        <v>0</v>
      </c>
      <c r="AB51" s="1876">
        <v>99999</v>
      </c>
      <c r="AC51" s="1875">
        <v>0</v>
      </c>
      <c r="AD51" s="1877">
        <v>99999</v>
      </c>
      <c r="AE51" s="1802"/>
      <c r="AF51" s="1803"/>
      <c r="AG51" s="1878">
        <v>0</v>
      </c>
      <c r="AH51" s="1876">
        <v>99999</v>
      </c>
      <c r="AI51" s="1875">
        <v>0</v>
      </c>
      <c r="AJ51" s="1876">
        <v>99999</v>
      </c>
      <c r="AK51" s="1875">
        <v>0</v>
      </c>
      <c r="AL51" s="1876">
        <v>99999</v>
      </c>
      <c r="AM51" s="1875">
        <v>0</v>
      </c>
      <c r="AN51" s="1876">
        <v>99999</v>
      </c>
      <c r="AO51" s="1875">
        <v>0</v>
      </c>
      <c r="AP51" s="1876">
        <v>99999</v>
      </c>
      <c r="AQ51" s="1875">
        <v>0</v>
      </c>
      <c r="AR51" s="1876">
        <v>99999</v>
      </c>
      <c r="AS51" s="1875">
        <f t="shared" si="101"/>
        <v>0</v>
      </c>
      <c r="AT51" s="1876">
        <f t="shared" si="102"/>
        <v>99999</v>
      </c>
      <c r="AU51" s="1875">
        <f t="shared" si="103"/>
        <v>0</v>
      </c>
      <c r="AV51" s="1876">
        <f t="shared" si="104"/>
        <v>99999</v>
      </c>
      <c r="AW51" s="1875">
        <v>0</v>
      </c>
      <c r="AX51" s="1876">
        <v>99999</v>
      </c>
      <c r="AY51" s="1875">
        <v>0</v>
      </c>
      <c r="AZ51" s="1876">
        <v>99999</v>
      </c>
      <c r="BA51" s="1875">
        <v>0</v>
      </c>
      <c r="BB51" s="1876">
        <v>99999</v>
      </c>
      <c r="BC51" s="1875">
        <v>0</v>
      </c>
      <c r="BD51" s="1876">
        <v>99999</v>
      </c>
      <c r="BE51" s="1875">
        <v>0</v>
      </c>
      <c r="BF51" s="1876">
        <v>99999</v>
      </c>
      <c r="BG51" s="1875">
        <v>0</v>
      </c>
      <c r="BH51" s="1876">
        <v>99999</v>
      </c>
      <c r="BI51" s="1875">
        <v>0</v>
      </c>
      <c r="BJ51" s="1876">
        <v>99999</v>
      </c>
      <c r="BK51" s="1875">
        <v>0</v>
      </c>
      <c r="BL51" s="1876">
        <v>99999</v>
      </c>
      <c r="BM51" s="1875">
        <v>0</v>
      </c>
      <c r="BN51" s="1876">
        <v>99999</v>
      </c>
      <c r="BO51" s="1875">
        <v>0</v>
      </c>
      <c r="BP51" s="1876">
        <v>99999</v>
      </c>
      <c r="BQ51" s="1875">
        <v>0</v>
      </c>
      <c r="BR51" s="1876">
        <v>99999</v>
      </c>
      <c r="BS51" s="1875">
        <v>0</v>
      </c>
      <c r="BT51" s="1876">
        <v>99999</v>
      </c>
      <c r="BU51" s="1875">
        <v>0</v>
      </c>
      <c r="BV51" s="1876">
        <v>99999</v>
      </c>
      <c r="BW51" s="1875">
        <v>0</v>
      </c>
      <c r="BX51" s="1876">
        <v>99999</v>
      </c>
      <c r="BY51" s="1875">
        <v>0</v>
      </c>
      <c r="BZ51" s="1876">
        <v>99999</v>
      </c>
      <c r="CA51" s="1875">
        <v>0</v>
      </c>
      <c r="CB51" s="1876">
        <v>99999</v>
      </c>
      <c r="CC51" s="1875">
        <v>0</v>
      </c>
      <c r="CD51" s="1876">
        <v>99999</v>
      </c>
      <c r="CE51" s="1875">
        <v>0</v>
      </c>
      <c r="CF51" s="1876">
        <v>99999</v>
      </c>
      <c r="CG51" s="1875">
        <v>0</v>
      </c>
      <c r="CH51" s="1876">
        <v>99999</v>
      </c>
      <c r="CI51" s="1875">
        <v>0</v>
      </c>
      <c r="CJ51" s="1876">
        <v>99999</v>
      </c>
      <c r="CK51" s="1875">
        <v>0</v>
      </c>
      <c r="CL51" s="1876">
        <v>99999</v>
      </c>
      <c r="CM51" s="1879">
        <v>0</v>
      </c>
      <c r="CN51" s="1879">
        <v>99999</v>
      </c>
      <c r="CO51" s="1875">
        <v>0</v>
      </c>
      <c r="CP51" s="1876">
        <v>99999</v>
      </c>
      <c r="CQ51" s="1875">
        <v>0</v>
      </c>
      <c r="CR51" s="1876">
        <v>99999</v>
      </c>
      <c r="CS51" s="1875">
        <v>0</v>
      </c>
      <c r="CT51" s="1876">
        <v>99999</v>
      </c>
      <c r="CU51" s="1875">
        <v>0</v>
      </c>
      <c r="CV51" s="1876">
        <v>99999</v>
      </c>
      <c r="CW51" s="1875">
        <v>0</v>
      </c>
      <c r="CX51" s="1876">
        <v>99999</v>
      </c>
      <c r="CY51" s="1875">
        <v>0</v>
      </c>
      <c r="CZ51" s="1876">
        <v>99999</v>
      </c>
      <c r="DA51" s="1875">
        <v>0</v>
      </c>
      <c r="DB51" s="1876">
        <v>99999</v>
      </c>
      <c r="DC51" s="1875">
        <v>0</v>
      </c>
      <c r="DD51" s="1876">
        <v>99999</v>
      </c>
      <c r="DE51" s="1879">
        <v>0</v>
      </c>
      <c r="DF51" s="1879">
        <v>99999</v>
      </c>
      <c r="DG51" s="1875">
        <v>0</v>
      </c>
      <c r="DH51" s="1876">
        <v>99999</v>
      </c>
      <c r="DI51" s="1875">
        <v>0</v>
      </c>
      <c r="DJ51" s="1876">
        <v>99999</v>
      </c>
      <c r="DK51" s="1875">
        <v>0</v>
      </c>
      <c r="DL51" s="1876">
        <v>99999</v>
      </c>
      <c r="DM51" s="1875">
        <v>0</v>
      </c>
      <c r="DN51" s="1876">
        <v>99999</v>
      </c>
      <c r="DO51" s="1875">
        <v>0</v>
      </c>
      <c r="DP51" s="1876">
        <v>99999</v>
      </c>
      <c r="DQ51" s="1875">
        <v>0</v>
      </c>
      <c r="DR51" s="1876">
        <v>99999</v>
      </c>
      <c r="DS51" s="1875">
        <v>0</v>
      </c>
      <c r="DT51" s="1876">
        <v>99999</v>
      </c>
      <c r="DU51" s="1875">
        <v>0</v>
      </c>
      <c r="DV51" s="1876">
        <v>99999</v>
      </c>
      <c r="DW51" s="1875">
        <v>0</v>
      </c>
      <c r="DX51" s="1876">
        <v>99999</v>
      </c>
      <c r="DY51" s="1875">
        <v>0</v>
      </c>
      <c r="DZ51" s="1880">
        <v>99999</v>
      </c>
    </row>
    <row r="52" spans="2:223" ht="15" thickTop="1">
      <c r="B52" s="1729"/>
      <c r="C52" s="1729"/>
      <c r="CY52" s="1882"/>
    </row>
    <row r="53" spans="2:223">
      <c r="B53" s="1729"/>
    </row>
    <row r="54" spans="2:223" ht="15">
      <c r="B54" s="1729"/>
      <c r="C54" s="1729"/>
      <c r="I54" s="1883" t="s">
        <v>905</v>
      </c>
      <c r="U54" s="1883"/>
      <c r="AG54" s="1884" t="s">
        <v>905</v>
      </c>
    </row>
    <row r="55" spans="2:223">
      <c r="B55" s="1729"/>
      <c r="C55" s="1729"/>
      <c r="I55" s="2099" t="s">
        <v>906</v>
      </c>
      <c r="J55" s="2099"/>
      <c r="K55" s="2099"/>
      <c r="L55" s="2099"/>
      <c r="AG55" s="2100" t="s">
        <v>906</v>
      </c>
      <c r="AH55" s="2100"/>
      <c r="AI55" s="2100"/>
      <c r="AJ55" s="2100"/>
    </row>
    <row r="56" spans="2:223">
      <c r="B56" s="1729"/>
      <c r="C56" s="1729"/>
      <c r="I56" s="2099" t="s">
        <v>907</v>
      </c>
      <c r="J56" s="2099"/>
      <c r="K56" s="2099"/>
      <c r="L56" s="2099"/>
      <c r="AG56" s="2100" t="s">
        <v>907</v>
      </c>
      <c r="AH56" s="2100"/>
      <c r="AI56" s="2100"/>
      <c r="AJ56" s="2100"/>
    </row>
    <row r="57" spans="2:223">
      <c r="B57" s="1729"/>
    </row>
    <row r="58" spans="2:223">
      <c r="B58" s="1729"/>
    </row>
    <row r="59" spans="2:223">
      <c r="B59" s="1729"/>
    </row>
    <row r="60" spans="2:223">
      <c r="B60" s="1729"/>
      <c r="C60" s="1729"/>
    </row>
    <row r="61" spans="2:223">
      <c r="B61" s="1729"/>
      <c r="C61" s="1729"/>
    </row>
    <row r="62" spans="2:223">
      <c r="B62" s="1729"/>
      <c r="C62" s="1729"/>
    </row>
    <row r="63" spans="2:223" ht="15.75" thickBot="1">
      <c r="B63" s="1729"/>
      <c r="C63" s="1729"/>
      <c r="I63" s="1856"/>
      <c r="J63" s="1856"/>
      <c r="K63" s="1856"/>
      <c r="L63" s="1856"/>
      <c r="M63" s="1856"/>
      <c r="N63" s="1856"/>
      <c r="O63" s="1856"/>
      <c r="P63" s="1856"/>
      <c r="Q63" s="1856"/>
      <c r="R63" s="1856"/>
      <c r="S63" s="1737" t="s">
        <v>908</v>
      </c>
      <c r="T63" s="1856"/>
      <c r="U63" s="1856"/>
      <c r="V63" s="1856"/>
      <c r="W63" s="1856"/>
      <c r="X63" s="1856"/>
      <c r="Y63" s="1856"/>
      <c r="Z63" s="1856"/>
      <c r="AA63" s="1739"/>
      <c r="AB63" s="1739"/>
      <c r="AC63" s="1739"/>
      <c r="AD63" s="1739"/>
      <c r="AE63" s="1739"/>
      <c r="AF63" s="1739"/>
      <c r="AG63" s="1739"/>
      <c r="AH63" s="1739"/>
      <c r="AI63" s="1739"/>
      <c r="AJ63" s="1739"/>
      <c r="AK63" s="1739"/>
      <c r="AL63" s="1739"/>
      <c r="AM63" s="1739"/>
      <c r="AN63" s="1739"/>
      <c r="AO63" s="1739"/>
      <c r="AP63" s="1739"/>
      <c r="AQ63" s="1739"/>
      <c r="AR63" s="1739"/>
      <c r="AS63" s="1739"/>
      <c r="AT63" s="1739"/>
      <c r="AU63" s="1739"/>
      <c r="AV63" s="1739"/>
      <c r="AW63" s="1739"/>
      <c r="AX63" s="1739"/>
      <c r="AY63" s="1739"/>
      <c r="AZ63" s="1739"/>
      <c r="BA63" s="1739"/>
      <c r="BB63" s="1739"/>
      <c r="BC63" s="1739"/>
      <c r="BD63" s="1739"/>
      <c r="BE63" s="1739"/>
      <c r="BF63" s="1739"/>
      <c r="BG63" s="1739"/>
      <c r="BH63" s="1739"/>
      <c r="BI63" s="1739"/>
      <c r="BJ63" s="1739"/>
      <c r="BK63" s="1739"/>
      <c r="BL63" s="1739"/>
      <c r="BM63" s="1739"/>
      <c r="BN63" s="1739"/>
      <c r="BO63" s="1739"/>
      <c r="BP63" s="1739"/>
      <c r="BQ63" s="1739"/>
      <c r="BR63" s="1739"/>
      <c r="BS63" s="1739"/>
      <c r="BT63" s="1739"/>
      <c r="BU63" s="1739"/>
      <c r="BV63" s="1739"/>
      <c r="BW63" s="1739"/>
      <c r="BX63" s="1739"/>
      <c r="BY63" s="1739"/>
      <c r="BZ63" s="1739"/>
      <c r="CA63" s="1739"/>
      <c r="CB63" s="1739"/>
      <c r="CC63" s="1739"/>
      <c r="CD63" s="1739"/>
      <c r="CE63" s="1739"/>
      <c r="CF63" s="1739"/>
      <c r="CG63" s="1739"/>
      <c r="CH63" s="1739"/>
      <c r="CI63" s="1739"/>
      <c r="CJ63" s="1739"/>
      <c r="CK63" s="1739"/>
      <c r="CL63" s="1739"/>
      <c r="CM63" s="1739"/>
      <c r="CN63" s="1739"/>
      <c r="CO63" s="1739"/>
      <c r="CP63" s="1739"/>
      <c r="CQ63" s="1774"/>
      <c r="CR63" s="1774"/>
    </row>
    <row r="64" spans="2:223" ht="15.75" thickBot="1">
      <c r="B64" s="1729"/>
      <c r="C64" s="1729"/>
      <c r="H64" s="1885" t="s">
        <v>640</v>
      </c>
      <c r="I64" s="2096">
        <v>250</v>
      </c>
      <c r="J64" s="2097"/>
      <c r="K64" s="2096">
        <v>250</v>
      </c>
      <c r="L64" s="2097"/>
      <c r="M64" s="2096">
        <v>250</v>
      </c>
      <c r="N64" s="2097"/>
      <c r="O64" s="2096">
        <v>250</v>
      </c>
      <c r="P64" s="2097"/>
      <c r="Q64" s="2096">
        <v>300</v>
      </c>
      <c r="R64" s="2097"/>
      <c r="S64" s="2096">
        <v>300</v>
      </c>
      <c r="T64" s="2097"/>
      <c r="U64" s="2096">
        <v>300</v>
      </c>
      <c r="V64" s="2097"/>
      <c r="W64" s="2096">
        <v>300</v>
      </c>
      <c r="X64" s="2097"/>
      <c r="Y64" s="2096">
        <v>350</v>
      </c>
      <c r="Z64" s="2097"/>
      <c r="AA64" s="2096">
        <v>350</v>
      </c>
      <c r="AB64" s="2097"/>
      <c r="AC64" s="2096">
        <v>350</v>
      </c>
      <c r="AD64" s="2097"/>
      <c r="AE64" s="2096">
        <v>350</v>
      </c>
      <c r="AF64" s="2097"/>
      <c r="AG64" s="2096">
        <v>400</v>
      </c>
      <c r="AH64" s="2097"/>
      <c r="AI64" s="2096">
        <v>400</v>
      </c>
      <c r="AJ64" s="2097"/>
      <c r="AK64" s="2096">
        <v>400</v>
      </c>
      <c r="AL64" s="2097"/>
      <c r="AM64" s="2096">
        <v>400</v>
      </c>
      <c r="AN64" s="2097"/>
      <c r="AO64" s="2096">
        <v>450</v>
      </c>
      <c r="AP64" s="2097"/>
      <c r="AQ64" s="2096">
        <v>450</v>
      </c>
      <c r="AR64" s="2097"/>
      <c r="AS64" s="2096">
        <v>450</v>
      </c>
      <c r="AT64" s="2097"/>
      <c r="AU64" s="2096">
        <v>450</v>
      </c>
      <c r="AV64" s="2097"/>
      <c r="AW64" s="2096">
        <v>500</v>
      </c>
      <c r="AX64" s="2097"/>
      <c r="AY64" s="2096">
        <v>500</v>
      </c>
      <c r="AZ64" s="2097"/>
      <c r="BA64" s="2096">
        <v>500</v>
      </c>
      <c r="BB64" s="2097"/>
      <c r="BC64" s="2096">
        <v>500</v>
      </c>
      <c r="BD64" s="2097"/>
      <c r="BE64" s="2096">
        <v>250</v>
      </c>
      <c r="BF64" s="2097"/>
      <c r="BG64" s="2096">
        <v>250</v>
      </c>
      <c r="BH64" s="2097"/>
      <c r="BI64" s="2096">
        <v>250</v>
      </c>
      <c r="BJ64" s="2097"/>
      <c r="BK64" s="2096">
        <v>250</v>
      </c>
      <c r="BL64" s="2097"/>
      <c r="BM64" s="2096">
        <v>250</v>
      </c>
      <c r="BN64" s="2097"/>
      <c r="BO64" s="2096">
        <v>300</v>
      </c>
      <c r="BP64" s="2097"/>
      <c r="BQ64" s="2096">
        <v>300</v>
      </c>
      <c r="BR64" s="2097"/>
      <c r="BS64" s="2096">
        <v>300</v>
      </c>
      <c r="BT64" s="2097"/>
      <c r="BU64" s="2096">
        <v>300</v>
      </c>
      <c r="BV64" s="2097"/>
      <c r="BW64" s="2096">
        <v>300</v>
      </c>
      <c r="BX64" s="2097"/>
      <c r="BY64" s="2096">
        <v>350</v>
      </c>
      <c r="BZ64" s="2097"/>
      <c r="CA64" s="2096">
        <v>350</v>
      </c>
      <c r="CB64" s="2097"/>
      <c r="CC64" s="2096">
        <v>350</v>
      </c>
      <c r="CD64" s="2097"/>
      <c r="CE64" s="2096">
        <v>350</v>
      </c>
      <c r="CF64" s="2097"/>
      <c r="CG64" s="2096">
        <v>350</v>
      </c>
      <c r="CH64" s="2097"/>
      <c r="CI64" s="2096">
        <v>400</v>
      </c>
      <c r="CJ64" s="2097"/>
      <c r="CK64" s="2096">
        <v>400</v>
      </c>
      <c r="CL64" s="2097"/>
      <c r="CM64" s="2096">
        <v>400</v>
      </c>
      <c r="CN64" s="2097"/>
      <c r="CO64" s="2096">
        <v>400</v>
      </c>
      <c r="CP64" s="2097"/>
      <c r="CQ64" s="2096">
        <v>400</v>
      </c>
      <c r="CR64" s="2097"/>
      <c r="CS64" s="2096">
        <v>450</v>
      </c>
      <c r="CT64" s="2097"/>
      <c r="CU64" s="2096">
        <v>450</v>
      </c>
      <c r="CV64" s="2097"/>
      <c r="CW64" s="2096">
        <v>450</v>
      </c>
      <c r="CX64" s="2097"/>
      <c r="CY64" s="2096">
        <v>450</v>
      </c>
      <c r="CZ64" s="2097"/>
      <c r="DA64" s="2096">
        <v>450</v>
      </c>
      <c r="DB64" s="2097"/>
      <c r="DC64" s="2096">
        <v>500</v>
      </c>
      <c r="DD64" s="2097"/>
      <c r="DE64" s="2096">
        <v>500</v>
      </c>
      <c r="DF64" s="2097"/>
      <c r="DG64" s="2096">
        <v>500</v>
      </c>
      <c r="DH64" s="2097"/>
      <c r="DI64" s="2096">
        <v>250</v>
      </c>
      <c r="DJ64" s="2097"/>
      <c r="DK64" s="2096">
        <v>500</v>
      </c>
      <c r="DL64" s="2097"/>
      <c r="DM64" s="2096">
        <v>550</v>
      </c>
      <c r="DN64" s="2097"/>
      <c r="DO64" s="2096">
        <v>550</v>
      </c>
      <c r="DP64" s="2097"/>
      <c r="DQ64" s="2096">
        <v>550</v>
      </c>
      <c r="DR64" s="2097"/>
      <c r="DS64" s="2096">
        <v>550</v>
      </c>
      <c r="DT64" s="2097"/>
      <c r="DU64" s="2096">
        <v>550</v>
      </c>
      <c r="DV64" s="2097"/>
      <c r="DW64" s="2096">
        <v>250</v>
      </c>
      <c r="DX64" s="2097"/>
      <c r="DY64" s="2096">
        <v>250</v>
      </c>
      <c r="DZ64" s="2097"/>
      <c r="EA64" s="2096">
        <v>250</v>
      </c>
      <c r="EB64" s="2097"/>
      <c r="EC64" s="2096">
        <v>250</v>
      </c>
      <c r="ED64" s="2097"/>
      <c r="EE64" s="2096">
        <v>300</v>
      </c>
      <c r="EF64" s="2097"/>
      <c r="EG64" s="2096">
        <v>300</v>
      </c>
      <c r="EH64" s="2097"/>
      <c r="EI64" s="2096">
        <v>300</v>
      </c>
      <c r="EJ64" s="2097"/>
      <c r="EK64" s="2096">
        <v>300</v>
      </c>
      <c r="EL64" s="2097"/>
      <c r="EM64" s="2096">
        <v>350</v>
      </c>
      <c r="EN64" s="2097"/>
      <c r="EO64" s="2096">
        <v>350</v>
      </c>
      <c r="EP64" s="2097"/>
      <c r="EQ64" s="2096">
        <v>350</v>
      </c>
      <c r="ER64" s="2097"/>
      <c r="ES64" s="2096">
        <v>350</v>
      </c>
      <c r="ET64" s="2097"/>
      <c r="EU64" s="2096">
        <v>400</v>
      </c>
      <c r="EV64" s="2097"/>
      <c r="EW64" s="2096">
        <v>400</v>
      </c>
      <c r="EX64" s="2097"/>
      <c r="EY64" s="2096">
        <v>400</v>
      </c>
      <c r="EZ64" s="2097"/>
      <c r="FA64" s="2096">
        <v>400</v>
      </c>
      <c r="FB64" s="2097"/>
      <c r="FC64" s="2096">
        <v>250</v>
      </c>
      <c r="FD64" s="2097"/>
      <c r="FE64" s="2096">
        <v>250</v>
      </c>
      <c r="FF64" s="2097"/>
      <c r="FG64" s="2096">
        <v>250</v>
      </c>
      <c r="FH64" s="2097"/>
      <c r="FI64" s="2096">
        <v>250</v>
      </c>
      <c r="FJ64" s="2097"/>
      <c r="FK64" s="2096">
        <v>300</v>
      </c>
      <c r="FL64" s="2097"/>
      <c r="FM64" s="2096">
        <v>300</v>
      </c>
      <c r="FN64" s="2097"/>
      <c r="FO64" s="2096">
        <v>300</v>
      </c>
      <c r="FP64" s="2097"/>
      <c r="FQ64" s="2096">
        <v>300</v>
      </c>
      <c r="FR64" s="2097"/>
      <c r="FS64" s="2096">
        <v>350</v>
      </c>
      <c r="FT64" s="2097"/>
      <c r="FU64" s="2096">
        <v>350</v>
      </c>
      <c r="FV64" s="2097"/>
      <c r="FW64" s="2096">
        <v>350</v>
      </c>
      <c r="FX64" s="2097"/>
      <c r="FY64" s="2096">
        <v>350</v>
      </c>
      <c r="FZ64" s="2097"/>
      <c r="GA64" s="2096">
        <v>400</v>
      </c>
      <c r="GB64" s="2097"/>
      <c r="GC64" s="2096">
        <v>400</v>
      </c>
      <c r="GD64" s="2097"/>
      <c r="GE64" s="2096">
        <v>400</v>
      </c>
      <c r="GF64" s="2097"/>
      <c r="GG64" s="2096">
        <v>400</v>
      </c>
      <c r="GH64" s="2097"/>
      <c r="GI64" s="2096">
        <v>250</v>
      </c>
      <c r="GJ64" s="2097"/>
      <c r="GK64" s="2096">
        <v>250</v>
      </c>
      <c r="GL64" s="2097"/>
      <c r="GM64" s="2096">
        <v>250</v>
      </c>
      <c r="GN64" s="2097"/>
      <c r="GO64" s="2096">
        <v>250</v>
      </c>
      <c r="GP64" s="2097"/>
      <c r="GQ64" s="2096">
        <v>300</v>
      </c>
      <c r="GR64" s="2097"/>
      <c r="GS64" s="2096">
        <v>300</v>
      </c>
      <c r="GT64" s="2097"/>
      <c r="GU64" s="2096">
        <v>300</v>
      </c>
      <c r="GV64" s="2097"/>
      <c r="GW64" s="2096">
        <v>300</v>
      </c>
      <c r="GX64" s="2097"/>
      <c r="GY64" s="2096">
        <v>350</v>
      </c>
      <c r="GZ64" s="2097"/>
      <c r="HA64" s="2096">
        <v>350</v>
      </c>
      <c r="HB64" s="2097"/>
      <c r="HC64" s="2096">
        <v>350</v>
      </c>
      <c r="HD64" s="2097"/>
      <c r="HE64" s="2096">
        <v>350</v>
      </c>
      <c r="HF64" s="2097"/>
      <c r="HG64" s="2096">
        <v>400</v>
      </c>
      <c r="HH64" s="2097"/>
      <c r="HI64" s="2096">
        <v>400</v>
      </c>
      <c r="HJ64" s="2097"/>
      <c r="HK64" s="2096">
        <v>400</v>
      </c>
      <c r="HL64" s="2097"/>
      <c r="HM64" s="2096">
        <v>400</v>
      </c>
      <c r="HN64" s="2097"/>
      <c r="HO64" s="1750"/>
    </row>
    <row r="65" spans="2:223">
      <c r="B65" s="1729"/>
      <c r="C65" s="1729"/>
      <c r="H65" s="2105" t="s">
        <v>2</v>
      </c>
      <c r="I65" s="2101" t="s">
        <v>909</v>
      </c>
      <c r="J65" s="2102"/>
      <c r="K65" s="2101" t="s">
        <v>909</v>
      </c>
      <c r="L65" s="2102"/>
      <c r="M65" s="2101" t="s">
        <v>909</v>
      </c>
      <c r="N65" s="2102"/>
      <c r="O65" s="2101" t="s">
        <v>909</v>
      </c>
      <c r="P65" s="2102"/>
      <c r="Q65" s="2101" t="s">
        <v>910</v>
      </c>
      <c r="R65" s="2102"/>
      <c r="S65" s="2101" t="s">
        <v>910</v>
      </c>
      <c r="T65" s="2102"/>
      <c r="U65" s="2101" t="s">
        <v>910</v>
      </c>
      <c r="V65" s="2102"/>
      <c r="W65" s="2101" t="s">
        <v>910</v>
      </c>
      <c r="X65" s="2102"/>
      <c r="Y65" s="2101" t="s">
        <v>911</v>
      </c>
      <c r="Z65" s="2102"/>
      <c r="AA65" s="2101" t="s">
        <v>911</v>
      </c>
      <c r="AB65" s="2102"/>
      <c r="AC65" s="2101" t="s">
        <v>911</v>
      </c>
      <c r="AD65" s="2102"/>
      <c r="AE65" s="2101" t="s">
        <v>911</v>
      </c>
      <c r="AF65" s="2102"/>
      <c r="AG65" s="2101" t="s">
        <v>912</v>
      </c>
      <c r="AH65" s="2102"/>
      <c r="AI65" s="2101" t="s">
        <v>912</v>
      </c>
      <c r="AJ65" s="2102"/>
      <c r="AK65" s="2101" t="s">
        <v>912</v>
      </c>
      <c r="AL65" s="2102"/>
      <c r="AM65" s="2101" t="s">
        <v>912</v>
      </c>
      <c r="AN65" s="2102"/>
      <c r="AO65" s="2101" t="s">
        <v>913</v>
      </c>
      <c r="AP65" s="2102"/>
      <c r="AQ65" s="2101" t="s">
        <v>913</v>
      </c>
      <c r="AR65" s="2102"/>
      <c r="AS65" s="2101" t="s">
        <v>913</v>
      </c>
      <c r="AT65" s="2102"/>
      <c r="AU65" s="2101" t="s">
        <v>913</v>
      </c>
      <c r="AV65" s="2102"/>
      <c r="AW65" s="2101" t="s">
        <v>914</v>
      </c>
      <c r="AX65" s="2102"/>
      <c r="AY65" s="2101" t="s">
        <v>914</v>
      </c>
      <c r="AZ65" s="2102"/>
      <c r="BA65" s="2101" t="s">
        <v>914</v>
      </c>
      <c r="BB65" s="2102"/>
      <c r="BC65" s="2101" t="s">
        <v>914</v>
      </c>
      <c r="BD65" s="2102"/>
      <c r="BE65" s="2106" t="s">
        <v>915</v>
      </c>
      <c r="BF65" s="2107"/>
      <c r="BG65" s="2106" t="s">
        <v>915</v>
      </c>
      <c r="BH65" s="2107"/>
      <c r="BI65" s="2106" t="s">
        <v>915</v>
      </c>
      <c r="BJ65" s="2107"/>
      <c r="BK65" s="2106" t="s">
        <v>915</v>
      </c>
      <c r="BL65" s="2107"/>
      <c r="BM65" s="2106" t="s">
        <v>915</v>
      </c>
      <c r="BN65" s="2107"/>
      <c r="BO65" s="2106" t="s">
        <v>916</v>
      </c>
      <c r="BP65" s="2107"/>
      <c r="BQ65" s="2106" t="s">
        <v>916</v>
      </c>
      <c r="BR65" s="2107"/>
      <c r="BS65" s="2106" t="s">
        <v>916</v>
      </c>
      <c r="BT65" s="2107"/>
      <c r="BU65" s="2106" t="s">
        <v>916</v>
      </c>
      <c r="BV65" s="2107"/>
      <c r="BW65" s="2106" t="s">
        <v>916</v>
      </c>
      <c r="BX65" s="2107"/>
      <c r="BY65" s="2106" t="s">
        <v>917</v>
      </c>
      <c r="BZ65" s="2107"/>
      <c r="CA65" s="2106" t="s">
        <v>917</v>
      </c>
      <c r="CB65" s="2107"/>
      <c r="CC65" s="2106" t="s">
        <v>917</v>
      </c>
      <c r="CD65" s="2107"/>
      <c r="CE65" s="2106" t="s">
        <v>917</v>
      </c>
      <c r="CF65" s="2107"/>
      <c r="CG65" s="2106" t="s">
        <v>917</v>
      </c>
      <c r="CH65" s="2107"/>
      <c r="CI65" s="2106" t="s">
        <v>918</v>
      </c>
      <c r="CJ65" s="2107"/>
      <c r="CK65" s="2106" t="s">
        <v>918</v>
      </c>
      <c r="CL65" s="2107"/>
      <c r="CM65" s="2106" t="s">
        <v>918</v>
      </c>
      <c r="CN65" s="2107"/>
      <c r="CO65" s="2106" t="s">
        <v>918</v>
      </c>
      <c r="CP65" s="2107"/>
      <c r="CQ65" s="2106" t="s">
        <v>918</v>
      </c>
      <c r="CR65" s="2107"/>
      <c r="CS65" s="2106" t="s">
        <v>919</v>
      </c>
      <c r="CT65" s="2107"/>
      <c r="CU65" s="2106" t="s">
        <v>919</v>
      </c>
      <c r="CV65" s="2107"/>
      <c r="CW65" s="2106" t="s">
        <v>919</v>
      </c>
      <c r="CX65" s="2107"/>
      <c r="CY65" s="2106" t="s">
        <v>919</v>
      </c>
      <c r="CZ65" s="2107"/>
      <c r="DA65" s="2106" t="s">
        <v>919</v>
      </c>
      <c r="DB65" s="2107"/>
      <c r="DC65" s="2106" t="s">
        <v>920</v>
      </c>
      <c r="DD65" s="2107"/>
      <c r="DE65" s="2106" t="s">
        <v>920</v>
      </c>
      <c r="DF65" s="2107"/>
      <c r="DG65" s="2106" t="s">
        <v>920</v>
      </c>
      <c r="DH65" s="2107"/>
      <c r="DI65" s="2106" t="s">
        <v>920</v>
      </c>
      <c r="DJ65" s="2107"/>
      <c r="DK65" s="2106" t="s">
        <v>920</v>
      </c>
      <c r="DL65" s="2107"/>
      <c r="DM65" s="2106" t="s">
        <v>921</v>
      </c>
      <c r="DN65" s="2107"/>
      <c r="DO65" s="2106" t="s">
        <v>921</v>
      </c>
      <c r="DP65" s="2107"/>
      <c r="DQ65" s="2106" t="s">
        <v>921</v>
      </c>
      <c r="DR65" s="2107"/>
      <c r="DS65" s="2106" t="s">
        <v>921</v>
      </c>
      <c r="DT65" s="2107"/>
      <c r="DU65" s="2106" t="s">
        <v>921</v>
      </c>
      <c r="DV65" s="2107"/>
      <c r="DW65" s="2101" t="s">
        <v>922</v>
      </c>
      <c r="DX65" s="2102"/>
      <c r="DY65" s="2101" t="s">
        <v>923</v>
      </c>
      <c r="DZ65" s="2102"/>
      <c r="EA65" s="2101" t="s">
        <v>923</v>
      </c>
      <c r="EB65" s="2102"/>
      <c r="EC65" s="2101" t="s">
        <v>924</v>
      </c>
      <c r="ED65" s="2102"/>
      <c r="EE65" s="2101" t="s">
        <v>925</v>
      </c>
      <c r="EF65" s="2102"/>
      <c r="EG65" s="2101" t="s">
        <v>926</v>
      </c>
      <c r="EH65" s="2102"/>
      <c r="EI65" s="2101" t="s">
        <v>927</v>
      </c>
      <c r="EJ65" s="2102"/>
      <c r="EK65" s="2101" t="s">
        <v>927</v>
      </c>
      <c r="EL65" s="2102"/>
      <c r="EM65" s="2101" t="s">
        <v>928</v>
      </c>
      <c r="EN65" s="2102"/>
      <c r="EO65" s="2101" t="s">
        <v>928</v>
      </c>
      <c r="EP65" s="2102"/>
      <c r="EQ65" s="2101" t="s">
        <v>928</v>
      </c>
      <c r="ER65" s="2102"/>
      <c r="ES65" s="2101" t="s">
        <v>928</v>
      </c>
      <c r="ET65" s="2102"/>
      <c r="EU65" s="2101" t="s">
        <v>929</v>
      </c>
      <c r="EV65" s="2102"/>
      <c r="EW65" s="2101" t="s">
        <v>929</v>
      </c>
      <c r="EX65" s="2102"/>
      <c r="EY65" s="2101" t="s">
        <v>929</v>
      </c>
      <c r="EZ65" s="2102"/>
      <c r="FA65" s="2101" t="s">
        <v>929</v>
      </c>
      <c r="FB65" s="2102"/>
      <c r="FC65" s="2101" t="s">
        <v>930</v>
      </c>
      <c r="FD65" s="2102"/>
      <c r="FE65" s="2101" t="s">
        <v>930</v>
      </c>
      <c r="FF65" s="2102"/>
      <c r="FG65" s="2101" t="s">
        <v>930</v>
      </c>
      <c r="FH65" s="2102"/>
      <c r="FI65" s="2101" t="s">
        <v>930</v>
      </c>
      <c r="FJ65" s="2102"/>
      <c r="FK65" s="2101" t="s">
        <v>931</v>
      </c>
      <c r="FL65" s="2102"/>
      <c r="FM65" s="2101" t="s">
        <v>931</v>
      </c>
      <c r="FN65" s="2102"/>
      <c r="FO65" s="2101" t="s">
        <v>931</v>
      </c>
      <c r="FP65" s="2102"/>
      <c r="FQ65" s="2101" t="s">
        <v>931</v>
      </c>
      <c r="FR65" s="2102"/>
      <c r="FS65" s="2101" t="s">
        <v>932</v>
      </c>
      <c r="FT65" s="2102"/>
      <c r="FU65" s="2101" t="s">
        <v>932</v>
      </c>
      <c r="FV65" s="2102"/>
      <c r="FW65" s="2101" t="s">
        <v>932</v>
      </c>
      <c r="FX65" s="2102"/>
      <c r="FY65" s="2101" t="s">
        <v>932</v>
      </c>
      <c r="FZ65" s="2102"/>
      <c r="GA65" s="2101" t="s">
        <v>933</v>
      </c>
      <c r="GB65" s="2102"/>
      <c r="GC65" s="2101" t="s">
        <v>933</v>
      </c>
      <c r="GD65" s="2102"/>
      <c r="GE65" s="2101" t="s">
        <v>933</v>
      </c>
      <c r="GF65" s="2102"/>
      <c r="GG65" s="2101" t="s">
        <v>933</v>
      </c>
      <c r="GH65" s="2102"/>
      <c r="GI65" s="2101" t="s">
        <v>934</v>
      </c>
      <c r="GJ65" s="2102"/>
      <c r="GK65" s="2101" t="s">
        <v>935</v>
      </c>
      <c r="GL65" s="2102"/>
      <c r="GM65" s="2101" t="s">
        <v>935</v>
      </c>
      <c r="GN65" s="2102"/>
      <c r="GO65" s="2101" t="s">
        <v>935</v>
      </c>
      <c r="GP65" s="2102"/>
      <c r="GQ65" s="2101" t="s">
        <v>936</v>
      </c>
      <c r="GR65" s="2102"/>
      <c r="GS65" s="2101" t="s">
        <v>937</v>
      </c>
      <c r="GT65" s="2102"/>
      <c r="GU65" s="2101" t="s">
        <v>938</v>
      </c>
      <c r="GV65" s="2102"/>
      <c r="GW65" s="2101" t="s">
        <v>938</v>
      </c>
      <c r="GX65" s="2102"/>
      <c r="GY65" s="2101" t="s">
        <v>939</v>
      </c>
      <c r="GZ65" s="2102"/>
      <c r="HA65" s="2101" t="s">
        <v>940</v>
      </c>
      <c r="HB65" s="2102"/>
      <c r="HC65" s="2101" t="s">
        <v>939</v>
      </c>
      <c r="HD65" s="2102"/>
      <c r="HE65" s="2101" t="s">
        <v>939</v>
      </c>
      <c r="HF65" s="2102"/>
      <c r="HG65" s="2101" t="s">
        <v>941</v>
      </c>
      <c r="HH65" s="2102"/>
      <c r="HI65" s="2101" t="s">
        <v>942</v>
      </c>
      <c r="HJ65" s="2102"/>
      <c r="HK65" s="2101" t="s">
        <v>941</v>
      </c>
      <c r="HL65" s="2102"/>
      <c r="HM65" s="2101" t="s">
        <v>941</v>
      </c>
      <c r="HN65" s="2102"/>
      <c r="HO65" s="1887"/>
    </row>
    <row r="66" spans="2:223" ht="77.25" customHeight="1" thickBot="1">
      <c r="B66" s="1729"/>
      <c r="C66" s="1729"/>
      <c r="H66" s="2105"/>
      <c r="I66" s="2103"/>
      <c r="J66" s="2104"/>
      <c r="K66" s="2103"/>
      <c r="L66" s="2104"/>
      <c r="M66" s="2103"/>
      <c r="N66" s="2104"/>
      <c r="O66" s="2103"/>
      <c r="P66" s="2104"/>
      <c r="Q66" s="2103"/>
      <c r="R66" s="2104"/>
      <c r="S66" s="2103"/>
      <c r="T66" s="2104"/>
      <c r="U66" s="2103"/>
      <c r="V66" s="2104"/>
      <c r="W66" s="2103"/>
      <c r="X66" s="2104"/>
      <c r="Y66" s="2103"/>
      <c r="Z66" s="2104"/>
      <c r="AA66" s="2103"/>
      <c r="AB66" s="2104"/>
      <c r="AC66" s="2103"/>
      <c r="AD66" s="2104"/>
      <c r="AE66" s="2103"/>
      <c r="AF66" s="2104"/>
      <c r="AG66" s="2103"/>
      <c r="AH66" s="2104"/>
      <c r="AI66" s="2103"/>
      <c r="AJ66" s="2104"/>
      <c r="AK66" s="2103"/>
      <c r="AL66" s="2104"/>
      <c r="AM66" s="2103"/>
      <c r="AN66" s="2104"/>
      <c r="AO66" s="2103"/>
      <c r="AP66" s="2104"/>
      <c r="AQ66" s="2103"/>
      <c r="AR66" s="2104"/>
      <c r="AS66" s="2103"/>
      <c r="AT66" s="2104"/>
      <c r="AU66" s="2103"/>
      <c r="AV66" s="2104"/>
      <c r="AW66" s="2103"/>
      <c r="AX66" s="2104"/>
      <c r="AY66" s="2103"/>
      <c r="AZ66" s="2104"/>
      <c r="BA66" s="2103"/>
      <c r="BB66" s="2104"/>
      <c r="BC66" s="2103"/>
      <c r="BD66" s="2104"/>
      <c r="BE66" s="2108"/>
      <c r="BF66" s="2109"/>
      <c r="BG66" s="2108"/>
      <c r="BH66" s="2109"/>
      <c r="BI66" s="2108"/>
      <c r="BJ66" s="2109"/>
      <c r="BK66" s="2108"/>
      <c r="BL66" s="2109"/>
      <c r="BM66" s="2108"/>
      <c r="BN66" s="2109"/>
      <c r="BO66" s="2108"/>
      <c r="BP66" s="2109"/>
      <c r="BQ66" s="2108"/>
      <c r="BR66" s="2109"/>
      <c r="BS66" s="2108"/>
      <c r="BT66" s="2109"/>
      <c r="BU66" s="2108"/>
      <c r="BV66" s="2109"/>
      <c r="BW66" s="2108"/>
      <c r="BX66" s="2109"/>
      <c r="BY66" s="2108"/>
      <c r="BZ66" s="2109"/>
      <c r="CA66" s="2108"/>
      <c r="CB66" s="2109"/>
      <c r="CC66" s="2108"/>
      <c r="CD66" s="2109"/>
      <c r="CE66" s="2108"/>
      <c r="CF66" s="2109"/>
      <c r="CG66" s="2108"/>
      <c r="CH66" s="2109"/>
      <c r="CI66" s="2108"/>
      <c r="CJ66" s="2109"/>
      <c r="CK66" s="2108"/>
      <c r="CL66" s="2109"/>
      <c r="CM66" s="2108"/>
      <c r="CN66" s="2109"/>
      <c r="CO66" s="2108"/>
      <c r="CP66" s="2109"/>
      <c r="CQ66" s="2108"/>
      <c r="CR66" s="2109"/>
      <c r="CS66" s="2108"/>
      <c r="CT66" s="2109"/>
      <c r="CU66" s="2108"/>
      <c r="CV66" s="2109"/>
      <c r="CW66" s="2108"/>
      <c r="CX66" s="2109"/>
      <c r="CY66" s="2108"/>
      <c r="CZ66" s="2109"/>
      <c r="DA66" s="2108"/>
      <c r="DB66" s="2109"/>
      <c r="DC66" s="2108"/>
      <c r="DD66" s="2109"/>
      <c r="DE66" s="2108"/>
      <c r="DF66" s="2109"/>
      <c r="DG66" s="2108"/>
      <c r="DH66" s="2109"/>
      <c r="DI66" s="2108"/>
      <c r="DJ66" s="2109"/>
      <c r="DK66" s="2108"/>
      <c r="DL66" s="2109"/>
      <c r="DM66" s="2108"/>
      <c r="DN66" s="2109"/>
      <c r="DO66" s="2108"/>
      <c r="DP66" s="2109"/>
      <c r="DQ66" s="2108"/>
      <c r="DR66" s="2109"/>
      <c r="DS66" s="2108"/>
      <c r="DT66" s="2109"/>
      <c r="DU66" s="2108"/>
      <c r="DV66" s="2109"/>
      <c r="DW66" s="2103"/>
      <c r="DX66" s="2104"/>
      <c r="DY66" s="2103"/>
      <c r="DZ66" s="2104"/>
      <c r="EA66" s="2103"/>
      <c r="EB66" s="2104"/>
      <c r="EC66" s="2103"/>
      <c r="ED66" s="2104"/>
      <c r="EE66" s="2103"/>
      <c r="EF66" s="2104"/>
      <c r="EG66" s="2103"/>
      <c r="EH66" s="2104"/>
      <c r="EI66" s="2103"/>
      <c r="EJ66" s="2104"/>
      <c r="EK66" s="2103"/>
      <c r="EL66" s="2104"/>
      <c r="EM66" s="2103"/>
      <c r="EN66" s="2104"/>
      <c r="EO66" s="2103"/>
      <c r="EP66" s="2104"/>
      <c r="EQ66" s="2103"/>
      <c r="ER66" s="2104"/>
      <c r="ES66" s="2103"/>
      <c r="ET66" s="2104"/>
      <c r="EU66" s="2103"/>
      <c r="EV66" s="2104"/>
      <c r="EW66" s="2103"/>
      <c r="EX66" s="2104"/>
      <c r="EY66" s="2103"/>
      <c r="EZ66" s="2104"/>
      <c r="FA66" s="2103"/>
      <c r="FB66" s="2104"/>
      <c r="FC66" s="2103"/>
      <c r="FD66" s="2104"/>
      <c r="FE66" s="2103"/>
      <c r="FF66" s="2104"/>
      <c r="FG66" s="2103"/>
      <c r="FH66" s="2104"/>
      <c r="FI66" s="2103"/>
      <c r="FJ66" s="2104"/>
      <c r="FK66" s="2103"/>
      <c r="FL66" s="2104"/>
      <c r="FM66" s="2103"/>
      <c r="FN66" s="2104"/>
      <c r="FO66" s="2103"/>
      <c r="FP66" s="2104"/>
      <c r="FQ66" s="2103"/>
      <c r="FR66" s="2104"/>
      <c r="FS66" s="2103"/>
      <c r="FT66" s="2104"/>
      <c r="FU66" s="2103"/>
      <c r="FV66" s="2104"/>
      <c r="FW66" s="2103"/>
      <c r="FX66" s="2104"/>
      <c r="FY66" s="2103"/>
      <c r="FZ66" s="2104"/>
      <c r="GA66" s="2103"/>
      <c r="GB66" s="2104"/>
      <c r="GC66" s="2103"/>
      <c r="GD66" s="2104"/>
      <c r="GE66" s="2103"/>
      <c r="GF66" s="2104"/>
      <c r="GG66" s="2103"/>
      <c r="GH66" s="2104"/>
      <c r="GI66" s="2103"/>
      <c r="GJ66" s="2104"/>
      <c r="GK66" s="2103"/>
      <c r="GL66" s="2104"/>
      <c r="GM66" s="2103"/>
      <c r="GN66" s="2104"/>
      <c r="GO66" s="2103"/>
      <c r="GP66" s="2104"/>
      <c r="GQ66" s="2103"/>
      <c r="GR66" s="2104"/>
      <c r="GS66" s="2103"/>
      <c r="GT66" s="2104"/>
      <c r="GU66" s="2103"/>
      <c r="GV66" s="2104"/>
      <c r="GW66" s="2103"/>
      <c r="GX66" s="2104"/>
      <c r="GY66" s="2103"/>
      <c r="GZ66" s="2104"/>
      <c r="HA66" s="2103"/>
      <c r="HB66" s="2104"/>
      <c r="HC66" s="2103"/>
      <c r="HD66" s="2104"/>
      <c r="HE66" s="2103"/>
      <c r="HF66" s="2104"/>
      <c r="HG66" s="2103"/>
      <c r="HH66" s="2104"/>
      <c r="HI66" s="2103"/>
      <c r="HJ66" s="2104"/>
      <c r="HK66" s="2103"/>
      <c r="HL66" s="2104"/>
      <c r="HM66" s="2103"/>
      <c r="HN66" s="2104"/>
      <c r="HO66" s="1888"/>
    </row>
    <row r="67" spans="2:223">
      <c r="B67" s="1729"/>
      <c r="C67" s="1729"/>
      <c r="H67" s="1886" t="s">
        <v>899</v>
      </c>
      <c r="I67" s="2110">
        <v>0.6</v>
      </c>
      <c r="J67" s="2111"/>
      <c r="K67" s="2112">
        <v>0.8</v>
      </c>
      <c r="L67" s="2113"/>
      <c r="M67" s="2112">
        <v>1</v>
      </c>
      <c r="N67" s="2113"/>
      <c r="O67" s="2112">
        <v>1.2</v>
      </c>
      <c r="P67" s="2113"/>
      <c r="Q67" s="2112">
        <v>0.6</v>
      </c>
      <c r="R67" s="2113"/>
      <c r="S67" s="2112">
        <v>0.8</v>
      </c>
      <c r="T67" s="2113"/>
      <c r="U67" s="2112">
        <v>1</v>
      </c>
      <c r="V67" s="2113"/>
      <c r="W67" s="2112">
        <v>1.2</v>
      </c>
      <c r="X67" s="2113"/>
      <c r="Y67" s="2112">
        <v>0.6</v>
      </c>
      <c r="Z67" s="2113"/>
      <c r="AA67" s="2112">
        <v>0.8</v>
      </c>
      <c r="AB67" s="2113"/>
      <c r="AC67" s="2112">
        <v>1</v>
      </c>
      <c r="AD67" s="2113"/>
      <c r="AE67" s="2112">
        <v>1.2</v>
      </c>
      <c r="AF67" s="2113"/>
      <c r="AG67" s="2112">
        <v>0.6</v>
      </c>
      <c r="AH67" s="2113"/>
      <c r="AI67" s="2112">
        <v>0.8</v>
      </c>
      <c r="AJ67" s="2113"/>
      <c r="AK67" s="2112">
        <v>1</v>
      </c>
      <c r="AL67" s="2113"/>
      <c r="AM67" s="2112">
        <v>1.2</v>
      </c>
      <c r="AN67" s="2113"/>
      <c r="AO67" s="2112">
        <v>0.6</v>
      </c>
      <c r="AP67" s="2113"/>
      <c r="AQ67" s="2112">
        <v>0.8</v>
      </c>
      <c r="AR67" s="2113"/>
      <c r="AS67" s="2112">
        <v>1</v>
      </c>
      <c r="AT67" s="2113"/>
      <c r="AU67" s="2112">
        <v>1.2</v>
      </c>
      <c r="AV67" s="2113"/>
      <c r="AW67" s="2112">
        <v>0.6</v>
      </c>
      <c r="AX67" s="2113"/>
      <c r="AY67" s="2112">
        <v>0.8</v>
      </c>
      <c r="AZ67" s="2113"/>
      <c r="BA67" s="2112">
        <v>1</v>
      </c>
      <c r="BB67" s="2113"/>
      <c r="BC67" s="2112">
        <v>1.2</v>
      </c>
      <c r="BD67" s="2113"/>
      <c r="BE67" s="2112">
        <v>0.6</v>
      </c>
      <c r="BF67" s="2113"/>
      <c r="BG67" s="2112">
        <v>0.8</v>
      </c>
      <c r="BH67" s="2113"/>
      <c r="BI67" s="2112">
        <v>1</v>
      </c>
      <c r="BJ67" s="2113"/>
      <c r="BK67" s="2112">
        <v>1.2</v>
      </c>
      <c r="BL67" s="2113"/>
      <c r="BM67" s="2112">
        <v>1.4</v>
      </c>
      <c r="BN67" s="2113"/>
      <c r="BO67" s="2112">
        <v>0.6</v>
      </c>
      <c r="BP67" s="2113"/>
      <c r="BQ67" s="2112">
        <v>0.8</v>
      </c>
      <c r="BR67" s="2113"/>
      <c r="BS67" s="2112">
        <v>1</v>
      </c>
      <c r="BT67" s="2113"/>
      <c r="BU67" s="2112">
        <v>1.2</v>
      </c>
      <c r="BV67" s="2113"/>
      <c r="BW67" s="2112">
        <v>1.4</v>
      </c>
      <c r="BX67" s="2113"/>
      <c r="BY67" s="2112">
        <v>0.6</v>
      </c>
      <c r="BZ67" s="2113"/>
      <c r="CA67" s="2112">
        <v>0.8</v>
      </c>
      <c r="CB67" s="2113"/>
      <c r="CC67" s="2112">
        <v>1</v>
      </c>
      <c r="CD67" s="2113"/>
      <c r="CE67" s="2112">
        <v>1.2</v>
      </c>
      <c r="CF67" s="2113"/>
      <c r="CG67" s="2112">
        <v>1.4</v>
      </c>
      <c r="CH67" s="2113"/>
      <c r="CI67" s="2112">
        <v>0.6</v>
      </c>
      <c r="CJ67" s="2113"/>
      <c r="CK67" s="2112">
        <v>0.8</v>
      </c>
      <c r="CL67" s="2113"/>
      <c r="CM67" s="2112">
        <v>1</v>
      </c>
      <c r="CN67" s="2113"/>
      <c r="CO67" s="2112">
        <v>1.2</v>
      </c>
      <c r="CP67" s="2113"/>
      <c r="CQ67" s="2112">
        <v>1.4</v>
      </c>
      <c r="CR67" s="2113"/>
      <c r="CS67" s="2112">
        <v>0.6</v>
      </c>
      <c r="CT67" s="2113"/>
      <c r="CU67" s="2112">
        <v>0.8</v>
      </c>
      <c r="CV67" s="2113"/>
      <c r="CW67" s="2112">
        <v>1</v>
      </c>
      <c r="CX67" s="2113"/>
      <c r="CY67" s="2112">
        <v>1.2</v>
      </c>
      <c r="CZ67" s="2113"/>
      <c r="DA67" s="2112">
        <v>1.4</v>
      </c>
      <c r="DB67" s="2113"/>
      <c r="DC67" s="2112">
        <v>0.6</v>
      </c>
      <c r="DD67" s="2113"/>
      <c r="DE67" s="2112">
        <v>0.8</v>
      </c>
      <c r="DF67" s="2113"/>
      <c r="DG67" s="2112">
        <v>1</v>
      </c>
      <c r="DH67" s="2113"/>
      <c r="DI67" s="2112">
        <v>1.2</v>
      </c>
      <c r="DJ67" s="2113"/>
      <c r="DK67" s="2112">
        <v>1.4</v>
      </c>
      <c r="DL67" s="2113"/>
      <c r="DM67" s="2112">
        <v>0.6</v>
      </c>
      <c r="DN67" s="2113"/>
      <c r="DO67" s="2112">
        <v>0.8</v>
      </c>
      <c r="DP67" s="2113"/>
      <c r="DQ67" s="2112">
        <v>1</v>
      </c>
      <c r="DR67" s="2113"/>
      <c r="DS67" s="2112">
        <v>1.2</v>
      </c>
      <c r="DT67" s="2113"/>
      <c r="DU67" s="2112">
        <v>1.4</v>
      </c>
      <c r="DV67" s="2113"/>
      <c r="DW67" s="2112">
        <v>0.3</v>
      </c>
      <c r="DX67" s="2113"/>
      <c r="DY67" s="2112">
        <v>0.6</v>
      </c>
      <c r="DZ67" s="2113"/>
      <c r="EA67" s="2112">
        <v>0.9</v>
      </c>
      <c r="EB67" s="2113"/>
      <c r="EC67" s="2112">
        <v>1.2</v>
      </c>
      <c r="ED67" s="2113"/>
      <c r="EE67" s="2112">
        <v>0.3</v>
      </c>
      <c r="EF67" s="2113"/>
      <c r="EG67" s="2112">
        <v>0.6</v>
      </c>
      <c r="EH67" s="2113"/>
      <c r="EI67" s="2112">
        <v>0.9</v>
      </c>
      <c r="EJ67" s="2113"/>
      <c r="EK67" s="2112">
        <v>1.2</v>
      </c>
      <c r="EL67" s="2113"/>
      <c r="EM67" s="2112">
        <v>0.3</v>
      </c>
      <c r="EN67" s="2113"/>
      <c r="EO67" s="2112">
        <v>0.6</v>
      </c>
      <c r="EP67" s="2113"/>
      <c r="EQ67" s="2112">
        <v>0.9</v>
      </c>
      <c r="ER67" s="2113"/>
      <c r="ES67" s="2112">
        <v>1.2</v>
      </c>
      <c r="ET67" s="2113"/>
      <c r="EU67" s="2112">
        <v>0.3</v>
      </c>
      <c r="EV67" s="2113"/>
      <c r="EW67" s="2112">
        <v>0.6</v>
      </c>
      <c r="EX67" s="2113"/>
      <c r="EY67" s="2112">
        <v>0.9</v>
      </c>
      <c r="EZ67" s="2113"/>
      <c r="FA67" s="2112">
        <v>1.2</v>
      </c>
      <c r="FB67" s="2113"/>
      <c r="FC67" s="2112">
        <v>0.3</v>
      </c>
      <c r="FD67" s="2113"/>
      <c r="FE67" s="2112">
        <v>0.6</v>
      </c>
      <c r="FF67" s="2113"/>
      <c r="FG67" s="2112">
        <v>0.9</v>
      </c>
      <c r="FH67" s="2113"/>
      <c r="FI67" s="2112">
        <v>1.2</v>
      </c>
      <c r="FJ67" s="2113"/>
      <c r="FK67" s="2112">
        <v>0.3</v>
      </c>
      <c r="FL67" s="2113"/>
      <c r="FM67" s="2112">
        <v>0.6</v>
      </c>
      <c r="FN67" s="2113"/>
      <c r="FO67" s="2112">
        <v>0.9</v>
      </c>
      <c r="FP67" s="2113"/>
      <c r="FQ67" s="2112">
        <v>1.2</v>
      </c>
      <c r="FR67" s="2113"/>
      <c r="FS67" s="2112">
        <v>0.3</v>
      </c>
      <c r="FT67" s="2113"/>
      <c r="FU67" s="2112">
        <v>0.6</v>
      </c>
      <c r="FV67" s="2113"/>
      <c r="FW67" s="2112">
        <v>0.9</v>
      </c>
      <c r="FX67" s="2113"/>
      <c r="FY67" s="2112">
        <v>1.2</v>
      </c>
      <c r="FZ67" s="2113"/>
      <c r="GA67" s="2112">
        <v>0.3</v>
      </c>
      <c r="GB67" s="2113"/>
      <c r="GC67" s="2112">
        <v>0.6</v>
      </c>
      <c r="GD67" s="2113"/>
      <c r="GE67" s="2112">
        <v>0.9</v>
      </c>
      <c r="GF67" s="2113"/>
      <c r="GG67" s="2112">
        <v>1.2</v>
      </c>
      <c r="GH67" s="2113"/>
      <c r="GI67" s="2112">
        <v>0.3</v>
      </c>
      <c r="GJ67" s="2113"/>
      <c r="GK67" s="2112">
        <v>0.6</v>
      </c>
      <c r="GL67" s="2113"/>
      <c r="GM67" s="2112">
        <v>0.9</v>
      </c>
      <c r="GN67" s="2113"/>
      <c r="GO67" s="2112">
        <v>1.2</v>
      </c>
      <c r="GP67" s="2113"/>
      <c r="GQ67" s="2112">
        <v>0.3</v>
      </c>
      <c r="GR67" s="2113"/>
      <c r="GS67" s="2112">
        <v>0.6</v>
      </c>
      <c r="GT67" s="2113"/>
      <c r="GU67" s="2112">
        <v>0.9</v>
      </c>
      <c r="GV67" s="2113"/>
      <c r="GW67" s="2112">
        <v>1.2</v>
      </c>
      <c r="GX67" s="2113"/>
      <c r="GY67" s="2112">
        <v>0.3</v>
      </c>
      <c r="GZ67" s="2113"/>
      <c r="HA67" s="2112">
        <v>0.6</v>
      </c>
      <c r="HB67" s="2113"/>
      <c r="HC67" s="2112">
        <v>0.9</v>
      </c>
      <c r="HD67" s="2113"/>
      <c r="HE67" s="2112">
        <v>1.2</v>
      </c>
      <c r="HF67" s="2113"/>
      <c r="HG67" s="2112">
        <v>0.3</v>
      </c>
      <c r="HH67" s="2113"/>
      <c r="HI67" s="2112">
        <v>0.6</v>
      </c>
      <c r="HJ67" s="2113"/>
      <c r="HK67" s="2112">
        <v>0.9</v>
      </c>
      <c r="HL67" s="2113"/>
      <c r="HM67" s="2112">
        <v>1.2</v>
      </c>
      <c r="HN67" s="2113"/>
      <c r="HO67" s="1889"/>
    </row>
    <row r="68" spans="2:223">
      <c r="B68" s="1729"/>
      <c r="C68" s="1729"/>
      <c r="H68" s="1886"/>
      <c r="I68" s="1890" t="s">
        <v>0</v>
      </c>
      <c r="J68" s="1891" t="s">
        <v>1</v>
      </c>
      <c r="K68" s="1890" t="s">
        <v>0</v>
      </c>
      <c r="L68" s="1891" t="s">
        <v>1</v>
      </c>
      <c r="M68" s="1890" t="s">
        <v>0</v>
      </c>
      <c r="N68" s="1891" t="s">
        <v>1</v>
      </c>
      <c r="O68" s="1890" t="s">
        <v>0</v>
      </c>
      <c r="P68" s="1891" t="s">
        <v>1</v>
      </c>
      <c r="Q68" s="1890" t="s">
        <v>0</v>
      </c>
      <c r="R68" s="1891" t="s">
        <v>1</v>
      </c>
      <c r="S68" s="1890" t="s">
        <v>0</v>
      </c>
      <c r="T68" s="1891" t="s">
        <v>1</v>
      </c>
      <c r="U68" s="1890" t="s">
        <v>0</v>
      </c>
      <c r="V68" s="1891" t="s">
        <v>1</v>
      </c>
      <c r="W68" s="1890" t="s">
        <v>0</v>
      </c>
      <c r="X68" s="1891" t="s">
        <v>1</v>
      </c>
      <c r="Y68" s="1890" t="s">
        <v>0</v>
      </c>
      <c r="Z68" s="1891" t="s">
        <v>1</v>
      </c>
      <c r="AA68" s="1890" t="s">
        <v>0</v>
      </c>
      <c r="AB68" s="1891" t="s">
        <v>1</v>
      </c>
      <c r="AC68" s="1890" t="s">
        <v>0</v>
      </c>
      <c r="AD68" s="1891" t="s">
        <v>1</v>
      </c>
      <c r="AE68" s="1890" t="s">
        <v>0</v>
      </c>
      <c r="AF68" s="1891" t="s">
        <v>1</v>
      </c>
      <c r="AG68" s="1890" t="s">
        <v>0</v>
      </c>
      <c r="AH68" s="1891" t="s">
        <v>1</v>
      </c>
      <c r="AI68" s="1890" t="s">
        <v>0</v>
      </c>
      <c r="AJ68" s="1891" t="s">
        <v>1</v>
      </c>
      <c r="AK68" s="1890" t="s">
        <v>0</v>
      </c>
      <c r="AL68" s="1891" t="s">
        <v>1</v>
      </c>
      <c r="AM68" s="1890" t="s">
        <v>0</v>
      </c>
      <c r="AN68" s="1891" t="s">
        <v>1</v>
      </c>
      <c r="AO68" s="1890" t="s">
        <v>0</v>
      </c>
      <c r="AP68" s="1891" t="s">
        <v>1</v>
      </c>
      <c r="AQ68" s="1890" t="s">
        <v>0</v>
      </c>
      <c r="AR68" s="1891" t="s">
        <v>1</v>
      </c>
      <c r="AS68" s="1890" t="s">
        <v>0</v>
      </c>
      <c r="AT68" s="1891" t="s">
        <v>1</v>
      </c>
      <c r="AU68" s="1890" t="s">
        <v>0</v>
      </c>
      <c r="AV68" s="1891" t="s">
        <v>1</v>
      </c>
      <c r="AW68" s="1890" t="s">
        <v>0</v>
      </c>
      <c r="AX68" s="1891" t="s">
        <v>1</v>
      </c>
      <c r="AY68" s="1890" t="s">
        <v>0</v>
      </c>
      <c r="AZ68" s="1891" t="s">
        <v>1</v>
      </c>
      <c r="BA68" s="1890" t="s">
        <v>0</v>
      </c>
      <c r="BB68" s="1891" t="s">
        <v>1</v>
      </c>
      <c r="BC68" s="1890" t="s">
        <v>0</v>
      </c>
      <c r="BD68" s="1891" t="s">
        <v>1</v>
      </c>
      <c r="BE68" s="1890" t="s">
        <v>0</v>
      </c>
      <c r="BF68" s="1891" t="s">
        <v>1</v>
      </c>
      <c r="BG68" s="1890" t="s">
        <v>0</v>
      </c>
      <c r="BH68" s="1891" t="s">
        <v>1</v>
      </c>
      <c r="BI68" s="1890" t="s">
        <v>0</v>
      </c>
      <c r="BJ68" s="1891" t="s">
        <v>1</v>
      </c>
      <c r="BK68" s="1890" t="s">
        <v>0</v>
      </c>
      <c r="BL68" s="1891" t="s">
        <v>1</v>
      </c>
      <c r="BM68" s="1890" t="s">
        <v>0</v>
      </c>
      <c r="BN68" s="1891" t="s">
        <v>1</v>
      </c>
      <c r="BO68" s="1890" t="s">
        <v>0</v>
      </c>
      <c r="BP68" s="1891" t="s">
        <v>1</v>
      </c>
      <c r="BQ68" s="1890" t="s">
        <v>0</v>
      </c>
      <c r="BR68" s="1891" t="s">
        <v>1</v>
      </c>
      <c r="BS68" s="1890" t="s">
        <v>0</v>
      </c>
      <c r="BT68" s="1891" t="s">
        <v>1</v>
      </c>
      <c r="BU68" s="1890" t="s">
        <v>0</v>
      </c>
      <c r="BV68" s="1891" t="s">
        <v>1</v>
      </c>
      <c r="BW68" s="1890" t="s">
        <v>0</v>
      </c>
      <c r="BX68" s="1891" t="s">
        <v>1</v>
      </c>
      <c r="BY68" s="1890" t="s">
        <v>0</v>
      </c>
      <c r="BZ68" s="1891" t="s">
        <v>1</v>
      </c>
      <c r="CA68" s="1890" t="s">
        <v>0</v>
      </c>
      <c r="CB68" s="1891" t="s">
        <v>1</v>
      </c>
      <c r="CC68" s="1890" t="s">
        <v>0</v>
      </c>
      <c r="CD68" s="1891" t="s">
        <v>1</v>
      </c>
      <c r="CE68" s="1890" t="s">
        <v>0</v>
      </c>
      <c r="CF68" s="1891" t="s">
        <v>1</v>
      </c>
      <c r="CG68" s="1890" t="s">
        <v>0</v>
      </c>
      <c r="CH68" s="1891" t="s">
        <v>1</v>
      </c>
      <c r="CI68" s="1890" t="s">
        <v>0</v>
      </c>
      <c r="CJ68" s="1891" t="s">
        <v>1</v>
      </c>
      <c r="CK68" s="1890" t="s">
        <v>0</v>
      </c>
      <c r="CL68" s="1891" t="s">
        <v>1</v>
      </c>
      <c r="CM68" s="1890" t="s">
        <v>0</v>
      </c>
      <c r="CN68" s="1891" t="s">
        <v>1</v>
      </c>
      <c r="CO68" s="1890" t="s">
        <v>0</v>
      </c>
      <c r="CP68" s="1891" t="s">
        <v>1</v>
      </c>
      <c r="CQ68" s="1890" t="s">
        <v>0</v>
      </c>
      <c r="CR68" s="1891" t="s">
        <v>1</v>
      </c>
      <c r="CS68" s="1890" t="s">
        <v>0</v>
      </c>
      <c r="CT68" s="1891" t="s">
        <v>1</v>
      </c>
      <c r="CU68" s="1890" t="s">
        <v>0</v>
      </c>
      <c r="CV68" s="1891" t="s">
        <v>1</v>
      </c>
      <c r="CW68" s="1890" t="s">
        <v>0</v>
      </c>
      <c r="CX68" s="1891" t="s">
        <v>1</v>
      </c>
      <c r="CY68" s="1890" t="s">
        <v>0</v>
      </c>
      <c r="CZ68" s="1891" t="s">
        <v>1</v>
      </c>
      <c r="DA68" s="1890" t="s">
        <v>0</v>
      </c>
      <c r="DB68" s="1891" t="s">
        <v>1</v>
      </c>
      <c r="DC68" s="1890" t="s">
        <v>0</v>
      </c>
      <c r="DD68" s="1891" t="s">
        <v>1</v>
      </c>
      <c r="DE68" s="1890" t="s">
        <v>0</v>
      </c>
      <c r="DF68" s="1891" t="s">
        <v>1</v>
      </c>
      <c r="DG68" s="1890" t="s">
        <v>0</v>
      </c>
      <c r="DH68" s="1891" t="s">
        <v>1</v>
      </c>
      <c r="DI68" s="1890" t="s">
        <v>0</v>
      </c>
      <c r="DJ68" s="1891" t="s">
        <v>1</v>
      </c>
      <c r="DK68" s="1890" t="s">
        <v>0</v>
      </c>
      <c r="DL68" s="1891" t="s">
        <v>1</v>
      </c>
      <c r="DM68" s="1890" t="s">
        <v>0</v>
      </c>
      <c r="DN68" s="1891" t="s">
        <v>1</v>
      </c>
      <c r="DO68" s="1890" t="s">
        <v>0</v>
      </c>
      <c r="DP68" s="1891" t="s">
        <v>1</v>
      </c>
      <c r="DQ68" s="1890" t="s">
        <v>0</v>
      </c>
      <c r="DR68" s="1891" t="s">
        <v>1</v>
      </c>
      <c r="DS68" s="1890" t="s">
        <v>0</v>
      </c>
      <c r="DT68" s="1891" t="s">
        <v>1</v>
      </c>
      <c r="DU68" s="1890" t="s">
        <v>0</v>
      </c>
      <c r="DV68" s="1891" t="s">
        <v>1</v>
      </c>
      <c r="DW68" s="1890" t="s">
        <v>0</v>
      </c>
      <c r="DX68" s="1891" t="s">
        <v>1</v>
      </c>
      <c r="DY68" s="1890" t="s">
        <v>0</v>
      </c>
      <c r="DZ68" s="1891" t="s">
        <v>1</v>
      </c>
      <c r="EA68" s="1890" t="s">
        <v>0</v>
      </c>
      <c r="EB68" s="1891" t="s">
        <v>1</v>
      </c>
      <c r="EC68" s="1890" t="s">
        <v>0</v>
      </c>
      <c r="ED68" s="1891" t="s">
        <v>1</v>
      </c>
      <c r="EE68" s="1890" t="s">
        <v>0</v>
      </c>
      <c r="EF68" s="1891" t="s">
        <v>1</v>
      </c>
      <c r="EG68" s="1890" t="s">
        <v>0</v>
      </c>
      <c r="EH68" s="1891" t="s">
        <v>1</v>
      </c>
      <c r="EI68" s="1890" t="s">
        <v>0</v>
      </c>
      <c r="EJ68" s="1891" t="s">
        <v>1</v>
      </c>
      <c r="EK68" s="1890" t="s">
        <v>0</v>
      </c>
      <c r="EL68" s="1891" t="s">
        <v>1</v>
      </c>
      <c r="EM68" s="1890" t="s">
        <v>0</v>
      </c>
      <c r="EN68" s="1891" t="s">
        <v>1</v>
      </c>
      <c r="EO68" s="1890" t="s">
        <v>0</v>
      </c>
      <c r="EP68" s="1891" t="s">
        <v>1</v>
      </c>
      <c r="EQ68" s="1890" t="s">
        <v>0</v>
      </c>
      <c r="ER68" s="1891" t="s">
        <v>1</v>
      </c>
      <c r="ES68" s="1890" t="s">
        <v>0</v>
      </c>
      <c r="ET68" s="1891" t="s">
        <v>1</v>
      </c>
      <c r="EU68" s="1890" t="s">
        <v>0</v>
      </c>
      <c r="EV68" s="1891" t="s">
        <v>1</v>
      </c>
      <c r="EW68" s="1890" t="s">
        <v>0</v>
      </c>
      <c r="EX68" s="1891" t="s">
        <v>1</v>
      </c>
      <c r="EY68" s="1890" t="s">
        <v>0</v>
      </c>
      <c r="EZ68" s="1891" t="s">
        <v>1</v>
      </c>
      <c r="FA68" s="1890" t="s">
        <v>0</v>
      </c>
      <c r="FB68" s="1891" t="s">
        <v>1</v>
      </c>
      <c r="FC68" s="1890" t="s">
        <v>0</v>
      </c>
      <c r="FD68" s="1891" t="s">
        <v>1</v>
      </c>
      <c r="FE68" s="1890" t="s">
        <v>0</v>
      </c>
      <c r="FF68" s="1891" t="s">
        <v>1</v>
      </c>
      <c r="FG68" s="1890" t="s">
        <v>0</v>
      </c>
      <c r="FH68" s="1891" t="s">
        <v>1</v>
      </c>
      <c r="FI68" s="1890" t="s">
        <v>0</v>
      </c>
      <c r="FJ68" s="1891" t="s">
        <v>1</v>
      </c>
      <c r="FK68" s="1890" t="s">
        <v>0</v>
      </c>
      <c r="FL68" s="1891" t="s">
        <v>1</v>
      </c>
      <c r="FM68" s="1890" t="s">
        <v>0</v>
      </c>
      <c r="FN68" s="1891" t="s">
        <v>1</v>
      </c>
      <c r="FO68" s="1890" t="s">
        <v>0</v>
      </c>
      <c r="FP68" s="1891" t="s">
        <v>1</v>
      </c>
      <c r="FQ68" s="1890" t="s">
        <v>0</v>
      </c>
      <c r="FR68" s="1891" t="s">
        <v>1</v>
      </c>
      <c r="FS68" s="1890" t="s">
        <v>0</v>
      </c>
      <c r="FT68" s="1891" t="s">
        <v>1</v>
      </c>
      <c r="FU68" s="1890" t="s">
        <v>0</v>
      </c>
      <c r="FV68" s="1891" t="s">
        <v>1</v>
      </c>
      <c r="FW68" s="1890" t="s">
        <v>0</v>
      </c>
      <c r="FX68" s="1891" t="s">
        <v>1</v>
      </c>
      <c r="FY68" s="1890" t="s">
        <v>0</v>
      </c>
      <c r="FZ68" s="1891" t="s">
        <v>1</v>
      </c>
      <c r="GA68" s="1890" t="s">
        <v>0</v>
      </c>
      <c r="GB68" s="1891" t="s">
        <v>1</v>
      </c>
      <c r="GC68" s="1890" t="s">
        <v>0</v>
      </c>
      <c r="GD68" s="1891" t="s">
        <v>1</v>
      </c>
      <c r="GE68" s="1890" t="s">
        <v>0</v>
      </c>
      <c r="GF68" s="1891" t="s">
        <v>1</v>
      </c>
      <c r="GG68" s="1890" t="s">
        <v>0</v>
      </c>
      <c r="GH68" s="1891" t="s">
        <v>1</v>
      </c>
      <c r="GI68" s="1890" t="s">
        <v>0</v>
      </c>
      <c r="GJ68" s="1891" t="s">
        <v>1</v>
      </c>
      <c r="GK68" s="1890" t="s">
        <v>0</v>
      </c>
      <c r="GL68" s="1891" t="s">
        <v>1</v>
      </c>
      <c r="GM68" s="1890" t="s">
        <v>0</v>
      </c>
      <c r="GN68" s="1891" t="s">
        <v>1</v>
      </c>
      <c r="GO68" s="1890" t="s">
        <v>0</v>
      </c>
      <c r="GP68" s="1891" t="s">
        <v>1</v>
      </c>
      <c r="GQ68" s="1890" t="s">
        <v>0</v>
      </c>
      <c r="GR68" s="1891" t="s">
        <v>1</v>
      </c>
      <c r="GS68" s="1890" t="s">
        <v>0</v>
      </c>
      <c r="GT68" s="1891" t="s">
        <v>1</v>
      </c>
      <c r="GU68" s="1890" t="s">
        <v>0</v>
      </c>
      <c r="GV68" s="1891" t="s">
        <v>1</v>
      </c>
      <c r="GW68" s="1890" t="s">
        <v>0</v>
      </c>
      <c r="GX68" s="1891" t="s">
        <v>1</v>
      </c>
      <c r="GY68" s="1890" t="s">
        <v>0</v>
      </c>
      <c r="GZ68" s="1891" t="s">
        <v>1</v>
      </c>
      <c r="HA68" s="1890" t="s">
        <v>0</v>
      </c>
      <c r="HB68" s="1891" t="s">
        <v>1</v>
      </c>
      <c r="HC68" s="1890" t="s">
        <v>0</v>
      </c>
      <c r="HD68" s="1891" t="s">
        <v>1</v>
      </c>
      <c r="HE68" s="1890" t="s">
        <v>0</v>
      </c>
      <c r="HF68" s="1891" t="s">
        <v>1</v>
      </c>
      <c r="HG68" s="1890" t="s">
        <v>0</v>
      </c>
      <c r="HH68" s="1891" t="s">
        <v>1</v>
      </c>
      <c r="HI68" s="1890" t="s">
        <v>0</v>
      </c>
      <c r="HJ68" s="1891" t="s">
        <v>1</v>
      </c>
      <c r="HK68" s="1890" t="s">
        <v>0</v>
      </c>
      <c r="HL68" s="1891" t="s">
        <v>1</v>
      </c>
      <c r="HM68" s="1890" t="s">
        <v>0</v>
      </c>
      <c r="HN68" s="1891" t="s">
        <v>1</v>
      </c>
      <c r="HO68" s="1892"/>
    </row>
    <row r="69" spans="2:223">
      <c r="B69" s="1729"/>
      <c r="C69" s="1729"/>
      <c r="H69" s="1893" t="s">
        <v>901</v>
      </c>
      <c r="I69" s="1894">
        <v>0</v>
      </c>
      <c r="J69" s="1895">
        <v>6.35</v>
      </c>
      <c r="K69" s="1894">
        <v>0</v>
      </c>
      <c r="L69" s="1895">
        <v>6.56</v>
      </c>
      <c r="M69" s="1896">
        <v>0</v>
      </c>
      <c r="N69" s="1895">
        <v>6.64</v>
      </c>
      <c r="O69" s="1896">
        <v>0</v>
      </c>
      <c r="P69" s="1895">
        <v>6.54</v>
      </c>
      <c r="Q69" s="1896">
        <v>0</v>
      </c>
      <c r="R69" s="1895">
        <v>7.28</v>
      </c>
      <c r="S69" s="1896">
        <v>0</v>
      </c>
      <c r="T69" s="1895">
        <v>7.52</v>
      </c>
      <c r="U69" s="1896">
        <v>0</v>
      </c>
      <c r="V69" s="1895">
        <v>7.61</v>
      </c>
      <c r="W69" s="1896">
        <v>0</v>
      </c>
      <c r="X69" s="1895">
        <v>7.41</v>
      </c>
      <c r="Y69" s="1896">
        <v>0</v>
      </c>
      <c r="Z69" s="1895">
        <v>8.17</v>
      </c>
      <c r="AA69" s="1897">
        <v>0</v>
      </c>
      <c r="AB69" s="1898">
        <v>8.44</v>
      </c>
      <c r="AC69" s="1897">
        <v>0</v>
      </c>
      <c r="AD69" s="1898">
        <v>8.5500000000000007</v>
      </c>
      <c r="AE69" s="1897">
        <v>0</v>
      </c>
      <c r="AF69" s="1898">
        <v>8.41</v>
      </c>
      <c r="AG69" s="1897">
        <v>0</v>
      </c>
      <c r="AH69" s="1898">
        <v>9.0299999999999994</v>
      </c>
      <c r="AI69" s="1897">
        <v>0</v>
      </c>
      <c r="AJ69" s="1898">
        <v>9.33</v>
      </c>
      <c r="AK69" s="1897">
        <v>0</v>
      </c>
      <c r="AL69" s="1898">
        <v>9.4499999999999993</v>
      </c>
      <c r="AM69" s="1897">
        <v>0</v>
      </c>
      <c r="AN69" s="1898">
        <v>9.3000000000000007</v>
      </c>
      <c r="AO69" s="1897">
        <v>0</v>
      </c>
      <c r="AP69" s="1898">
        <v>9.8699999999999992</v>
      </c>
      <c r="AQ69" s="1897">
        <v>0</v>
      </c>
      <c r="AR69" s="1898">
        <v>10.19</v>
      </c>
      <c r="AS69" s="1897">
        <v>0</v>
      </c>
      <c r="AT69" s="1898">
        <v>10.32</v>
      </c>
      <c r="AU69" s="1897">
        <v>0</v>
      </c>
      <c r="AV69" s="1898">
        <v>10.16</v>
      </c>
      <c r="AW69" s="1897">
        <v>0</v>
      </c>
      <c r="AX69" s="1898">
        <v>10.68</v>
      </c>
      <c r="AY69" s="1897">
        <v>0</v>
      </c>
      <c r="AZ69" s="1898">
        <v>11.03</v>
      </c>
      <c r="BA69" s="1897">
        <v>0</v>
      </c>
      <c r="BB69" s="1898">
        <v>11.17</v>
      </c>
      <c r="BC69" s="1897">
        <v>0</v>
      </c>
      <c r="BD69" s="1898">
        <v>10.99</v>
      </c>
      <c r="BE69" s="1897">
        <v>0</v>
      </c>
      <c r="BF69" s="1898">
        <v>6.21</v>
      </c>
      <c r="BG69" s="1897">
        <v>0</v>
      </c>
      <c r="BH69" s="1898">
        <v>6.43</v>
      </c>
      <c r="BI69" s="1897">
        <v>0</v>
      </c>
      <c r="BJ69" s="1898">
        <v>6.58</v>
      </c>
      <c r="BK69" s="1897">
        <v>0</v>
      </c>
      <c r="BL69" s="1898">
        <v>6.64</v>
      </c>
      <c r="BM69" s="1897">
        <v>0</v>
      </c>
      <c r="BN69" s="1898">
        <v>6.58</v>
      </c>
      <c r="BO69" s="1897">
        <v>0</v>
      </c>
      <c r="BP69" s="1898">
        <v>7.12</v>
      </c>
      <c r="BQ69" s="1897">
        <v>0</v>
      </c>
      <c r="BR69" s="1898">
        <v>7.37</v>
      </c>
      <c r="BS69" s="1897">
        <v>0</v>
      </c>
      <c r="BT69" s="1898">
        <v>7.54</v>
      </c>
      <c r="BU69" s="1897">
        <v>0</v>
      </c>
      <c r="BV69" s="1898">
        <v>7.61</v>
      </c>
      <c r="BW69" s="1897">
        <v>0</v>
      </c>
      <c r="BX69" s="1898">
        <v>7.55</v>
      </c>
      <c r="BY69" s="1897">
        <v>0</v>
      </c>
      <c r="BZ69" s="1898">
        <v>7.99</v>
      </c>
      <c r="CA69" s="1897">
        <v>0</v>
      </c>
      <c r="CB69" s="1898">
        <v>8.2799999999999994</v>
      </c>
      <c r="CC69" s="1897">
        <v>0</v>
      </c>
      <c r="CD69" s="1898">
        <v>8.4600000000000009</v>
      </c>
      <c r="CE69" s="1897">
        <v>0</v>
      </c>
      <c r="CF69" s="1898">
        <v>8.5399999999999991</v>
      </c>
      <c r="CG69" s="1897">
        <v>0</v>
      </c>
      <c r="CH69" s="1898">
        <v>8.4700000000000006</v>
      </c>
      <c r="CI69" s="1897">
        <v>0</v>
      </c>
      <c r="CJ69" s="1898">
        <v>8.83</v>
      </c>
      <c r="CK69" s="1897">
        <v>0</v>
      </c>
      <c r="CL69" s="1898">
        <v>9.15</v>
      </c>
      <c r="CM69" s="1897">
        <v>0</v>
      </c>
      <c r="CN69" s="1898">
        <v>9.36</v>
      </c>
      <c r="CO69" s="1897">
        <v>0</v>
      </c>
      <c r="CP69" s="1898">
        <v>9.44</v>
      </c>
      <c r="CQ69" s="1897">
        <v>0</v>
      </c>
      <c r="CR69" s="1898">
        <v>9.3699999999999992</v>
      </c>
      <c r="CS69" s="1897">
        <v>0</v>
      </c>
      <c r="CT69" s="1898">
        <v>9.65</v>
      </c>
      <c r="CU69" s="1897">
        <v>0</v>
      </c>
      <c r="CV69" s="1898">
        <v>9.99</v>
      </c>
      <c r="CW69" s="1897">
        <v>0</v>
      </c>
      <c r="CX69" s="1898">
        <v>10.220000000000001</v>
      </c>
      <c r="CY69" s="1897">
        <v>0</v>
      </c>
      <c r="CZ69" s="1898">
        <v>10.32</v>
      </c>
      <c r="DA69" s="1897">
        <v>0</v>
      </c>
      <c r="DB69" s="1898">
        <v>10.23</v>
      </c>
      <c r="DC69" s="1897">
        <v>0</v>
      </c>
      <c r="DD69" s="1898">
        <v>10.44</v>
      </c>
      <c r="DE69" s="1897">
        <v>0</v>
      </c>
      <c r="DF69" s="1898">
        <v>10.82</v>
      </c>
      <c r="DG69" s="1897">
        <v>0</v>
      </c>
      <c r="DH69" s="1898">
        <v>11.06</v>
      </c>
      <c r="DI69" s="1897">
        <v>0</v>
      </c>
      <c r="DJ69" s="1898">
        <v>11.17</v>
      </c>
      <c r="DK69" s="1897">
        <v>0</v>
      </c>
      <c r="DL69" s="1898">
        <v>11.07</v>
      </c>
      <c r="DM69" s="1897">
        <v>0</v>
      </c>
      <c r="DN69" s="1898">
        <v>11.22</v>
      </c>
      <c r="DO69" s="1897">
        <v>0</v>
      </c>
      <c r="DP69" s="1898">
        <v>11.62</v>
      </c>
      <c r="DQ69" s="1897">
        <v>0</v>
      </c>
      <c r="DR69" s="1898">
        <v>11.88</v>
      </c>
      <c r="DS69" s="1897">
        <v>0</v>
      </c>
      <c r="DT69" s="1898">
        <v>11.99</v>
      </c>
      <c r="DU69" s="1897">
        <v>0</v>
      </c>
      <c r="DV69" s="1898">
        <v>11.89</v>
      </c>
      <c r="DW69" s="1897">
        <v>0</v>
      </c>
      <c r="DX69" s="1898">
        <v>7.3</v>
      </c>
      <c r="DY69" s="1897">
        <v>0</v>
      </c>
      <c r="DZ69" s="1898">
        <v>7.2</v>
      </c>
      <c r="EA69" s="1897">
        <v>0</v>
      </c>
      <c r="EB69" s="1898">
        <v>7</v>
      </c>
      <c r="EC69" s="1897">
        <v>0</v>
      </c>
      <c r="ED69" s="1898">
        <v>6.9</v>
      </c>
      <c r="EE69" s="1897">
        <v>0</v>
      </c>
      <c r="EF69" s="1898">
        <v>8.1999999999999993</v>
      </c>
      <c r="EG69" s="1897">
        <v>0</v>
      </c>
      <c r="EH69" s="1898">
        <v>8.1</v>
      </c>
      <c r="EI69" s="1897">
        <v>0</v>
      </c>
      <c r="EJ69" s="1898">
        <v>8</v>
      </c>
      <c r="EK69" s="1897">
        <v>0</v>
      </c>
      <c r="EL69" s="1898">
        <v>7.9</v>
      </c>
      <c r="EM69" s="1897">
        <v>0</v>
      </c>
      <c r="EN69" s="1898">
        <v>9.1999999999999993</v>
      </c>
      <c r="EO69" s="1897">
        <v>0</v>
      </c>
      <c r="EP69" s="1898">
        <v>9.1</v>
      </c>
      <c r="EQ69" s="1897">
        <v>0</v>
      </c>
      <c r="ER69" s="1898">
        <v>8.9</v>
      </c>
      <c r="ES69" s="1897">
        <v>0</v>
      </c>
      <c r="ET69" s="1898">
        <v>8.8000000000000007</v>
      </c>
      <c r="EU69" s="1897">
        <v>0</v>
      </c>
      <c r="EV69" s="1898">
        <v>10.1</v>
      </c>
      <c r="EW69" s="1897">
        <v>0</v>
      </c>
      <c r="EX69" s="1898">
        <v>10</v>
      </c>
      <c r="EY69" s="1897">
        <v>0</v>
      </c>
      <c r="EZ69" s="1898">
        <v>9.9</v>
      </c>
      <c r="FA69" s="1897">
        <v>0</v>
      </c>
      <c r="FB69" s="1898">
        <v>9.8000000000000007</v>
      </c>
      <c r="FC69" s="1897">
        <v>0</v>
      </c>
      <c r="FD69" s="1898">
        <v>7.3</v>
      </c>
      <c r="FE69" s="1897">
        <v>0</v>
      </c>
      <c r="FF69" s="1898">
        <v>7.2</v>
      </c>
      <c r="FG69" s="1897">
        <v>0</v>
      </c>
      <c r="FH69" s="1898">
        <v>7.1</v>
      </c>
      <c r="FI69" s="1897">
        <v>0</v>
      </c>
      <c r="FJ69" s="1898">
        <v>6.9</v>
      </c>
      <c r="FK69" s="1897">
        <v>0</v>
      </c>
      <c r="FL69" s="1898">
        <v>8.3000000000000007</v>
      </c>
      <c r="FM69" s="1897">
        <v>0</v>
      </c>
      <c r="FN69" s="1898">
        <v>8.1</v>
      </c>
      <c r="FO69" s="1897">
        <v>0</v>
      </c>
      <c r="FP69" s="1898">
        <v>8</v>
      </c>
      <c r="FQ69" s="1897">
        <v>0</v>
      </c>
      <c r="FR69" s="1898">
        <v>7.9</v>
      </c>
      <c r="FS69" s="1897">
        <v>0</v>
      </c>
      <c r="FT69" s="1898">
        <v>9.1999999999999993</v>
      </c>
      <c r="FU69" s="1897">
        <v>0</v>
      </c>
      <c r="FV69" s="1898">
        <v>9.1</v>
      </c>
      <c r="FW69" s="1897">
        <v>0</v>
      </c>
      <c r="FX69" s="1898">
        <v>9</v>
      </c>
      <c r="FY69" s="1897">
        <v>0</v>
      </c>
      <c r="FZ69" s="1898">
        <v>8.9</v>
      </c>
      <c r="GA69" s="1897">
        <v>0</v>
      </c>
      <c r="GB69" s="1898">
        <v>10.199999999999999</v>
      </c>
      <c r="GC69" s="1897">
        <v>0</v>
      </c>
      <c r="GD69" s="1898">
        <v>10.1</v>
      </c>
      <c r="GE69" s="1897">
        <v>0</v>
      </c>
      <c r="GF69" s="1898">
        <v>9.9</v>
      </c>
      <c r="GG69" s="1897">
        <v>0</v>
      </c>
      <c r="GH69" s="1898">
        <v>9.8000000000000007</v>
      </c>
      <c r="GI69" s="1897">
        <v>0</v>
      </c>
      <c r="GJ69" s="1898">
        <v>7.3</v>
      </c>
      <c r="GK69" s="1897">
        <v>0</v>
      </c>
      <c r="GL69" s="1898">
        <v>7.2</v>
      </c>
      <c r="GM69" s="1897">
        <v>0</v>
      </c>
      <c r="GN69" s="1898">
        <v>7.1</v>
      </c>
      <c r="GO69" s="1897">
        <v>0</v>
      </c>
      <c r="GP69" s="1898">
        <v>7</v>
      </c>
      <c r="GQ69" s="1897">
        <v>0</v>
      </c>
      <c r="GR69" s="1898">
        <v>8.3000000000000007</v>
      </c>
      <c r="GS69" s="1897">
        <v>0</v>
      </c>
      <c r="GT69" s="1898">
        <v>8.1999999999999993</v>
      </c>
      <c r="GU69" s="1897">
        <v>0</v>
      </c>
      <c r="GV69" s="1898">
        <v>8.1</v>
      </c>
      <c r="GW69" s="1897">
        <v>0</v>
      </c>
      <c r="GX69" s="1898">
        <v>7.9</v>
      </c>
      <c r="GY69" s="1897">
        <v>0</v>
      </c>
      <c r="GZ69" s="1898">
        <v>9.3000000000000007</v>
      </c>
      <c r="HA69" s="1897">
        <v>0</v>
      </c>
      <c r="HB69" s="1898">
        <v>9.1</v>
      </c>
      <c r="HC69" s="1897">
        <v>0</v>
      </c>
      <c r="HD69" s="1898">
        <v>9</v>
      </c>
      <c r="HE69" s="1897">
        <v>0</v>
      </c>
      <c r="HF69" s="1898">
        <v>8.9</v>
      </c>
      <c r="HG69" s="1897">
        <v>0</v>
      </c>
      <c r="HH69" s="1898">
        <v>10.199999999999999</v>
      </c>
      <c r="HI69" s="1897">
        <v>0</v>
      </c>
      <c r="HJ69" s="1898">
        <v>10.1</v>
      </c>
      <c r="HK69" s="1897">
        <v>0</v>
      </c>
      <c r="HL69" s="1898">
        <v>10</v>
      </c>
      <c r="HM69" s="1897">
        <v>0</v>
      </c>
      <c r="HN69" s="1898">
        <v>9.8000000000000007</v>
      </c>
      <c r="HO69" s="1897"/>
    </row>
    <row r="70" spans="2:223">
      <c r="B70" s="1729"/>
      <c r="C70" s="1729"/>
      <c r="H70" s="1893" t="s">
        <v>8</v>
      </c>
      <c r="I70" s="1894">
        <v>3.82</v>
      </c>
      <c r="J70" s="1895">
        <v>10000</v>
      </c>
      <c r="K70" s="1894">
        <v>4.2300000000000004</v>
      </c>
      <c r="L70" s="1895">
        <v>10000</v>
      </c>
      <c r="M70" s="1896">
        <v>4.6100000000000003</v>
      </c>
      <c r="N70" s="1895">
        <v>10000</v>
      </c>
      <c r="O70" s="1896">
        <v>4.95</v>
      </c>
      <c r="P70" s="1895">
        <v>10000</v>
      </c>
      <c r="Q70" s="1896">
        <v>4.38</v>
      </c>
      <c r="R70" s="1895">
        <v>10000</v>
      </c>
      <c r="S70" s="1896">
        <v>4.8499999999999996</v>
      </c>
      <c r="T70" s="1895">
        <v>10000</v>
      </c>
      <c r="U70" s="1896">
        <v>5.29</v>
      </c>
      <c r="V70" s="1895">
        <v>10000</v>
      </c>
      <c r="W70" s="1896">
        <v>5.75</v>
      </c>
      <c r="X70" s="1895">
        <v>10000</v>
      </c>
      <c r="Y70" s="1896">
        <v>4.92</v>
      </c>
      <c r="Z70" s="1895">
        <v>10000</v>
      </c>
      <c r="AA70" s="1897">
        <v>5.45</v>
      </c>
      <c r="AB70" s="1898">
        <v>10000</v>
      </c>
      <c r="AC70" s="1897">
        <v>5.94</v>
      </c>
      <c r="AD70" s="1898">
        <v>10000</v>
      </c>
      <c r="AE70" s="1897">
        <v>6.37</v>
      </c>
      <c r="AF70" s="1898">
        <v>10000</v>
      </c>
      <c r="AG70" s="1897">
        <v>5.44</v>
      </c>
      <c r="AH70" s="1898">
        <v>10000</v>
      </c>
      <c r="AI70" s="1897">
        <v>6.02</v>
      </c>
      <c r="AJ70" s="1898">
        <v>10000</v>
      </c>
      <c r="AK70" s="1897">
        <v>6.56</v>
      </c>
      <c r="AL70" s="1898">
        <v>10000</v>
      </c>
      <c r="AM70" s="1897">
        <v>7.04</v>
      </c>
      <c r="AN70" s="1898">
        <v>10000</v>
      </c>
      <c r="AO70" s="1897">
        <v>5.94</v>
      </c>
      <c r="AP70" s="1898">
        <v>10000</v>
      </c>
      <c r="AQ70" s="1897">
        <v>6.58</v>
      </c>
      <c r="AR70" s="1898">
        <v>10000</v>
      </c>
      <c r="AS70" s="1897">
        <v>7.17</v>
      </c>
      <c r="AT70" s="1898">
        <v>10000</v>
      </c>
      <c r="AU70" s="1897">
        <v>7.69</v>
      </c>
      <c r="AV70" s="1898">
        <v>10000</v>
      </c>
      <c r="AW70" s="1897">
        <v>6.43</v>
      </c>
      <c r="AX70" s="1898">
        <v>10000</v>
      </c>
      <c r="AY70" s="1897">
        <v>7.12</v>
      </c>
      <c r="AZ70" s="1898">
        <v>10000</v>
      </c>
      <c r="BA70" s="1897">
        <v>7.76</v>
      </c>
      <c r="BB70" s="1898">
        <v>10000</v>
      </c>
      <c r="BC70" s="1897">
        <v>8.33</v>
      </c>
      <c r="BD70" s="1898">
        <v>10000</v>
      </c>
      <c r="BE70" s="1897">
        <v>3.61</v>
      </c>
      <c r="BF70" s="1898">
        <v>10000</v>
      </c>
      <c r="BG70" s="1897">
        <v>3.96</v>
      </c>
      <c r="BH70" s="1898">
        <v>10000</v>
      </c>
      <c r="BI70" s="1897">
        <v>4.29</v>
      </c>
      <c r="BJ70" s="1898">
        <v>10000</v>
      </c>
      <c r="BK70" s="1897">
        <v>4.5999999999999996</v>
      </c>
      <c r="BL70" s="1898">
        <v>10000</v>
      </c>
      <c r="BM70" s="1897">
        <v>4.88</v>
      </c>
      <c r="BN70" s="1898">
        <v>10000</v>
      </c>
      <c r="BO70" s="1897">
        <v>4.1399999999999997</v>
      </c>
      <c r="BP70" s="1898">
        <v>10000</v>
      </c>
      <c r="BQ70" s="1897">
        <v>4.54</v>
      </c>
      <c r="BR70" s="1898">
        <v>10000</v>
      </c>
      <c r="BS70" s="1897">
        <v>4.92</v>
      </c>
      <c r="BT70" s="1898">
        <v>10000</v>
      </c>
      <c r="BU70" s="1897">
        <v>5.27</v>
      </c>
      <c r="BV70" s="1898">
        <v>10000</v>
      </c>
      <c r="BW70" s="1897">
        <v>5.59</v>
      </c>
      <c r="BX70" s="1898">
        <v>10000</v>
      </c>
      <c r="BY70" s="1897">
        <v>4.6500000000000004</v>
      </c>
      <c r="BZ70" s="1898">
        <v>10000</v>
      </c>
      <c r="CA70" s="1897">
        <v>5.0999999999999996</v>
      </c>
      <c r="CB70" s="1898">
        <v>10000</v>
      </c>
      <c r="CC70" s="1897">
        <v>5.52</v>
      </c>
      <c r="CD70" s="1898">
        <v>10000</v>
      </c>
      <c r="CE70" s="1897">
        <v>5.92</v>
      </c>
      <c r="CF70" s="1898">
        <v>10000</v>
      </c>
      <c r="CG70" s="1897">
        <v>6.28</v>
      </c>
      <c r="CH70" s="1898">
        <v>10000</v>
      </c>
      <c r="CI70" s="1897">
        <v>5.14</v>
      </c>
      <c r="CJ70" s="1898">
        <v>10000</v>
      </c>
      <c r="CK70" s="1897">
        <v>5.64</v>
      </c>
      <c r="CL70" s="1898">
        <v>10000</v>
      </c>
      <c r="CM70" s="1897">
        <v>6.11</v>
      </c>
      <c r="CN70" s="1898">
        <v>10000</v>
      </c>
      <c r="CO70" s="1897">
        <v>6.54</v>
      </c>
      <c r="CP70" s="1898">
        <v>10000</v>
      </c>
      <c r="CQ70" s="1897">
        <v>6.94</v>
      </c>
      <c r="CR70" s="1898">
        <v>10000</v>
      </c>
      <c r="CS70" s="1897">
        <v>5.61</v>
      </c>
      <c r="CT70" s="1898">
        <v>10000</v>
      </c>
      <c r="CU70" s="1897">
        <v>6.16</v>
      </c>
      <c r="CV70" s="1898">
        <v>10000</v>
      </c>
      <c r="CW70" s="1897">
        <v>6.67</v>
      </c>
      <c r="CX70" s="1898">
        <v>10000</v>
      </c>
      <c r="CY70" s="1897">
        <v>7.15</v>
      </c>
      <c r="CZ70" s="1898">
        <v>10000</v>
      </c>
      <c r="DA70" s="1897">
        <v>7.58</v>
      </c>
      <c r="DB70" s="1898">
        <v>10000</v>
      </c>
      <c r="DC70" s="1897">
        <v>6.07</v>
      </c>
      <c r="DD70" s="1898">
        <v>10000</v>
      </c>
      <c r="DE70" s="1897">
        <v>6.66</v>
      </c>
      <c r="DF70" s="1898">
        <v>10000</v>
      </c>
      <c r="DG70" s="1897">
        <v>7.22</v>
      </c>
      <c r="DH70" s="1898">
        <v>10000</v>
      </c>
      <c r="DI70" s="1897">
        <v>7.14</v>
      </c>
      <c r="DJ70" s="1898">
        <v>10000</v>
      </c>
      <c r="DK70" s="1897">
        <v>8.2100000000000009</v>
      </c>
      <c r="DL70" s="1898">
        <v>10000</v>
      </c>
      <c r="DM70" s="1897">
        <v>6.52</v>
      </c>
      <c r="DN70" s="1898">
        <v>10000</v>
      </c>
      <c r="DO70" s="1897">
        <v>7.15</v>
      </c>
      <c r="DP70" s="1898">
        <v>10000</v>
      </c>
      <c r="DQ70" s="1897">
        <v>7.75</v>
      </c>
      <c r="DR70" s="1898">
        <v>10000</v>
      </c>
      <c r="DS70" s="1897">
        <v>8.3000000000000007</v>
      </c>
      <c r="DT70" s="1898">
        <v>10000</v>
      </c>
      <c r="DU70" s="1897">
        <v>8.82</v>
      </c>
      <c r="DV70" s="1898">
        <v>10000</v>
      </c>
      <c r="DW70" s="1897">
        <v>3.7959999999999998</v>
      </c>
      <c r="DX70" s="1898">
        <v>10000</v>
      </c>
      <c r="DY70" s="1897">
        <v>4.32</v>
      </c>
      <c r="DZ70" s="1898">
        <v>10000</v>
      </c>
      <c r="EA70" s="1897">
        <v>4.6900000000000004</v>
      </c>
      <c r="EB70" s="1898">
        <v>10000</v>
      </c>
      <c r="EC70" s="1897">
        <v>5.1059999999999999</v>
      </c>
      <c r="ED70" s="1898">
        <v>10000</v>
      </c>
      <c r="EE70" s="1897">
        <v>4.2639999999999993</v>
      </c>
      <c r="EF70" s="1898">
        <v>10000</v>
      </c>
      <c r="EG70" s="1897">
        <v>4.8600000000000003</v>
      </c>
      <c r="EH70" s="1898">
        <v>10000</v>
      </c>
      <c r="EI70" s="1897">
        <v>5.36</v>
      </c>
      <c r="EJ70" s="1898">
        <v>10000</v>
      </c>
      <c r="EK70" s="1897">
        <v>5.8460000000000001</v>
      </c>
      <c r="EL70" s="1898">
        <v>10000</v>
      </c>
      <c r="EM70" s="1897">
        <v>4.7839999999999998</v>
      </c>
      <c r="EN70" s="1898">
        <v>10000</v>
      </c>
      <c r="EO70" s="1897">
        <v>5.46</v>
      </c>
      <c r="EP70" s="1898">
        <v>10000</v>
      </c>
      <c r="EQ70" s="1897">
        <v>5.963000000000001</v>
      </c>
      <c r="ER70" s="1898">
        <v>10000</v>
      </c>
      <c r="ES70" s="1897">
        <v>6.5120000000000005</v>
      </c>
      <c r="ET70" s="1898">
        <v>10000</v>
      </c>
      <c r="EU70" s="1897">
        <v>5.2519999999999998</v>
      </c>
      <c r="EV70" s="1898">
        <v>10000</v>
      </c>
      <c r="EW70" s="1897">
        <v>6</v>
      </c>
      <c r="EX70" s="1898">
        <v>10000</v>
      </c>
      <c r="EY70" s="1897">
        <v>6.6330000000000009</v>
      </c>
      <c r="EZ70" s="1898">
        <v>10000</v>
      </c>
      <c r="FA70" s="1897">
        <v>7.2520000000000007</v>
      </c>
      <c r="FB70" s="1898">
        <v>10000</v>
      </c>
      <c r="FC70" s="1897">
        <v>3.65</v>
      </c>
      <c r="FD70" s="1898">
        <v>10000</v>
      </c>
      <c r="FE70" s="1897">
        <v>4.1760000000000002</v>
      </c>
      <c r="FF70" s="1898">
        <v>10000</v>
      </c>
      <c r="FG70" s="1897">
        <v>4.6150000000000002</v>
      </c>
      <c r="FH70" s="1898">
        <v>10000</v>
      </c>
      <c r="FI70" s="1897">
        <v>4.968</v>
      </c>
      <c r="FJ70" s="1898">
        <v>10000</v>
      </c>
      <c r="FK70" s="1897">
        <v>4.1500000000000004</v>
      </c>
      <c r="FL70" s="1898">
        <v>10000</v>
      </c>
      <c r="FM70" s="1897">
        <v>4.6979999999999995</v>
      </c>
      <c r="FN70" s="1898">
        <v>10000</v>
      </c>
      <c r="FO70" s="1897">
        <v>5.2</v>
      </c>
      <c r="FP70" s="1898">
        <v>10000</v>
      </c>
      <c r="FQ70" s="1897">
        <v>5.6879999999999997</v>
      </c>
      <c r="FR70" s="1898">
        <v>10000</v>
      </c>
      <c r="FS70" s="1897">
        <v>4.5999999999999996</v>
      </c>
      <c r="FT70" s="1898">
        <v>10000</v>
      </c>
      <c r="FU70" s="1897">
        <v>5.2779999999999996</v>
      </c>
      <c r="FV70" s="1898">
        <v>10000</v>
      </c>
      <c r="FW70" s="1897">
        <v>5.85</v>
      </c>
      <c r="FX70" s="1898">
        <v>10000</v>
      </c>
      <c r="FY70" s="1897">
        <v>6.4080000000000004</v>
      </c>
      <c r="FZ70" s="1898">
        <v>10000</v>
      </c>
      <c r="GA70" s="1897">
        <v>5.0999999999999996</v>
      </c>
      <c r="GB70" s="1898">
        <v>10000</v>
      </c>
      <c r="GC70" s="1897">
        <v>5.8579999999999997</v>
      </c>
      <c r="GD70" s="1898">
        <v>10000</v>
      </c>
      <c r="GE70" s="1897">
        <v>6.4349999999999996</v>
      </c>
      <c r="GF70" s="1898">
        <v>10000</v>
      </c>
      <c r="GG70" s="1897">
        <v>7.056</v>
      </c>
      <c r="GH70" s="1898">
        <v>10000</v>
      </c>
      <c r="GI70" s="1897">
        <v>3.504</v>
      </c>
      <c r="GJ70" s="1898">
        <v>10000</v>
      </c>
      <c r="GK70" s="1897">
        <v>4.0320000000000009</v>
      </c>
      <c r="GL70" s="1898">
        <v>10000</v>
      </c>
      <c r="GM70" s="1897">
        <v>4.4729999999999999</v>
      </c>
      <c r="GN70" s="1898">
        <v>10000</v>
      </c>
      <c r="GO70" s="1897">
        <v>4.9000000000000004</v>
      </c>
      <c r="GP70" s="1898">
        <v>10000</v>
      </c>
      <c r="GQ70" s="1897">
        <v>3.984</v>
      </c>
      <c r="GR70" s="1898">
        <v>10000</v>
      </c>
      <c r="GS70" s="1897">
        <v>4.5919999999999996</v>
      </c>
      <c r="GT70" s="1898">
        <v>10000</v>
      </c>
      <c r="GU70" s="1897">
        <v>5.1029999999999998</v>
      </c>
      <c r="GV70" s="1898">
        <v>10000</v>
      </c>
      <c r="GW70" s="1897">
        <v>5.53</v>
      </c>
      <c r="GX70" s="1898">
        <v>10000</v>
      </c>
      <c r="GY70" s="1897">
        <v>4.4640000000000004</v>
      </c>
      <c r="GZ70" s="1898">
        <v>10000</v>
      </c>
      <c r="HA70" s="1897">
        <v>5.0960000000000001</v>
      </c>
      <c r="HB70" s="1898">
        <v>10000</v>
      </c>
      <c r="HC70" s="1897">
        <v>5.67</v>
      </c>
      <c r="HD70" s="1898">
        <v>10000</v>
      </c>
      <c r="HE70" s="1897">
        <v>6.23</v>
      </c>
      <c r="HF70" s="1898">
        <v>10000</v>
      </c>
      <c r="HG70" s="1897">
        <v>4.8959999999999999</v>
      </c>
      <c r="HH70" s="1898">
        <v>10000</v>
      </c>
      <c r="HI70" s="1897">
        <v>5.6560000000000006</v>
      </c>
      <c r="HJ70" s="1898">
        <v>10000</v>
      </c>
      <c r="HK70" s="1897">
        <v>6.3</v>
      </c>
      <c r="HL70" s="1898">
        <v>10000</v>
      </c>
      <c r="HM70" s="1897">
        <v>6.86</v>
      </c>
      <c r="HN70" s="1898">
        <v>10000</v>
      </c>
      <c r="HO70" s="1897"/>
    </row>
    <row r="71" spans="2:223">
      <c r="B71" s="1729"/>
      <c r="C71" s="1729"/>
      <c r="H71" s="1893" t="s">
        <v>902</v>
      </c>
      <c r="I71" s="1894">
        <v>682</v>
      </c>
      <c r="J71" s="1895">
        <v>10000</v>
      </c>
      <c r="K71" s="1894">
        <v>749</v>
      </c>
      <c r="L71" s="1895">
        <v>10000</v>
      </c>
      <c r="M71" s="1896">
        <v>807</v>
      </c>
      <c r="N71" s="1895">
        <v>10000</v>
      </c>
      <c r="O71" s="1896">
        <v>851</v>
      </c>
      <c r="P71" s="1895">
        <v>10000</v>
      </c>
      <c r="Q71" s="1896">
        <v>732</v>
      </c>
      <c r="R71" s="1895">
        <v>10000</v>
      </c>
      <c r="S71" s="1896">
        <v>794</v>
      </c>
      <c r="T71" s="1895">
        <v>10000</v>
      </c>
      <c r="U71" s="1896">
        <v>845</v>
      </c>
      <c r="V71" s="1895">
        <v>10000</v>
      </c>
      <c r="W71" s="1896">
        <v>886</v>
      </c>
      <c r="X71" s="1895">
        <v>10000</v>
      </c>
      <c r="Y71" s="1896">
        <v>779</v>
      </c>
      <c r="Z71" s="1895">
        <v>10000</v>
      </c>
      <c r="AA71" s="1897">
        <v>837</v>
      </c>
      <c r="AB71" s="1898">
        <v>10000</v>
      </c>
      <c r="AC71" s="1897">
        <v>882</v>
      </c>
      <c r="AD71" s="1898">
        <v>10000</v>
      </c>
      <c r="AE71" s="1897">
        <v>910</v>
      </c>
      <c r="AF71" s="1898">
        <v>10000</v>
      </c>
      <c r="AG71" s="1897">
        <v>825</v>
      </c>
      <c r="AH71" s="1898">
        <v>10000</v>
      </c>
      <c r="AI71" s="1897">
        <v>878</v>
      </c>
      <c r="AJ71" s="1898">
        <v>10000</v>
      </c>
      <c r="AK71" s="1897">
        <v>917</v>
      </c>
      <c r="AL71" s="1898">
        <v>10000</v>
      </c>
      <c r="AM71" s="1897">
        <v>937</v>
      </c>
      <c r="AN71" s="1898">
        <v>10000</v>
      </c>
      <c r="AO71" s="1897">
        <v>869</v>
      </c>
      <c r="AP71" s="1898">
        <v>10000</v>
      </c>
      <c r="AQ71" s="1897">
        <v>917</v>
      </c>
      <c r="AR71" s="1898">
        <v>10000</v>
      </c>
      <c r="AS71" s="1897">
        <v>950</v>
      </c>
      <c r="AT71" s="1898">
        <v>10000</v>
      </c>
      <c r="AU71" s="1897">
        <v>963</v>
      </c>
      <c r="AV71" s="1898">
        <v>10000</v>
      </c>
      <c r="AW71" s="1897">
        <v>912</v>
      </c>
      <c r="AX71" s="1898">
        <v>10000</v>
      </c>
      <c r="AY71" s="1897">
        <v>955</v>
      </c>
      <c r="AZ71" s="1898">
        <v>10000</v>
      </c>
      <c r="BA71" s="1897">
        <v>983</v>
      </c>
      <c r="BB71" s="1898">
        <v>10000</v>
      </c>
      <c r="BC71" s="1897">
        <v>988</v>
      </c>
      <c r="BD71" s="1898">
        <v>10000</v>
      </c>
      <c r="BE71" s="1897">
        <v>696</v>
      </c>
      <c r="BF71" s="1898">
        <v>10000</v>
      </c>
      <c r="BG71" s="1897">
        <v>774</v>
      </c>
      <c r="BH71" s="1898">
        <v>10000</v>
      </c>
      <c r="BI71" s="1897">
        <v>846</v>
      </c>
      <c r="BJ71" s="1898">
        <v>10000</v>
      </c>
      <c r="BK71" s="1897">
        <v>912</v>
      </c>
      <c r="BL71" s="1898">
        <v>10000</v>
      </c>
      <c r="BM71" s="1897">
        <v>969</v>
      </c>
      <c r="BN71" s="1898">
        <v>10000</v>
      </c>
      <c r="BO71" s="1897">
        <v>748</v>
      </c>
      <c r="BP71" s="1898">
        <v>10000</v>
      </c>
      <c r="BQ71" s="1897">
        <v>822</v>
      </c>
      <c r="BR71" s="1898">
        <v>10000</v>
      </c>
      <c r="BS71" s="1897">
        <v>890</v>
      </c>
      <c r="BT71" s="1898">
        <v>10000</v>
      </c>
      <c r="BU71" s="1897">
        <v>951</v>
      </c>
      <c r="BV71" s="1898">
        <v>10000</v>
      </c>
      <c r="BW71" s="1897">
        <v>1002</v>
      </c>
      <c r="BX71" s="1898">
        <v>10000</v>
      </c>
      <c r="BY71" s="1897">
        <v>797</v>
      </c>
      <c r="BZ71" s="1898">
        <v>10000</v>
      </c>
      <c r="CA71" s="1897">
        <v>868</v>
      </c>
      <c r="CB71" s="1898">
        <v>10000</v>
      </c>
      <c r="CC71" s="1897">
        <v>932</v>
      </c>
      <c r="CD71" s="1898">
        <v>10000</v>
      </c>
      <c r="CE71" s="1897">
        <v>987</v>
      </c>
      <c r="CF71" s="1898">
        <v>10000</v>
      </c>
      <c r="CG71" s="1897">
        <v>1032</v>
      </c>
      <c r="CH71" s="1898">
        <v>10000</v>
      </c>
      <c r="CI71" s="1897">
        <v>845</v>
      </c>
      <c r="CJ71" s="1898">
        <v>10000</v>
      </c>
      <c r="CK71" s="1897">
        <v>913</v>
      </c>
      <c r="CL71" s="1898">
        <v>10000</v>
      </c>
      <c r="CM71" s="1897">
        <v>972</v>
      </c>
      <c r="CN71" s="1898">
        <v>10000</v>
      </c>
      <c r="CO71" s="1897">
        <v>1022.9999999999999</v>
      </c>
      <c r="CP71" s="1898">
        <v>10000</v>
      </c>
      <c r="CQ71" s="1897">
        <v>1061</v>
      </c>
      <c r="CR71" s="1898">
        <v>10000</v>
      </c>
      <c r="CS71" s="1897">
        <v>891</v>
      </c>
      <c r="CT71" s="1898">
        <v>10000</v>
      </c>
      <c r="CU71" s="1897">
        <v>955</v>
      </c>
      <c r="CV71" s="1898">
        <v>10000</v>
      </c>
      <c r="CW71" s="1897">
        <v>1010.9999999999999</v>
      </c>
      <c r="CX71" s="1898">
        <v>10000</v>
      </c>
      <c r="CY71" s="1897">
        <v>1056</v>
      </c>
      <c r="CZ71" s="1898">
        <v>10000</v>
      </c>
      <c r="DA71" s="1897">
        <v>1089</v>
      </c>
      <c r="DB71" s="1898">
        <v>10000</v>
      </c>
      <c r="DC71" s="1897">
        <v>936</v>
      </c>
      <c r="DD71" s="1898">
        <v>10000</v>
      </c>
      <c r="DE71" s="1897">
        <v>997</v>
      </c>
      <c r="DF71" s="1898">
        <v>10000</v>
      </c>
      <c r="DG71" s="1897">
        <v>1048</v>
      </c>
      <c r="DH71" s="1898">
        <v>10000</v>
      </c>
      <c r="DI71" s="1897">
        <v>1089</v>
      </c>
      <c r="DJ71" s="1898">
        <v>10000</v>
      </c>
      <c r="DK71" s="1897">
        <v>1116</v>
      </c>
      <c r="DL71" s="1898">
        <v>10000</v>
      </c>
      <c r="DM71" s="1897">
        <v>979</v>
      </c>
      <c r="DN71" s="1898">
        <v>10000</v>
      </c>
      <c r="DO71" s="1897">
        <v>1037</v>
      </c>
      <c r="DP71" s="1898">
        <v>10000</v>
      </c>
      <c r="DQ71" s="1897">
        <v>1084</v>
      </c>
      <c r="DR71" s="1898">
        <v>10000</v>
      </c>
      <c r="DS71" s="1897">
        <v>1121</v>
      </c>
      <c r="DT71" s="1898">
        <v>10000</v>
      </c>
      <c r="DU71" s="1897">
        <v>1143</v>
      </c>
      <c r="DV71" s="1898">
        <v>10000</v>
      </c>
      <c r="DW71" s="1897">
        <v>569.4</v>
      </c>
      <c r="DX71" s="1898">
        <v>10000</v>
      </c>
      <c r="DY71" s="1897">
        <v>669.6</v>
      </c>
      <c r="DZ71" s="1898">
        <v>10000</v>
      </c>
      <c r="EA71" s="1897">
        <v>763</v>
      </c>
      <c r="EB71" s="1898">
        <v>10000</v>
      </c>
      <c r="EC71" s="1897">
        <v>862.5</v>
      </c>
      <c r="ED71" s="1898">
        <v>10000</v>
      </c>
      <c r="EE71" s="1897">
        <v>541.20000000000005</v>
      </c>
      <c r="EF71" s="1898">
        <v>10000</v>
      </c>
      <c r="EG71" s="1897">
        <v>664.2</v>
      </c>
      <c r="EH71" s="1898">
        <v>10000</v>
      </c>
      <c r="EI71" s="1897">
        <v>784</v>
      </c>
      <c r="EJ71" s="1898">
        <v>10000</v>
      </c>
      <c r="EK71" s="1897">
        <v>900.6</v>
      </c>
      <c r="EL71" s="1898">
        <v>10000</v>
      </c>
      <c r="EM71" s="1897">
        <v>598</v>
      </c>
      <c r="EN71" s="1898">
        <v>10000</v>
      </c>
      <c r="EO71" s="1897">
        <v>646.1</v>
      </c>
      <c r="EP71" s="1898">
        <v>10000</v>
      </c>
      <c r="EQ71" s="1897">
        <v>774.3</v>
      </c>
      <c r="ER71" s="1898">
        <v>10000</v>
      </c>
      <c r="ES71" s="1897">
        <v>897.6</v>
      </c>
      <c r="ET71" s="1898">
        <v>10000</v>
      </c>
      <c r="EU71" s="1897">
        <v>656.5</v>
      </c>
      <c r="EV71" s="1898">
        <v>10000</v>
      </c>
      <c r="EW71" s="1897">
        <v>680</v>
      </c>
      <c r="EX71" s="1898">
        <v>10000</v>
      </c>
      <c r="EY71" s="1897">
        <v>742.5</v>
      </c>
      <c r="EZ71" s="1898">
        <v>10000</v>
      </c>
      <c r="FA71" s="1897">
        <v>891.8</v>
      </c>
      <c r="FB71" s="1898">
        <v>10000</v>
      </c>
      <c r="FC71" s="1897">
        <v>591.29999999999995</v>
      </c>
      <c r="FD71" s="1898">
        <v>10000</v>
      </c>
      <c r="FE71" s="1897">
        <v>698.4</v>
      </c>
      <c r="FF71" s="1898">
        <v>10000</v>
      </c>
      <c r="FG71" s="1897">
        <v>802.3</v>
      </c>
      <c r="FH71" s="1898">
        <v>10000</v>
      </c>
      <c r="FI71" s="1897">
        <v>890.1</v>
      </c>
      <c r="FJ71" s="1898">
        <v>10000</v>
      </c>
      <c r="FK71" s="1897">
        <v>581</v>
      </c>
      <c r="FL71" s="1898">
        <v>10000</v>
      </c>
      <c r="FM71" s="1897">
        <v>696.6</v>
      </c>
      <c r="FN71" s="1898">
        <v>10000</v>
      </c>
      <c r="FO71" s="1897">
        <v>808</v>
      </c>
      <c r="FP71" s="1898">
        <v>10000</v>
      </c>
      <c r="FQ71" s="1897">
        <v>924.3</v>
      </c>
      <c r="FR71" s="1898">
        <v>10000</v>
      </c>
      <c r="FS71" s="1897">
        <v>598</v>
      </c>
      <c r="FT71" s="1898">
        <v>10000</v>
      </c>
      <c r="FU71" s="1897">
        <v>673.4</v>
      </c>
      <c r="FV71" s="1898">
        <v>10000</v>
      </c>
      <c r="FW71" s="1897">
        <v>810</v>
      </c>
      <c r="FX71" s="1898">
        <v>10000</v>
      </c>
      <c r="FY71" s="1897">
        <v>943.4</v>
      </c>
      <c r="FZ71" s="1898">
        <v>10000</v>
      </c>
      <c r="GA71" s="1897">
        <v>663</v>
      </c>
      <c r="GB71" s="1898">
        <v>10000</v>
      </c>
      <c r="GC71" s="1897">
        <v>686.8</v>
      </c>
      <c r="GD71" s="1898">
        <v>10000</v>
      </c>
      <c r="GE71" s="1897">
        <v>782.1</v>
      </c>
      <c r="GF71" s="1898">
        <v>10000</v>
      </c>
      <c r="GG71" s="1897">
        <v>931</v>
      </c>
      <c r="GH71" s="1898">
        <v>10000</v>
      </c>
      <c r="GI71" s="1897">
        <v>620.5</v>
      </c>
      <c r="GJ71" s="1898">
        <v>10000</v>
      </c>
      <c r="GK71" s="1897">
        <v>720</v>
      </c>
      <c r="GL71" s="1898">
        <v>10000</v>
      </c>
      <c r="GM71" s="1897">
        <v>823.6</v>
      </c>
      <c r="GN71" s="1898">
        <v>10000</v>
      </c>
      <c r="GO71" s="1897">
        <v>924</v>
      </c>
      <c r="GP71" s="1898">
        <v>10000</v>
      </c>
      <c r="GQ71" s="1897">
        <v>605.9</v>
      </c>
      <c r="GR71" s="1898">
        <v>10000</v>
      </c>
      <c r="GS71" s="1897">
        <v>729.8</v>
      </c>
      <c r="GT71" s="1898">
        <v>10000</v>
      </c>
      <c r="GU71" s="1897">
        <v>850.5</v>
      </c>
      <c r="GV71" s="1898">
        <v>10000</v>
      </c>
      <c r="GW71" s="1897">
        <v>955.9</v>
      </c>
      <c r="GX71" s="1898">
        <v>10000</v>
      </c>
      <c r="GY71" s="1897">
        <v>576.6</v>
      </c>
      <c r="GZ71" s="1898">
        <v>10000</v>
      </c>
      <c r="HA71" s="1897">
        <v>709.8</v>
      </c>
      <c r="HB71" s="1898">
        <v>10000</v>
      </c>
      <c r="HC71" s="1897">
        <v>846</v>
      </c>
      <c r="HD71" s="1898">
        <v>10000</v>
      </c>
      <c r="HE71" s="1897">
        <v>970.1</v>
      </c>
      <c r="HF71" s="1898">
        <v>10000</v>
      </c>
      <c r="HG71" s="1897">
        <v>663</v>
      </c>
      <c r="HH71" s="1898">
        <v>10000</v>
      </c>
      <c r="HI71" s="1897">
        <v>666.6</v>
      </c>
      <c r="HJ71" s="1898">
        <v>10000</v>
      </c>
      <c r="HK71" s="1897">
        <v>820</v>
      </c>
      <c r="HL71" s="1898">
        <v>10000</v>
      </c>
      <c r="HM71" s="1897">
        <v>960.4</v>
      </c>
      <c r="HN71" s="1898">
        <v>10000</v>
      </c>
      <c r="HO71" s="1897"/>
    </row>
    <row r="72" spans="2:223">
      <c r="B72" s="1729"/>
      <c r="C72" s="1729"/>
      <c r="H72" s="1893" t="s">
        <v>434</v>
      </c>
      <c r="I72" s="1894">
        <v>21</v>
      </c>
      <c r="J72" s="1895">
        <v>279.40000000000003</v>
      </c>
      <c r="K72" s="1894">
        <v>25</v>
      </c>
      <c r="L72" s="1895">
        <v>288.64</v>
      </c>
      <c r="M72" s="1896">
        <v>29</v>
      </c>
      <c r="N72" s="1895">
        <v>292.16000000000003</v>
      </c>
      <c r="O72" s="1896">
        <v>33</v>
      </c>
      <c r="P72" s="1895">
        <v>287.76</v>
      </c>
      <c r="Q72" s="1896">
        <v>21</v>
      </c>
      <c r="R72" s="1895">
        <v>320.32000000000005</v>
      </c>
      <c r="S72" s="1896">
        <v>25</v>
      </c>
      <c r="T72" s="1895">
        <v>330.88</v>
      </c>
      <c r="U72" s="1896">
        <v>28</v>
      </c>
      <c r="V72" s="1895">
        <v>334.84000000000003</v>
      </c>
      <c r="W72" s="1896">
        <v>32</v>
      </c>
      <c r="X72" s="1895">
        <v>326.04000000000008</v>
      </c>
      <c r="Y72" s="1896">
        <v>21</v>
      </c>
      <c r="Z72" s="1895">
        <v>359.48</v>
      </c>
      <c r="AA72" s="1897">
        <v>24</v>
      </c>
      <c r="AB72" s="1898">
        <v>371.36</v>
      </c>
      <c r="AC72" s="1897">
        <v>27</v>
      </c>
      <c r="AD72" s="1898">
        <v>376.2000000000001</v>
      </c>
      <c r="AE72" s="1897">
        <v>30</v>
      </c>
      <c r="AF72" s="1898">
        <v>370.04</v>
      </c>
      <c r="AG72" s="1897">
        <v>22</v>
      </c>
      <c r="AH72" s="1898">
        <v>397.32</v>
      </c>
      <c r="AI72" s="1897">
        <v>24</v>
      </c>
      <c r="AJ72" s="1898">
        <v>410.52000000000004</v>
      </c>
      <c r="AK72" s="1897">
        <v>27</v>
      </c>
      <c r="AL72" s="1898">
        <v>415.8</v>
      </c>
      <c r="AM72" s="1897">
        <v>29</v>
      </c>
      <c r="AN72" s="1898">
        <v>409.20000000000005</v>
      </c>
      <c r="AO72" s="1897">
        <v>22</v>
      </c>
      <c r="AP72" s="1898">
        <v>434.28</v>
      </c>
      <c r="AQ72" s="1897">
        <v>24</v>
      </c>
      <c r="AR72" s="1898">
        <v>448.36</v>
      </c>
      <c r="AS72" s="1897">
        <v>26</v>
      </c>
      <c r="AT72" s="1898">
        <v>454.08000000000004</v>
      </c>
      <c r="AU72" s="1897">
        <v>28</v>
      </c>
      <c r="AV72" s="1898">
        <v>447.04</v>
      </c>
      <c r="AW72" s="1897">
        <v>22</v>
      </c>
      <c r="AX72" s="1898">
        <v>469.92000000000007</v>
      </c>
      <c r="AY72" s="1897">
        <v>24</v>
      </c>
      <c r="AZ72" s="1898">
        <v>485.32000000000005</v>
      </c>
      <c r="BA72" s="1897">
        <v>25</v>
      </c>
      <c r="BB72" s="1898">
        <v>491.48</v>
      </c>
      <c r="BC72" s="1897">
        <v>26</v>
      </c>
      <c r="BD72" s="1898">
        <v>483.56000000000006</v>
      </c>
      <c r="BE72" s="1897">
        <v>23</v>
      </c>
      <c r="BF72" s="1898">
        <v>273.24000000000007</v>
      </c>
      <c r="BG72" s="1897">
        <v>27</v>
      </c>
      <c r="BH72" s="1898">
        <v>282.92</v>
      </c>
      <c r="BI72" s="1897">
        <v>32</v>
      </c>
      <c r="BJ72" s="1898">
        <v>289.52000000000004</v>
      </c>
      <c r="BK72" s="1897">
        <v>37</v>
      </c>
      <c r="BL72" s="1898">
        <v>292.16000000000003</v>
      </c>
      <c r="BM72" s="1897">
        <v>41</v>
      </c>
      <c r="BN72" s="1898">
        <v>289.52000000000004</v>
      </c>
      <c r="BO72" s="1897">
        <v>23</v>
      </c>
      <c r="BP72" s="1898">
        <v>313.28000000000009</v>
      </c>
      <c r="BQ72" s="1897">
        <v>27</v>
      </c>
      <c r="BR72" s="1898">
        <v>324.28000000000003</v>
      </c>
      <c r="BS72" s="1897">
        <v>32</v>
      </c>
      <c r="BT72" s="1898">
        <v>331.76000000000005</v>
      </c>
      <c r="BU72" s="1897">
        <v>36</v>
      </c>
      <c r="BV72" s="1898">
        <v>334.84000000000003</v>
      </c>
      <c r="BW72" s="1897">
        <v>40</v>
      </c>
      <c r="BX72" s="1898">
        <v>332.20000000000005</v>
      </c>
      <c r="BY72" s="1897">
        <v>24</v>
      </c>
      <c r="BZ72" s="1898">
        <v>351.56000000000006</v>
      </c>
      <c r="CA72" s="1897">
        <v>28</v>
      </c>
      <c r="CB72" s="1898">
        <v>364.32000000000005</v>
      </c>
      <c r="CC72" s="1897">
        <v>31</v>
      </c>
      <c r="CD72" s="1898">
        <v>372.24000000000007</v>
      </c>
      <c r="CE72" s="1897">
        <v>35</v>
      </c>
      <c r="CF72" s="1898">
        <v>375.76</v>
      </c>
      <c r="CG72" s="1897">
        <v>39</v>
      </c>
      <c r="CH72" s="1898">
        <v>372.68000000000006</v>
      </c>
      <c r="CI72" s="1897">
        <v>24</v>
      </c>
      <c r="CJ72" s="1898">
        <v>388.52000000000004</v>
      </c>
      <c r="CK72" s="1897">
        <v>28</v>
      </c>
      <c r="CL72" s="1898">
        <v>402.60000000000008</v>
      </c>
      <c r="CM72" s="1897">
        <v>31</v>
      </c>
      <c r="CN72" s="1898">
        <v>411.84000000000003</v>
      </c>
      <c r="CO72" s="1897">
        <v>34</v>
      </c>
      <c r="CP72" s="1898">
        <v>415.36</v>
      </c>
      <c r="CQ72" s="1897">
        <v>38</v>
      </c>
      <c r="CR72" s="1898">
        <v>412.28</v>
      </c>
      <c r="CS72" s="1897">
        <v>25</v>
      </c>
      <c r="CT72" s="1898">
        <v>424.6</v>
      </c>
      <c r="CU72" s="1897">
        <v>28</v>
      </c>
      <c r="CV72" s="1898">
        <v>439.56000000000006</v>
      </c>
      <c r="CW72" s="1897">
        <v>31</v>
      </c>
      <c r="CX72" s="1898">
        <v>449.68000000000006</v>
      </c>
      <c r="CY72" s="1897">
        <v>34</v>
      </c>
      <c r="CZ72" s="1898">
        <v>454.08000000000004</v>
      </c>
      <c r="DA72" s="1897">
        <v>37</v>
      </c>
      <c r="DB72" s="1898">
        <v>450.12000000000006</v>
      </c>
      <c r="DC72" s="1897">
        <v>25</v>
      </c>
      <c r="DD72" s="1898">
        <v>459.36000000000007</v>
      </c>
      <c r="DE72" s="1897">
        <v>28</v>
      </c>
      <c r="DF72" s="1898">
        <v>476.08000000000004</v>
      </c>
      <c r="DG72" s="1897">
        <v>31</v>
      </c>
      <c r="DH72" s="1898">
        <v>486.6400000000001</v>
      </c>
      <c r="DI72" s="1897">
        <v>33</v>
      </c>
      <c r="DJ72" s="1898">
        <v>491.48</v>
      </c>
      <c r="DK72" s="1897">
        <v>36</v>
      </c>
      <c r="DL72" s="1898">
        <v>487.08000000000004</v>
      </c>
      <c r="DM72" s="1897">
        <v>26</v>
      </c>
      <c r="DN72" s="1898">
        <v>493.68000000000006</v>
      </c>
      <c r="DO72" s="1897">
        <v>28</v>
      </c>
      <c r="DP72" s="1898">
        <v>511.28000000000009</v>
      </c>
      <c r="DQ72" s="1897">
        <v>30</v>
      </c>
      <c r="DR72" s="1898">
        <v>522.72</v>
      </c>
      <c r="DS72" s="1897">
        <v>33</v>
      </c>
      <c r="DT72" s="1898">
        <v>527.56000000000006</v>
      </c>
      <c r="DU72" s="1897">
        <v>35</v>
      </c>
      <c r="DV72" s="1898">
        <v>523.16000000000008</v>
      </c>
      <c r="DW72" s="1897">
        <v>18.25</v>
      </c>
      <c r="DX72" s="1898">
        <v>321.20000000000005</v>
      </c>
      <c r="DY72" s="1897">
        <v>23.04</v>
      </c>
      <c r="DZ72" s="1898">
        <v>316.8</v>
      </c>
      <c r="EA72" s="1897">
        <v>28</v>
      </c>
      <c r="EB72" s="1898">
        <v>308.00000000000006</v>
      </c>
      <c r="EC72" s="1897">
        <v>32.43</v>
      </c>
      <c r="ED72" s="1898">
        <v>303.60000000000002</v>
      </c>
      <c r="EE72" s="1897">
        <v>16.399999999999999</v>
      </c>
      <c r="EF72" s="1898">
        <v>360.8</v>
      </c>
      <c r="EG72" s="1897">
        <v>21.87</v>
      </c>
      <c r="EH72" s="1898">
        <v>356.4</v>
      </c>
      <c r="EI72" s="1897">
        <v>27.2</v>
      </c>
      <c r="EJ72" s="1898">
        <v>352.00000000000006</v>
      </c>
      <c r="EK72" s="1897">
        <v>32.39</v>
      </c>
      <c r="EL72" s="1898">
        <v>347.60000000000008</v>
      </c>
      <c r="EM72" s="1897">
        <v>17.48</v>
      </c>
      <c r="EN72" s="1898">
        <v>404.8</v>
      </c>
      <c r="EO72" s="1897">
        <v>20.02</v>
      </c>
      <c r="EP72" s="1898">
        <v>400.40000000000003</v>
      </c>
      <c r="EQ72" s="1897">
        <v>25.81</v>
      </c>
      <c r="ER72" s="1898">
        <v>391.60000000000008</v>
      </c>
      <c r="ES72" s="1897">
        <v>31.68</v>
      </c>
      <c r="ET72" s="1898">
        <v>387.20000000000005</v>
      </c>
      <c r="EU72" s="1897">
        <v>19.190000000000001</v>
      </c>
      <c r="EV72" s="1898">
        <v>444.40000000000003</v>
      </c>
      <c r="EW72" s="1897">
        <v>20</v>
      </c>
      <c r="EX72" s="1898">
        <v>440.00000000000006</v>
      </c>
      <c r="EY72" s="1897">
        <v>22.77</v>
      </c>
      <c r="EZ72" s="1898">
        <v>435.6</v>
      </c>
      <c r="FA72" s="1897">
        <v>30.38</v>
      </c>
      <c r="FB72" s="1898">
        <v>431.2000000000001</v>
      </c>
      <c r="FC72" s="1897">
        <v>19.71</v>
      </c>
      <c r="FD72" s="1898">
        <v>321.20000000000005</v>
      </c>
      <c r="FE72" s="1897">
        <v>24.48</v>
      </c>
      <c r="FF72" s="1898">
        <v>316.8</v>
      </c>
      <c r="FG72" s="1897">
        <v>29.11</v>
      </c>
      <c r="FH72" s="1898">
        <v>312.40000000000003</v>
      </c>
      <c r="FI72" s="1897">
        <v>33.119999999999997</v>
      </c>
      <c r="FJ72" s="1898">
        <v>303.60000000000002</v>
      </c>
      <c r="FK72" s="1897">
        <v>17.43</v>
      </c>
      <c r="FL72" s="1898">
        <v>365.2000000000001</v>
      </c>
      <c r="FM72" s="1897">
        <v>23.49</v>
      </c>
      <c r="FN72" s="1898">
        <v>356.4</v>
      </c>
      <c r="FO72" s="1897">
        <v>28.8</v>
      </c>
      <c r="FP72" s="1898">
        <v>352.00000000000006</v>
      </c>
      <c r="FQ72" s="1897">
        <v>33.97</v>
      </c>
      <c r="FR72" s="1898">
        <v>347.60000000000008</v>
      </c>
      <c r="FS72" s="1897">
        <v>17.48</v>
      </c>
      <c r="FT72" s="1898">
        <v>404.8</v>
      </c>
      <c r="FU72" s="1897">
        <v>20.93</v>
      </c>
      <c r="FV72" s="1898">
        <v>400.40000000000003</v>
      </c>
      <c r="FW72" s="1897">
        <v>27.9</v>
      </c>
      <c r="FX72" s="1898">
        <v>396</v>
      </c>
      <c r="FY72" s="1897">
        <v>33.82</v>
      </c>
      <c r="FZ72" s="1898">
        <v>391.60000000000008</v>
      </c>
      <c r="GA72" s="1897">
        <v>19.38</v>
      </c>
      <c r="GB72" s="1898">
        <v>448.8</v>
      </c>
      <c r="GC72" s="1897">
        <v>19.190000000000001</v>
      </c>
      <c r="GD72" s="1898">
        <v>444.40000000000003</v>
      </c>
      <c r="GE72" s="1897">
        <v>24.75</v>
      </c>
      <c r="GF72" s="1898">
        <v>435.6</v>
      </c>
      <c r="GG72" s="1897">
        <v>31.36</v>
      </c>
      <c r="GH72" s="1898">
        <v>431.2000000000001</v>
      </c>
      <c r="GI72" s="1897">
        <v>20.440000000000001</v>
      </c>
      <c r="GJ72" s="1898">
        <v>321.20000000000005</v>
      </c>
      <c r="GK72" s="1897">
        <v>25.92</v>
      </c>
      <c r="GL72" s="1898">
        <v>316.8</v>
      </c>
      <c r="GM72" s="1897">
        <v>30.53</v>
      </c>
      <c r="GN72" s="1898">
        <v>312.40000000000003</v>
      </c>
      <c r="GO72" s="1897">
        <v>35</v>
      </c>
      <c r="GP72" s="1898">
        <v>308.00000000000006</v>
      </c>
      <c r="GQ72" s="1897">
        <v>19.09</v>
      </c>
      <c r="GR72" s="1898">
        <v>365.2000000000001</v>
      </c>
      <c r="GS72" s="1897">
        <v>24.6</v>
      </c>
      <c r="GT72" s="1898">
        <v>360.8</v>
      </c>
      <c r="GU72" s="1897">
        <v>30.78</v>
      </c>
      <c r="GV72" s="1898">
        <v>356.4</v>
      </c>
      <c r="GW72" s="1897">
        <v>35.549999999999997</v>
      </c>
      <c r="GX72" s="1898">
        <v>347.60000000000008</v>
      </c>
      <c r="GY72" s="1897">
        <v>16.739999999999998</v>
      </c>
      <c r="GZ72" s="1898">
        <v>409.20000000000005</v>
      </c>
      <c r="HA72" s="1897">
        <v>22.75</v>
      </c>
      <c r="HB72" s="1898">
        <v>400.40000000000003</v>
      </c>
      <c r="HC72" s="1897">
        <v>28.8</v>
      </c>
      <c r="HD72" s="1898">
        <v>396</v>
      </c>
      <c r="HE72" s="1897">
        <v>34.71</v>
      </c>
      <c r="HF72" s="1898">
        <v>391.60000000000008</v>
      </c>
      <c r="HG72" s="1897">
        <v>19.38</v>
      </c>
      <c r="HH72" s="1898">
        <v>448.8</v>
      </c>
      <c r="HI72" s="1897">
        <v>20.2</v>
      </c>
      <c r="HJ72" s="1898">
        <v>444.40000000000003</v>
      </c>
      <c r="HK72" s="1897">
        <v>27</v>
      </c>
      <c r="HL72" s="1898">
        <v>440.00000000000006</v>
      </c>
      <c r="HM72" s="1897">
        <v>33.32</v>
      </c>
      <c r="HN72" s="1898">
        <v>431.2000000000001</v>
      </c>
      <c r="HO72" s="1897"/>
    </row>
    <row r="73" spans="2:223">
      <c r="B73" s="1729"/>
      <c r="C73" s="1729"/>
      <c r="H73" s="1899" t="s">
        <v>435</v>
      </c>
      <c r="I73" s="1900">
        <v>13</v>
      </c>
      <c r="J73" s="1901">
        <v>10000</v>
      </c>
      <c r="K73" s="1900">
        <v>14</v>
      </c>
      <c r="L73" s="1901">
        <v>10000</v>
      </c>
      <c r="M73" s="1902">
        <v>15</v>
      </c>
      <c r="N73" s="1901">
        <v>10000</v>
      </c>
      <c r="O73" s="1902">
        <v>16</v>
      </c>
      <c r="P73" s="1901">
        <v>10000</v>
      </c>
      <c r="Q73" s="1902">
        <v>14</v>
      </c>
      <c r="R73" s="1901">
        <v>10000</v>
      </c>
      <c r="S73" s="1902">
        <v>15</v>
      </c>
      <c r="T73" s="1901">
        <v>10000</v>
      </c>
      <c r="U73" s="1902">
        <v>16</v>
      </c>
      <c r="V73" s="1901">
        <v>10000</v>
      </c>
      <c r="W73" s="1902">
        <v>17</v>
      </c>
      <c r="X73" s="1901">
        <v>10000</v>
      </c>
      <c r="Y73" s="1902">
        <v>15</v>
      </c>
      <c r="Z73" s="1901">
        <v>10000</v>
      </c>
      <c r="AA73" s="1903">
        <v>16</v>
      </c>
      <c r="AB73" s="1904">
        <v>10000</v>
      </c>
      <c r="AC73" s="1903">
        <v>17</v>
      </c>
      <c r="AD73" s="1904">
        <v>10000</v>
      </c>
      <c r="AE73" s="1903">
        <v>18</v>
      </c>
      <c r="AF73" s="1904">
        <v>10000</v>
      </c>
      <c r="AG73" s="1903">
        <v>16</v>
      </c>
      <c r="AH73" s="1904">
        <v>10000</v>
      </c>
      <c r="AI73" s="1903">
        <v>17</v>
      </c>
      <c r="AJ73" s="1904">
        <v>10000</v>
      </c>
      <c r="AK73" s="1903">
        <v>18</v>
      </c>
      <c r="AL73" s="1904">
        <v>10000</v>
      </c>
      <c r="AM73" s="1903">
        <v>18</v>
      </c>
      <c r="AN73" s="1904">
        <v>10000</v>
      </c>
      <c r="AO73" s="1903">
        <v>17</v>
      </c>
      <c r="AP73" s="1904">
        <v>10000</v>
      </c>
      <c r="AQ73" s="1903">
        <v>18</v>
      </c>
      <c r="AR73" s="1904">
        <v>10000</v>
      </c>
      <c r="AS73" s="1903">
        <v>19</v>
      </c>
      <c r="AT73" s="1904">
        <v>10000</v>
      </c>
      <c r="AU73" s="1903">
        <v>19</v>
      </c>
      <c r="AV73" s="1904">
        <v>10000</v>
      </c>
      <c r="AW73" s="1903">
        <v>19</v>
      </c>
      <c r="AX73" s="1904">
        <v>10000</v>
      </c>
      <c r="AY73" s="1903">
        <v>19</v>
      </c>
      <c r="AZ73" s="1904">
        <v>10000</v>
      </c>
      <c r="BA73" s="1903">
        <v>20</v>
      </c>
      <c r="BB73" s="1904">
        <v>10000</v>
      </c>
      <c r="BC73" s="1903">
        <v>20</v>
      </c>
      <c r="BD73" s="1904">
        <v>10000</v>
      </c>
      <c r="BE73" s="1903">
        <v>13</v>
      </c>
      <c r="BF73" s="1904">
        <v>10000</v>
      </c>
      <c r="BG73" s="1903">
        <v>15</v>
      </c>
      <c r="BH73" s="1904">
        <v>10000</v>
      </c>
      <c r="BI73" s="1903">
        <v>16</v>
      </c>
      <c r="BJ73" s="1904">
        <v>10000</v>
      </c>
      <c r="BK73" s="1903">
        <v>18</v>
      </c>
      <c r="BL73" s="1904">
        <v>10000</v>
      </c>
      <c r="BM73" s="1903">
        <v>19</v>
      </c>
      <c r="BN73" s="1904">
        <v>10000</v>
      </c>
      <c r="BO73" s="1903">
        <v>14</v>
      </c>
      <c r="BP73" s="1904">
        <v>10000</v>
      </c>
      <c r="BQ73" s="1903">
        <v>16</v>
      </c>
      <c r="BR73" s="1904">
        <v>10000</v>
      </c>
      <c r="BS73" s="1903">
        <v>17</v>
      </c>
      <c r="BT73" s="1904">
        <v>10000</v>
      </c>
      <c r="BU73" s="1903">
        <v>18</v>
      </c>
      <c r="BV73" s="1904">
        <v>10000</v>
      </c>
      <c r="BW73" s="1903">
        <v>20</v>
      </c>
      <c r="BX73" s="1904">
        <v>10000</v>
      </c>
      <c r="BY73" s="1903">
        <v>16</v>
      </c>
      <c r="BZ73" s="1904">
        <v>10000</v>
      </c>
      <c r="CA73" s="1903">
        <v>17</v>
      </c>
      <c r="CB73" s="1904">
        <v>10000</v>
      </c>
      <c r="CC73" s="1903">
        <v>18</v>
      </c>
      <c r="CD73" s="1904">
        <v>10000</v>
      </c>
      <c r="CE73" s="1903">
        <v>19</v>
      </c>
      <c r="CF73" s="1904">
        <v>10000</v>
      </c>
      <c r="CG73" s="1903">
        <v>21</v>
      </c>
      <c r="CH73" s="1904">
        <v>10000</v>
      </c>
      <c r="CI73" s="1903">
        <v>17</v>
      </c>
      <c r="CJ73" s="1904">
        <v>10000</v>
      </c>
      <c r="CK73" s="1903">
        <v>18</v>
      </c>
      <c r="CL73" s="1904">
        <v>10000</v>
      </c>
      <c r="CM73" s="1903">
        <v>19</v>
      </c>
      <c r="CN73" s="1904">
        <v>10000</v>
      </c>
      <c r="CO73" s="1903">
        <v>20</v>
      </c>
      <c r="CP73" s="1904">
        <v>10000</v>
      </c>
      <c r="CQ73" s="1903">
        <v>21</v>
      </c>
      <c r="CR73" s="1904">
        <v>10000</v>
      </c>
      <c r="CS73" s="1903">
        <v>18</v>
      </c>
      <c r="CT73" s="1904">
        <v>10000</v>
      </c>
      <c r="CU73" s="1903">
        <v>19</v>
      </c>
      <c r="CV73" s="1904">
        <v>10000</v>
      </c>
      <c r="CW73" s="1903">
        <v>20</v>
      </c>
      <c r="CX73" s="1904">
        <v>10000</v>
      </c>
      <c r="CY73" s="1903">
        <v>21</v>
      </c>
      <c r="CZ73" s="1904">
        <v>10000</v>
      </c>
      <c r="DA73" s="1903">
        <v>22</v>
      </c>
      <c r="DB73" s="1904">
        <v>10000</v>
      </c>
      <c r="DC73" s="1903">
        <v>20</v>
      </c>
      <c r="DD73" s="1904">
        <v>10000</v>
      </c>
      <c r="DE73" s="1903">
        <v>21</v>
      </c>
      <c r="DF73" s="1904">
        <v>10000</v>
      </c>
      <c r="DG73" s="1903">
        <v>21</v>
      </c>
      <c r="DH73" s="1904">
        <v>10000</v>
      </c>
      <c r="DI73" s="1903">
        <v>22</v>
      </c>
      <c r="DJ73" s="1904">
        <v>10000</v>
      </c>
      <c r="DK73" s="1903">
        <v>23</v>
      </c>
      <c r="DL73" s="1904">
        <v>10000</v>
      </c>
      <c r="DM73" s="1903">
        <v>21</v>
      </c>
      <c r="DN73" s="1904">
        <v>10000</v>
      </c>
      <c r="DO73" s="1903">
        <v>22</v>
      </c>
      <c r="DP73" s="1904">
        <v>10000</v>
      </c>
      <c r="DQ73" s="1903">
        <v>22</v>
      </c>
      <c r="DR73" s="1904">
        <v>10000</v>
      </c>
      <c r="DS73" s="1903">
        <v>23</v>
      </c>
      <c r="DT73" s="1904">
        <v>10000</v>
      </c>
      <c r="DU73" s="1903">
        <v>24</v>
      </c>
      <c r="DV73" s="1904">
        <v>10000</v>
      </c>
      <c r="DW73" s="1903">
        <v>10.220000000000001</v>
      </c>
      <c r="DX73" s="1904">
        <v>10000</v>
      </c>
      <c r="DY73" s="1903">
        <v>12.24</v>
      </c>
      <c r="DZ73" s="1904">
        <v>10000</v>
      </c>
      <c r="EA73" s="1903">
        <v>14</v>
      </c>
      <c r="EB73" s="1904">
        <v>10000</v>
      </c>
      <c r="EC73" s="1903">
        <v>15.87</v>
      </c>
      <c r="ED73" s="1904">
        <v>10000</v>
      </c>
      <c r="EE73" s="1903">
        <v>12.3</v>
      </c>
      <c r="EF73" s="1904">
        <v>10000</v>
      </c>
      <c r="EG73" s="1903">
        <v>14.58</v>
      </c>
      <c r="EH73" s="1904">
        <v>10000</v>
      </c>
      <c r="EI73" s="1903">
        <v>16.8</v>
      </c>
      <c r="EJ73" s="1904">
        <v>10000</v>
      </c>
      <c r="EK73" s="1903">
        <v>9.48</v>
      </c>
      <c r="EL73" s="1904">
        <v>10000</v>
      </c>
      <c r="EM73" s="1903">
        <v>11.96</v>
      </c>
      <c r="EN73" s="1904">
        <v>10000</v>
      </c>
      <c r="EO73" s="1903">
        <v>14.56</v>
      </c>
      <c r="EP73" s="1904">
        <v>10000</v>
      </c>
      <c r="EQ73" s="1903">
        <v>16.91</v>
      </c>
      <c r="ER73" s="1904">
        <v>10000</v>
      </c>
      <c r="ES73" s="1903">
        <v>10.56</v>
      </c>
      <c r="ET73" s="1904">
        <v>10000</v>
      </c>
      <c r="EU73" s="1903">
        <v>12.12</v>
      </c>
      <c r="EV73" s="1904">
        <v>10000</v>
      </c>
      <c r="EW73" s="1903">
        <v>14</v>
      </c>
      <c r="EX73" s="1904">
        <v>10000</v>
      </c>
      <c r="EY73" s="1903">
        <v>16.829999999999998</v>
      </c>
      <c r="EZ73" s="1904">
        <v>10000</v>
      </c>
      <c r="FA73" s="1903">
        <v>14.7</v>
      </c>
      <c r="FB73" s="1904">
        <v>10000</v>
      </c>
      <c r="FC73" s="1903">
        <v>10.95</v>
      </c>
      <c r="FD73" s="1904">
        <v>10000</v>
      </c>
      <c r="FE73" s="1903">
        <v>12.96</v>
      </c>
      <c r="FF73" s="1904">
        <v>10000</v>
      </c>
      <c r="FG73" s="1903">
        <v>14.91</v>
      </c>
      <c r="FH73" s="1904">
        <v>10000</v>
      </c>
      <c r="FI73" s="1903">
        <v>16.559999999999999</v>
      </c>
      <c r="FJ73" s="1904">
        <v>10000</v>
      </c>
      <c r="FK73" s="1903">
        <v>10.79</v>
      </c>
      <c r="FL73" s="1904">
        <v>10000</v>
      </c>
      <c r="FM73" s="1903">
        <v>12.96</v>
      </c>
      <c r="FN73" s="1904">
        <v>10000</v>
      </c>
      <c r="FO73" s="1903">
        <v>15.2</v>
      </c>
      <c r="FP73" s="1904">
        <v>10000</v>
      </c>
      <c r="FQ73" s="1903">
        <v>17.38</v>
      </c>
      <c r="FR73" s="1904">
        <v>10000</v>
      </c>
      <c r="FS73" s="1903">
        <v>11.04</v>
      </c>
      <c r="FT73" s="1904">
        <v>10000</v>
      </c>
      <c r="FU73" s="1903">
        <v>12.74</v>
      </c>
      <c r="FV73" s="1904">
        <v>10000</v>
      </c>
      <c r="FW73" s="1903">
        <v>15.3</v>
      </c>
      <c r="FX73" s="1904">
        <v>10000</v>
      </c>
      <c r="FY73" s="1903">
        <v>17.8</v>
      </c>
      <c r="FZ73" s="1904">
        <v>10000</v>
      </c>
      <c r="GA73" s="1903">
        <v>12.24</v>
      </c>
      <c r="GB73" s="1904">
        <v>10000</v>
      </c>
      <c r="GC73" s="1903">
        <v>12.12</v>
      </c>
      <c r="GD73" s="1904">
        <v>10000</v>
      </c>
      <c r="GE73" s="1903">
        <v>14.85</v>
      </c>
      <c r="GF73" s="1904">
        <v>10000</v>
      </c>
      <c r="GG73" s="1903">
        <v>17.64</v>
      </c>
      <c r="GH73" s="1904">
        <v>10000</v>
      </c>
      <c r="GI73" s="1903">
        <v>10.95</v>
      </c>
      <c r="GJ73" s="1904">
        <v>10000</v>
      </c>
      <c r="GK73" s="1903">
        <v>13.68</v>
      </c>
      <c r="GL73" s="1904">
        <v>10000</v>
      </c>
      <c r="GM73" s="1903">
        <v>15.62</v>
      </c>
      <c r="GN73" s="1904">
        <v>10000</v>
      </c>
      <c r="GO73" s="1903">
        <v>17.5</v>
      </c>
      <c r="GP73" s="1904">
        <v>10000</v>
      </c>
      <c r="GQ73" s="1903">
        <v>10.79</v>
      </c>
      <c r="GR73" s="1904">
        <v>10000</v>
      </c>
      <c r="GS73" s="1903">
        <v>13.12</v>
      </c>
      <c r="GT73" s="1904">
        <v>10000</v>
      </c>
      <c r="GU73" s="1903">
        <v>16.2</v>
      </c>
      <c r="GV73" s="1904">
        <v>10000</v>
      </c>
      <c r="GW73" s="1903">
        <v>18.170000000000002</v>
      </c>
      <c r="GX73" s="1904">
        <v>10000</v>
      </c>
      <c r="GY73" s="1903">
        <v>10.23</v>
      </c>
      <c r="GZ73" s="1904">
        <v>10000</v>
      </c>
      <c r="HA73" s="1903">
        <v>12.74</v>
      </c>
      <c r="HB73" s="1904">
        <v>10000</v>
      </c>
      <c r="HC73" s="1903">
        <v>15.3</v>
      </c>
      <c r="HD73" s="1904">
        <v>10000</v>
      </c>
      <c r="HE73" s="1903">
        <v>18.690000000000001</v>
      </c>
      <c r="HF73" s="1904">
        <v>10000</v>
      </c>
      <c r="HG73" s="1903">
        <v>12.24</v>
      </c>
      <c r="HH73" s="1904">
        <v>10000</v>
      </c>
      <c r="HI73" s="1903">
        <v>12.12</v>
      </c>
      <c r="HJ73" s="1904">
        <v>10000</v>
      </c>
      <c r="HK73" s="1903">
        <v>15</v>
      </c>
      <c r="HL73" s="1904">
        <v>10000</v>
      </c>
      <c r="HM73" s="1903">
        <v>18.62</v>
      </c>
      <c r="HN73" s="1904">
        <v>10000</v>
      </c>
      <c r="HO73" s="1897"/>
    </row>
    <row r="74" spans="2:223">
      <c r="B74" s="1729"/>
      <c r="C74" s="1729"/>
      <c r="H74" s="1905" t="s">
        <v>903</v>
      </c>
      <c r="I74" s="1892">
        <f>0.11*I70*1000</f>
        <v>420.2</v>
      </c>
      <c r="J74" s="1906">
        <v>10000</v>
      </c>
      <c r="K74" s="1892">
        <f>0.11*K70*1000</f>
        <v>465.30000000000007</v>
      </c>
      <c r="L74" s="1906">
        <v>10000</v>
      </c>
      <c r="M74" s="1892">
        <f>0.11*M70*1000</f>
        <v>507.1</v>
      </c>
      <c r="N74" s="1906">
        <v>10000</v>
      </c>
      <c r="O74" s="1892">
        <f>0.11*O70*1000</f>
        <v>544.5</v>
      </c>
      <c r="P74" s="1906">
        <v>10000</v>
      </c>
      <c r="Q74" s="1892">
        <f>0.11*Q70*1000</f>
        <v>481.8</v>
      </c>
      <c r="R74" s="1906">
        <v>10000</v>
      </c>
      <c r="S74" s="1892">
        <f>0.11*S70*1000</f>
        <v>533.5</v>
      </c>
      <c r="T74" s="1906">
        <v>10000</v>
      </c>
      <c r="U74" s="1892">
        <f>0.11*U70*1000</f>
        <v>581.9</v>
      </c>
      <c r="V74" s="1906">
        <v>10000</v>
      </c>
      <c r="W74" s="1892">
        <f>0.11*W70*1000</f>
        <v>632.5</v>
      </c>
      <c r="X74" s="1906">
        <v>10000</v>
      </c>
      <c r="Y74" s="1892">
        <f>0.11*Y70*1000</f>
        <v>541.20000000000005</v>
      </c>
      <c r="Z74" s="1906">
        <v>10000</v>
      </c>
      <c r="AA74" s="1907">
        <f>0.11*AA70*1000</f>
        <v>599.5</v>
      </c>
      <c r="AB74" s="1908">
        <v>10000</v>
      </c>
      <c r="AC74" s="1907">
        <f>0.11*AC70*1000</f>
        <v>653.40000000000009</v>
      </c>
      <c r="AD74" s="1908">
        <v>10000</v>
      </c>
      <c r="AE74" s="1907">
        <f>0.11*AE70*1000</f>
        <v>700.7</v>
      </c>
      <c r="AF74" s="1908">
        <v>10000</v>
      </c>
      <c r="AG74" s="1907">
        <f>0.11*AG70*1000</f>
        <v>598.40000000000009</v>
      </c>
      <c r="AH74" s="1908">
        <v>10000</v>
      </c>
      <c r="AI74" s="1907">
        <f>0.11*AI70*1000</f>
        <v>662.2</v>
      </c>
      <c r="AJ74" s="1908">
        <v>10000</v>
      </c>
      <c r="AK74" s="1907">
        <f>0.11*AK70*1000</f>
        <v>721.59999999999991</v>
      </c>
      <c r="AL74" s="1908">
        <v>10000</v>
      </c>
      <c r="AM74" s="1907">
        <f>0.11*AM70*1000</f>
        <v>774.4</v>
      </c>
      <c r="AN74" s="1908">
        <v>10000</v>
      </c>
      <c r="AO74" s="1907">
        <f>0.11*AO70*1000</f>
        <v>653.40000000000009</v>
      </c>
      <c r="AP74" s="1908">
        <v>10000</v>
      </c>
      <c r="AQ74" s="1907">
        <f>0.11*AQ70*1000</f>
        <v>723.8</v>
      </c>
      <c r="AR74" s="1908">
        <v>10000</v>
      </c>
      <c r="AS74" s="1907">
        <f>0.11*AS70*1000</f>
        <v>788.69999999999993</v>
      </c>
      <c r="AT74" s="1908">
        <v>10000</v>
      </c>
      <c r="AU74" s="1907">
        <f>0.11*AU70*1000</f>
        <v>845.90000000000009</v>
      </c>
      <c r="AV74" s="1908">
        <v>10000</v>
      </c>
      <c r="AW74" s="1907">
        <f>0.11*AW70*1000</f>
        <v>707.3</v>
      </c>
      <c r="AX74" s="1908">
        <v>10000</v>
      </c>
      <c r="AY74" s="1907">
        <f>0.11*AY70*1000</f>
        <v>783.2</v>
      </c>
      <c r="AZ74" s="1908">
        <v>10000</v>
      </c>
      <c r="BA74" s="1907">
        <f>0.11*BA70*1000</f>
        <v>853.6</v>
      </c>
      <c r="BB74" s="1908">
        <v>10000</v>
      </c>
      <c r="BC74" s="1907">
        <f>0.11*BC70*1000</f>
        <v>916.3</v>
      </c>
      <c r="BD74" s="1908">
        <v>10000</v>
      </c>
      <c r="BE74" s="1907">
        <f>0.11*BE70*1000</f>
        <v>397.1</v>
      </c>
      <c r="BF74" s="1908">
        <v>10000</v>
      </c>
      <c r="BG74" s="1907">
        <f>0.11*BG70*1000</f>
        <v>435.59999999999997</v>
      </c>
      <c r="BH74" s="1908">
        <v>10000</v>
      </c>
      <c r="BI74" s="1907">
        <f>0.11*BI70*1000</f>
        <v>471.9</v>
      </c>
      <c r="BJ74" s="1908">
        <v>10000</v>
      </c>
      <c r="BK74" s="1907">
        <f>0.11*BK70*1000</f>
        <v>506</v>
      </c>
      <c r="BL74" s="1908">
        <v>10000</v>
      </c>
      <c r="BM74" s="1907">
        <f>0.11*BM70*1000</f>
        <v>536.79999999999995</v>
      </c>
      <c r="BN74" s="1908">
        <v>10000</v>
      </c>
      <c r="BO74" s="1907">
        <f>0.11*BO70*1000</f>
        <v>455.4</v>
      </c>
      <c r="BP74" s="1908">
        <v>10000</v>
      </c>
      <c r="BQ74" s="1907">
        <f>0.11*BQ70*1000</f>
        <v>499.40000000000003</v>
      </c>
      <c r="BR74" s="1908">
        <v>10000</v>
      </c>
      <c r="BS74" s="1907">
        <f>0.11*BS70*1000</f>
        <v>541.20000000000005</v>
      </c>
      <c r="BT74" s="1908">
        <v>10000</v>
      </c>
      <c r="BU74" s="1907">
        <f>0.11*BU70*1000</f>
        <v>579.70000000000005</v>
      </c>
      <c r="BV74" s="1908">
        <v>10000</v>
      </c>
      <c r="BW74" s="1907">
        <f>0.11*BW70*1000</f>
        <v>614.9</v>
      </c>
      <c r="BX74" s="1908">
        <v>10000</v>
      </c>
      <c r="BY74" s="1907">
        <f>0.11*BY70*1000</f>
        <v>511.50000000000006</v>
      </c>
      <c r="BZ74" s="1908">
        <v>10000</v>
      </c>
      <c r="CA74" s="1907">
        <f>0.11*CA70*1000</f>
        <v>561</v>
      </c>
      <c r="CB74" s="1908">
        <v>10000</v>
      </c>
      <c r="CC74" s="1907">
        <f>0.11*CC70*1000</f>
        <v>607.19999999999993</v>
      </c>
      <c r="CD74" s="1908">
        <v>10000</v>
      </c>
      <c r="CE74" s="1907">
        <f>0.11*CE70*1000</f>
        <v>651.20000000000005</v>
      </c>
      <c r="CF74" s="1908">
        <v>10000</v>
      </c>
      <c r="CG74" s="1907">
        <f>0.11*CG70*1000</f>
        <v>690.80000000000007</v>
      </c>
      <c r="CH74" s="1908">
        <v>10000</v>
      </c>
      <c r="CI74" s="1907">
        <f>0.11*CI70*1000</f>
        <v>565.4</v>
      </c>
      <c r="CJ74" s="1908">
        <v>10000</v>
      </c>
      <c r="CK74" s="1907">
        <f>0.11*CK70*1000</f>
        <v>620.4</v>
      </c>
      <c r="CL74" s="1908">
        <v>10000</v>
      </c>
      <c r="CM74" s="1907">
        <f>0.11*CM70*1000</f>
        <v>672.1</v>
      </c>
      <c r="CN74" s="1908">
        <v>10000</v>
      </c>
      <c r="CO74" s="1907">
        <f>0.11*CO70*1000</f>
        <v>719.40000000000009</v>
      </c>
      <c r="CP74" s="1908">
        <v>10000</v>
      </c>
      <c r="CQ74" s="1907">
        <f>0.11*CQ70*1000</f>
        <v>763.40000000000009</v>
      </c>
      <c r="CR74" s="1908">
        <v>10000</v>
      </c>
      <c r="CS74" s="1907">
        <f>0.11*CS70*1000</f>
        <v>617.10000000000014</v>
      </c>
      <c r="CT74" s="1908">
        <v>10000</v>
      </c>
      <c r="CU74" s="1907">
        <f>0.11*CU70*1000</f>
        <v>677.6</v>
      </c>
      <c r="CV74" s="1908">
        <v>10000</v>
      </c>
      <c r="CW74" s="1907">
        <f>0.11*CW70*1000</f>
        <v>733.7</v>
      </c>
      <c r="CX74" s="1908">
        <v>10000</v>
      </c>
      <c r="CY74" s="1907">
        <f>0.11*CY70*1000</f>
        <v>786.50000000000011</v>
      </c>
      <c r="CZ74" s="1908">
        <v>10000</v>
      </c>
      <c r="DA74" s="1907">
        <f>0.11*DA70*1000</f>
        <v>833.8</v>
      </c>
      <c r="DB74" s="1908">
        <v>10000</v>
      </c>
      <c r="DC74" s="1907">
        <f>0.11*DC70*1000</f>
        <v>667.7</v>
      </c>
      <c r="DD74" s="1908">
        <v>10000</v>
      </c>
      <c r="DE74" s="1907">
        <f>0.11*DE70*1000</f>
        <v>732.6</v>
      </c>
      <c r="DF74" s="1908">
        <v>10000</v>
      </c>
      <c r="DG74" s="1907">
        <f>0.11*DG70*1000</f>
        <v>794.2</v>
      </c>
      <c r="DH74" s="1908">
        <v>10000</v>
      </c>
      <c r="DI74" s="1907">
        <f>0.11*DI70*1000</f>
        <v>785.4</v>
      </c>
      <c r="DJ74" s="1908">
        <v>10000</v>
      </c>
      <c r="DK74" s="1907">
        <f>0.11*DK70*1000</f>
        <v>903.10000000000014</v>
      </c>
      <c r="DL74" s="1908">
        <v>10000</v>
      </c>
      <c r="DM74" s="1907">
        <f>0.11*DM70*1000</f>
        <v>717.19999999999993</v>
      </c>
      <c r="DN74" s="1908">
        <v>10000</v>
      </c>
      <c r="DO74" s="1907">
        <f>0.11*DO70*1000</f>
        <v>786.50000000000011</v>
      </c>
      <c r="DP74" s="1908">
        <v>10000</v>
      </c>
      <c r="DQ74" s="1907">
        <f>0.11*DQ70*1000</f>
        <v>852.5</v>
      </c>
      <c r="DR74" s="1908">
        <v>10000</v>
      </c>
      <c r="DS74" s="1907">
        <f>0.11*DS70*1000</f>
        <v>913</v>
      </c>
      <c r="DT74" s="1908">
        <v>10000</v>
      </c>
      <c r="DU74" s="1907">
        <f>0.11*DU70*1000</f>
        <v>970.2</v>
      </c>
      <c r="DV74" s="1908">
        <v>10000</v>
      </c>
      <c r="DW74" s="1907">
        <f>0.11*DW70*1000</f>
        <v>417.56</v>
      </c>
      <c r="DX74" s="1908">
        <v>10000</v>
      </c>
      <c r="DY74" s="1907">
        <f>0.11*DY70*1000</f>
        <v>475.2</v>
      </c>
      <c r="DZ74" s="1908">
        <v>10000</v>
      </c>
      <c r="EA74" s="1907">
        <f>0.11*EA70*1000</f>
        <v>515.9</v>
      </c>
      <c r="EB74" s="1908">
        <v>10000</v>
      </c>
      <c r="EC74" s="1907">
        <f>0.11*EC70*1000</f>
        <v>561.66</v>
      </c>
      <c r="ED74" s="1908">
        <v>10000</v>
      </c>
      <c r="EE74" s="1907">
        <f>0.11*EE70*1000</f>
        <v>469.03999999999996</v>
      </c>
      <c r="EF74" s="1908">
        <v>10000</v>
      </c>
      <c r="EG74" s="1907">
        <f>0.11*EG70*1000</f>
        <v>534.6</v>
      </c>
      <c r="EH74" s="1908">
        <v>10000</v>
      </c>
      <c r="EI74" s="1907">
        <f>0.11*EI70*1000</f>
        <v>589.6</v>
      </c>
      <c r="EJ74" s="1908">
        <v>10000</v>
      </c>
      <c r="EK74" s="1907">
        <f>0.11*EK70*1000</f>
        <v>643.05999999999995</v>
      </c>
      <c r="EL74" s="1908">
        <v>10000</v>
      </c>
      <c r="EM74" s="1907">
        <f>0.11*EM70*1000</f>
        <v>526.2399999999999</v>
      </c>
      <c r="EN74" s="1908">
        <v>10000</v>
      </c>
      <c r="EO74" s="1907">
        <f>0.11*EO70*1000</f>
        <v>600.6</v>
      </c>
      <c r="EP74" s="1908">
        <v>10000</v>
      </c>
      <c r="EQ74" s="1907">
        <f>0.11*EQ70*1000</f>
        <v>655.93000000000018</v>
      </c>
      <c r="ER74" s="1908">
        <v>10000</v>
      </c>
      <c r="ES74" s="1907">
        <f>0.11*ES70*1000</f>
        <v>716.32</v>
      </c>
      <c r="ET74" s="1908">
        <v>10000</v>
      </c>
      <c r="EU74" s="1907">
        <f>0.11*EU70*1000</f>
        <v>577.72</v>
      </c>
      <c r="EV74" s="1908">
        <v>10000</v>
      </c>
      <c r="EW74" s="1907">
        <f>0.11*EW70*1000</f>
        <v>660</v>
      </c>
      <c r="EX74" s="1908">
        <v>10000</v>
      </c>
      <c r="EY74" s="1907">
        <f>0.11*EY70*1000</f>
        <v>729.63000000000011</v>
      </c>
      <c r="EZ74" s="1908">
        <v>10000</v>
      </c>
      <c r="FA74" s="1907">
        <f>0.11*FA70*1000</f>
        <v>797.72000000000014</v>
      </c>
      <c r="FB74" s="1908">
        <v>10000</v>
      </c>
      <c r="FC74" s="1907">
        <f>0.11*FC70*1000</f>
        <v>401.49999999999994</v>
      </c>
      <c r="FD74" s="1908">
        <v>10000</v>
      </c>
      <c r="FE74" s="1907">
        <f>0.11*FE70*1000</f>
        <v>459.36000000000007</v>
      </c>
      <c r="FF74" s="1908">
        <v>10000</v>
      </c>
      <c r="FG74" s="1907">
        <f>0.11*FG70*1000</f>
        <v>507.65000000000003</v>
      </c>
      <c r="FH74" s="1908">
        <v>10000</v>
      </c>
      <c r="FI74" s="1907">
        <f>0.11*FI70*1000</f>
        <v>546.48</v>
      </c>
      <c r="FJ74" s="1908">
        <v>10000</v>
      </c>
      <c r="FK74" s="1907">
        <f>0.11*FK70*1000</f>
        <v>456.5</v>
      </c>
      <c r="FL74" s="1908">
        <v>10000</v>
      </c>
      <c r="FM74" s="1907">
        <f>0.11*FM70*1000</f>
        <v>516.77999999999986</v>
      </c>
      <c r="FN74" s="1908">
        <v>10000</v>
      </c>
      <c r="FO74" s="1907">
        <f>0.11*FO70*1000</f>
        <v>572.00000000000011</v>
      </c>
      <c r="FP74" s="1908">
        <v>10000</v>
      </c>
      <c r="FQ74" s="1907">
        <f>0.11*FQ70*1000</f>
        <v>625.68000000000006</v>
      </c>
      <c r="FR74" s="1908">
        <v>10000</v>
      </c>
      <c r="FS74" s="1907">
        <f>0.11*FS70*1000</f>
        <v>506</v>
      </c>
      <c r="FT74" s="1908">
        <v>10000</v>
      </c>
      <c r="FU74" s="1907">
        <f>0.11*FU70*1000</f>
        <v>580.58000000000004</v>
      </c>
      <c r="FV74" s="1908">
        <v>10000</v>
      </c>
      <c r="FW74" s="1907">
        <f>0.11*FW70*1000</f>
        <v>643.5</v>
      </c>
      <c r="FX74" s="1908">
        <v>10000</v>
      </c>
      <c r="FY74" s="1907">
        <f>0.11*FY70*1000</f>
        <v>704.88000000000011</v>
      </c>
      <c r="FZ74" s="1908">
        <v>10000</v>
      </c>
      <c r="GA74" s="1907">
        <f>0.11*GA70*1000</f>
        <v>561</v>
      </c>
      <c r="GB74" s="1908">
        <v>10000</v>
      </c>
      <c r="GC74" s="1907">
        <f>0.11*GC70*1000</f>
        <v>644.38</v>
      </c>
      <c r="GD74" s="1908">
        <v>10000</v>
      </c>
      <c r="GE74" s="1907">
        <f>0.11*GE70*1000</f>
        <v>707.85</v>
      </c>
      <c r="GF74" s="1908">
        <v>10000</v>
      </c>
      <c r="GG74" s="1907">
        <f>0.11*GG70*1000</f>
        <v>776.16</v>
      </c>
      <c r="GH74" s="1908">
        <v>10000</v>
      </c>
      <c r="GI74" s="1907">
        <f>0.11*GI70*1000</f>
        <v>385.44</v>
      </c>
      <c r="GJ74" s="1908">
        <v>10000</v>
      </c>
      <c r="GK74" s="1907">
        <f>0.11*GK70*1000</f>
        <v>443.5200000000001</v>
      </c>
      <c r="GL74" s="1908">
        <v>10000</v>
      </c>
      <c r="GM74" s="1907">
        <f>0.11*GM70*1000</f>
        <v>492.03</v>
      </c>
      <c r="GN74" s="1908">
        <v>10000</v>
      </c>
      <c r="GO74" s="1907">
        <f>0.11*GO70*1000</f>
        <v>539</v>
      </c>
      <c r="GP74" s="1908">
        <v>10000</v>
      </c>
      <c r="GQ74" s="1907">
        <f>0.11*GQ70*1000</f>
        <v>438.24</v>
      </c>
      <c r="GR74" s="1908">
        <v>10000</v>
      </c>
      <c r="GS74" s="1907">
        <f>0.11*GS70*1000</f>
        <v>505.12</v>
      </c>
      <c r="GT74" s="1908">
        <v>10000</v>
      </c>
      <c r="GU74" s="1907">
        <f>0.11*GU70*1000</f>
        <v>561.33000000000004</v>
      </c>
      <c r="GV74" s="1908">
        <v>10000</v>
      </c>
      <c r="GW74" s="1907">
        <f>0.11*GW70*1000</f>
        <v>608.30000000000007</v>
      </c>
      <c r="GX74" s="1908">
        <v>10000</v>
      </c>
      <c r="GY74" s="1907">
        <f>0.11*GY70*1000</f>
        <v>491.04</v>
      </c>
      <c r="GZ74" s="1908">
        <v>10000</v>
      </c>
      <c r="HA74" s="1907">
        <f>0.11*HA70*1000</f>
        <v>560.56000000000006</v>
      </c>
      <c r="HB74" s="1908">
        <v>10000</v>
      </c>
      <c r="HC74" s="1907">
        <f>0.11*HC70*1000</f>
        <v>623.70000000000005</v>
      </c>
      <c r="HD74" s="1908">
        <v>10000</v>
      </c>
      <c r="HE74" s="1907">
        <f>0.11*HE70*1000</f>
        <v>685.30000000000007</v>
      </c>
      <c r="HF74" s="1908">
        <v>10000</v>
      </c>
      <c r="HG74" s="1907">
        <f>0.11*HG70*1000</f>
        <v>538.56000000000006</v>
      </c>
      <c r="HH74" s="1908">
        <v>10000</v>
      </c>
      <c r="HI74" s="1907">
        <f>0.11*HI70*1000</f>
        <v>622.16000000000008</v>
      </c>
      <c r="HJ74" s="1908">
        <v>10000</v>
      </c>
      <c r="HK74" s="1907">
        <f>0.11*HK70*1000</f>
        <v>693</v>
      </c>
      <c r="HL74" s="1908">
        <v>10000</v>
      </c>
      <c r="HM74" s="1907">
        <f>0.11*HM70*1000</f>
        <v>754.6</v>
      </c>
      <c r="HN74" s="1908">
        <v>10000</v>
      </c>
      <c r="HO74" s="1897"/>
    </row>
    <row r="75" spans="2:223">
      <c r="B75" s="1729"/>
      <c r="C75" s="1729"/>
      <c r="H75" s="1905" t="s">
        <v>14</v>
      </c>
      <c r="I75" s="1892">
        <f>0.28*J69</f>
        <v>1.778</v>
      </c>
      <c r="J75" s="1906">
        <v>10000</v>
      </c>
      <c r="K75" s="1892">
        <f>0.28*L69</f>
        <v>1.8368</v>
      </c>
      <c r="L75" s="1906">
        <v>10000</v>
      </c>
      <c r="M75" s="1892">
        <f>0.28*N69</f>
        <v>1.8592000000000002</v>
      </c>
      <c r="N75" s="1906">
        <v>10000</v>
      </c>
      <c r="O75" s="1892">
        <f>0.28*P69</f>
        <v>1.8312000000000002</v>
      </c>
      <c r="P75" s="1906">
        <v>10000</v>
      </c>
      <c r="Q75" s="1892">
        <f>0.28*R69</f>
        <v>2.0384000000000002</v>
      </c>
      <c r="R75" s="1906">
        <v>10000</v>
      </c>
      <c r="S75" s="1892">
        <f>0.28*T69</f>
        <v>2.1055999999999999</v>
      </c>
      <c r="T75" s="1906">
        <v>10000</v>
      </c>
      <c r="U75" s="1892">
        <f>0.28*V69</f>
        <v>2.1308000000000002</v>
      </c>
      <c r="V75" s="1906">
        <v>10000</v>
      </c>
      <c r="W75" s="1892">
        <f>0.28*X69</f>
        <v>2.0748000000000002</v>
      </c>
      <c r="X75" s="1906">
        <v>10000</v>
      </c>
      <c r="Y75" s="1892">
        <f>0.28*Z69</f>
        <v>2.2876000000000003</v>
      </c>
      <c r="Z75" s="1906">
        <v>10000</v>
      </c>
      <c r="AA75" s="1907">
        <f>0.28*AB69</f>
        <v>2.3632</v>
      </c>
      <c r="AB75" s="1908">
        <v>10000</v>
      </c>
      <c r="AC75" s="1907">
        <f>0.28*AD69</f>
        <v>2.3940000000000006</v>
      </c>
      <c r="AD75" s="1908">
        <v>10000</v>
      </c>
      <c r="AE75" s="1907">
        <f>0.28*AF69</f>
        <v>2.3548000000000004</v>
      </c>
      <c r="AF75" s="1908">
        <v>10000</v>
      </c>
      <c r="AG75" s="1907">
        <f>0.28*AH69</f>
        <v>2.5284</v>
      </c>
      <c r="AH75" s="1908">
        <v>10000</v>
      </c>
      <c r="AI75" s="1907">
        <f>0.28*AJ69</f>
        <v>2.6124000000000001</v>
      </c>
      <c r="AJ75" s="1908">
        <v>10000</v>
      </c>
      <c r="AK75" s="1907">
        <f>0.28*AL69</f>
        <v>2.6459999999999999</v>
      </c>
      <c r="AL75" s="1908">
        <v>10000</v>
      </c>
      <c r="AM75" s="1907">
        <f>0.28*AN69</f>
        <v>2.6040000000000005</v>
      </c>
      <c r="AN75" s="1908">
        <v>10000</v>
      </c>
      <c r="AO75" s="1907">
        <f>0.28*AP69</f>
        <v>2.7635999999999998</v>
      </c>
      <c r="AP75" s="1908">
        <v>10000</v>
      </c>
      <c r="AQ75" s="1907">
        <f>0.28*AR69</f>
        <v>2.8532000000000002</v>
      </c>
      <c r="AR75" s="1908">
        <v>10000</v>
      </c>
      <c r="AS75" s="1907">
        <f>0.28*AT69</f>
        <v>2.8896000000000002</v>
      </c>
      <c r="AT75" s="1908">
        <v>10000</v>
      </c>
      <c r="AU75" s="1907">
        <f>0.28*AV69</f>
        <v>2.8448000000000002</v>
      </c>
      <c r="AV75" s="1908">
        <v>10000</v>
      </c>
      <c r="AW75" s="1907">
        <f>0.28*AX69</f>
        <v>2.9904000000000002</v>
      </c>
      <c r="AX75" s="1908">
        <v>10000</v>
      </c>
      <c r="AY75" s="1907">
        <f>0.28*AZ69</f>
        <v>3.0884</v>
      </c>
      <c r="AZ75" s="1908">
        <v>10000</v>
      </c>
      <c r="BA75" s="1907">
        <f>0.28*BB69</f>
        <v>3.1276000000000002</v>
      </c>
      <c r="BB75" s="1908">
        <v>10000</v>
      </c>
      <c r="BC75" s="1907">
        <f>0.28*BD69</f>
        <v>3.0772000000000004</v>
      </c>
      <c r="BD75" s="1908">
        <v>10000</v>
      </c>
      <c r="BE75" s="1907">
        <f>0.28*BF69</f>
        <v>1.7388000000000001</v>
      </c>
      <c r="BF75" s="1908">
        <v>10000</v>
      </c>
      <c r="BG75" s="1907">
        <f>0.28*BH69</f>
        <v>1.8004</v>
      </c>
      <c r="BH75" s="1908">
        <v>10000</v>
      </c>
      <c r="BI75" s="1907">
        <f>0.28*BJ69</f>
        <v>1.8424000000000003</v>
      </c>
      <c r="BJ75" s="1908">
        <v>10000</v>
      </c>
      <c r="BK75" s="1907">
        <f>0.28*BL69</f>
        <v>1.8592000000000002</v>
      </c>
      <c r="BL75" s="1908">
        <v>10000</v>
      </c>
      <c r="BM75" s="1907">
        <f>0.28*BN69</f>
        <v>1.8424000000000003</v>
      </c>
      <c r="BN75" s="1908">
        <v>10000</v>
      </c>
      <c r="BO75" s="1907">
        <f>0.28*BP69</f>
        <v>1.9936000000000003</v>
      </c>
      <c r="BP75" s="1908">
        <v>10000</v>
      </c>
      <c r="BQ75" s="1907">
        <f>0.28*BR69</f>
        <v>2.0636000000000001</v>
      </c>
      <c r="BR75" s="1908">
        <v>10000</v>
      </c>
      <c r="BS75" s="1907">
        <f>0.28*BT69</f>
        <v>2.1112000000000002</v>
      </c>
      <c r="BT75" s="1908">
        <v>10000</v>
      </c>
      <c r="BU75" s="1907">
        <f>0.28*BV69</f>
        <v>2.1308000000000002</v>
      </c>
      <c r="BV75" s="1908">
        <v>10000</v>
      </c>
      <c r="BW75" s="1907">
        <f>0.28*BX69</f>
        <v>2.1140000000000003</v>
      </c>
      <c r="BX75" s="1908">
        <v>10000</v>
      </c>
      <c r="BY75" s="1907">
        <f>0.28*BZ69</f>
        <v>2.2372000000000001</v>
      </c>
      <c r="BZ75" s="1908">
        <v>10000</v>
      </c>
      <c r="CA75" s="1907">
        <f>0.28*CB69</f>
        <v>2.3184</v>
      </c>
      <c r="CB75" s="1908">
        <v>10000</v>
      </c>
      <c r="CC75" s="1907">
        <f>0.28*CD69</f>
        <v>2.3688000000000007</v>
      </c>
      <c r="CD75" s="1908">
        <v>10000</v>
      </c>
      <c r="CE75" s="1907">
        <f>0.28*CF69</f>
        <v>2.3912</v>
      </c>
      <c r="CF75" s="1908">
        <v>10000</v>
      </c>
      <c r="CG75" s="1907">
        <f>0.28*CH69</f>
        <v>2.3716000000000004</v>
      </c>
      <c r="CH75" s="1908">
        <v>10000</v>
      </c>
      <c r="CI75" s="1907">
        <f>0.28*CJ69</f>
        <v>2.4724000000000004</v>
      </c>
      <c r="CJ75" s="1908">
        <v>10000</v>
      </c>
      <c r="CK75" s="1907">
        <f>0.28*CL69</f>
        <v>2.5620000000000003</v>
      </c>
      <c r="CL75" s="1908">
        <v>10000</v>
      </c>
      <c r="CM75" s="1907">
        <f>0.28*CN69</f>
        <v>2.6208</v>
      </c>
      <c r="CN75" s="1908">
        <v>10000</v>
      </c>
      <c r="CO75" s="1907">
        <f>0.28*CP69</f>
        <v>2.6432000000000002</v>
      </c>
      <c r="CP75" s="1908">
        <v>10000</v>
      </c>
      <c r="CQ75" s="1907">
        <f>0.28*CR69</f>
        <v>2.6236000000000002</v>
      </c>
      <c r="CR75" s="1908">
        <v>10000</v>
      </c>
      <c r="CS75" s="1907">
        <f>0.28*CT69</f>
        <v>2.7020000000000004</v>
      </c>
      <c r="CT75" s="1908">
        <v>10000</v>
      </c>
      <c r="CU75" s="1907">
        <f>0.28*CV69</f>
        <v>2.7972000000000001</v>
      </c>
      <c r="CV75" s="1908">
        <v>10000</v>
      </c>
      <c r="CW75" s="1907">
        <f>0.28*CX69</f>
        <v>2.8616000000000006</v>
      </c>
      <c r="CX75" s="1908">
        <v>10000</v>
      </c>
      <c r="CY75" s="1907">
        <f>0.28*CZ69</f>
        <v>2.8896000000000002</v>
      </c>
      <c r="CZ75" s="1908">
        <v>10000</v>
      </c>
      <c r="DA75" s="1907">
        <f>0.28*DB69</f>
        <v>2.8644000000000003</v>
      </c>
      <c r="DB75" s="1908">
        <v>10000</v>
      </c>
      <c r="DC75" s="1907">
        <f>0.28*DD69</f>
        <v>2.9232</v>
      </c>
      <c r="DD75" s="1908">
        <v>10000</v>
      </c>
      <c r="DE75" s="1907">
        <f>0.28*DF69</f>
        <v>3.0296000000000003</v>
      </c>
      <c r="DF75" s="1908">
        <v>10000</v>
      </c>
      <c r="DG75" s="1907">
        <f>0.28*DH69</f>
        <v>3.0968000000000004</v>
      </c>
      <c r="DH75" s="1908">
        <v>10000</v>
      </c>
      <c r="DI75" s="1907">
        <f>0.28*DJ69</f>
        <v>3.1276000000000002</v>
      </c>
      <c r="DJ75" s="1908">
        <v>10000</v>
      </c>
      <c r="DK75" s="1907">
        <f>0.28*DL69</f>
        <v>3.0996000000000006</v>
      </c>
      <c r="DL75" s="1908">
        <v>10000</v>
      </c>
      <c r="DM75" s="1907">
        <f>0.28*DN69</f>
        <v>3.1416000000000004</v>
      </c>
      <c r="DN75" s="1908">
        <v>10000</v>
      </c>
      <c r="DO75" s="1907">
        <f>0.28*DP69</f>
        <v>3.2536</v>
      </c>
      <c r="DP75" s="1908">
        <v>10000</v>
      </c>
      <c r="DQ75" s="1907">
        <f>0.28*DR69</f>
        <v>3.3264000000000005</v>
      </c>
      <c r="DR75" s="1908">
        <v>10000</v>
      </c>
      <c r="DS75" s="1907">
        <f>0.28*DT69</f>
        <v>3.3572000000000002</v>
      </c>
      <c r="DT75" s="1908">
        <v>10000</v>
      </c>
      <c r="DU75" s="1907">
        <f>0.28*DV69</f>
        <v>3.3292000000000006</v>
      </c>
      <c r="DV75" s="1908">
        <v>10000</v>
      </c>
      <c r="DW75" s="1907">
        <f>0.28*DX69</f>
        <v>2.044</v>
      </c>
      <c r="DX75" s="1908">
        <v>10000</v>
      </c>
      <c r="DY75" s="1907">
        <f>0.28*DZ69</f>
        <v>2.0160000000000005</v>
      </c>
      <c r="DZ75" s="1908">
        <v>10000</v>
      </c>
      <c r="EA75" s="1907">
        <f>0.28*EB69</f>
        <v>1.9600000000000002</v>
      </c>
      <c r="EB75" s="1908">
        <v>10000</v>
      </c>
      <c r="EC75" s="1907">
        <f>0.28*ED69</f>
        <v>1.9320000000000004</v>
      </c>
      <c r="ED75" s="1908">
        <v>10000</v>
      </c>
      <c r="EE75" s="1907">
        <f>0.28*EF69</f>
        <v>2.2959999999999998</v>
      </c>
      <c r="EF75" s="1908">
        <v>10000</v>
      </c>
      <c r="EG75" s="1907">
        <f>0.28*EH69</f>
        <v>2.2680000000000002</v>
      </c>
      <c r="EH75" s="1908">
        <v>10000</v>
      </c>
      <c r="EI75" s="1907">
        <f>0.28*EJ69</f>
        <v>2.2400000000000002</v>
      </c>
      <c r="EJ75" s="1908">
        <v>10000</v>
      </c>
      <c r="EK75" s="1907">
        <f>0.28*EL69</f>
        <v>2.2120000000000002</v>
      </c>
      <c r="EL75" s="1908">
        <v>10000</v>
      </c>
      <c r="EM75" s="1907">
        <f>0.28*EN69</f>
        <v>2.5760000000000001</v>
      </c>
      <c r="EN75" s="1908">
        <v>10000</v>
      </c>
      <c r="EO75" s="1907">
        <f>0.28*EP69</f>
        <v>2.548</v>
      </c>
      <c r="EP75" s="1908">
        <v>10000</v>
      </c>
      <c r="EQ75" s="1907">
        <f>0.28*ER69</f>
        <v>2.4920000000000004</v>
      </c>
      <c r="ER75" s="1908">
        <v>10000</v>
      </c>
      <c r="ES75" s="1907">
        <f>0.28*ET69</f>
        <v>2.4640000000000004</v>
      </c>
      <c r="ET75" s="1908">
        <v>10000</v>
      </c>
      <c r="EU75" s="1907">
        <f>0.28*EV69</f>
        <v>2.8280000000000003</v>
      </c>
      <c r="EV75" s="1908">
        <v>10000</v>
      </c>
      <c r="EW75" s="1907">
        <f>0.28*EX69</f>
        <v>2.8000000000000003</v>
      </c>
      <c r="EX75" s="1908">
        <v>10000</v>
      </c>
      <c r="EY75" s="1907">
        <f>0.28*EZ69</f>
        <v>2.7720000000000002</v>
      </c>
      <c r="EZ75" s="1908">
        <v>10000</v>
      </c>
      <c r="FA75" s="1907">
        <f>0.28*FB69</f>
        <v>2.7440000000000007</v>
      </c>
      <c r="FB75" s="1908">
        <v>10000</v>
      </c>
      <c r="FC75" s="1907">
        <f>0.28*FD69</f>
        <v>2.044</v>
      </c>
      <c r="FD75" s="1908">
        <v>10000</v>
      </c>
      <c r="FE75" s="1907">
        <f>0.28*FF69</f>
        <v>2.0160000000000005</v>
      </c>
      <c r="FF75" s="1908">
        <v>10000</v>
      </c>
      <c r="FG75" s="1907">
        <f>0.28*FH69</f>
        <v>1.988</v>
      </c>
      <c r="FH75" s="1908">
        <v>10000</v>
      </c>
      <c r="FI75" s="1907">
        <f>0.28*FJ69</f>
        <v>1.9320000000000004</v>
      </c>
      <c r="FJ75" s="1908">
        <v>10000</v>
      </c>
      <c r="FK75" s="1907">
        <f>0.28*FL69</f>
        <v>2.3240000000000003</v>
      </c>
      <c r="FL75" s="1908">
        <v>10000</v>
      </c>
      <c r="FM75" s="1907">
        <f>0.28*FN69</f>
        <v>2.2680000000000002</v>
      </c>
      <c r="FN75" s="1908">
        <v>10000</v>
      </c>
      <c r="FO75" s="1907">
        <f>0.28*FP69</f>
        <v>2.2400000000000002</v>
      </c>
      <c r="FP75" s="1908">
        <v>10000</v>
      </c>
      <c r="FQ75" s="1907">
        <f>0.28*FR69</f>
        <v>2.2120000000000002</v>
      </c>
      <c r="FR75" s="1908">
        <v>10000</v>
      </c>
      <c r="FS75" s="1907">
        <f>0.28*FT69</f>
        <v>2.5760000000000001</v>
      </c>
      <c r="FT75" s="1908">
        <v>10000</v>
      </c>
      <c r="FU75" s="1907">
        <f>0.28*FV69</f>
        <v>2.548</v>
      </c>
      <c r="FV75" s="1908">
        <v>10000</v>
      </c>
      <c r="FW75" s="1907">
        <f>0.28*FX69</f>
        <v>2.5200000000000005</v>
      </c>
      <c r="FX75" s="1908">
        <v>10000</v>
      </c>
      <c r="FY75" s="1907">
        <f>0.28*FZ69</f>
        <v>2.4920000000000004</v>
      </c>
      <c r="FZ75" s="1908">
        <v>10000</v>
      </c>
      <c r="GA75" s="1907">
        <f>0.28*GB69</f>
        <v>2.8559999999999999</v>
      </c>
      <c r="GB75" s="1908">
        <v>10000</v>
      </c>
      <c r="GC75" s="1907">
        <f>0.28*GD69</f>
        <v>2.8280000000000003</v>
      </c>
      <c r="GD75" s="1908">
        <v>10000</v>
      </c>
      <c r="GE75" s="1907">
        <f>0.28*GF69</f>
        <v>2.7720000000000002</v>
      </c>
      <c r="GF75" s="1908">
        <v>10000</v>
      </c>
      <c r="GG75" s="1907">
        <f>0.28*GH69</f>
        <v>2.7440000000000007</v>
      </c>
      <c r="GH75" s="1908">
        <v>10000</v>
      </c>
      <c r="GI75" s="1907">
        <f>0.28*GJ69</f>
        <v>2.044</v>
      </c>
      <c r="GJ75" s="1908">
        <v>10000</v>
      </c>
      <c r="GK75" s="1907">
        <f>0.28*GL69</f>
        <v>2.0160000000000005</v>
      </c>
      <c r="GL75" s="1908">
        <v>10000</v>
      </c>
      <c r="GM75" s="1907">
        <f>0.28*GN69</f>
        <v>1.988</v>
      </c>
      <c r="GN75" s="1908">
        <v>10000</v>
      </c>
      <c r="GO75" s="1907">
        <f>0.28*GP69</f>
        <v>1.9600000000000002</v>
      </c>
      <c r="GP75" s="1908">
        <v>10000</v>
      </c>
      <c r="GQ75" s="1907">
        <f>0.28*GR69</f>
        <v>2.3240000000000003</v>
      </c>
      <c r="GR75" s="1908">
        <v>10000</v>
      </c>
      <c r="GS75" s="1907">
        <f>0.28*GT69</f>
        <v>2.2959999999999998</v>
      </c>
      <c r="GT75" s="1908">
        <v>10000</v>
      </c>
      <c r="GU75" s="1907">
        <f>0.28*GV69</f>
        <v>2.2680000000000002</v>
      </c>
      <c r="GV75" s="1908">
        <v>10000</v>
      </c>
      <c r="GW75" s="1907">
        <f>0.28*GX69</f>
        <v>2.2120000000000002</v>
      </c>
      <c r="GX75" s="1908">
        <v>10000</v>
      </c>
      <c r="GY75" s="1907">
        <f>0.28*GZ69</f>
        <v>2.6040000000000005</v>
      </c>
      <c r="GZ75" s="1908">
        <v>10000</v>
      </c>
      <c r="HA75" s="1907">
        <f>0.28*HB69</f>
        <v>2.548</v>
      </c>
      <c r="HB75" s="1908">
        <v>10000</v>
      </c>
      <c r="HC75" s="1907">
        <f>0.28*HD69</f>
        <v>2.5200000000000005</v>
      </c>
      <c r="HD75" s="1908">
        <v>10000</v>
      </c>
      <c r="HE75" s="1907">
        <f>0.28*HF69</f>
        <v>2.4920000000000004</v>
      </c>
      <c r="HF75" s="1908">
        <v>10000</v>
      </c>
      <c r="HG75" s="1907">
        <f>0.28*HH69</f>
        <v>2.8559999999999999</v>
      </c>
      <c r="HH75" s="1908">
        <v>10000</v>
      </c>
      <c r="HI75" s="1907">
        <f>0.28*HJ69</f>
        <v>2.8280000000000003</v>
      </c>
      <c r="HJ75" s="1908">
        <v>10000</v>
      </c>
      <c r="HK75" s="1907">
        <f>0.28*HL69</f>
        <v>2.8000000000000003</v>
      </c>
      <c r="HL75" s="1908">
        <v>10000</v>
      </c>
      <c r="HM75" s="1907">
        <f>0.28*HN69</f>
        <v>2.7440000000000007</v>
      </c>
      <c r="HN75" s="1909">
        <v>10000</v>
      </c>
      <c r="HO75" s="1910"/>
    </row>
    <row r="76" spans="2:223">
      <c r="B76" s="1729"/>
      <c r="C76" s="1729"/>
      <c r="H76" s="1905" t="s">
        <v>433</v>
      </c>
      <c r="I76" s="1892">
        <v>0</v>
      </c>
      <c r="J76" s="1906">
        <f>0.05*J69*1000</f>
        <v>317.5</v>
      </c>
      <c r="K76" s="1892">
        <v>0</v>
      </c>
      <c r="L76" s="1906">
        <f>0.05*L69*1000</f>
        <v>328</v>
      </c>
      <c r="M76" s="1892">
        <v>0</v>
      </c>
      <c r="N76" s="1906">
        <f>0.05*N69*1000</f>
        <v>332</v>
      </c>
      <c r="O76" s="1892">
        <v>0</v>
      </c>
      <c r="P76" s="1906">
        <f>0.05*P69*1000</f>
        <v>327</v>
      </c>
      <c r="Q76" s="1892">
        <v>0</v>
      </c>
      <c r="R76" s="1906">
        <f>0.05*R69*1000</f>
        <v>364.00000000000006</v>
      </c>
      <c r="S76" s="1892">
        <v>0</v>
      </c>
      <c r="T76" s="1906">
        <f>0.05*T69*1000</f>
        <v>376</v>
      </c>
      <c r="U76" s="1892">
        <v>0</v>
      </c>
      <c r="V76" s="1906">
        <f>0.05*V69*1000</f>
        <v>380.50000000000006</v>
      </c>
      <c r="W76" s="1892">
        <v>0</v>
      </c>
      <c r="X76" s="1906">
        <f>0.05*X69*1000</f>
        <v>370.50000000000006</v>
      </c>
      <c r="Y76" s="1892">
        <v>0</v>
      </c>
      <c r="Z76" s="1906">
        <f>0.05*Z69*1000</f>
        <v>408.50000000000006</v>
      </c>
      <c r="AA76" s="1907">
        <v>0</v>
      </c>
      <c r="AB76" s="1908">
        <f>0.05*AB69*1000</f>
        <v>422</v>
      </c>
      <c r="AC76" s="1907">
        <v>0</v>
      </c>
      <c r="AD76" s="1908">
        <f>0.05*AD69*1000</f>
        <v>427.50000000000006</v>
      </c>
      <c r="AE76" s="1907">
        <v>0</v>
      </c>
      <c r="AF76" s="1908">
        <f>0.05*AF69*1000</f>
        <v>420.50000000000006</v>
      </c>
      <c r="AG76" s="1907">
        <v>0</v>
      </c>
      <c r="AH76" s="1908">
        <f>0.05*AH69*1000</f>
        <v>451.5</v>
      </c>
      <c r="AI76" s="1907">
        <v>0</v>
      </c>
      <c r="AJ76" s="1908">
        <f>0.05*AJ69*1000</f>
        <v>466.5</v>
      </c>
      <c r="AK76" s="1907">
        <v>0</v>
      </c>
      <c r="AL76" s="1908">
        <f>0.05*AL69*1000</f>
        <v>472.5</v>
      </c>
      <c r="AM76" s="1907">
        <v>0</v>
      </c>
      <c r="AN76" s="1908">
        <f>0.05*AN69*1000</f>
        <v>465.00000000000006</v>
      </c>
      <c r="AO76" s="1907">
        <v>0</v>
      </c>
      <c r="AP76" s="1908">
        <f>0.05*AP69*1000</f>
        <v>493.5</v>
      </c>
      <c r="AQ76" s="1907">
        <v>0</v>
      </c>
      <c r="AR76" s="1908">
        <f>0.05*AR69*1000</f>
        <v>509.49999999999994</v>
      </c>
      <c r="AS76" s="1907">
        <v>0</v>
      </c>
      <c r="AT76" s="1908">
        <f>0.05*AT69*1000</f>
        <v>516</v>
      </c>
      <c r="AU76" s="1907">
        <v>0</v>
      </c>
      <c r="AV76" s="1908">
        <f>0.05*AV69*1000</f>
        <v>508</v>
      </c>
      <c r="AW76" s="1907">
        <v>0</v>
      </c>
      <c r="AX76" s="1908">
        <f>0.05*AX69*1000</f>
        <v>534</v>
      </c>
      <c r="AY76" s="1907">
        <v>0</v>
      </c>
      <c r="AZ76" s="1908">
        <f>0.05*AZ69*1000</f>
        <v>551.5</v>
      </c>
      <c r="BA76" s="1907">
        <v>0</v>
      </c>
      <c r="BB76" s="1908">
        <f>0.05*BB69*1000</f>
        <v>558.5</v>
      </c>
      <c r="BC76" s="1907">
        <v>0</v>
      </c>
      <c r="BD76" s="1908">
        <f>0.05*BD69*1000</f>
        <v>549.5</v>
      </c>
      <c r="BE76" s="1907">
        <v>0</v>
      </c>
      <c r="BF76" s="1908">
        <f>0.05*BF69*1000</f>
        <v>310.5</v>
      </c>
      <c r="BG76" s="1907">
        <v>0</v>
      </c>
      <c r="BH76" s="1908">
        <f>0.05*BH69*1000</f>
        <v>321.5</v>
      </c>
      <c r="BI76" s="1907">
        <v>0</v>
      </c>
      <c r="BJ76" s="1908">
        <f>0.05*BJ69*1000</f>
        <v>329</v>
      </c>
      <c r="BK76" s="1907">
        <v>0</v>
      </c>
      <c r="BL76" s="1908">
        <f>0.05*BL69*1000</f>
        <v>332</v>
      </c>
      <c r="BM76" s="1907">
        <v>0</v>
      </c>
      <c r="BN76" s="1908">
        <f>0.05*BN69*1000</f>
        <v>329</v>
      </c>
      <c r="BO76" s="1907">
        <v>0</v>
      </c>
      <c r="BP76" s="1908">
        <f>0.05*BP69*1000</f>
        <v>356.00000000000006</v>
      </c>
      <c r="BQ76" s="1907">
        <v>0</v>
      </c>
      <c r="BR76" s="1908">
        <f>0.05*BR69*1000</f>
        <v>368.50000000000006</v>
      </c>
      <c r="BS76" s="1907">
        <v>0</v>
      </c>
      <c r="BT76" s="1908">
        <f>0.05*BT69*1000</f>
        <v>377</v>
      </c>
      <c r="BU76" s="1907">
        <v>0</v>
      </c>
      <c r="BV76" s="1908">
        <f>0.05*BV69*1000</f>
        <v>380.50000000000006</v>
      </c>
      <c r="BW76" s="1907">
        <v>0</v>
      </c>
      <c r="BX76" s="1908">
        <f>0.05*BX69*1000</f>
        <v>377.5</v>
      </c>
      <c r="BY76" s="1907">
        <v>0</v>
      </c>
      <c r="BZ76" s="1908">
        <f>0.05*BZ69*1000</f>
        <v>399.5</v>
      </c>
      <c r="CA76" s="1907">
        <v>0</v>
      </c>
      <c r="CB76" s="1908">
        <f>0.05*CB69*1000</f>
        <v>414</v>
      </c>
      <c r="CC76" s="1907">
        <v>0</v>
      </c>
      <c r="CD76" s="1908">
        <f>0.05*CD69*1000</f>
        <v>423.00000000000006</v>
      </c>
      <c r="CE76" s="1907">
        <v>0</v>
      </c>
      <c r="CF76" s="1908">
        <f>0.05*CF69*1000</f>
        <v>427</v>
      </c>
      <c r="CG76" s="1907">
        <v>0</v>
      </c>
      <c r="CH76" s="1908">
        <f>0.05*CH69*1000</f>
        <v>423.50000000000006</v>
      </c>
      <c r="CI76" s="1907">
        <v>0</v>
      </c>
      <c r="CJ76" s="1908">
        <f>0.05*CJ69*1000</f>
        <v>441.5</v>
      </c>
      <c r="CK76" s="1907">
        <v>0</v>
      </c>
      <c r="CL76" s="1908">
        <f>0.05*CL69*1000</f>
        <v>457.5</v>
      </c>
      <c r="CM76" s="1907">
        <v>0</v>
      </c>
      <c r="CN76" s="1908">
        <f>0.05*CN69*1000</f>
        <v>468</v>
      </c>
      <c r="CO76" s="1907">
        <v>0</v>
      </c>
      <c r="CP76" s="1908">
        <f>0.05*CP69*1000</f>
        <v>472</v>
      </c>
      <c r="CQ76" s="1907">
        <v>0</v>
      </c>
      <c r="CR76" s="1908">
        <f>0.05*CR69*1000</f>
        <v>468.5</v>
      </c>
      <c r="CS76" s="1907">
        <v>0</v>
      </c>
      <c r="CT76" s="1908">
        <f>0.05*CT69*1000</f>
        <v>482.50000000000006</v>
      </c>
      <c r="CU76" s="1907">
        <v>0</v>
      </c>
      <c r="CV76" s="1908">
        <f>0.05*CV69*1000</f>
        <v>499.50000000000006</v>
      </c>
      <c r="CW76" s="1907">
        <v>0</v>
      </c>
      <c r="CX76" s="1908">
        <f>0.05*CX69*1000</f>
        <v>511</v>
      </c>
      <c r="CY76" s="1907">
        <v>0</v>
      </c>
      <c r="CZ76" s="1908">
        <f>0.05*CZ69*1000</f>
        <v>516</v>
      </c>
      <c r="DA76" s="1907">
        <v>0</v>
      </c>
      <c r="DB76" s="1908">
        <f>0.05*DB69*1000</f>
        <v>511.50000000000006</v>
      </c>
      <c r="DC76" s="1907">
        <v>0</v>
      </c>
      <c r="DD76" s="1908">
        <f>0.05*DD69*1000</f>
        <v>522</v>
      </c>
      <c r="DE76" s="1907">
        <v>0</v>
      </c>
      <c r="DF76" s="1908">
        <f>0.05*DF69*1000</f>
        <v>541</v>
      </c>
      <c r="DG76" s="1907">
        <v>0</v>
      </c>
      <c r="DH76" s="1908">
        <f>0.05*DH69*1000</f>
        <v>553</v>
      </c>
      <c r="DI76" s="1907">
        <v>0</v>
      </c>
      <c r="DJ76" s="1908">
        <f>0.05*DJ69*1000</f>
        <v>558.5</v>
      </c>
      <c r="DK76" s="1907">
        <v>0</v>
      </c>
      <c r="DL76" s="1908">
        <f>0.05*DL69*1000</f>
        <v>553.5</v>
      </c>
      <c r="DM76" s="1907">
        <v>0</v>
      </c>
      <c r="DN76" s="1908">
        <f>0.05*DN69*1000</f>
        <v>561</v>
      </c>
      <c r="DO76" s="1907">
        <v>0</v>
      </c>
      <c r="DP76" s="1908">
        <f>0.05*DP69*1000</f>
        <v>581</v>
      </c>
      <c r="DQ76" s="1907">
        <v>0</v>
      </c>
      <c r="DR76" s="1908">
        <f>0.05*DR69*1000</f>
        <v>594.00000000000011</v>
      </c>
      <c r="DS76" s="1907">
        <v>0</v>
      </c>
      <c r="DT76" s="1908">
        <f>0.05*DT69*1000</f>
        <v>599.5</v>
      </c>
      <c r="DU76" s="1907">
        <v>0</v>
      </c>
      <c r="DV76" s="1908">
        <f>0.05*DV69*1000</f>
        <v>594.5</v>
      </c>
      <c r="DW76" s="1907">
        <v>0</v>
      </c>
      <c r="DX76" s="1908">
        <f>0.05*DX69*1000</f>
        <v>365</v>
      </c>
      <c r="DY76" s="1907">
        <v>0</v>
      </c>
      <c r="DZ76" s="1908">
        <f>0.05*DZ69*1000</f>
        <v>360.00000000000006</v>
      </c>
      <c r="EA76" s="1907">
        <v>0</v>
      </c>
      <c r="EB76" s="1908">
        <f>0.05*EB69*1000</f>
        <v>350.00000000000006</v>
      </c>
      <c r="EC76" s="1907">
        <v>0</v>
      </c>
      <c r="ED76" s="1908">
        <f>0.05*ED69*1000</f>
        <v>345.00000000000006</v>
      </c>
      <c r="EE76" s="1907">
        <v>0</v>
      </c>
      <c r="EF76" s="1908">
        <f>0.05*EF69*1000</f>
        <v>410</v>
      </c>
      <c r="EG76" s="1907">
        <v>0</v>
      </c>
      <c r="EH76" s="1908">
        <f>0.05*EH69*1000</f>
        <v>405</v>
      </c>
      <c r="EI76" s="1907">
        <v>0</v>
      </c>
      <c r="EJ76" s="1908">
        <f>0.05*EJ69*1000</f>
        <v>400</v>
      </c>
      <c r="EK76" s="1907">
        <v>0</v>
      </c>
      <c r="EL76" s="1908">
        <f>0.05*EL69*1000</f>
        <v>395</v>
      </c>
      <c r="EM76" s="1907">
        <v>0</v>
      </c>
      <c r="EN76" s="1908">
        <f>0.05*EN69*1000</f>
        <v>459.99999999999994</v>
      </c>
      <c r="EO76" s="1907">
        <v>0</v>
      </c>
      <c r="EP76" s="1908">
        <f>0.05*EP69*1000</f>
        <v>455</v>
      </c>
      <c r="EQ76" s="1907">
        <v>0</v>
      </c>
      <c r="ER76" s="1908">
        <f>0.05*ER69*1000</f>
        <v>445.00000000000006</v>
      </c>
      <c r="ES76" s="1907">
        <v>0</v>
      </c>
      <c r="ET76" s="1908">
        <f>0.05*ET69*1000</f>
        <v>440.00000000000006</v>
      </c>
      <c r="EU76" s="1907">
        <v>0</v>
      </c>
      <c r="EV76" s="1908">
        <f>0.05*EV69*1000</f>
        <v>505</v>
      </c>
      <c r="EW76" s="1907">
        <v>0</v>
      </c>
      <c r="EX76" s="1908">
        <f>0.05*EX69*1000</f>
        <v>500</v>
      </c>
      <c r="EY76" s="1907">
        <v>0</v>
      </c>
      <c r="EZ76" s="1908">
        <f>0.05*EZ69*1000</f>
        <v>495.00000000000006</v>
      </c>
      <c r="FA76" s="1907">
        <v>0</v>
      </c>
      <c r="FB76" s="1908">
        <f>0.05*FB69*1000</f>
        <v>490.00000000000006</v>
      </c>
      <c r="FC76" s="1907">
        <v>0</v>
      </c>
      <c r="FD76" s="1908">
        <f>0.05*FD69*1000</f>
        <v>365</v>
      </c>
      <c r="FE76" s="1907">
        <v>0</v>
      </c>
      <c r="FF76" s="1908">
        <f>0.05*FF69*1000</f>
        <v>360.00000000000006</v>
      </c>
      <c r="FG76" s="1907">
        <v>0</v>
      </c>
      <c r="FH76" s="1908">
        <f>0.05*FH69*1000</f>
        <v>355</v>
      </c>
      <c r="FI76" s="1907">
        <v>0</v>
      </c>
      <c r="FJ76" s="1908">
        <f>0.05*FJ69*1000</f>
        <v>345.00000000000006</v>
      </c>
      <c r="FK76" s="1907">
        <v>0</v>
      </c>
      <c r="FL76" s="1908">
        <f>0.05*FL69*1000</f>
        <v>415.00000000000006</v>
      </c>
      <c r="FM76" s="1907">
        <v>0</v>
      </c>
      <c r="FN76" s="1908">
        <f>0.05*FN69*1000</f>
        <v>405</v>
      </c>
      <c r="FO76" s="1907">
        <v>0</v>
      </c>
      <c r="FP76" s="1908">
        <f>0.05*FP69*1000</f>
        <v>400</v>
      </c>
      <c r="FQ76" s="1907">
        <v>0</v>
      </c>
      <c r="FR76" s="1908">
        <f>0.05*FR69*1000</f>
        <v>395</v>
      </c>
      <c r="FS76" s="1907">
        <v>0</v>
      </c>
      <c r="FT76" s="1908">
        <f>0.05*FT69*1000</f>
        <v>459.99999999999994</v>
      </c>
      <c r="FU76" s="1907">
        <v>0</v>
      </c>
      <c r="FV76" s="1908">
        <f>0.05*FV69*1000</f>
        <v>455</v>
      </c>
      <c r="FW76" s="1907">
        <v>0</v>
      </c>
      <c r="FX76" s="1908">
        <f>0.05*FX69*1000</f>
        <v>450</v>
      </c>
      <c r="FY76" s="1907">
        <v>0</v>
      </c>
      <c r="FZ76" s="1908">
        <f>0.05*FZ69*1000</f>
        <v>445.00000000000006</v>
      </c>
      <c r="GA76" s="1907">
        <v>0</v>
      </c>
      <c r="GB76" s="1908">
        <f>0.05*GB69*1000</f>
        <v>510</v>
      </c>
      <c r="GC76" s="1907">
        <v>0</v>
      </c>
      <c r="GD76" s="1908">
        <f>0.05*GD69*1000</f>
        <v>505</v>
      </c>
      <c r="GE76" s="1907">
        <v>0</v>
      </c>
      <c r="GF76" s="1908">
        <f>0.05*GF69*1000</f>
        <v>495.00000000000006</v>
      </c>
      <c r="GG76" s="1907">
        <v>0</v>
      </c>
      <c r="GH76" s="1908">
        <f>0.05*GH69*1000</f>
        <v>490.00000000000006</v>
      </c>
      <c r="GI76" s="1907">
        <v>0</v>
      </c>
      <c r="GJ76" s="1908">
        <f>0.05*GJ69*1000</f>
        <v>365</v>
      </c>
      <c r="GK76" s="1907">
        <v>0</v>
      </c>
      <c r="GL76" s="1908">
        <f>0.05*GL69*1000</f>
        <v>360.00000000000006</v>
      </c>
      <c r="GM76" s="1907">
        <v>0</v>
      </c>
      <c r="GN76" s="1908">
        <f>0.05*GN69*1000</f>
        <v>355</v>
      </c>
      <c r="GO76" s="1907">
        <v>0</v>
      </c>
      <c r="GP76" s="1908">
        <f>0.05*GP69*1000</f>
        <v>350.00000000000006</v>
      </c>
      <c r="GQ76" s="1907">
        <v>0</v>
      </c>
      <c r="GR76" s="1908">
        <f>0.05*GR69*1000</f>
        <v>415.00000000000006</v>
      </c>
      <c r="GS76" s="1907">
        <v>0</v>
      </c>
      <c r="GT76" s="1908">
        <f>0.05*GT69*1000</f>
        <v>410</v>
      </c>
      <c r="GU76" s="1907">
        <v>0</v>
      </c>
      <c r="GV76" s="1908">
        <f>0.05*GV69*1000</f>
        <v>405</v>
      </c>
      <c r="GW76" s="1907">
        <v>0</v>
      </c>
      <c r="GX76" s="1908">
        <f>0.05*GX69*1000</f>
        <v>395</v>
      </c>
      <c r="GY76" s="1907">
        <v>0</v>
      </c>
      <c r="GZ76" s="1908">
        <f>0.05*GZ69*1000</f>
        <v>465.00000000000006</v>
      </c>
      <c r="HA76" s="1907">
        <v>0</v>
      </c>
      <c r="HB76" s="1908">
        <f>0.05*HB69*1000</f>
        <v>455</v>
      </c>
      <c r="HC76" s="1907">
        <v>0</v>
      </c>
      <c r="HD76" s="1908">
        <f>0.05*HD69*1000</f>
        <v>450</v>
      </c>
      <c r="HE76" s="1907">
        <v>0</v>
      </c>
      <c r="HF76" s="1908">
        <f>0.05*HF69*1000</f>
        <v>445.00000000000006</v>
      </c>
      <c r="HG76" s="1907">
        <v>0</v>
      </c>
      <c r="HH76" s="1908">
        <f>0.05*HH69*1000</f>
        <v>510</v>
      </c>
      <c r="HI76" s="1907">
        <v>0</v>
      </c>
      <c r="HJ76" s="1908">
        <f>0.05*HJ69*1000</f>
        <v>505</v>
      </c>
      <c r="HK76" s="1907">
        <v>0</v>
      </c>
      <c r="HL76" s="1908">
        <f>0.05*HL69*1000</f>
        <v>500</v>
      </c>
      <c r="HM76" s="1907">
        <v>0</v>
      </c>
      <c r="HN76" s="1909">
        <f>0.05*HN69*1000</f>
        <v>490.00000000000006</v>
      </c>
      <c r="HO76" s="1910"/>
    </row>
    <row r="77" spans="2:223">
      <c r="B77" s="1729"/>
      <c r="C77" s="1729"/>
      <c r="H77" s="1905" t="s">
        <v>16</v>
      </c>
      <c r="I77" s="1892">
        <f>0.1/100*J69*1000</f>
        <v>6.35</v>
      </c>
      <c r="J77" s="1906">
        <f>(J69*(0.4/100))*1000</f>
        <v>25.4</v>
      </c>
      <c r="K77" s="1892">
        <f>0.1/100*L69*1000</f>
        <v>6.56</v>
      </c>
      <c r="L77" s="1906">
        <f>(L69*(0.4/100))*1000</f>
        <v>26.24</v>
      </c>
      <c r="M77" s="1892">
        <f>0.1/100*N69*1000</f>
        <v>6.64</v>
      </c>
      <c r="N77" s="1906">
        <f>(N69*(0.4/100))*1000</f>
        <v>26.56</v>
      </c>
      <c r="O77" s="1892">
        <f>0.1/100*P69*1000</f>
        <v>6.54</v>
      </c>
      <c r="P77" s="1906">
        <f>(P69*(0.4/100))*1000</f>
        <v>26.16</v>
      </c>
      <c r="Q77" s="1892">
        <f>0.1/100*R69*1000</f>
        <v>7.28</v>
      </c>
      <c r="R77" s="1906">
        <f>(R69*(0.4/100))*1000</f>
        <v>29.12</v>
      </c>
      <c r="S77" s="1892">
        <f>0.1/100*T69*1000</f>
        <v>7.52</v>
      </c>
      <c r="T77" s="1906">
        <f>(T69*(0.4/100))*1000</f>
        <v>30.08</v>
      </c>
      <c r="U77" s="1892">
        <f>0.1/100*V69*1000</f>
        <v>7.61</v>
      </c>
      <c r="V77" s="1906">
        <f>(V69*(0.4/100))*1000</f>
        <v>30.44</v>
      </c>
      <c r="W77" s="1892">
        <f>0.1/100*X69*1000</f>
        <v>7.41</v>
      </c>
      <c r="X77" s="1906">
        <f>(X69*(0.4/100))*1000</f>
        <v>29.64</v>
      </c>
      <c r="Y77" s="1892">
        <f>0.1/100*Z69*1000</f>
        <v>8.17</v>
      </c>
      <c r="Z77" s="1906">
        <f>(Z69*(0.4/100))*1000</f>
        <v>32.68</v>
      </c>
      <c r="AA77" s="1907">
        <f>0.1/100*AB69*1000</f>
        <v>8.44</v>
      </c>
      <c r="AB77" s="1908">
        <f>(AB69*(0.4/100))*1000</f>
        <v>33.76</v>
      </c>
      <c r="AC77" s="1907">
        <f>0.1/100*AD69*1000</f>
        <v>8.5500000000000007</v>
      </c>
      <c r="AD77" s="1908">
        <f>(AD69*(0.4/100))*1000</f>
        <v>34.200000000000003</v>
      </c>
      <c r="AE77" s="1907">
        <f>0.1/100*AF69*1000</f>
        <v>8.41</v>
      </c>
      <c r="AF77" s="1908">
        <f>(AF69*(0.4/100))*1000</f>
        <v>33.64</v>
      </c>
      <c r="AG77" s="1907">
        <f>0.1/100*AH69*1000</f>
        <v>9.0299999999999994</v>
      </c>
      <c r="AH77" s="1908">
        <f>(AH69*(0.4/100))*1000</f>
        <v>36.119999999999997</v>
      </c>
      <c r="AI77" s="1907">
        <f>0.1/100*AJ69*1000</f>
        <v>9.33</v>
      </c>
      <c r="AJ77" s="1908">
        <f>(AJ69*(0.4/100))*1000</f>
        <v>37.32</v>
      </c>
      <c r="AK77" s="1907">
        <f>0.1/100*AL69*1000</f>
        <v>9.4499999999999993</v>
      </c>
      <c r="AL77" s="1908">
        <f>(AL69*(0.4/100))*1000</f>
        <v>37.799999999999997</v>
      </c>
      <c r="AM77" s="1907">
        <f>0.1/100*AN69*1000</f>
        <v>9.3000000000000007</v>
      </c>
      <c r="AN77" s="1908">
        <f>(AN69*(0.4/100))*1000</f>
        <v>37.200000000000003</v>
      </c>
      <c r="AO77" s="1907">
        <f>0.1/100*AP69*1000</f>
        <v>9.8699999999999992</v>
      </c>
      <c r="AP77" s="1908">
        <f>(AP69*(0.4/100))*1000</f>
        <v>39.479999999999997</v>
      </c>
      <c r="AQ77" s="1907">
        <f>0.1/100*AR69*1000</f>
        <v>10.19</v>
      </c>
      <c r="AR77" s="1908">
        <f>(AR69*(0.4/100))*1000</f>
        <v>40.76</v>
      </c>
      <c r="AS77" s="1907">
        <f>0.1/100*AT69*1000</f>
        <v>10.32</v>
      </c>
      <c r="AT77" s="1908">
        <f>(AT69*(0.4/100))*1000</f>
        <v>41.28</v>
      </c>
      <c r="AU77" s="1907">
        <f>0.1/100*AV69*1000</f>
        <v>10.16</v>
      </c>
      <c r="AV77" s="1908">
        <f>(AV69*(0.4/100))*1000</f>
        <v>40.64</v>
      </c>
      <c r="AW77" s="1907">
        <f>0.1/100*AX69*1000</f>
        <v>10.68</v>
      </c>
      <c r="AX77" s="1908">
        <f>(AX69*(0.4/100))*1000</f>
        <v>42.72</v>
      </c>
      <c r="AY77" s="1907">
        <f>0.1/100*AZ69*1000</f>
        <v>11.03</v>
      </c>
      <c r="AZ77" s="1908">
        <f>(AZ69*(0.4/100))*1000</f>
        <v>44.12</v>
      </c>
      <c r="BA77" s="1907">
        <f>0.1/100*BB69*1000</f>
        <v>11.17</v>
      </c>
      <c r="BB77" s="1908">
        <f>(BB69*(0.4/100))*1000</f>
        <v>44.68</v>
      </c>
      <c r="BC77" s="1907">
        <f>0.1/100*BD69*1000</f>
        <v>10.99</v>
      </c>
      <c r="BD77" s="1908">
        <f>(BD69*(0.4/100))*1000</f>
        <v>43.96</v>
      </c>
      <c r="BE77" s="1907">
        <f>0.1/100*BF69*1000</f>
        <v>6.21</v>
      </c>
      <c r="BF77" s="1908">
        <f>(BF69*(0.4/100))*1000</f>
        <v>24.84</v>
      </c>
      <c r="BG77" s="1907">
        <f>0.1/100*BH69*1000</f>
        <v>6.43</v>
      </c>
      <c r="BH77" s="1908">
        <f>(BH69*(0.4/100))*1000</f>
        <v>25.72</v>
      </c>
      <c r="BI77" s="1907">
        <f>0.1/100*BJ69*1000</f>
        <v>6.58</v>
      </c>
      <c r="BJ77" s="1908">
        <f>(BJ69*(0.4/100))*1000</f>
        <v>26.32</v>
      </c>
      <c r="BK77" s="1907">
        <f>0.1/100*BL69*1000</f>
        <v>6.64</v>
      </c>
      <c r="BL77" s="1908">
        <f>(BL69*(0.4/100))*1000</f>
        <v>26.56</v>
      </c>
      <c r="BM77" s="1907">
        <f>0.1/100*BN69*1000</f>
        <v>6.58</v>
      </c>
      <c r="BN77" s="1908">
        <f>(BN69*(0.4/100))*1000</f>
        <v>26.32</v>
      </c>
      <c r="BO77" s="1907">
        <f>0.1/100*BP69*1000</f>
        <v>7.12</v>
      </c>
      <c r="BP77" s="1908">
        <f>(BP69*(0.4/100))*1000</f>
        <v>28.48</v>
      </c>
      <c r="BQ77" s="1907">
        <f>0.1/100*BR69*1000</f>
        <v>7.370000000000001</v>
      </c>
      <c r="BR77" s="1908">
        <f>(BR69*(0.4/100))*1000</f>
        <v>29.480000000000004</v>
      </c>
      <c r="BS77" s="1907">
        <f>0.1/100*BT69*1000</f>
        <v>7.54</v>
      </c>
      <c r="BT77" s="1908">
        <f>(BT69*(0.4/100))*1000</f>
        <v>30.16</v>
      </c>
      <c r="BU77" s="1907">
        <f>0.1/100*BV69*1000</f>
        <v>7.61</v>
      </c>
      <c r="BV77" s="1908">
        <f>(BV69*(0.4/100))*1000</f>
        <v>30.44</v>
      </c>
      <c r="BW77" s="1907">
        <f>0.1/100*BX69*1000</f>
        <v>7.5500000000000007</v>
      </c>
      <c r="BX77" s="1908">
        <f>(BX69*(0.4/100))*1000</f>
        <v>30.200000000000003</v>
      </c>
      <c r="BY77" s="1907">
        <f>0.1/100*BZ69*1000</f>
        <v>7.99</v>
      </c>
      <c r="BZ77" s="1908">
        <f>(BZ69*(0.4/100))*1000</f>
        <v>31.96</v>
      </c>
      <c r="CA77" s="1907">
        <f>0.1/100*CB69*1000</f>
        <v>8.2799999999999994</v>
      </c>
      <c r="CB77" s="1908">
        <f>(CB69*(0.4/100))*1000</f>
        <v>33.119999999999997</v>
      </c>
      <c r="CC77" s="1907">
        <f>0.1/100*CD69*1000</f>
        <v>8.4600000000000009</v>
      </c>
      <c r="CD77" s="1908">
        <f>(CD69*(0.4/100))*1000</f>
        <v>33.840000000000003</v>
      </c>
      <c r="CE77" s="1907">
        <f>0.1/100*CF69*1000</f>
        <v>8.5399999999999991</v>
      </c>
      <c r="CF77" s="1908">
        <f>(CF69*(0.4/100))*1000</f>
        <v>34.159999999999997</v>
      </c>
      <c r="CG77" s="1907">
        <f>0.1/100*CH69*1000</f>
        <v>8.4700000000000006</v>
      </c>
      <c r="CH77" s="1908">
        <f>(CH69*(0.4/100))*1000</f>
        <v>33.880000000000003</v>
      </c>
      <c r="CI77" s="1907">
        <f>0.1/100*CJ69*1000</f>
        <v>8.8300000000000018</v>
      </c>
      <c r="CJ77" s="1908">
        <f>(CJ69*(0.4/100))*1000</f>
        <v>35.320000000000007</v>
      </c>
      <c r="CK77" s="1907">
        <f>0.1/100*CL69*1000</f>
        <v>9.15</v>
      </c>
      <c r="CL77" s="1908">
        <f>(CL69*(0.4/100))*1000</f>
        <v>36.6</v>
      </c>
      <c r="CM77" s="1907">
        <f>0.1/100*CN69*1000</f>
        <v>9.36</v>
      </c>
      <c r="CN77" s="1908">
        <f>(CN69*(0.4/100))*1000</f>
        <v>37.44</v>
      </c>
      <c r="CO77" s="1907">
        <f>0.1/100*CP69*1000</f>
        <v>9.4400000000000013</v>
      </c>
      <c r="CP77" s="1908">
        <f>(CP69*(0.4/100))*1000</f>
        <v>37.760000000000005</v>
      </c>
      <c r="CQ77" s="1907">
        <f>0.1/100*CR69*1000</f>
        <v>9.3699999999999992</v>
      </c>
      <c r="CR77" s="1908">
        <f>(CR69*(0.4/100))*1000</f>
        <v>37.479999999999997</v>
      </c>
      <c r="CS77" s="1907">
        <f>0.1/100*CT69*1000</f>
        <v>9.65</v>
      </c>
      <c r="CT77" s="1908">
        <f>(CT69*(0.4/100))*1000</f>
        <v>38.6</v>
      </c>
      <c r="CU77" s="1907">
        <f>0.1/100*CV69*1000</f>
        <v>9.99</v>
      </c>
      <c r="CV77" s="1908">
        <f>(CV69*(0.4/100))*1000</f>
        <v>39.96</v>
      </c>
      <c r="CW77" s="1907">
        <f>0.1/100*CX69*1000</f>
        <v>10.220000000000002</v>
      </c>
      <c r="CX77" s="1908">
        <f>(CX69*(0.4/100))*1000</f>
        <v>40.88000000000001</v>
      </c>
      <c r="CY77" s="1907">
        <f>0.1/100*CZ69*1000</f>
        <v>10.32</v>
      </c>
      <c r="CZ77" s="1908">
        <f>(CZ69*(0.4/100))*1000</f>
        <v>41.28</v>
      </c>
      <c r="DA77" s="1907">
        <f>0.1/100*DB69*1000</f>
        <v>10.23</v>
      </c>
      <c r="DB77" s="1908">
        <f>(DB69*(0.4/100))*1000</f>
        <v>40.92</v>
      </c>
      <c r="DC77" s="1907">
        <f>0.1/100*DD69*1000</f>
        <v>10.44</v>
      </c>
      <c r="DD77" s="1908">
        <f>(DD69*(0.4/100))*1000</f>
        <v>41.76</v>
      </c>
      <c r="DE77" s="1907">
        <f>0.1/100*DF69*1000</f>
        <v>10.82</v>
      </c>
      <c r="DF77" s="1908">
        <f>(DF69*(0.4/100))*1000</f>
        <v>43.28</v>
      </c>
      <c r="DG77" s="1907">
        <f>0.1/100*DH69*1000</f>
        <v>11.06</v>
      </c>
      <c r="DH77" s="1908">
        <f>(DH69*(0.4/100))*1000</f>
        <v>44.24</v>
      </c>
      <c r="DI77" s="1907">
        <f>0.1/100*DJ69*1000</f>
        <v>11.17</v>
      </c>
      <c r="DJ77" s="1908">
        <f>(DJ69*(0.4/100))*1000</f>
        <v>44.68</v>
      </c>
      <c r="DK77" s="1907">
        <f>0.1/100*DL69*1000</f>
        <v>11.07</v>
      </c>
      <c r="DL77" s="1908">
        <f>(DL69*(0.4/100))*1000</f>
        <v>44.28</v>
      </c>
      <c r="DM77" s="1907">
        <f>0.1/100*DN69*1000</f>
        <v>11.22</v>
      </c>
      <c r="DN77" s="1908">
        <f>(DN69*(0.4/100))*1000</f>
        <v>44.88</v>
      </c>
      <c r="DO77" s="1907">
        <f>0.1/100*DP69*1000</f>
        <v>11.620000000000001</v>
      </c>
      <c r="DP77" s="1908">
        <f>(DP69*(0.4/100))*1000</f>
        <v>46.480000000000004</v>
      </c>
      <c r="DQ77" s="1907">
        <f>0.1/100*DR69*1000</f>
        <v>11.880000000000003</v>
      </c>
      <c r="DR77" s="1908">
        <f>(DR69*(0.4/100))*1000</f>
        <v>47.52000000000001</v>
      </c>
      <c r="DS77" s="1907">
        <f>0.1/100*DT69*1000</f>
        <v>11.99</v>
      </c>
      <c r="DT77" s="1908">
        <f>(DT69*(0.4/100))*1000</f>
        <v>47.96</v>
      </c>
      <c r="DU77" s="1907">
        <f>0.1/100*DV69*1000</f>
        <v>11.89</v>
      </c>
      <c r="DV77" s="1908">
        <f>(DV69*(0.4/100))*1000</f>
        <v>47.56</v>
      </c>
      <c r="DW77" s="1907">
        <f>0.1/100*DX69*1000</f>
        <v>7.3</v>
      </c>
      <c r="DX77" s="1908">
        <f>(DX69*(0.4/100))*1000</f>
        <v>29.2</v>
      </c>
      <c r="DY77" s="1907">
        <f>0.1/100*DZ69*1000</f>
        <v>7.2000000000000011</v>
      </c>
      <c r="DZ77" s="1908">
        <f>(DZ69*(0.4/100))*1000</f>
        <v>28.800000000000004</v>
      </c>
      <c r="EA77" s="1907">
        <f>0.1/100*EB69*1000</f>
        <v>7</v>
      </c>
      <c r="EB77" s="1908">
        <f>(EB69*(0.4/100))*1000</f>
        <v>28</v>
      </c>
      <c r="EC77" s="1907">
        <f>0.1/100*ED69*1000</f>
        <v>6.9</v>
      </c>
      <c r="ED77" s="1908">
        <f>(ED69*(0.4/100))*1000</f>
        <v>27.6</v>
      </c>
      <c r="EE77" s="1907">
        <f>0.1/100*EF69*1000</f>
        <v>8.1999999999999993</v>
      </c>
      <c r="EF77" s="1908">
        <f>(EF69*(0.4/100))*1000</f>
        <v>32.799999999999997</v>
      </c>
      <c r="EG77" s="1907">
        <f>0.1/100*EH69*1000</f>
        <v>8.1</v>
      </c>
      <c r="EH77" s="1908">
        <f>(EH69*(0.4/100))*1000</f>
        <v>32.4</v>
      </c>
      <c r="EI77" s="1907">
        <f>0.1/100*EJ69*1000</f>
        <v>8</v>
      </c>
      <c r="EJ77" s="1908">
        <f>(EJ69*(0.4/100))*1000</f>
        <v>32</v>
      </c>
      <c r="EK77" s="1907">
        <f>0.1/100*EL69*1000</f>
        <v>7.9</v>
      </c>
      <c r="EL77" s="1908">
        <f>(EL69*(0.4/100))*1000</f>
        <v>31.6</v>
      </c>
      <c r="EM77" s="1907">
        <f>0.1/100*EN69*1000</f>
        <v>9.1999999999999993</v>
      </c>
      <c r="EN77" s="1908">
        <f>(EN69*(0.4/100))*1000</f>
        <v>36.799999999999997</v>
      </c>
      <c r="EO77" s="1907">
        <f>0.1/100*EP69*1000</f>
        <v>9.1</v>
      </c>
      <c r="EP77" s="1908">
        <f>(EP69*(0.4/100))*1000</f>
        <v>36.4</v>
      </c>
      <c r="EQ77" s="1907">
        <f>0.1/100*ER69*1000</f>
        <v>8.9</v>
      </c>
      <c r="ER77" s="1908">
        <f>(ER69*(0.4/100))*1000</f>
        <v>35.6</v>
      </c>
      <c r="ES77" s="1907">
        <f>0.1/100*ET69*1000</f>
        <v>8.8000000000000007</v>
      </c>
      <c r="ET77" s="1908">
        <f>(ET69*(0.4/100))*1000</f>
        <v>35.200000000000003</v>
      </c>
      <c r="EU77" s="1907">
        <f>0.1/100*EV69*1000</f>
        <v>10.1</v>
      </c>
      <c r="EV77" s="1908">
        <f>(EV69*(0.4/100))*1000</f>
        <v>40.4</v>
      </c>
      <c r="EW77" s="1907">
        <f>0.1/100*EX69*1000</f>
        <v>10</v>
      </c>
      <c r="EX77" s="1908">
        <f>(EX69*(0.4/100))*1000</f>
        <v>40</v>
      </c>
      <c r="EY77" s="1907">
        <f>0.1/100*EZ69*1000</f>
        <v>9.9</v>
      </c>
      <c r="EZ77" s="1908">
        <f>(EZ69*(0.4/100))*1000</f>
        <v>39.6</v>
      </c>
      <c r="FA77" s="1907">
        <f>0.1/100*FB69*1000</f>
        <v>9.8000000000000007</v>
      </c>
      <c r="FB77" s="1908">
        <f>(FB69*(0.4/100))*1000</f>
        <v>39.200000000000003</v>
      </c>
      <c r="FC77" s="1907">
        <f>0.1/100*FD69*1000</f>
        <v>7.3</v>
      </c>
      <c r="FD77" s="1908">
        <f>(FD69*(0.4/100))*1000</f>
        <v>29.2</v>
      </c>
      <c r="FE77" s="1907">
        <f>0.1/100*FF69*1000</f>
        <v>7.2000000000000011</v>
      </c>
      <c r="FF77" s="1908">
        <f>(FF69*(0.4/100))*1000</f>
        <v>28.800000000000004</v>
      </c>
      <c r="FG77" s="1907">
        <f>0.1/100*FH69*1000</f>
        <v>7.1</v>
      </c>
      <c r="FH77" s="1908">
        <f>(FH69*(0.4/100))*1000</f>
        <v>28.4</v>
      </c>
      <c r="FI77" s="1907">
        <f>0.1/100*FJ69*1000</f>
        <v>6.9</v>
      </c>
      <c r="FJ77" s="1908">
        <f>(FJ69*(0.4/100))*1000</f>
        <v>27.6</v>
      </c>
      <c r="FK77" s="1907">
        <f>0.1/100*FL69*1000</f>
        <v>8.3000000000000007</v>
      </c>
      <c r="FL77" s="1908">
        <f>(FL69*(0.4/100))*1000</f>
        <v>33.200000000000003</v>
      </c>
      <c r="FM77" s="1907">
        <f>0.1/100*FN69*1000</f>
        <v>8.1</v>
      </c>
      <c r="FN77" s="1908">
        <f>(FN69*(0.4/100))*1000</f>
        <v>32.4</v>
      </c>
      <c r="FO77" s="1907">
        <f>0.1/100*FP69*1000</f>
        <v>8</v>
      </c>
      <c r="FP77" s="1908">
        <f>(FP69*(0.4/100))*1000</f>
        <v>32</v>
      </c>
      <c r="FQ77" s="1907">
        <f>0.1/100*FR69*1000</f>
        <v>7.9</v>
      </c>
      <c r="FR77" s="1908">
        <f>(FR69*(0.4/100))*1000</f>
        <v>31.6</v>
      </c>
      <c r="FS77" s="1907">
        <f>0.1/100*FT69*1000</f>
        <v>9.1999999999999993</v>
      </c>
      <c r="FT77" s="1908">
        <f>(FT69*(0.4/100))*1000</f>
        <v>36.799999999999997</v>
      </c>
      <c r="FU77" s="1907">
        <f>0.1/100*FV69*1000</f>
        <v>9.1</v>
      </c>
      <c r="FV77" s="1908">
        <f>(FV69*(0.4/100))*1000</f>
        <v>36.4</v>
      </c>
      <c r="FW77" s="1907">
        <f>0.1/100*FX69*1000</f>
        <v>9.0000000000000018</v>
      </c>
      <c r="FX77" s="1908">
        <f>(FX69*(0.4/100))*1000</f>
        <v>36.000000000000007</v>
      </c>
      <c r="FY77" s="1907">
        <f>0.1/100*FZ69*1000</f>
        <v>8.9</v>
      </c>
      <c r="FZ77" s="1908">
        <f>(FZ69*(0.4/100))*1000</f>
        <v>35.6</v>
      </c>
      <c r="GA77" s="1907">
        <f>0.1/100*GB69*1000</f>
        <v>10.199999999999999</v>
      </c>
      <c r="GB77" s="1908">
        <f>(GB69*(0.4/100))*1000</f>
        <v>40.799999999999997</v>
      </c>
      <c r="GC77" s="1907">
        <f>0.1/100*GD69*1000</f>
        <v>10.1</v>
      </c>
      <c r="GD77" s="1908">
        <f>(GD69*(0.4/100))*1000</f>
        <v>40.4</v>
      </c>
      <c r="GE77" s="1907">
        <f>0.1/100*GF69*1000</f>
        <v>9.9</v>
      </c>
      <c r="GF77" s="1908">
        <f>(GF69*(0.4/100))*1000</f>
        <v>39.6</v>
      </c>
      <c r="GG77" s="1907">
        <f>0.1/100*GH69*1000</f>
        <v>9.8000000000000007</v>
      </c>
      <c r="GH77" s="1908">
        <f>(GH69*(0.4/100))*1000</f>
        <v>39.200000000000003</v>
      </c>
      <c r="GI77" s="1907">
        <f>0.1/100*GJ69*1000</f>
        <v>7.3</v>
      </c>
      <c r="GJ77" s="1908">
        <f>(GJ69*(0.4/100))*1000</f>
        <v>29.2</v>
      </c>
      <c r="GK77" s="1907">
        <f>0.1/100*GL69*1000</f>
        <v>7.2000000000000011</v>
      </c>
      <c r="GL77" s="1908">
        <f>(GL69*(0.4/100))*1000</f>
        <v>28.800000000000004</v>
      </c>
      <c r="GM77" s="1907">
        <f>0.1/100*GN69*1000</f>
        <v>7.1</v>
      </c>
      <c r="GN77" s="1908">
        <f>(GN69*(0.4/100))*1000</f>
        <v>28.4</v>
      </c>
      <c r="GO77" s="1907">
        <f>0.1/100*GP69*1000</f>
        <v>7</v>
      </c>
      <c r="GP77" s="1908">
        <f>(GP69*(0.4/100))*1000</f>
        <v>28</v>
      </c>
      <c r="GQ77" s="1907">
        <f>0.1/100*GR69*1000</f>
        <v>8.3000000000000007</v>
      </c>
      <c r="GR77" s="1908">
        <f>(GR69*(0.4/100))*1000</f>
        <v>33.200000000000003</v>
      </c>
      <c r="GS77" s="1907">
        <f>0.1/100*GT69*1000</f>
        <v>8.1999999999999993</v>
      </c>
      <c r="GT77" s="1908">
        <f>(GT69*(0.4/100))*1000</f>
        <v>32.799999999999997</v>
      </c>
      <c r="GU77" s="1907">
        <f>0.1/100*GV69*1000</f>
        <v>8.1</v>
      </c>
      <c r="GV77" s="1908">
        <f>(GV69*(0.4/100))*1000</f>
        <v>32.4</v>
      </c>
      <c r="GW77" s="1907">
        <f>0.1/100*GX69*1000</f>
        <v>7.9</v>
      </c>
      <c r="GX77" s="1908">
        <f>(GX69*(0.4/100))*1000</f>
        <v>31.6</v>
      </c>
      <c r="GY77" s="1907">
        <f>0.1/100*GZ69*1000</f>
        <v>9.3000000000000007</v>
      </c>
      <c r="GZ77" s="1908">
        <f>(GZ69*(0.4/100))*1000</f>
        <v>37.200000000000003</v>
      </c>
      <c r="HA77" s="1907">
        <f>0.1/100*HB69*1000</f>
        <v>9.1</v>
      </c>
      <c r="HB77" s="1908">
        <f>(HB69*(0.4/100))*1000</f>
        <v>36.4</v>
      </c>
      <c r="HC77" s="1907">
        <f>0.1/100*HD69*1000</f>
        <v>9.0000000000000018</v>
      </c>
      <c r="HD77" s="1908">
        <f>(HD69*(0.4/100))*1000</f>
        <v>36.000000000000007</v>
      </c>
      <c r="HE77" s="1907">
        <f>0.1/100*HF69*1000</f>
        <v>8.9</v>
      </c>
      <c r="HF77" s="1908">
        <f>(HF69*(0.4/100))*1000</f>
        <v>35.6</v>
      </c>
      <c r="HG77" s="1907">
        <f>0.1/100*HH69*1000</f>
        <v>10.199999999999999</v>
      </c>
      <c r="HH77" s="1908">
        <f>(HH69*(0.4/100))*1000</f>
        <v>40.799999999999997</v>
      </c>
      <c r="HI77" s="1907">
        <f>0.1/100*HJ69*1000</f>
        <v>10.1</v>
      </c>
      <c r="HJ77" s="1908">
        <f>(HJ69*(0.4/100))*1000</f>
        <v>40.4</v>
      </c>
      <c r="HK77" s="1907">
        <f>0.1/100*HL69*1000</f>
        <v>10</v>
      </c>
      <c r="HL77" s="1908">
        <f>(HL69*(0.4/100))*1000</f>
        <v>40</v>
      </c>
      <c r="HM77" s="1907">
        <f>0.1/100*HN69*1000</f>
        <v>9.8000000000000007</v>
      </c>
      <c r="HN77" s="1909">
        <f>(HN69*(0.4/100))*1000</f>
        <v>39.200000000000003</v>
      </c>
    </row>
    <row r="78" spans="2:223">
      <c r="B78" s="1729"/>
      <c r="C78" s="1729"/>
      <c r="H78" s="1905" t="s">
        <v>436</v>
      </c>
      <c r="I78" s="1892">
        <f>0.1/100*J69*1000</f>
        <v>6.35</v>
      </c>
      <c r="J78" s="1906">
        <f>6.5/100*J69*1000</f>
        <v>412.75</v>
      </c>
      <c r="K78" s="1892">
        <f>0.1/100*L69*1000</f>
        <v>6.56</v>
      </c>
      <c r="L78" s="1906">
        <f>6.5/100*L69*1000</f>
        <v>426.4</v>
      </c>
      <c r="M78" s="1892">
        <f>0.1/100*N69*1000</f>
        <v>6.64</v>
      </c>
      <c r="N78" s="1906">
        <f>6.5/100*N69*1000</f>
        <v>431.59999999999997</v>
      </c>
      <c r="O78" s="1892">
        <f>0.1/100*P69*1000</f>
        <v>6.54</v>
      </c>
      <c r="P78" s="1906">
        <f>6.5/100*P69*1000</f>
        <v>425.1</v>
      </c>
      <c r="Q78" s="1892">
        <f>0.1/100*R69*1000</f>
        <v>7.28</v>
      </c>
      <c r="R78" s="1906">
        <f>6.5/100*R69*1000</f>
        <v>473.2</v>
      </c>
      <c r="S78" s="1892">
        <f>0.1/100*T69*1000</f>
        <v>7.52</v>
      </c>
      <c r="T78" s="1906">
        <f>6.5/100*T69*1000</f>
        <v>488.8</v>
      </c>
      <c r="U78" s="1892">
        <f>0.1/100*V69*1000</f>
        <v>7.61</v>
      </c>
      <c r="V78" s="1906">
        <f>6.5/100*V69*1000</f>
        <v>494.65000000000003</v>
      </c>
      <c r="W78" s="1892">
        <f>0.1/100*X69*1000</f>
        <v>7.41</v>
      </c>
      <c r="X78" s="1906">
        <f>6.5/100*X69*1000</f>
        <v>481.65000000000003</v>
      </c>
      <c r="Y78" s="1892">
        <f>0.1/100*Z69*1000</f>
        <v>8.17</v>
      </c>
      <c r="Z78" s="1906">
        <f>6.5/100*Z69*1000</f>
        <v>531.05000000000007</v>
      </c>
      <c r="AA78" s="1907">
        <f>0.1/100*AB69*1000</f>
        <v>8.44</v>
      </c>
      <c r="AB78" s="1908">
        <f>6.5/100*AB69*1000</f>
        <v>548.6</v>
      </c>
      <c r="AC78" s="1907">
        <f>0.1/100*AD69*1000</f>
        <v>8.5500000000000007</v>
      </c>
      <c r="AD78" s="1908">
        <f>6.5/100*AD69*1000</f>
        <v>555.75000000000011</v>
      </c>
      <c r="AE78" s="1907">
        <f>0.1/100*AF69*1000</f>
        <v>8.41</v>
      </c>
      <c r="AF78" s="1908">
        <f>6.5/100*AF69*1000</f>
        <v>546.65000000000009</v>
      </c>
      <c r="AG78" s="1907">
        <f>0.1/100*AH69*1000</f>
        <v>9.0299999999999994</v>
      </c>
      <c r="AH78" s="1908">
        <f>6.5/100*AH69*1000</f>
        <v>586.94999999999993</v>
      </c>
      <c r="AI78" s="1907">
        <f>0.1/100*AJ69*1000</f>
        <v>9.33</v>
      </c>
      <c r="AJ78" s="1908">
        <f>6.5/100*AJ69*1000</f>
        <v>606.45000000000005</v>
      </c>
      <c r="AK78" s="1907">
        <f>0.1/100*AL69*1000</f>
        <v>9.4499999999999993</v>
      </c>
      <c r="AL78" s="1908">
        <f>6.5/100*AL69*1000</f>
        <v>614.25</v>
      </c>
      <c r="AM78" s="1907">
        <f>0.1/100*AN69*1000</f>
        <v>9.3000000000000007</v>
      </c>
      <c r="AN78" s="1908">
        <f>6.5/100*AN69*1000</f>
        <v>604.5</v>
      </c>
      <c r="AO78" s="1907">
        <f>0.1/100*AP69*1000</f>
        <v>9.8699999999999992</v>
      </c>
      <c r="AP78" s="1908">
        <f>6.5/100*AP69*1000</f>
        <v>641.54999999999995</v>
      </c>
      <c r="AQ78" s="1907">
        <f>0.1/100*AR69*1000</f>
        <v>10.19</v>
      </c>
      <c r="AR78" s="1908">
        <f>6.5/100*AR69*1000</f>
        <v>662.35</v>
      </c>
      <c r="AS78" s="1907">
        <f>0.1/100*AT69*1000</f>
        <v>10.32</v>
      </c>
      <c r="AT78" s="1908">
        <f>6.5/100*AT69*1000</f>
        <v>670.80000000000007</v>
      </c>
      <c r="AU78" s="1907">
        <f>0.1/100*AV69*1000</f>
        <v>10.16</v>
      </c>
      <c r="AV78" s="1908">
        <f>6.5/100*AV69*1000</f>
        <v>660.4</v>
      </c>
      <c r="AW78" s="1907">
        <f>0.1/100*AX69*1000</f>
        <v>10.68</v>
      </c>
      <c r="AX78" s="1908">
        <f>6.5/100*AX69*1000</f>
        <v>694.2</v>
      </c>
      <c r="AY78" s="1907">
        <f>0.1/100*AZ69*1000</f>
        <v>11.03</v>
      </c>
      <c r="AZ78" s="1908">
        <f>6.5/100*AZ69*1000</f>
        <v>716.94999999999993</v>
      </c>
      <c r="BA78" s="1907">
        <f>0.1/100*BB69*1000</f>
        <v>11.17</v>
      </c>
      <c r="BB78" s="1908">
        <f>6.5/100*BB69*1000</f>
        <v>726.05</v>
      </c>
      <c r="BC78" s="1907">
        <f>0.1/100*BD69*1000</f>
        <v>10.99</v>
      </c>
      <c r="BD78" s="1908">
        <f>6.5/100*BD69*1000</f>
        <v>714.35</v>
      </c>
      <c r="BE78" s="1907">
        <f>0.1/100*BF69*1000</f>
        <v>6.21</v>
      </c>
      <c r="BF78" s="1908">
        <f>6.5/100*BF69*1000</f>
        <v>403.65000000000003</v>
      </c>
      <c r="BG78" s="1907">
        <f>0.1/100*BH69*1000</f>
        <v>6.43</v>
      </c>
      <c r="BH78" s="1908">
        <f>6.5/100*BH69*1000</f>
        <v>417.95</v>
      </c>
      <c r="BI78" s="1907">
        <f>0.1/100*BJ69*1000</f>
        <v>6.58</v>
      </c>
      <c r="BJ78" s="1908">
        <f>6.5/100*BJ69*1000</f>
        <v>427.70000000000005</v>
      </c>
      <c r="BK78" s="1907">
        <f>0.1/100*BL69*1000</f>
        <v>6.64</v>
      </c>
      <c r="BL78" s="1908">
        <f>6.5/100*BL69*1000</f>
        <v>431.59999999999997</v>
      </c>
      <c r="BM78" s="1907">
        <f>0.1/100*BN69*1000</f>
        <v>6.58</v>
      </c>
      <c r="BN78" s="1908">
        <f>6.5/100*BN69*1000</f>
        <v>427.70000000000005</v>
      </c>
      <c r="BO78" s="1907">
        <f>0.1/100*BP69*1000</f>
        <v>7.12</v>
      </c>
      <c r="BP78" s="1908">
        <f>6.5/100*BP69*1000</f>
        <v>462.80000000000007</v>
      </c>
      <c r="BQ78" s="1907">
        <f>0.1/100*BR69*1000</f>
        <v>7.370000000000001</v>
      </c>
      <c r="BR78" s="1908">
        <f>6.5/100*BR69*1000</f>
        <v>479.05</v>
      </c>
      <c r="BS78" s="1907">
        <f>0.1/100*BT69*1000</f>
        <v>7.54</v>
      </c>
      <c r="BT78" s="1908">
        <f>6.5/100*BT69*1000</f>
        <v>490.1</v>
      </c>
      <c r="BU78" s="1907">
        <f>0.1/100*BV69*1000</f>
        <v>7.61</v>
      </c>
      <c r="BV78" s="1908">
        <f>6.5/100*BV69*1000</f>
        <v>494.65000000000003</v>
      </c>
      <c r="BW78" s="1907">
        <f>0.1/100*BX69*1000</f>
        <v>7.5500000000000007</v>
      </c>
      <c r="BX78" s="1908">
        <f>6.5/100*BX69*1000</f>
        <v>490.75</v>
      </c>
      <c r="BY78" s="1907">
        <f>0.1/100*BZ69*1000</f>
        <v>7.99</v>
      </c>
      <c r="BZ78" s="1908">
        <f>6.5/100*BZ69*1000</f>
        <v>519.35</v>
      </c>
      <c r="CA78" s="1907">
        <f>0.1/100*CB69*1000</f>
        <v>8.2799999999999994</v>
      </c>
      <c r="CB78" s="1908">
        <f>6.5/100*CB69*1000</f>
        <v>538.20000000000005</v>
      </c>
      <c r="CC78" s="1907">
        <f>0.1/100*CD69*1000</f>
        <v>8.4600000000000009</v>
      </c>
      <c r="CD78" s="1908">
        <f>6.5/100*CD69*1000</f>
        <v>549.90000000000009</v>
      </c>
      <c r="CE78" s="1907">
        <f>0.1/100*CF69*1000</f>
        <v>8.5399999999999991</v>
      </c>
      <c r="CF78" s="1908">
        <f>6.5/100*CF69*1000</f>
        <v>555.09999999999991</v>
      </c>
      <c r="CG78" s="1907">
        <f>0.1/100*CH69*1000</f>
        <v>8.4700000000000006</v>
      </c>
      <c r="CH78" s="1908">
        <f>6.5/100*CH69*1000</f>
        <v>550.55000000000007</v>
      </c>
      <c r="CI78" s="1907">
        <f>0.1/100*CJ69*1000</f>
        <v>8.8300000000000018</v>
      </c>
      <c r="CJ78" s="1908">
        <f>6.5/100*CJ69*1000</f>
        <v>573.95000000000005</v>
      </c>
      <c r="CK78" s="1907">
        <f>0.1/100*CL69*1000</f>
        <v>9.15</v>
      </c>
      <c r="CL78" s="1908">
        <f>6.5/100*CL69*1000</f>
        <v>594.75</v>
      </c>
      <c r="CM78" s="1907">
        <f>0.1/100*CN69*1000</f>
        <v>9.36</v>
      </c>
      <c r="CN78" s="1908">
        <f>6.5/100*CN69*1000</f>
        <v>608.4</v>
      </c>
      <c r="CO78" s="1907">
        <f>0.1/100*CP69*1000</f>
        <v>9.4400000000000013</v>
      </c>
      <c r="CP78" s="1908">
        <f>6.5/100*CP69*1000</f>
        <v>613.6</v>
      </c>
      <c r="CQ78" s="1907">
        <f>0.1/100*CR69*1000</f>
        <v>9.3699999999999992</v>
      </c>
      <c r="CR78" s="1908">
        <f>6.5/100*CR69*1000</f>
        <v>609.04999999999995</v>
      </c>
      <c r="CS78" s="1907">
        <f>0.1/100*CT69*1000</f>
        <v>9.65</v>
      </c>
      <c r="CT78" s="1908">
        <f>6.5/100*CT69*1000</f>
        <v>627.25000000000011</v>
      </c>
      <c r="CU78" s="1907">
        <f>0.1/100*CV69*1000</f>
        <v>9.99</v>
      </c>
      <c r="CV78" s="1908">
        <f>6.5/100*CV69*1000</f>
        <v>649.35</v>
      </c>
      <c r="CW78" s="1907">
        <f>0.1/100*CX69*1000</f>
        <v>10.220000000000002</v>
      </c>
      <c r="CX78" s="1908">
        <f>6.5/100*CX69*1000</f>
        <v>664.30000000000007</v>
      </c>
      <c r="CY78" s="1907">
        <f>0.1/100*CZ69*1000</f>
        <v>10.32</v>
      </c>
      <c r="CZ78" s="1908">
        <f>6.5/100*CZ69*1000</f>
        <v>670.80000000000007</v>
      </c>
      <c r="DA78" s="1907">
        <f>0.1/100*DB69*1000</f>
        <v>10.23</v>
      </c>
      <c r="DB78" s="1908">
        <f>6.5/100*DB69*1000</f>
        <v>664.95</v>
      </c>
      <c r="DC78" s="1907">
        <f>0.1/100*DD69*1000</f>
        <v>10.44</v>
      </c>
      <c r="DD78" s="1908">
        <f>6.5/100*DD69*1000</f>
        <v>678.6</v>
      </c>
      <c r="DE78" s="1907">
        <f>0.1/100*DF69*1000</f>
        <v>10.82</v>
      </c>
      <c r="DF78" s="1908">
        <f>6.5/100*DF69*1000</f>
        <v>703.30000000000007</v>
      </c>
      <c r="DG78" s="1907">
        <f>0.1/100*DH69*1000</f>
        <v>11.06</v>
      </c>
      <c r="DH78" s="1908">
        <f>6.5/100*DH69*1000</f>
        <v>718.90000000000009</v>
      </c>
      <c r="DI78" s="1907">
        <f>0.1/100*DJ69*1000</f>
        <v>11.17</v>
      </c>
      <c r="DJ78" s="1908">
        <f>6.5/100*DJ69*1000</f>
        <v>726.05</v>
      </c>
      <c r="DK78" s="1907">
        <f>0.1/100*DL69*1000</f>
        <v>11.07</v>
      </c>
      <c r="DL78" s="1908">
        <f>6.5/100*DL69*1000</f>
        <v>719.55000000000007</v>
      </c>
      <c r="DM78" s="1907">
        <f>0.1/100*DN69*1000</f>
        <v>11.22</v>
      </c>
      <c r="DN78" s="1908">
        <f>6.5/100*DN69*1000</f>
        <v>729.30000000000007</v>
      </c>
      <c r="DO78" s="1907">
        <f>0.1/100*DP69*1000</f>
        <v>11.620000000000001</v>
      </c>
      <c r="DP78" s="1908">
        <f>6.5/100*DP69*1000</f>
        <v>755.3</v>
      </c>
      <c r="DQ78" s="1907">
        <f>0.1/100*DR69*1000</f>
        <v>11.880000000000003</v>
      </c>
      <c r="DR78" s="1908">
        <f>6.5/100*DR69*1000</f>
        <v>772.20000000000016</v>
      </c>
      <c r="DS78" s="1907">
        <f>0.1/100*DT69*1000</f>
        <v>11.99</v>
      </c>
      <c r="DT78" s="1908">
        <f>6.5/100*DT69*1000</f>
        <v>779.35</v>
      </c>
      <c r="DU78" s="1907">
        <f>0.1/100*DV69*1000</f>
        <v>11.89</v>
      </c>
      <c r="DV78" s="1908">
        <f>6.5/100*DV69*1000</f>
        <v>772.85</v>
      </c>
      <c r="DW78" s="1907">
        <f>0.1/100*DX69*1000</f>
        <v>7.3</v>
      </c>
      <c r="DX78" s="1908">
        <f>6.5/100*DX69*1000</f>
        <v>474.5</v>
      </c>
      <c r="DY78" s="1907">
        <f>0.1/100*DZ69*1000</f>
        <v>7.2000000000000011</v>
      </c>
      <c r="DZ78" s="1908">
        <f>6.5/100*DZ69*1000</f>
        <v>468</v>
      </c>
      <c r="EA78" s="1907">
        <f>0.1/100*EB69*1000</f>
        <v>7</v>
      </c>
      <c r="EB78" s="1908">
        <f>6.5/100*EB69*1000</f>
        <v>455</v>
      </c>
      <c r="EC78" s="1907">
        <f>0.1/100*ED69*1000</f>
        <v>6.9</v>
      </c>
      <c r="ED78" s="1908">
        <f>6.5/100*ED69*1000</f>
        <v>448.50000000000006</v>
      </c>
      <c r="EE78" s="1907">
        <f>0.1/100*EF69*1000</f>
        <v>8.1999999999999993</v>
      </c>
      <c r="EF78" s="1908">
        <f>6.5/100*EF69*1000</f>
        <v>532.99999999999989</v>
      </c>
      <c r="EG78" s="1907">
        <f>0.1/100*EH69*1000</f>
        <v>8.1</v>
      </c>
      <c r="EH78" s="1908">
        <f>6.5/100*EH69*1000</f>
        <v>526.5</v>
      </c>
      <c r="EI78" s="1907">
        <f>0.1/100*EJ69*1000</f>
        <v>8</v>
      </c>
      <c r="EJ78" s="1908">
        <f>6.5/100*EJ69*1000</f>
        <v>520</v>
      </c>
      <c r="EK78" s="1907">
        <f>0.1/100*EL69*1000</f>
        <v>7.9</v>
      </c>
      <c r="EL78" s="1908">
        <f>6.5/100*EL69*1000</f>
        <v>513.50000000000011</v>
      </c>
      <c r="EM78" s="1907">
        <f>0.1/100*EN69*1000</f>
        <v>9.1999999999999993</v>
      </c>
      <c r="EN78" s="1908">
        <f>6.5/100*EN69*1000</f>
        <v>598</v>
      </c>
      <c r="EO78" s="1907">
        <f>0.1/100*EP69*1000</f>
        <v>9.1</v>
      </c>
      <c r="EP78" s="1908">
        <f>6.5/100*EP69*1000</f>
        <v>591.5</v>
      </c>
      <c r="EQ78" s="1907">
        <f>0.1/100*ER69*1000</f>
        <v>8.9</v>
      </c>
      <c r="ER78" s="1908">
        <f>6.5/100*ER69*1000</f>
        <v>578.5</v>
      </c>
      <c r="ES78" s="1907">
        <f>0.1/100*ET69*1000</f>
        <v>8.8000000000000007</v>
      </c>
      <c r="ET78" s="1908">
        <f>6.5/100*ET69*1000</f>
        <v>572.00000000000011</v>
      </c>
      <c r="EU78" s="1907">
        <f>0.1/100*EV69*1000</f>
        <v>10.1</v>
      </c>
      <c r="EV78" s="1908">
        <f>6.5/100*EV69*1000</f>
        <v>656.5</v>
      </c>
      <c r="EW78" s="1907">
        <f>0.1/100*EX69*1000</f>
        <v>10</v>
      </c>
      <c r="EX78" s="1908">
        <f>6.5/100*EX69*1000</f>
        <v>650</v>
      </c>
      <c r="EY78" s="1907">
        <f>0.1/100*EZ69*1000</f>
        <v>9.9</v>
      </c>
      <c r="EZ78" s="1908">
        <f>6.5/100*EZ69*1000</f>
        <v>643.50000000000011</v>
      </c>
      <c r="FA78" s="1907">
        <f>0.1/100*FB69*1000</f>
        <v>9.8000000000000007</v>
      </c>
      <c r="FB78" s="1908">
        <f>6.5/100*FB69*1000</f>
        <v>637.00000000000011</v>
      </c>
      <c r="FC78" s="1907">
        <f>0.1/100*FD69*1000</f>
        <v>7.3</v>
      </c>
      <c r="FD78" s="1908">
        <f>6.5/100*FD69*1000</f>
        <v>474.5</v>
      </c>
      <c r="FE78" s="1907">
        <f>0.1/100*FF69*1000</f>
        <v>7.2000000000000011</v>
      </c>
      <c r="FF78" s="1908">
        <f>6.5/100*FF69*1000</f>
        <v>468</v>
      </c>
      <c r="FG78" s="1907">
        <f>0.1/100*FH69*1000</f>
        <v>7.1</v>
      </c>
      <c r="FH78" s="1908">
        <f>6.5/100*FH69*1000</f>
        <v>461.49999999999994</v>
      </c>
      <c r="FI78" s="1907">
        <f>0.1/100*FJ69*1000</f>
        <v>6.9</v>
      </c>
      <c r="FJ78" s="1908">
        <f>6.5/100*FJ69*1000</f>
        <v>448.50000000000006</v>
      </c>
      <c r="FK78" s="1907">
        <f>0.1/100*FL69*1000</f>
        <v>8.3000000000000007</v>
      </c>
      <c r="FL78" s="1908">
        <f>6.5/100*FL69*1000</f>
        <v>539.50000000000011</v>
      </c>
      <c r="FM78" s="1907">
        <f>0.1/100*FN69*1000</f>
        <v>8.1</v>
      </c>
      <c r="FN78" s="1908">
        <f>6.5/100*FN69*1000</f>
        <v>526.5</v>
      </c>
      <c r="FO78" s="1907">
        <f>0.1/100*FP69*1000</f>
        <v>8</v>
      </c>
      <c r="FP78" s="1908">
        <f>6.5/100*FP69*1000</f>
        <v>520</v>
      </c>
      <c r="FQ78" s="1907">
        <f>0.1/100*FR69*1000</f>
        <v>7.9</v>
      </c>
      <c r="FR78" s="1908">
        <f>6.5/100*FR69*1000</f>
        <v>513.50000000000011</v>
      </c>
      <c r="FS78" s="1907">
        <f>0.1/100*FT69*1000</f>
        <v>9.1999999999999993</v>
      </c>
      <c r="FT78" s="1908">
        <f>6.5/100*FT69*1000</f>
        <v>598</v>
      </c>
      <c r="FU78" s="1907">
        <f>0.1/100*FV69*1000</f>
        <v>9.1</v>
      </c>
      <c r="FV78" s="1908">
        <f>6.5/100*FV69*1000</f>
        <v>591.5</v>
      </c>
      <c r="FW78" s="1907">
        <f>0.1/100*FX69*1000</f>
        <v>9.0000000000000018</v>
      </c>
      <c r="FX78" s="1908">
        <f>6.5/100*FX69*1000</f>
        <v>585</v>
      </c>
      <c r="FY78" s="1907">
        <f>0.1/100*FZ69*1000</f>
        <v>8.9</v>
      </c>
      <c r="FZ78" s="1908">
        <f>6.5/100*FZ69*1000</f>
        <v>578.5</v>
      </c>
      <c r="GA78" s="1907">
        <f>0.1/100*GB69*1000</f>
        <v>10.199999999999999</v>
      </c>
      <c r="GB78" s="1908">
        <f>6.5/100*GB69*1000</f>
        <v>662.99999999999989</v>
      </c>
      <c r="GC78" s="1907">
        <f>0.1/100*GD69*1000</f>
        <v>10.1</v>
      </c>
      <c r="GD78" s="1908">
        <f>6.5/100*GD69*1000</f>
        <v>656.5</v>
      </c>
      <c r="GE78" s="1907">
        <f>0.1/100*GF69*1000</f>
        <v>9.9</v>
      </c>
      <c r="GF78" s="1908">
        <f>6.5/100*GF69*1000</f>
        <v>643.50000000000011</v>
      </c>
      <c r="GG78" s="1907">
        <f>0.1/100*GH69*1000</f>
        <v>9.8000000000000007</v>
      </c>
      <c r="GH78" s="1908">
        <f>6.5/100*GH69*1000</f>
        <v>637.00000000000011</v>
      </c>
      <c r="GI78" s="1907">
        <f>0.1/100*GJ69*1000</f>
        <v>7.3</v>
      </c>
      <c r="GJ78" s="1908">
        <f>6.5/100*GJ69*1000</f>
        <v>474.5</v>
      </c>
      <c r="GK78" s="1907">
        <f>0.1/100*GL69*1000</f>
        <v>7.2000000000000011</v>
      </c>
      <c r="GL78" s="1908">
        <f>6.5/100*GL69*1000</f>
        <v>468</v>
      </c>
      <c r="GM78" s="1907">
        <f>0.1/100*GN69*1000</f>
        <v>7.1</v>
      </c>
      <c r="GN78" s="1908">
        <f>6.5/100*GN69*1000</f>
        <v>461.49999999999994</v>
      </c>
      <c r="GO78" s="1907">
        <f>0.1/100*GP69*1000</f>
        <v>7</v>
      </c>
      <c r="GP78" s="1908">
        <f>6.5/100*GP69*1000</f>
        <v>455</v>
      </c>
      <c r="GQ78" s="1907">
        <f>0.1/100*GR69*1000</f>
        <v>8.3000000000000007</v>
      </c>
      <c r="GR78" s="1908">
        <f>6.5/100*GR69*1000</f>
        <v>539.50000000000011</v>
      </c>
      <c r="GS78" s="1907">
        <f>0.1/100*GT69*1000</f>
        <v>8.1999999999999993</v>
      </c>
      <c r="GT78" s="1908">
        <f>6.5/100*GT69*1000</f>
        <v>532.99999999999989</v>
      </c>
      <c r="GU78" s="1907">
        <f>0.1/100*GV69*1000</f>
        <v>8.1</v>
      </c>
      <c r="GV78" s="1908">
        <f>6.5/100*GV69*1000</f>
        <v>526.5</v>
      </c>
      <c r="GW78" s="1907">
        <f>0.1/100*GX69*1000</f>
        <v>7.9</v>
      </c>
      <c r="GX78" s="1908">
        <f>6.5/100*GX69*1000</f>
        <v>513.50000000000011</v>
      </c>
      <c r="GY78" s="1907">
        <f>0.1/100*GZ69*1000</f>
        <v>9.3000000000000007</v>
      </c>
      <c r="GZ78" s="1908">
        <f>6.5/100*GZ69*1000</f>
        <v>604.5</v>
      </c>
      <c r="HA78" s="1907">
        <f>0.1/100*HB69*1000</f>
        <v>9.1</v>
      </c>
      <c r="HB78" s="1908">
        <f>6.5/100*HB69*1000</f>
        <v>591.5</v>
      </c>
      <c r="HC78" s="1907">
        <f>0.1/100*HD69*1000</f>
        <v>9.0000000000000018</v>
      </c>
      <c r="HD78" s="1908">
        <f>6.5/100*HD69*1000</f>
        <v>585</v>
      </c>
      <c r="HE78" s="1907">
        <f>0.1/100*HF69*1000</f>
        <v>8.9</v>
      </c>
      <c r="HF78" s="1908">
        <f>6.5/100*HF69*1000</f>
        <v>578.5</v>
      </c>
      <c r="HG78" s="1907">
        <f>0.1/100*HH69*1000</f>
        <v>10.199999999999999</v>
      </c>
      <c r="HH78" s="1908">
        <f>6.5/100*HH69*1000</f>
        <v>662.99999999999989</v>
      </c>
      <c r="HI78" s="1907">
        <f>0.1/100*HJ69*1000</f>
        <v>10.1</v>
      </c>
      <c r="HJ78" s="1908">
        <f>6.5/100*HJ69*1000</f>
        <v>656.5</v>
      </c>
      <c r="HK78" s="1907">
        <f>0.1/100*HL69*1000</f>
        <v>10</v>
      </c>
      <c r="HL78" s="1908">
        <f>6.5/100*HL69*1000</f>
        <v>650</v>
      </c>
      <c r="HM78" s="1907">
        <f>0.1/100*HN69*1000</f>
        <v>9.8000000000000007</v>
      </c>
      <c r="HN78" s="1909">
        <f>6.5/100*HN69*1000</f>
        <v>637.00000000000011</v>
      </c>
    </row>
    <row r="79" spans="2:223">
      <c r="B79" s="1729"/>
      <c r="C79" s="1729"/>
      <c r="H79" s="1905" t="s">
        <v>18</v>
      </c>
      <c r="I79" s="1892">
        <f>0.6/100*J69*1000</f>
        <v>38.1</v>
      </c>
      <c r="J79" s="1906">
        <f>(J69*(3/100))*1000</f>
        <v>190.49999999999997</v>
      </c>
      <c r="K79" s="1892">
        <f>0.6/100*L69*1000</f>
        <v>39.36</v>
      </c>
      <c r="L79" s="1906">
        <f>(L69*(3/100))*1000</f>
        <v>196.79999999999998</v>
      </c>
      <c r="M79" s="1892">
        <f>0.6/100*N69*1000</f>
        <v>39.840000000000003</v>
      </c>
      <c r="N79" s="1906">
        <f>(N69*(3/100))*1000</f>
        <v>199.2</v>
      </c>
      <c r="O79" s="1892">
        <f>0.6/100*P69*1000</f>
        <v>39.24</v>
      </c>
      <c r="P79" s="1906">
        <f>(P69*(3/100))*1000</f>
        <v>196.2</v>
      </c>
      <c r="Q79" s="1892">
        <f>0.6/100*R69*1000</f>
        <v>43.680000000000007</v>
      </c>
      <c r="R79" s="1906">
        <f>(R69*(3/100))*1000</f>
        <v>218.4</v>
      </c>
      <c r="S79" s="1892">
        <f>0.6/100*T69*1000</f>
        <v>45.12</v>
      </c>
      <c r="T79" s="1906">
        <f>(T69*(3/100))*1000</f>
        <v>225.59999999999997</v>
      </c>
      <c r="U79" s="1892">
        <f>0.6/100*V69*1000</f>
        <v>45.660000000000004</v>
      </c>
      <c r="V79" s="1906">
        <f>(V69*(3/100))*1000</f>
        <v>228.3</v>
      </c>
      <c r="W79" s="1892">
        <f>0.6/100*X69*1000</f>
        <v>44.46</v>
      </c>
      <c r="X79" s="1906">
        <f>(X69*(3/100))*1000</f>
        <v>222.3</v>
      </c>
      <c r="Y79" s="1892">
        <f>0.6/100*Z69*1000</f>
        <v>49.02</v>
      </c>
      <c r="Z79" s="1906">
        <f>(Z69*(3/100))*1000</f>
        <v>245.1</v>
      </c>
      <c r="AA79" s="1907">
        <f>0.6/100*AB69*1000</f>
        <v>50.64</v>
      </c>
      <c r="AB79" s="1908">
        <f>(AB69*(3/100))*1000</f>
        <v>253.2</v>
      </c>
      <c r="AC79" s="1907">
        <f>0.6/100*AD69*1000</f>
        <v>51.300000000000004</v>
      </c>
      <c r="AD79" s="1908">
        <f>(AD69*(3/100))*1000</f>
        <v>256.5</v>
      </c>
      <c r="AE79" s="1907">
        <f>0.6/100*AF69*1000</f>
        <v>50.460000000000008</v>
      </c>
      <c r="AF79" s="1908">
        <f>(AF69*(3/100))*1000</f>
        <v>252.29999999999995</v>
      </c>
      <c r="AG79" s="1907">
        <f>0.6/100*AH69*1000</f>
        <v>54.18</v>
      </c>
      <c r="AH79" s="1908">
        <f>(AH69*(3/100))*1000</f>
        <v>270.89999999999998</v>
      </c>
      <c r="AI79" s="1907">
        <f>0.6/100*AJ69*1000</f>
        <v>55.980000000000004</v>
      </c>
      <c r="AJ79" s="1908">
        <f>(AJ69*(3/100))*1000</f>
        <v>279.89999999999998</v>
      </c>
      <c r="AK79" s="1907">
        <f>0.6/100*AL69*1000</f>
        <v>56.699999999999996</v>
      </c>
      <c r="AL79" s="1908">
        <f>(AL69*(3/100))*1000</f>
        <v>283.5</v>
      </c>
      <c r="AM79" s="1907">
        <f>0.6/100*AN69*1000</f>
        <v>55.800000000000004</v>
      </c>
      <c r="AN79" s="1908">
        <f>(AN69*(3/100))*1000</f>
        <v>279</v>
      </c>
      <c r="AO79" s="1907">
        <f>0.6/100*AP69*1000</f>
        <v>59.219999999999992</v>
      </c>
      <c r="AP79" s="1908">
        <f>(AP69*(3/100))*1000</f>
        <v>296.09999999999997</v>
      </c>
      <c r="AQ79" s="1907">
        <f>0.6/100*AR69*1000</f>
        <v>61.14</v>
      </c>
      <c r="AR79" s="1908">
        <f>(AR69*(3/100))*1000</f>
        <v>305.7</v>
      </c>
      <c r="AS79" s="1907">
        <f>0.6/100*AT69*1000</f>
        <v>61.92</v>
      </c>
      <c r="AT79" s="1908">
        <f>(AT69*(3/100))*1000</f>
        <v>309.59999999999997</v>
      </c>
      <c r="AU79" s="1907">
        <f>0.6/100*AV69*1000</f>
        <v>60.96</v>
      </c>
      <c r="AV79" s="1908">
        <f>(AV69*(3/100))*1000</f>
        <v>304.8</v>
      </c>
      <c r="AW79" s="1907">
        <f>0.6/100*AX69*1000</f>
        <v>64.08</v>
      </c>
      <c r="AX79" s="1908">
        <f>(AX69*(3/100))*1000</f>
        <v>320.39999999999998</v>
      </c>
      <c r="AY79" s="1907">
        <f>0.6/100*AZ69*1000</f>
        <v>66.180000000000007</v>
      </c>
      <c r="AZ79" s="1908">
        <f>(AZ69*(3/100))*1000</f>
        <v>330.9</v>
      </c>
      <c r="BA79" s="1907">
        <f>0.6/100*BB69*1000</f>
        <v>67.02</v>
      </c>
      <c r="BB79" s="1908">
        <f>(BB69*(3/100))*1000</f>
        <v>335.1</v>
      </c>
      <c r="BC79" s="1907">
        <f>0.6/100*BD69*1000</f>
        <v>65.94</v>
      </c>
      <c r="BD79" s="1908">
        <f>(BD69*(3/100))*1000</f>
        <v>329.7</v>
      </c>
      <c r="BE79" s="1907">
        <f>0.6/100*BF69*1000</f>
        <v>37.26</v>
      </c>
      <c r="BF79" s="1908">
        <f>(BF69*(3/100))*1000</f>
        <v>186.29999999999998</v>
      </c>
      <c r="BG79" s="1907">
        <f>0.6/100*BH69*1000</f>
        <v>38.58</v>
      </c>
      <c r="BH79" s="1908">
        <f>(BH69*(3/100))*1000</f>
        <v>192.89999999999998</v>
      </c>
      <c r="BI79" s="1907">
        <f>0.6/100*BJ69*1000</f>
        <v>39.480000000000004</v>
      </c>
      <c r="BJ79" s="1908">
        <f>(BJ69*(3/100))*1000</f>
        <v>197.4</v>
      </c>
      <c r="BK79" s="1907">
        <f>0.6/100*BL69*1000</f>
        <v>39.840000000000003</v>
      </c>
      <c r="BL79" s="1908">
        <f>(BL69*(3/100))*1000</f>
        <v>199.2</v>
      </c>
      <c r="BM79" s="1907">
        <f>0.6/100*BN69*1000</f>
        <v>39.480000000000004</v>
      </c>
      <c r="BN79" s="1908">
        <f>(BN69*(3/100))*1000</f>
        <v>197.4</v>
      </c>
      <c r="BO79" s="1907">
        <f>0.6/100*BP69*1000</f>
        <v>42.72</v>
      </c>
      <c r="BP79" s="1908">
        <f>(BP69*(3/100))*1000</f>
        <v>213.6</v>
      </c>
      <c r="BQ79" s="1907">
        <f>0.6/100*BR69*1000</f>
        <v>44.22</v>
      </c>
      <c r="BR79" s="1908">
        <f>(BR69*(3/100))*1000</f>
        <v>221.1</v>
      </c>
      <c r="BS79" s="1907">
        <f>0.6/100*BT69*1000</f>
        <v>45.24</v>
      </c>
      <c r="BT79" s="1908">
        <f>(BT69*(3/100))*1000</f>
        <v>226.2</v>
      </c>
      <c r="BU79" s="1907">
        <f>0.6/100*BV69*1000</f>
        <v>45.660000000000004</v>
      </c>
      <c r="BV79" s="1908">
        <f>(BV69*(3/100))*1000</f>
        <v>228.3</v>
      </c>
      <c r="BW79" s="1907">
        <f>0.6/100*BX69*1000</f>
        <v>45.3</v>
      </c>
      <c r="BX79" s="1908">
        <f>(BX69*(3/100))*1000</f>
        <v>226.49999999999997</v>
      </c>
      <c r="BY79" s="1907">
        <f>0.6/100*BZ69*1000</f>
        <v>47.940000000000005</v>
      </c>
      <c r="BZ79" s="1908">
        <f>(BZ69*(3/100))*1000</f>
        <v>239.7</v>
      </c>
      <c r="CA79" s="1907">
        <f>0.6/100*CB69*1000</f>
        <v>49.679999999999993</v>
      </c>
      <c r="CB79" s="1908">
        <f>(CB69*(3/100))*1000</f>
        <v>248.39999999999998</v>
      </c>
      <c r="CC79" s="1907">
        <f>0.6/100*CD69*1000</f>
        <v>50.760000000000005</v>
      </c>
      <c r="CD79" s="1908">
        <f>(CD69*(3/100))*1000</f>
        <v>253.8</v>
      </c>
      <c r="CE79" s="1907">
        <f>0.6/100*CF69*1000</f>
        <v>51.239999999999995</v>
      </c>
      <c r="CF79" s="1908">
        <f>(CF69*(3/100))*1000</f>
        <v>256.2</v>
      </c>
      <c r="CG79" s="1907">
        <f>0.6/100*CH69*1000</f>
        <v>50.820000000000007</v>
      </c>
      <c r="CH79" s="1908">
        <f>(CH69*(3/100))*1000</f>
        <v>254.1</v>
      </c>
      <c r="CI79" s="1907">
        <f>0.6/100*CJ69*1000</f>
        <v>52.98</v>
      </c>
      <c r="CJ79" s="1908">
        <f>(CJ69*(3/100))*1000</f>
        <v>264.89999999999998</v>
      </c>
      <c r="CK79" s="1907">
        <f>0.6/100*CL69*1000</f>
        <v>54.900000000000006</v>
      </c>
      <c r="CL79" s="1908">
        <f>(CL69*(3/100))*1000</f>
        <v>274.5</v>
      </c>
      <c r="CM79" s="1907">
        <f>0.6/100*CN69*1000</f>
        <v>56.16</v>
      </c>
      <c r="CN79" s="1908">
        <f>(CN69*(3/100))*1000</f>
        <v>280.8</v>
      </c>
      <c r="CO79" s="1907">
        <f>0.6/100*CP69*1000</f>
        <v>56.639999999999993</v>
      </c>
      <c r="CP79" s="1908">
        <f>(CP69*(3/100))*1000</f>
        <v>283.19999999999993</v>
      </c>
      <c r="CQ79" s="1907">
        <f>0.6/100*CR69*1000</f>
        <v>56.22</v>
      </c>
      <c r="CR79" s="1908">
        <f>(CR69*(3/100))*1000</f>
        <v>281.09999999999997</v>
      </c>
      <c r="CS79" s="1907">
        <f>0.6/100*CT69*1000</f>
        <v>57.9</v>
      </c>
      <c r="CT79" s="1908">
        <f>(CT69*(3/100))*1000</f>
        <v>289.5</v>
      </c>
      <c r="CU79" s="1907">
        <f>0.6/100*CV69*1000</f>
        <v>59.94</v>
      </c>
      <c r="CV79" s="1908">
        <f>(CV69*(3/100))*1000</f>
        <v>299.70000000000005</v>
      </c>
      <c r="CW79" s="1907">
        <f>0.6/100*CX69*1000</f>
        <v>61.320000000000007</v>
      </c>
      <c r="CX79" s="1908">
        <f>(CX69*(3/100))*1000</f>
        <v>306.59999999999997</v>
      </c>
      <c r="CY79" s="1907">
        <f>0.6/100*CZ69*1000</f>
        <v>61.92</v>
      </c>
      <c r="CZ79" s="1908">
        <f>(CZ69*(3/100))*1000</f>
        <v>309.59999999999997</v>
      </c>
      <c r="DA79" s="1907">
        <f>0.6/100*DB69*1000</f>
        <v>61.38</v>
      </c>
      <c r="DB79" s="1908">
        <f>(DB69*(3/100))*1000</f>
        <v>306.90000000000003</v>
      </c>
      <c r="DC79" s="1907">
        <f>0.6/100*DD69*1000</f>
        <v>62.64</v>
      </c>
      <c r="DD79" s="1908">
        <f>(DD69*(3/100))*1000</f>
        <v>313.2</v>
      </c>
      <c r="DE79" s="1907">
        <f>0.6/100*DF69*1000</f>
        <v>64.92</v>
      </c>
      <c r="DF79" s="1908">
        <f>(DF69*(3/100))*1000</f>
        <v>324.60000000000002</v>
      </c>
      <c r="DG79" s="1907">
        <f>0.6/100*DH69*1000</f>
        <v>66.36</v>
      </c>
      <c r="DH79" s="1908">
        <f>(DH69*(3/100))*1000</f>
        <v>331.8</v>
      </c>
      <c r="DI79" s="1907">
        <f>0.6/100*DJ69*1000</f>
        <v>67.02</v>
      </c>
      <c r="DJ79" s="1908">
        <f>(DJ69*(3/100))*1000</f>
        <v>335.1</v>
      </c>
      <c r="DK79" s="1907">
        <f>0.6/100*DL69*1000</f>
        <v>66.42</v>
      </c>
      <c r="DL79" s="1908">
        <f>(DL69*(3/100))*1000</f>
        <v>332.1</v>
      </c>
      <c r="DM79" s="1907">
        <f>0.6/100*DN69*1000</f>
        <v>67.320000000000007</v>
      </c>
      <c r="DN79" s="1908">
        <f>(DN69*(3/100))*1000</f>
        <v>336.6</v>
      </c>
      <c r="DO79" s="1907">
        <f>0.6/100*DP69*1000</f>
        <v>69.719999999999985</v>
      </c>
      <c r="DP79" s="1908">
        <f>(DP69*(3/100))*1000</f>
        <v>348.59999999999997</v>
      </c>
      <c r="DQ79" s="1907">
        <f>0.6/100*DR69*1000</f>
        <v>71.280000000000015</v>
      </c>
      <c r="DR79" s="1908">
        <f>(DR69*(3/100))*1000</f>
        <v>356.4</v>
      </c>
      <c r="DS79" s="1907">
        <f>0.6/100*DT69*1000</f>
        <v>71.94</v>
      </c>
      <c r="DT79" s="1908">
        <f>(DT69*(3/100))*1000</f>
        <v>359.70000000000005</v>
      </c>
      <c r="DU79" s="1907">
        <f>0.6/100*DV69*1000</f>
        <v>71.34</v>
      </c>
      <c r="DV79" s="1908">
        <f>(DV69*(3/100))*1000</f>
        <v>356.70000000000005</v>
      </c>
      <c r="DW79" s="1907">
        <f>0.6/100*DX69*1000</f>
        <v>43.8</v>
      </c>
      <c r="DX79" s="1908">
        <f>(DX69*(3/100))*1000</f>
        <v>219</v>
      </c>
      <c r="DY79" s="1907">
        <f>0.6/100*DZ69*1000</f>
        <v>43.2</v>
      </c>
      <c r="DZ79" s="1908">
        <f>(DZ69*(3/100))*1000</f>
        <v>216</v>
      </c>
      <c r="EA79" s="1907">
        <f>0.6/100*EB69*1000</f>
        <v>42</v>
      </c>
      <c r="EB79" s="1908">
        <f>(EB69*(3/100))*1000</f>
        <v>210</v>
      </c>
      <c r="EC79" s="1907">
        <f>0.6/100*ED69*1000</f>
        <v>41.400000000000006</v>
      </c>
      <c r="ED79" s="1908">
        <f>(ED69*(3/100))*1000</f>
        <v>207</v>
      </c>
      <c r="EE79" s="1907">
        <f>0.6/100*EF69*1000</f>
        <v>49.199999999999996</v>
      </c>
      <c r="EF79" s="1908">
        <f>(EF69*(3/100))*1000</f>
        <v>245.99999999999997</v>
      </c>
      <c r="EG79" s="1907">
        <f>0.6/100*EH69*1000</f>
        <v>48.599999999999994</v>
      </c>
      <c r="EH79" s="1908">
        <f>(EH69*(3/100))*1000</f>
        <v>243</v>
      </c>
      <c r="EI79" s="1907">
        <f>0.6/100*EJ69*1000</f>
        <v>48</v>
      </c>
      <c r="EJ79" s="1908">
        <f>(EJ69*(3/100))*1000</f>
        <v>240</v>
      </c>
      <c r="EK79" s="1907">
        <f>0.6/100*EL69*1000</f>
        <v>47.400000000000006</v>
      </c>
      <c r="EL79" s="1908">
        <f>(EL69*(3/100))*1000</f>
        <v>237</v>
      </c>
      <c r="EM79" s="1907">
        <f>0.6/100*EN69*1000</f>
        <v>55.199999999999996</v>
      </c>
      <c r="EN79" s="1908">
        <f>(EN69*(3/100))*1000</f>
        <v>275.99999999999994</v>
      </c>
      <c r="EO79" s="1907">
        <f>0.6/100*EP69*1000</f>
        <v>54.599999999999994</v>
      </c>
      <c r="EP79" s="1908">
        <f>(EP69*(3/100))*1000</f>
        <v>272.99999999999994</v>
      </c>
      <c r="EQ79" s="1907">
        <f>0.6/100*ER69*1000</f>
        <v>53.400000000000006</v>
      </c>
      <c r="ER79" s="1908">
        <f>(ER69*(3/100))*1000</f>
        <v>267</v>
      </c>
      <c r="ES79" s="1907">
        <f>0.6/100*ET69*1000</f>
        <v>52.800000000000004</v>
      </c>
      <c r="ET79" s="1908">
        <f>(ET69*(3/100))*1000</f>
        <v>264</v>
      </c>
      <c r="EU79" s="1907">
        <f>0.6/100*EV69*1000</f>
        <v>60.6</v>
      </c>
      <c r="EV79" s="1908">
        <f>(EV69*(3/100))*1000</f>
        <v>303</v>
      </c>
      <c r="EW79" s="1907">
        <f>0.6/100*EX69*1000</f>
        <v>60</v>
      </c>
      <c r="EX79" s="1908">
        <f>(EX69*(3/100))*1000</f>
        <v>300</v>
      </c>
      <c r="EY79" s="1907">
        <f>0.6/100*EZ69*1000</f>
        <v>59.4</v>
      </c>
      <c r="EZ79" s="1908">
        <f>(EZ69*(3/100))*1000</f>
        <v>297</v>
      </c>
      <c r="FA79" s="1907">
        <f>0.6/100*FB69*1000</f>
        <v>58.800000000000004</v>
      </c>
      <c r="FB79" s="1908">
        <f>(FB69*(3/100))*1000</f>
        <v>294</v>
      </c>
      <c r="FC79" s="1907">
        <f>0.6/100*FD69*1000</f>
        <v>43.8</v>
      </c>
      <c r="FD79" s="1908">
        <f>(FD69*(3/100))*1000</f>
        <v>219</v>
      </c>
      <c r="FE79" s="1907">
        <f>0.6/100*FF69*1000</f>
        <v>43.2</v>
      </c>
      <c r="FF79" s="1908">
        <f>(FF69*(3/100))*1000</f>
        <v>216</v>
      </c>
      <c r="FG79" s="1907">
        <f>0.6/100*FH69*1000</f>
        <v>42.6</v>
      </c>
      <c r="FH79" s="1908">
        <f>(FH69*(3/100))*1000</f>
        <v>213</v>
      </c>
      <c r="FI79" s="1907">
        <f>0.6/100*FJ69*1000</f>
        <v>41.400000000000006</v>
      </c>
      <c r="FJ79" s="1908">
        <f>(FJ69*(3/100))*1000</f>
        <v>207</v>
      </c>
      <c r="FK79" s="1907">
        <f>0.6/100*FL69*1000</f>
        <v>49.800000000000004</v>
      </c>
      <c r="FL79" s="1908">
        <f>(FL69*(3/100))*1000</f>
        <v>249</v>
      </c>
      <c r="FM79" s="1907">
        <f>0.6/100*FN69*1000</f>
        <v>48.599999999999994</v>
      </c>
      <c r="FN79" s="1908">
        <f>(FN69*(3/100))*1000</f>
        <v>243</v>
      </c>
      <c r="FO79" s="1907">
        <f>0.6/100*FP69*1000</f>
        <v>48</v>
      </c>
      <c r="FP79" s="1908">
        <f>(FP69*(3/100))*1000</f>
        <v>240</v>
      </c>
      <c r="FQ79" s="1907">
        <f>0.6/100*FR69*1000</f>
        <v>47.400000000000006</v>
      </c>
      <c r="FR79" s="1908">
        <f>(FR69*(3/100))*1000</f>
        <v>237</v>
      </c>
      <c r="FS79" s="1907">
        <f>0.6/100*FT69*1000</f>
        <v>55.199999999999996</v>
      </c>
      <c r="FT79" s="1908">
        <f>(FT69*(3/100))*1000</f>
        <v>275.99999999999994</v>
      </c>
      <c r="FU79" s="1907">
        <f>0.6/100*FV69*1000</f>
        <v>54.599999999999994</v>
      </c>
      <c r="FV79" s="1908">
        <f>(FV69*(3/100))*1000</f>
        <v>272.99999999999994</v>
      </c>
      <c r="FW79" s="1907">
        <f>0.6/100*FX69*1000</f>
        <v>54</v>
      </c>
      <c r="FX79" s="1908">
        <f>(FX69*(3/100))*1000</f>
        <v>270</v>
      </c>
      <c r="FY79" s="1907">
        <f>0.6/100*FZ69*1000</f>
        <v>53.400000000000006</v>
      </c>
      <c r="FZ79" s="1908">
        <f>(FZ69*(3/100))*1000</f>
        <v>267</v>
      </c>
      <c r="GA79" s="1907">
        <f>0.6/100*GB69*1000</f>
        <v>61.199999999999996</v>
      </c>
      <c r="GB79" s="1908">
        <f>(GB69*(3/100))*1000</f>
        <v>306</v>
      </c>
      <c r="GC79" s="1907">
        <f>0.6/100*GD69*1000</f>
        <v>60.6</v>
      </c>
      <c r="GD79" s="1908">
        <f>(GD69*(3/100))*1000</f>
        <v>303</v>
      </c>
      <c r="GE79" s="1907">
        <f>0.6/100*GF69*1000</f>
        <v>59.4</v>
      </c>
      <c r="GF79" s="1908">
        <f>(GF69*(3/100))*1000</f>
        <v>297</v>
      </c>
      <c r="GG79" s="1907">
        <f>0.6/100*GH69*1000</f>
        <v>58.800000000000004</v>
      </c>
      <c r="GH79" s="1908">
        <f>(GH69*(3/100))*1000</f>
        <v>294</v>
      </c>
      <c r="GI79" s="1907">
        <f>0.6/100*GJ69*1000</f>
        <v>43.8</v>
      </c>
      <c r="GJ79" s="1908">
        <f>(GJ69*(3/100))*1000</f>
        <v>219</v>
      </c>
      <c r="GK79" s="1907">
        <f>0.6/100*GL69*1000</f>
        <v>43.2</v>
      </c>
      <c r="GL79" s="1908">
        <f>(GL69*(3/100))*1000</f>
        <v>216</v>
      </c>
      <c r="GM79" s="1907">
        <f>0.6/100*GN69*1000</f>
        <v>42.6</v>
      </c>
      <c r="GN79" s="1908">
        <f>(GN69*(3/100))*1000</f>
        <v>213</v>
      </c>
      <c r="GO79" s="1907">
        <f>0.6/100*GP69*1000</f>
        <v>42</v>
      </c>
      <c r="GP79" s="1908">
        <f>(GP69*(3/100))*1000</f>
        <v>210</v>
      </c>
      <c r="GQ79" s="1907">
        <f>0.6/100*GR69*1000</f>
        <v>49.800000000000004</v>
      </c>
      <c r="GR79" s="1908">
        <f>(GR69*(3/100))*1000</f>
        <v>249</v>
      </c>
      <c r="GS79" s="1907">
        <f>0.6/100*GT69*1000</f>
        <v>49.199999999999996</v>
      </c>
      <c r="GT79" s="1908">
        <f>(GT69*(3/100))*1000</f>
        <v>245.99999999999997</v>
      </c>
      <c r="GU79" s="1907">
        <f>0.6/100*GV69*1000</f>
        <v>48.599999999999994</v>
      </c>
      <c r="GV79" s="1908">
        <f>(GV69*(3/100))*1000</f>
        <v>243</v>
      </c>
      <c r="GW79" s="1907">
        <f>0.6/100*GX69*1000</f>
        <v>47.400000000000006</v>
      </c>
      <c r="GX79" s="1908">
        <f>(GX69*(3/100))*1000</f>
        <v>237</v>
      </c>
      <c r="GY79" s="1907">
        <f>0.6/100*GZ69*1000</f>
        <v>55.800000000000004</v>
      </c>
      <c r="GZ79" s="1908">
        <f>(GZ69*(3/100))*1000</f>
        <v>279</v>
      </c>
      <c r="HA79" s="1907">
        <f>0.6/100*HB69*1000</f>
        <v>54.599999999999994</v>
      </c>
      <c r="HB79" s="1908">
        <f>(HB69*(3/100))*1000</f>
        <v>272.99999999999994</v>
      </c>
      <c r="HC79" s="1907">
        <f>0.6/100*HD69*1000</f>
        <v>54</v>
      </c>
      <c r="HD79" s="1908">
        <f>(HD69*(3/100))*1000</f>
        <v>270</v>
      </c>
      <c r="HE79" s="1907">
        <f>0.6/100*HF69*1000</f>
        <v>53.400000000000006</v>
      </c>
      <c r="HF79" s="1908">
        <f>(HF69*(3/100))*1000</f>
        <v>267</v>
      </c>
      <c r="HG79" s="1907">
        <f>0.6/100*HH69*1000</f>
        <v>61.199999999999996</v>
      </c>
      <c r="HH79" s="1908">
        <f>(HH69*(3/100))*1000</f>
        <v>306</v>
      </c>
      <c r="HI79" s="1907">
        <f>0.6/100*HJ69*1000</f>
        <v>60.6</v>
      </c>
      <c r="HJ79" s="1908">
        <f>(HJ69*(3/100))*1000</f>
        <v>303</v>
      </c>
      <c r="HK79" s="1907">
        <f>0.6/100*HL69*1000</f>
        <v>60</v>
      </c>
      <c r="HL79" s="1908">
        <f>(HL69*(3/100))*1000</f>
        <v>300</v>
      </c>
      <c r="HM79" s="1907">
        <f>0.6/100*HN69*1000</f>
        <v>58.800000000000004</v>
      </c>
      <c r="HN79" s="1909">
        <f>(HN69*(3/100))*1000</f>
        <v>294</v>
      </c>
    </row>
    <row r="80" spans="2:223">
      <c r="B80" s="1729"/>
      <c r="C80" s="1729"/>
      <c r="H80" s="1905" t="s">
        <v>19</v>
      </c>
      <c r="I80" s="1892">
        <f>0.15/100*J69*1000</f>
        <v>9.5250000000000004</v>
      </c>
      <c r="J80" s="1906">
        <f>(J69*(0.4/100))*1000</f>
        <v>25.4</v>
      </c>
      <c r="K80" s="1892">
        <f>0.15/100*L69*1000</f>
        <v>9.84</v>
      </c>
      <c r="L80" s="1906">
        <f>(L69*(0.4/100))*1000</f>
        <v>26.24</v>
      </c>
      <c r="M80" s="1892">
        <f>0.15/100*N69*1000</f>
        <v>9.9600000000000009</v>
      </c>
      <c r="N80" s="1906">
        <f>(N69*(0.4/100))*1000</f>
        <v>26.56</v>
      </c>
      <c r="O80" s="1892">
        <f>0.15/100*P69*1000</f>
        <v>9.81</v>
      </c>
      <c r="P80" s="1906">
        <f>(P69*(0.4/100))*1000</f>
        <v>26.16</v>
      </c>
      <c r="Q80" s="1892">
        <f>0.15/100*R69*1000</f>
        <v>10.920000000000002</v>
      </c>
      <c r="R80" s="1906">
        <f>(R69*(0.4/100))*1000</f>
        <v>29.12</v>
      </c>
      <c r="S80" s="1892">
        <f>0.15/100*T69*1000</f>
        <v>11.28</v>
      </c>
      <c r="T80" s="1906">
        <f>(T69*(0.4/100))*1000</f>
        <v>30.08</v>
      </c>
      <c r="U80" s="1892">
        <f>0.15/100*V69*1000</f>
        <v>11.415000000000001</v>
      </c>
      <c r="V80" s="1906">
        <f>(V69*(0.4/100))*1000</f>
        <v>30.44</v>
      </c>
      <c r="W80" s="1892">
        <f>0.15/100*X69*1000</f>
        <v>11.115</v>
      </c>
      <c r="X80" s="1906">
        <f>(X69*(0.4/100))*1000</f>
        <v>29.64</v>
      </c>
      <c r="Y80" s="1892">
        <f>0.15/100*Z69*1000</f>
        <v>12.255000000000001</v>
      </c>
      <c r="Z80" s="1906">
        <f>(Z69*(0.4/100))*1000</f>
        <v>32.68</v>
      </c>
      <c r="AA80" s="1907">
        <f>0.15/100*AB69*1000</f>
        <v>12.66</v>
      </c>
      <c r="AB80" s="1908">
        <f>(AB69*(0.4/100))*1000</f>
        <v>33.76</v>
      </c>
      <c r="AC80" s="1907">
        <f>0.15/100*AD69*1000</f>
        <v>12.825000000000001</v>
      </c>
      <c r="AD80" s="1908">
        <f>(AD69*(0.4/100))*1000</f>
        <v>34.200000000000003</v>
      </c>
      <c r="AE80" s="1907">
        <f>0.15/100*AF69*1000</f>
        <v>12.615000000000002</v>
      </c>
      <c r="AF80" s="1908">
        <f>(AF69*(0.4/100))*1000</f>
        <v>33.64</v>
      </c>
      <c r="AG80" s="1907">
        <f>0.15/100*AH69*1000</f>
        <v>13.545</v>
      </c>
      <c r="AH80" s="1908">
        <f>(AH69*(0.4/100))*1000</f>
        <v>36.119999999999997</v>
      </c>
      <c r="AI80" s="1907">
        <f>0.15/100*AJ69*1000</f>
        <v>13.995000000000001</v>
      </c>
      <c r="AJ80" s="1908">
        <f>(AJ69*(0.4/100))*1000</f>
        <v>37.32</v>
      </c>
      <c r="AK80" s="1907">
        <f>0.15/100*AL69*1000</f>
        <v>14.174999999999999</v>
      </c>
      <c r="AL80" s="1908">
        <f>(AL69*(0.4/100))*1000</f>
        <v>37.799999999999997</v>
      </c>
      <c r="AM80" s="1907">
        <f>0.15/100*AN69*1000</f>
        <v>13.950000000000001</v>
      </c>
      <c r="AN80" s="1908">
        <f>(AN69*(0.4/100))*1000</f>
        <v>37.200000000000003</v>
      </c>
      <c r="AO80" s="1907">
        <f>0.15/100*AP69*1000</f>
        <v>14.804999999999998</v>
      </c>
      <c r="AP80" s="1908">
        <f>(AP69*(0.4/100))*1000</f>
        <v>39.479999999999997</v>
      </c>
      <c r="AQ80" s="1907">
        <f>0.15/100*AR69*1000</f>
        <v>15.285</v>
      </c>
      <c r="AR80" s="1908">
        <f>(AR69*(0.4/100))*1000</f>
        <v>40.76</v>
      </c>
      <c r="AS80" s="1907">
        <f>0.15/100*AT69*1000</f>
        <v>15.48</v>
      </c>
      <c r="AT80" s="1908">
        <f>(AT69*(0.4/100))*1000</f>
        <v>41.28</v>
      </c>
      <c r="AU80" s="1907">
        <f>0.15/100*AV69*1000</f>
        <v>15.24</v>
      </c>
      <c r="AV80" s="1908">
        <f>(AV69*(0.4/100))*1000</f>
        <v>40.64</v>
      </c>
      <c r="AW80" s="1907">
        <f>0.15/100*AX69*1000</f>
        <v>16.02</v>
      </c>
      <c r="AX80" s="1908">
        <f>(AX69*(0.4/100))*1000</f>
        <v>42.72</v>
      </c>
      <c r="AY80" s="1907">
        <f>0.15/100*AZ69*1000</f>
        <v>16.545000000000002</v>
      </c>
      <c r="AZ80" s="1908">
        <f>(AZ69*(0.4/100))*1000</f>
        <v>44.12</v>
      </c>
      <c r="BA80" s="1907">
        <f>0.15/100*BB69*1000</f>
        <v>16.754999999999999</v>
      </c>
      <c r="BB80" s="1908">
        <f>(BB69*(0.4/100))*1000</f>
        <v>44.68</v>
      </c>
      <c r="BC80" s="1907">
        <f>0.15/100*BD69*1000</f>
        <v>16.484999999999999</v>
      </c>
      <c r="BD80" s="1908">
        <f>(BD69*(0.4/100))*1000</f>
        <v>43.96</v>
      </c>
      <c r="BE80" s="1907">
        <f>0.15/100*BF69*1000</f>
        <v>9.3149999999999995</v>
      </c>
      <c r="BF80" s="1908">
        <f>(BF69*(0.4/100))*1000</f>
        <v>24.84</v>
      </c>
      <c r="BG80" s="1907">
        <f>0.15/100*BH69*1000</f>
        <v>9.6449999999999996</v>
      </c>
      <c r="BH80" s="1908">
        <f>(BH69*(0.4/100))*1000</f>
        <v>25.72</v>
      </c>
      <c r="BI80" s="1907">
        <f>0.15/100*BJ69*1000</f>
        <v>9.870000000000001</v>
      </c>
      <c r="BJ80" s="1908">
        <f>(BJ69*(0.4/100))*1000</f>
        <v>26.32</v>
      </c>
      <c r="BK80" s="1907">
        <f>0.15/100*BL69*1000</f>
        <v>9.9600000000000009</v>
      </c>
      <c r="BL80" s="1908">
        <f>(BL69*(0.4/100))*1000</f>
        <v>26.56</v>
      </c>
      <c r="BM80" s="1907">
        <f>0.15/100*BN69*1000</f>
        <v>9.870000000000001</v>
      </c>
      <c r="BN80" s="1908">
        <f>(BN69*(0.4/100))*1000</f>
        <v>26.32</v>
      </c>
      <c r="BO80" s="1907">
        <f>0.15/100*BP69*1000</f>
        <v>10.68</v>
      </c>
      <c r="BP80" s="1908">
        <f>(BP69*(0.4/100))*1000</f>
        <v>28.48</v>
      </c>
      <c r="BQ80" s="1907">
        <f>0.15/100*BR69*1000</f>
        <v>11.055</v>
      </c>
      <c r="BR80" s="1908">
        <f>(BR69*(0.4/100))*1000</f>
        <v>29.480000000000004</v>
      </c>
      <c r="BS80" s="1907">
        <f>0.15/100*BT69*1000</f>
        <v>11.31</v>
      </c>
      <c r="BT80" s="1908">
        <f>(BT69*(0.4/100))*1000</f>
        <v>30.16</v>
      </c>
      <c r="BU80" s="1907">
        <f>0.15/100*BV69*1000</f>
        <v>11.415000000000001</v>
      </c>
      <c r="BV80" s="1908">
        <f>(BV69*(0.4/100))*1000</f>
        <v>30.44</v>
      </c>
      <c r="BW80" s="1907">
        <f>0.15/100*BX69*1000</f>
        <v>11.324999999999999</v>
      </c>
      <c r="BX80" s="1908">
        <f>(BX69*(0.4/100))*1000</f>
        <v>30.200000000000003</v>
      </c>
      <c r="BY80" s="1907">
        <f>0.15/100*BZ69*1000</f>
        <v>11.985000000000001</v>
      </c>
      <c r="BZ80" s="1908">
        <f>(BZ69*(0.4/100))*1000</f>
        <v>31.96</v>
      </c>
      <c r="CA80" s="1907">
        <f>0.15/100*CB69*1000</f>
        <v>12.419999999999998</v>
      </c>
      <c r="CB80" s="1908">
        <f>(CB69*(0.4/100))*1000</f>
        <v>33.119999999999997</v>
      </c>
      <c r="CC80" s="1907">
        <f>0.15/100*CD69*1000</f>
        <v>12.690000000000001</v>
      </c>
      <c r="CD80" s="1908">
        <f>(CD69*(0.4/100))*1000</f>
        <v>33.840000000000003</v>
      </c>
      <c r="CE80" s="1907">
        <f>0.15/100*CF69*1000</f>
        <v>12.809999999999999</v>
      </c>
      <c r="CF80" s="1908">
        <f>(CF69*(0.4/100))*1000</f>
        <v>34.159999999999997</v>
      </c>
      <c r="CG80" s="1907">
        <f>0.15/100*CH69*1000</f>
        <v>12.705000000000002</v>
      </c>
      <c r="CH80" s="1908">
        <f>(CH69*(0.4/100))*1000</f>
        <v>33.880000000000003</v>
      </c>
      <c r="CI80" s="1907">
        <f>0.15/100*CJ69*1000</f>
        <v>13.244999999999999</v>
      </c>
      <c r="CJ80" s="1908">
        <f>(CJ69*(0.4/100))*1000</f>
        <v>35.320000000000007</v>
      </c>
      <c r="CK80" s="1907">
        <f>0.15/100*CL69*1000</f>
        <v>13.725000000000001</v>
      </c>
      <c r="CL80" s="1908">
        <f>(CL69*(0.4/100))*1000</f>
        <v>36.6</v>
      </c>
      <c r="CM80" s="1907">
        <f>0.15/100*CN69*1000</f>
        <v>14.04</v>
      </c>
      <c r="CN80" s="1908">
        <f>(CN69*(0.4/100))*1000</f>
        <v>37.44</v>
      </c>
      <c r="CO80" s="1907">
        <f>0.15/100*CP69*1000</f>
        <v>14.159999999999998</v>
      </c>
      <c r="CP80" s="1908">
        <f>(CP69*(0.4/100))*1000</f>
        <v>37.760000000000005</v>
      </c>
      <c r="CQ80" s="1907">
        <f>0.15/100*CR69*1000</f>
        <v>14.055</v>
      </c>
      <c r="CR80" s="1908">
        <f>(CR69*(0.4/100))*1000</f>
        <v>37.479999999999997</v>
      </c>
      <c r="CS80" s="1907">
        <f>0.15/100*CT69*1000</f>
        <v>14.475</v>
      </c>
      <c r="CT80" s="1908">
        <f>(CT69*(0.4/100))*1000</f>
        <v>38.6</v>
      </c>
      <c r="CU80" s="1907">
        <f>0.15/100*CV69*1000</f>
        <v>14.984999999999999</v>
      </c>
      <c r="CV80" s="1908">
        <f>(CV69*(0.4/100))*1000</f>
        <v>39.96</v>
      </c>
      <c r="CW80" s="1907">
        <f>0.15/100*CX69*1000</f>
        <v>15.330000000000002</v>
      </c>
      <c r="CX80" s="1908">
        <f>(CX69*(0.4/100))*1000</f>
        <v>40.88000000000001</v>
      </c>
      <c r="CY80" s="1907">
        <f>0.15/100*CZ69*1000</f>
        <v>15.48</v>
      </c>
      <c r="CZ80" s="1908">
        <f>(CZ69*(0.4/100))*1000</f>
        <v>41.28</v>
      </c>
      <c r="DA80" s="1907">
        <f>0.15/100*DB69*1000</f>
        <v>15.345000000000001</v>
      </c>
      <c r="DB80" s="1908">
        <f>(DB69*(0.4/100))*1000</f>
        <v>40.92</v>
      </c>
      <c r="DC80" s="1907">
        <f>0.15/100*DD69*1000</f>
        <v>15.66</v>
      </c>
      <c r="DD80" s="1908">
        <f>(DD69*(0.4/100))*1000</f>
        <v>41.76</v>
      </c>
      <c r="DE80" s="1907">
        <f>0.15/100*DF69*1000</f>
        <v>16.23</v>
      </c>
      <c r="DF80" s="1908">
        <f>(DF69*(0.4/100))*1000</f>
        <v>43.28</v>
      </c>
      <c r="DG80" s="1907">
        <f>0.15/100*DH69*1000</f>
        <v>16.59</v>
      </c>
      <c r="DH80" s="1908">
        <f>(DH69*(0.4/100))*1000</f>
        <v>44.24</v>
      </c>
      <c r="DI80" s="1907">
        <f>0.15/100*DJ69*1000</f>
        <v>16.754999999999999</v>
      </c>
      <c r="DJ80" s="1908">
        <f>(DJ69*(0.4/100))*1000</f>
        <v>44.68</v>
      </c>
      <c r="DK80" s="1907">
        <f>0.15/100*DL69*1000</f>
        <v>16.605</v>
      </c>
      <c r="DL80" s="1908">
        <f>(DL69*(0.4/100))*1000</f>
        <v>44.28</v>
      </c>
      <c r="DM80" s="1907">
        <f>0.15/100*DN69*1000</f>
        <v>16.830000000000002</v>
      </c>
      <c r="DN80" s="1908">
        <f>(DN69*(0.4/100))*1000</f>
        <v>44.88</v>
      </c>
      <c r="DO80" s="1907">
        <f>0.15/100*DP69*1000</f>
        <v>17.429999999999996</v>
      </c>
      <c r="DP80" s="1908">
        <f>(DP69*(0.4/100))*1000</f>
        <v>46.480000000000004</v>
      </c>
      <c r="DQ80" s="1907">
        <f>0.15/100*DR69*1000</f>
        <v>17.820000000000004</v>
      </c>
      <c r="DR80" s="1908">
        <f>(DR69*(0.4/100))*1000</f>
        <v>47.52000000000001</v>
      </c>
      <c r="DS80" s="1907">
        <f>0.15/100*DT69*1000</f>
        <v>17.984999999999999</v>
      </c>
      <c r="DT80" s="1908">
        <f>(DT69*(0.4/100))*1000</f>
        <v>47.96</v>
      </c>
      <c r="DU80" s="1907">
        <f>0.15/100*DV69*1000</f>
        <v>17.835000000000001</v>
      </c>
      <c r="DV80" s="1908">
        <f>(DV69*(0.4/100))*1000</f>
        <v>47.56</v>
      </c>
      <c r="DW80" s="1907">
        <f>0.15/100*DX69*1000</f>
        <v>10.95</v>
      </c>
      <c r="DX80" s="1908">
        <f>(DX69*(0.4/100))*1000</f>
        <v>29.2</v>
      </c>
      <c r="DY80" s="1907">
        <f>0.15/100*DZ69*1000</f>
        <v>10.8</v>
      </c>
      <c r="DZ80" s="1908">
        <f>(DZ69*(0.4/100))*1000</f>
        <v>28.800000000000004</v>
      </c>
      <c r="EA80" s="1907">
        <f>0.15/100*EB69*1000</f>
        <v>10.5</v>
      </c>
      <c r="EB80" s="1908">
        <f>(EB69*(0.4/100))*1000</f>
        <v>28</v>
      </c>
      <c r="EC80" s="1907">
        <f>0.15/100*ED69*1000</f>
        <v>10.350000000000001</v>
      </c>
      <c r="ED80" s="1908">
        <f>(ED69*(0.4/100))*1000</f>
        <v>27.6</v>
      </c>
      <c r="EE80" s="1907">
        <f>0.15/100*EF69*1000</f>
        <v>12.299999999999999</v>
      </c>
      <c r="EF80" s="1908">
        <f>(EF69*(0.4/100))*1000</f>
        <v>32.799999999999997</v>
      </c>
      <c r="EG80" s="1907">
        <f>0.15/100*EH69*1000</f>
        <v>12.149999999999999</v>
      </c>
      <c r="EH80" s="1908">
        <f>(EH69*(0.4/100))*1000</f>
        <v>32.4</v>
      </c>
      <c r="EI80" s="1907">
        <f>0.15/100*EJ69*1000</f>
        <v>12</v>
      </c>
      <c r="EJ80" s="1908">
        <f>(EJ69*(0.4/100))*1000</f>
        <v>32</v>
      </c>
      <c r="EK80" s="1907">
        <f>0.15/100*EL69*1000</f>
        <v>11.850000000000001</v>
      </c>
      <c r="EL80" s="1908">
        <f>(EL69*(0.4/100))*1000</f>
        <v>31.6</v>
      </c>
      <c r="EM80" s="1907">
        <f>0.15/100*EN69*1000</f>
        <v>13.799999999999999</v>
      </c>
      <c r="EN80" s="1908">
        <f>(EN69*(0.4/100))*1000</f>
        <v>36.799999999999997</v>
      </c>
      <c r="EO80" s="1907">
        <f>0.15/100*EP69*1000</f>
        <v>13.649999999999999</v>
      </c>
      <c r="EP80" s="1908">
        <f>(EP69*(0.4/100))*1000</f>
        <v>36.4</v>
      </c>
      <c r="EQ80" s="1907">
        <f>0.15/100*ER69*1000</f>
        <v>13.350000000000001</v>
      </c>
      <c r="ER80" s="1908">
        <f>(ER69*(0.4/100))*1000</f>
        <v>35.6</v>
      </c>
      <c r="ES80" s="1907">
        <f>0.15/100*ET69*1000</f>
        <v>13.200000000000001</v>
      </c>
      <c r="ET80" s="1908">
        <f>(ET69*(0.4/100))*1000</f>
        <v>35.200000000000003</v>
      </c>
      <c r="EU80" s="1907">
        <f>0.15/100*EV69*1000</f>
        <v>15.15</v>
      </c>
      <c r="EV80" s="1908">
        <f>(EV69*(0.4/100))*1000</f>
        <v>40.4</v>
      </c>
      <c r="EW80" s="1907">
        <f>0.15/100*EX69*1000</f>
        <v>15</v>
      </c>
      <c r="EX80" s="1908">
        <f>(EX69*(0.4/100))*1000</f>
        <v>40</v>
      </c>
      <c r="EY80" s="1907">
        <f>0.15/100*EZ69*1000</f>
        <v>14.85</v>
      </c>
      <c r="EZ80" s="1908">
        <f>(EZ69*(0.4/100))*1000</f>
        <v>39.6</v>
      </c>
      <c r="FA80" s="1907">
        <f>0.15/100*FB69*1000</f>
        <v>14.700000000000001</v>
      </c>
      <c r="FB80" s="1908">
        <f>(FB69*(0.4/100))*1000</f>
        <v>39.200000000000003</v>
      </c>
      <c r="FC80" s="1907">
        <f>0.15/100*FD69*1000</f>
        <v>10.95</v>
      </c>
      <c r="FD80" s="1908">
        <f>(FD69*(0.4/100))*1000</f>
        <v>29.2</v>
      </c>
      <c r="FE80" s="1907">
        <f>0.15/100*FF69*1000</f>
        <v>10.8</v>
      </c>
      <c r="FF80" s="1908">
        <f>(FF69*(0.4/100))*1000</f>
        <v>28.800000000000004</v>
      </c>
      <c r="FG80" s="1907">
        <f>0.15/100*FH69*1000</f>
        <v>10.65</v>
      </c>
      <c r="FH80" s="1908">
        <f>(FH69*(0.4/100))*1000</f>
        <v>28.4</v>
      </c>
      <c r="FI80" s="1907">
        <f>0.15/100*FJ69*1000</f>
        <v>10.350000000000001</v>
      </c>
      <c r="FJ80" s="1908">
        <f>(FJ69*(0.4/100))*1000</f>
        <v>27.6</v>
      </c>
      <c r="FK80" s="1907">
        <f>0.15/100*FL69*1000</f>
        <v>12.450000000000001</v>
      </c>
      <c r="FL80" s="1908">
        <f>(FL69*(0.4/100))*1000</f>
        <v>33.200000000000003</v>
      </c>
      <c r="FM80" s="1907">
        <f>0.15/100*FN69*1000</f>
        <v>12.149999999999999</v>
      </c>
      <c r="FN80" s="1908">
        <f>(FN69*(0.4/100))*1000</f>
        <v>32.4</v>
      </c>
      <c r="FO80" s="1907">
        <f>0.15/100*FP69*1000</f>
        <v>12</v>
      </c>
      <c r="FP80" s="1908">
        <f>(FP69*(0.4/100))*1000</f>
        <v>32</v>
      </c>
      <c r="FQ80" s="1907">
        <f>0.15/100*FR69*1000</f>
        <v>11.850000000000001</v>
      </c>
      <c r="FR80" s="1908">
        <f>(FR69*(0.4/100))*1000</f>
        <v>31.6</v>
      </c>
      <c r="FS80" s="1907">
        <f>0.15/100*FT69*1000</f>
        <v>13.799999999999999</v>
      </c>
      <c r="FT80" s="1908">
        <f>(FT69*(0.4/100))*1000</f>
        <v>36.799999999999997</v>
      </c>
      <c r="FU80" s="1907">
        <f>0.15/100*FV69*1000</f>
        <v>13.649999999999999</v>
      </c>
      <c r="FV80" s="1908">
        <f>(FV69*(0.4/100))*1000</f>
        <v>36.4</v>
      </c>
      <c r="FW80" s="1907">
        <f>0.15/100*FX69*1000</f>
        <v>13.5</v>
      </c>
      <c r="FX80" s="1908">
        <f>(FX69*(0.4/100))*1000</f>
        <v>36.000000000000007</v>
      </c>
      <c r="FY80" s="1907">
        <f>0.15/100*FZ69*1000</f>
        <v>13.350000000000001</v>
      </c>
      <c r="FZ80" s="1908">
        <f>(FZ69*(0.4/100))*1000</f>
        <v>35.6</v>
      </c>
      <c r="GA80" s="1907">
        <f>0.15/100*GB69*1000</f>
        <v>15.299999999999999</v>
      </c>
      <c r="GB80" s="1908">
        <f>(GB69*(0.4/100))*1000</f>
        <v>40.799999999999997</v>
      </c>
      <c r="GC80" s="1907">
        <f>0.15/100*GD69*1000</f>
        <v>15.15</v>
      </c>
      <c r="GD80" s="1908">
        <f>(GD69*(0.4/100))*1000</f>
        <v>40.4</v>
      </c>
      <c r="GE80" s="1907">
        <f>0.15/100*GF69*1000</f>
        <v>14.85</v>
      </c>
      <c r="GF80" s="1908">
        <f>(GF69*(0.4/100))*1000</f>
        <v>39.6</v>
      </c>
      <c r="GG80" s="1907">
        <f>0.15/100*GH69*1000</f>
        <v>14.700000000000001</v>
      </c>
      <c r="GH80" s="1908">
        <f>(GH69*(0.4/100))*1000</f>
        <v>39.200000000000003</v>
      </c>
      <c r="GI80" s="1907">
        <f>0.15/100*GJ69*1000</f>
        <v>10.95</v>
      </c>
      <c r="GJ80" s="1908">
        <f>(GJ69*(0.4/100))*1000</f>
        <v>29.2</v>
      </c>
      <c r="GK80" s="1907">
        <f>0.15/100*GL69*1000</f>
        <v>10.8</v>
      </c>
      <c r="GL80" s="1908">
        <f>(GL69*(0.4/100))*1000</f>
        <v>28.800000000000004</v>
      </c>
      <c r="GM80" s="1907">
        <f>0.15/100*GN69*1000</f>
        <v>10.65</v>
      </c>
      <c r="GN80" s="1908">
        <f>(GN69*(0.4/100))*1000</f>
        <v>28.4</v>
      </c>
      <c r="GO80" s="1907">
        <f>0.15/100*GP69*1000</f>
        <v>10.5</v>
      </c>
      <c r="GP80" s="1908">
        <f>(GP69*(0.4/100))*1000</f>
        <v>28</v>
      </c>
      <c r="GQ80" s="1907">
        <f>0.15/100*GR69*1000</f>
        <v>12.450000000000001</v>
      </c>
      <c r="GR80" s="1908">
        <f>(GR69*(0.4/100))*1000</f>
        <v>33.200000000000003</v>
      </c>
      <c r="GS80" s="1907">
        <f>0.15/100*GT69*1000</f>
        <v>12.299999999999999</v>
      </c>
      <c r="GT80" s="1908">
        <f>(GT69*(0.4/100))*1000</f>
        <v>32.799999999999997</v>
      </c>
      <c r="GU80" s="1907">
        <f>0.15/100*GV69*1000</f>
        <v>12.149999999999999</v>
      </c>
      <c r="GV80" s="1908">
        <f>(GV69*(0.4/100))*1000</f>
        <v>32.4</v>
      </c>
      <c r="GW80" s="1907">
        <f>0.15/100*GX69*1000</f>
        <v>11.850000000000001</v>
      </c>
      <c r="GX80" s="1908">
        <f>(GX69*(0.4/100))*1000</f>
        <v>31.6</v>
      </c>
      <c r="GY80" s="1907">
        <f>0.15/100*GZ69*1000</f>
        <v>13.950000000000001</v>
      </c>
      <c r="GZ80" s="1908">
        <f>(GZ69*(0.4/100))*1000</f>
        <v>37.200000000000003</v>
      </c>
      <c r="HA80" s="1907">
        <f>0.15/100*HB69*1000</f>
        <v>13.649999999999999</v>
      </c>
      <c r="HB80" s="1908">
        <f>(HB69*(0.4/100))*1000</f>
        <v>36.4</v>
      </c>
      <c r="HC80" s="1907">
        <f>0.15/100*HD69*1000</f>
        <v>13.5</v>
      </c>
      <c r="HD80" s="1908">
        <f>(HD69*(0.4/100))*1000</f>
        <v>36.000000000000007</v>
      </c>
      <c r="HE80" s="1907">
        <f>0.15/100*HF69*1000</f>
        <v>13.350000000000001</v>
      </c>
      <c r="HF80" s="1908">
        <f>(HF69*(0.4/100))*1000</f>
        <v>35.6</v>
      </c>
      <c r="HG80" s="1907">
        <f>0.15/100*HH69*1000</f>
        <v>15.299999999999999</v>
      </c>
      <c r="HH80" s="1908">
        <f>(HH69*(0.4/100))*1000</f>
        <v>40.799999999999997</v>
      </c>
      <c r="HI80" s="1907">
        <f>0.15/100*HJ69*1000</f>
        <v>15.15</v>
      </c>
      <c r="HJ80" s="1908">
        <f>(HJ69*(0.4/100))*1000</f>
        <v>40.4</v>
      </c>
      <c r="HK80" s="1907">
        <f>0.15/100*HL69*1000</f>
        <v>15</v>
      </c>
      <c r="HL80" s="1908">
        <f>(HL69*(0.4/100))*1000</f>
        <v>40</v>
      </c>
      <c r="HM80" s="1907">
        <f>0.15/100*HN69*1000</f>
        <v>14.700000000000001</v>
      </c>
      <c r="HN80" s="1909">
        <f>(HN69*(0.4/100))*1000</f>
        <v>39.200000000000003</v>
      </c>
    </row>
    <row r="81" spans="2:222">
      <c r="B81" s="1729"/>
      <c r="C81" s="1729"/>
      <c r="H81" s="1905" t="s">
        <v>20</v>
      </c>
      <c r="I81" s="1892">
        <f>10*J69</f>
        <v>63.5</v>
      </c>
      <c r="J81" s="1906">
        <f>J69*100</f>
        <v>635</v>
      </c>
      <c r="K81" s="1892">
        <f>10*L69</f>
        <v>65.599999999999994</v>
      </c>
      <c r="L81" s="1906">
        <f>L69*100</f>
        <v>656</v>
      </c>
      <c r="M81" s="1892">
        <f>10*N69</f>
        <v>66.399999999999991</v>
      </c>
      <c r="N81" s="1906">
        <f>N69*100</f>
        <v>664</v>
      </c>
      <c r="O81" s="1892">
        <f>10*P69</f>
        <v>65.400000000000006</v>
      </c>
      <c r="P81" s="1906">
        <f>P69*100</f>
        <v>654</v>
      </c>
      <c r="Q81" s="1892">
        <f>10*R69</f>
        <v>72.8</v>
      </c>
      <c r="R81" s="1906">
        <f>R69*100</f>
        <v>728</v>
      </c>
      <c r="S81" s="1892">
        <f>10*T69</f>
        <v>75.199999999999989</v>
      </c>
      <c r="T81" s="1906">
        <f>T69*100</f>
        <v>752</v>
      </c>
      <c r="U81" s="1892">
        <f>10*V69</f>
        <v>76.100000000000009</v>
      </c>
      <c r="V81" s="1906">
        <f>V69*100</f>
        <v>761</v>
      </c>
      <c r="W81" s="1892">
        <f>10*X69</f>
        <v>74.099999999999994</v>
      </c>
      <c r="X81" s="1906">
        <f>X69*100</f>
        <v>741</v>
      </c>
      <c r="Y81" s="1892">
        <f>10*Z69</f>
        <v>81.7</v>
      </c>
      <c r="Z81" s="1906">
        <f>Z69*100</f>
        <v>817</v>
      </c>
      <c r="AA81" s="1907">
        <f>10*AB69</f>
        <v>84.399999999999991</v>
      </c>
      <c r="AB81" s="1908">
        <f>AB69*100</f>
        <v>844</v>
      </c>
      <c r="AC81" s="1907">
        <f>10*AD69</f>
        <v>85.5</v>
      </c>
      <c r="AD81" s="1908">
        <f>AD69*100</f>
        <v>855.00000000000011</v>
      </c>
      <c r="AE81" s="1907">
        <f>10*AF69</f>
        <v>84.1</v>
      </c>
      <c r="AF81" s="1908">
        <f>AF69*100</f>
        <v>841</v>
      </c>
      <c r="AG81" s="1907">
        <f>10*AH69</f>
        <v>90.3</v>
      </c>
      <c r="AH81" s="1908">
        <f>AH69*100</f>
        <v>902.99999999999989</v>
      </c>
      <c r="AI81" s="1907">
        <f>10*AJ69</f>
        <v>93.3</v>
      </c>
      <c r="AJ81" s="1908">
        <f>AJ69*100</f>
        <v>933</v>
      </c>
      <c r="AK81" s="1907">
        <f>10*AL69</f>
        <v>94.5</v>
      </c>
      <c r="AL81" s="1908">
        <f>AL69*100</f>
        <v>944.99999999999989</v>
      </c>
      <c r="AM81" s="1907">
        <f>10*AN69</f>
        <v>93</v>
      </c>
      <c r="AN81" s="1908">
        <f>AN69*100</f>
        <v>930.00000000000011</v>
      </c>
      <c r="AO81" s="1907">
        <f>10*AP69</f>
        <v>98.699999999999989</v>
      </c>
      <c r="AP81" s="1908">
        <f>AP69*100</f>
        <v>986.99999999999989</v>
      </c>
      <c r="AQ81" s="1907">
        <f>10*AR69</f>
        <v>101.89999999999999</v>
      </c>
      <c r="AR81" s="1908">
        <f>AR69*100</f>
        <v>1019</v>
      </c>
      <c r="AS81" s="1907">
        <f>10*AT69</f>
        <v>103.2</v>
      </c>
      <c r="AT81" s="1908">
        <f>AT69*100</f>
        <v>1032</v>
      </c>
      <c r="AU81" s="1907">
        <f>10*AV69</f>
        <v>101.6</v>
      </c>
      <c r="AV81" s="1908">
        <f>AV69*100</f>
        <v>1016</v>
      </c>
      <c r="AW81" s="1907">
        <f>10*AX69</f>
        <v>106.8</v>
      </c>
      <c r="AX81" s="1908">
        <f>AX69*100</f>
        <v>1068</v>
      </c>
      <c r="AY81" s="1907">
        <f>10*AZ69</f>
        <v>110.3</v>
      </c>
      <c r="AZ81" s="1908">
        <f>AZ69*100</f>
        <v>1103</v>
      </c>
      <c r="BA81" s="1907">
        <f>10*BB69</f>
        <v>111.7</v>
      </c>
      <c r="BB81" s="1908">
        <f>BB69*100</f>
        <v>1117</v>
      </c>
      <c r="BC81" s="1907">
        <f>10*BD69</f>
        <v>109.9</v>
      </c>
      <c r="BD81" s="1908">
        <f>BD69*100</f>
        <v>1099</v>
      </c>
      <c r="BE81" s="1907">
        <f>10*BF69</f>
        <v>62.1</v>
      </c>
      <c r="BF81" s="1908">
        <f>BF69*100</f>
        <v>621</v>
      </c>
      <c r="BG81" s="1907">
        <f>10*BH69</f>
        <v>64.3</v>
      </c>
      <c r="BH81" s="1908">
        <f>BH69*100</f>
        <v>643</v>
      </c>
      <c r="BI81" s="1907">
        <f>10*BJ69</f>
        <v>65.8</v>
      </c>
      <c r="BJ81" s="1908">
        <f>BJ69*100</f>
        <v>658</v>
      </c>
      <c r="BK81" s="1907">
        <f>10*BL69</f>
        <v>66.399999999999991</v>
      </c>
      <c r="BL81" s="1908">
        <f>BL69*100</f>
        <v>664</v>
      </c>
      <c r="BM81" s="1907">
        <f>10*BN69</f>
        <v>65.8</v>
      </c>
      <c r="BN81" s="1908">
        <f>BN69*100</f>
        <v>658</v>
      </c>
      <c r="BO81" s="1907">
        <f>10*BP69</f>
        <v>71.2</v>
      </c>
      <c r="BP81" s="1908">
        <f>BP69*100</f>
        <v>712</v>
      </c>
      <c r="BQ81" s="1907">
        <f>10*BR69</f>
        <v>73.7</v>
      </c>
      <c r="BR81" s="1908">
        <f>BR69*100</f>
        <v>737</v>
      </c>
      <c r="BS81" s="1907">
        <f>10*BT69</f>
        <v>75.400000000000006</v>
      </c>
      <c r="BT81" s="1908">
        <f>BT69*100</f>
        <v>754</v>
      </c>
      <c r="BU81" s="1907">
        <f>10*BV69</f>
        <v>76.100000000000009</v>
      </c>
      <c r="BV81" s="1908">
        <f>BV69*100</f>
        <v>761</v>
      </c>
      <c r="BW81" s="1907">
        <f>10*BX69</f>
        <v>75.5</v>
      </c>
      <c r="BX81" s="1908">
        <f>BX69*100</f>
        <v>755</v>
      </c>
      <c r="BY81" s="1907">
        <f>10*BZ69</f>
        <v>79.900000000000006</v>
      </c>
      <c r="BZ81" s="1908">
        <f>BZ69*100</f>
        <v>799</v>
      </c>
      <c r="CA81" s="1907">
        <f>10*CB69</f>
        <v>82.8</v>
      </c>
      <c r="CB81" s="1908">
        <f>CB69*100</f>
        <v>827.99999999999989</v>
      </c>
      <c r="CC81" s="1907">
        <f>10*CD69</f>
        <v>84.600000000000009</v>
      </c>
      <c r="CD81" s="1908">
        <f>CD69*100</f>
        <v>846.00000000000011</v>
      </c>
      <c r="CE81" s="1907">
        <f>10*CF69</f>
        <v>85.399999999999991</v>
      </c>
      <c r="CF81" s="1908">
        <f>CF69*100</f>
        <v>853.99999999999989</v>
      </c>
      <c r="CG81" s="1907">
        <f>10*CH69</f>
        <v>84.7</v>
      </c>
      <c r="CH81" s="1908">
        <f>CH69*100</f>
        <v>847.00000000000011</v>
      </c>
      <c r="CI81" s="1907">
        <f>10*CJ69</f>
        <v>88.3</v>
      </c>
      <c r="CJ81" s="1908">
        <f>CJ69*100</f>
        <v>883</v>
      </c>
      <c r="CK81" s="1907">
        <f>10*CL69</f>
        <v>91.5</v>
      </c>
      <c r="CL81" s="1908">
        <f>CL69*100</f>
        <v>915</v>
      </c>
      <c r="CM81" s="1907">
        <f>10*CN69</f>
        <v>93.6</v>
      </c>
      <c r="CN81" s="1908">
        <f>CN69*100</f>
        <v>936</v>
      </c>
      <c r="CO81" s="1907">
        <f>10*CP69</f>
        <v>94.399999999999991</v>
      </c>
      <c r="CP81" s="1908">
        <f>CP69*100</f>
        <v>944</v>
      </c>
      <c r="CQ81" s="1907">
        <f>10*CR69</f>
        <v>93.699999999999989</v>
      </c>
      <c r="CR81" s="1908">
        <f>CR69*100</f>
        <v>936.99999999999989</v>
      </c>
      <c r="CS81" s="1907">
        <f>10*CT69</f>
        <v>96.5</v>
      </c>
      <c r="CT81" s="1908">
        <f>CT69*100</f>
        <v>965</v>
      </c>
      <c r="CU81" s="1907">
        <f>10*CV69</f>
        <v>99.9</v>
      </c>
      <c r="CV81" s="1908">
        <f>CV69*100</f>
        <v>999</v>
      </c>
      <c r="CW81" s="1907">
        <f>10*CX69</f>
        <v>102.2</v>
      </c>
      <c r="CX81" s="1908">
        <f>CX69*100</f>
        <v>1022.0000000000001</v>
      </c>
      <c r="CY81" s="1907">
        <f>10*CZ69</f>
        <v>103.2</v>
      </c>
      <c r="CZ81" s="1908">
        <f>CZ69*100</f>
        <v>1032</v>
      </c>
      <c r="DA81" s="1907">
        <f>10*DB69</f>
        <v>102.30000000000001</v>
      </c>
      <c r="DB81" s="1908">
        <f>DB69*100</f>
        <v>1023</v>
      </c>
      <c r="DC81" s="1907">
        <f>10*DD69</f>
        <v>104.39999999999999</v>
      </c>
      <c r="DD81" s="1908">
        <f>DD69*100</f>
        <v>1044</v>
      </c>
      <c r="DE81" s="1907">
        <f>10*DF69</f>
        <v>108.2</v>
      </c>
      <c r="DF81" s="1908">
        <f>DF69*100</f>
        <v>1082</v>
      </c>
      <c r="DG81" s="1907">
        <f>10*DH69</f>
        <v>110.60000000000001</v>
      </c>
      <c r="DH81" s="1908">
        <f>DH69*100</f>
        <v>1106</v>
      </c>
      <c r="DI81" s="1907">
        <f>10*DJ69</f>
        <v>111.7</v>
      </c>
      <c r="DJ81" s="1908">
        <f>DJ69*100</f>
        <v>1117</v>
      </c>
      <c r="DK81" s="1907">
        <f>10*DL69</f>
        <v>110.7</v>
      </c>
      <c r="DL81" s="1908">
        <f>DL69*100</f>
        <v>1107</v>
      </c>
      <c r="DM81" s="1907">
        <f>10*DN69</f>
        <v>112.2</v>
      </c>
      <c r="DN81" s="1908">
        <f>DN69*100</f>
        <v>1122</v>
      </c>
      <c r="DO81" s="1907">
        <f>10*DP69</f>
        <v>116.19999999999999</v>
      </c>
      <c r="DP81" s="1908">
        <f>DP69*100</f>
        <v>1162</v>
      </c>
      <c r="DQ81" s="1907">
        <f>10*DR69</f>
        <v>118.80000000000001</v>
      </c>
      <c r="DR81" s="1908">
        <f>DR69*100</f>
        <v>1188</v>
      </c>
      <c r="DS81" s="1907">
        <f>10*DT69</f>
        <v>119.9</v>
      </c>
      <c r="DT81" s="1908">
        <f>DT69*100</f>
        <v>1199</v>
      </c>
      <c r="DU81" s="1907">
        <f>10*DV69</f>
        <v>118.9</v>
      </c>
      <c r="DV81" s="1908">
        <f>DV69*100</f>
        <v>1189</v>
      </c>
      <c r="DW81" s="1907">
        <f>10*DX69</f>
        <v>73</v>
      </c>
      <c r="DX81" s="1908">
        <f>DX69*100</f>
        <v>730</v>
      </c>
      <c r="DY81" s="1907">
        <f>10*DZ69</f>
        <v>72</v>
      </c>
      <c r="DZ81" s="1908">
        <f>DZ69*100</f>
        <v>720</v>
      </c>
      <c r="EA81" s="1907">
        <f>10*EB69</f>
        <v>70</v>
      </c>
      <c r="EB81" s="1908">
        <f>EB69*100</f>
        <v>700</v>
      </c>
      <c r="EC81" s="1907">
        <f>10*ED69</f>
        <v>69</v>
      </c>
      <c r="ED81" s="1908">
        <f>ED69*100</f>
        <v>690</v>
      </c>
      <c r="EE81" s="1907">
        <f>10*EF69</f>
        <v>82</v>
      </c>
      <c r="EF81" s="1908">
        <f>EF69*100</f>
        <v>819.99999999999989</v>
      </c>
      <c r="EG81" s="1907">
        <f>10*EH69</f>
        <v>81</v>
      </c>
      <c r="EH81" s="1908">
        <f>EH69*100</f>
        <v>810</v>
      </c>
      <c r="EI81" s="1907">
        <f>10*EJ69</f>
        <v>80</v>
      </c>
      <c r="EJ81" s="1908">
        <f>EJ69*100</f>
        <v>800</v>
      </c>
      <c r="EK81" s="1907">
        <f>10*EL69</f>
        <v>79</v>
      </c>
      <c r="EL81" s="1908">
        <f>EL69*100</f>
        <v>790</v>
      </c>
      <c r="EM81" s="1907">
        <f>10*EN69</f>
        <v>92</v>
      </c>
      <c r="EN81" s="1908">
        <f>EN69*100</f>
        <v>919.99999999999989</v>
      </c>
      <c r="EO81" s="1907">
        <f>10*EP69</f>
        <v>91</v>
      </c>
      <c r="EP81" s="1908">
        <f>EP69*100</f>
        <v>910</v>
      </c>
      <c r="EQ81" s="1907">
        <f>10*ER69</f>
        <v>89</v>
      </c>
      <c r="ER81" s="1908">
        <f>ER69*100</f>
        <v>890</v>
      </c>
      <c r="ES81" s="1907">
        <f>10*ET69</f>
        <v>88</v>
      </c>
      <c r="ET81" s="1908">
        <f>ET69*100</f>
        <v>880.00000000000011</v>
      </c>
      <c r="EU81" s="1907">
        <f>10*EV69</f>
        <v>101</v>
      </c>
      <c r="EV81" s="1908">
        <f>EV69*100</f>
        <v>1010</v>
      </c>
      <c r="EW81" s="1907">
        <f>10*EX69</f>
        <v>100</v>
      </c>
      <c r="EX81" s="1908">
        <f>EX69*100</f>
        <v>1000</v>
      </c>
      <c r="EY81" s="1907">
        <f>10*EZ69</f>
        <v>99</v>
      </c>
      <c r="EZ81" s="1908">
        <f>EZ69*100</f>
        <v>990</v>
      </c>
      <c r="FA81" s="1907">
        <f>10*FB69</f>
        <v>98</v>
      </c>
      <c r="FB81" s="1908">
        <f>FB69*100</f>
        <v>980.00000000000011</v>
      </c>
      <c r="FC81" s="1907">
        <f>10*FD69</f>
        <v>73</v>
      </c>
      <c r="FD81" s="1908">
        <f>FD69*100</f>
        <v>730</v>
      </c>
      <c r="FE81" s="1907">
        <f>10*FF69</f>
        <v>72</v>
      </c>
      <c r="FF81" s="1908">
        <f>FF69*100</f>
        <v>720</v>
      </c>
      <c r="FG81" s="1907">
        <f>10*FH69</f>
        <v>71</v>
      </c>
      <c r="FH81" s="1908">
        <f>FH69*100</f>
        <v>710</v>
      </c>
      <c r="FI81" s="1907">
        <f>10*FJ69</f>
        <v>69</v>
      </c>
      <c r="FJ81" s="1908">
        <f>FJ69*100</f>
        <v>690</v>
      </c>
      <c r="FK81" s="1907">
        <f>10*FL69</f>
        <v>83</v>
      </c>
      <c r="FL81" s="1908">
        <f>FL69*100</f>
        <v>830.00000000000011</v>
      </c>
      <c r="FM81" s="1907">
        <f>10*FN69</f>
        <v>81</v>
      </c>
      <c r="FN81" s="1908">
        <f>FN69*100</f>
        <v>810</v>
      </c>
      <c r="FO81" s="1907">
        <f>10*FP69</f>
        <v>80</v>
      </c>
      <c r="FP81" s="1908">
        <f>FP69*100</f>
        <v>800</v>
      </c>
      <c r="FQ81" s="1907">
        <f>10*FR69</f>
        <v>79</v>
      </c>
      <c r="FR81" s="1908">
        <f>FR69*100</f>
        <v>790</v>
      </c>
      <c r="FS81" s="1907">
        <f>10*FT69</f>
        <v>92</v>
      </c>
      <c r="FT81" s="1908">
        <f>FT69*100</f>
        <v>919.99999999999989</v>
      </c>
      <c r="FU81" s="1907">
        <f>10*FV69</f>
        <v>91</v>
      </c>
      <c r="FV81" s="1908">
        <f>FV69*100</f>
        <v>910</v>
      </c>
      <c r="FW81" s="1907">
        <f>10*FX69</f>
        <v>90</v>
      </c>
      <c r="FX81" s="1908">
        <f>FX69*100</f>
        <v>900</v>
      </c>
      <c r="FY81" s="1907">
        <f>10*FZ69</f>
        <v>89</v>
      </c>
      <c r="FZ81" s="1908">
        <f>FZ69*100</f>
        <v>890</v>
      </c>
      <c r="GA81" s="1907">
        <f>10*GB69</f>
        <v>102</v>
      </c>
      <c r="GB81" s="1908">
        <f>GB69*100</f>
        <v>1019.9999999999999</v>
      </c>
      <c r="GC81" s="1907">
        <f>10*GD69</f>
        <v>101</v>
      </c>
      <c r="GD81" s="1908">
        <f>GD69*100</f>
        <v>1010</v>
      </c>
      <c r="GE81" s="1907">
        <f>10*GF69</f>
        <v>99</v>
      </c>
      <c r="GF81" s="1908">
        <f>GF69*100</f>
        <v>990</v>
      </c>
      <c r="GG81" s="1907">
        <f>10*GH69</f>
        <v>98</v>
      </c>
      <c r="GH81" s="1908">
        <f>GH69*100</f>
        <v>980.00000000000011</v>
      </c>
      <c r="GI81" s="1907">
        <f>10*GJ69</f>
        <v>73</v>
      </c>
      <c r="GJ81" s="1908">
        <f>GJ69*100</f>
        <v>730</v>
      </c>
      <c r="GK81" s="1907">
        <f>10*GL69</f>
        <v>72</v>
      </c>
      <c r="GL81" s="1908">
        <f>GL69*100</f>
        <v>720</v>
      </c>
      <c r="GM81" s="1907">
        <f>10*GN69</f>
        <v>71</v>
      </c>
      <c r="GN81" s="1908">
        <f>GN69*100</f>
        <v>710</v>
      </c>
      <c r="GO81" s="1907">
        <f>10*GP69</f>
        <v>70</v>
      </c>
      <c r="GP81" s="1908">
        <f>GP69*100</f>
        <v>700</v>
      </c>
      <c r="GQ81" s="1907">
        <f>10*GR69</f>
        <v>83</v>
      </c>
      <c r="GR81" s="1908">
        <f>GR69*100</f>
        <v>830.00000000000011</v>
      </c>
      <c r="GS81" s="1907">
        <f>10*GT69</f>
        <v>82</v>
      </c>
      <c r="GT81" s="1908">
        <f>GT69*100</f>
        <v>819.99999999999989</v>
      </c>
      <c r="GU81" s="1907">
        <f>10*GV69</f>
        <v>81</v>
      </c>
      <c r="GV81" s="1908">
        <f>GV69*100</f>
        <v>810</v>
      </c>
      <c r="GW81" s="1907">
        <f>10*GX69</f>
        <v>79</v>
      </c>
      <c r="GX81" s="1908">
        <f>GX69*100</f>
        <v>790</v>
      </c>
      <c r="GY81" s="1907">
        <f>10*GZ69</f>
        <v>93</v>
      </c>
      <c r="GZ81" s="1908">
        <f>GZ69*100</f>
        <v>930.00000000000011</v>
      </c>
      <c r="HA81" s="1907">
        <f>10*HB69</f>
        <v>91</v>
      </c>
      <c r="HB81" s="1908">
        <f>HB69*100</f>
        <v>910</v>
      </c>
      <c r="HC81" s="1907">
        <f>10*HD69</f>
        <v>90</v>
      </c>
      <c r="HD81" s="1908">
        <f>HD69*100</f>
        <v>900</v>
      </c>
      <c r="HE81" s="1907">
        <f>10*HF69</f>
        <v>89</v>
      </c>
      <c r="HF81" s="1908">
        <f>HF69*100</f>
        <v>890</v>
      </c>
      <c r="HG81" s="1907">
        <f>10*HH69</f>
        <v>102</v>
      </c>
      <c r="HH81" s="1908">
        <f>HH69*100</f>
        <v>1019.9999999999999</v>
      </c>
      <c r="HI81" s="1907">
        <f>10*HJ69</f>
        <v>101</v>
      </c>
      <c r="HJ81" s="1908">
        <f>HJ69*100</f>
        <v>1010</v>
      </c>
      <c r="HK81" s="1907">
        <f>10*HL69</f>
        <v>100</v>
      </c>
      <c r="HL81" s="1908">
        <f>HL69*100</f>
        <v>1000</v>
      </c>
      <c r="HM81" s="1907">
        <f>10*HN69</f>
        <v>98</v>
      </c>
      <c r="HN81" s="1909">
        <f>HN69*100</f>
        <v>980.00000000000011</v>
      </c>
    </row>
    <row r="82" spans="2:222">
      <c r="B82" s="1729"/>
      <c r="C82" s="1729"/>
      <c r="H82" s="1905" t="s">
        <v>22</v>
      </c>
      <c r="I82" s="1892">
        <f>30*J69</f>
        <v>190.5</v>
      </c>
      <c r="J82" s="1906">
        <f>J69*500</f>
        <v>3175</v>
      </c>
      <c r="K82" s="1892">
        <f>30*L69</f>
        <v>196.79999999999998</v>
      </c>
      <c r="L82" s="1906">
        <f>L69*500</f>
        <v>3280</v>
      </c>
      <c r="M82" s="1892">
        <f>30*N69</f>
        <v>199.2</v>
      </c>
      <c r="N82" s="1906">
        <f>N69*500</f>
        <v>3320</v>
      </c>
      <c r="O82" s="1892">
        <f>30*P69</f>
        <v>196.2</v>
      </c>
      <c r="P82" s="1906">
        <f>P69*500</f>
        <v>3270</v>
      </c>
      <c r="Q82" s="1892">
        <f>30*R69</f>
        <v>218.4</v>
      </c>
      <c r="R82" s="1906">
        <f>R69*500</f>
        <v>3640</v>
      </c>
      <c r="S82" s="1892">
        <f>30*T69</f>
        <v>225.6</v>
      </c>
      <c r="T82" s="1906">
        <f>T69*500</f>
        <v>3760</v>
      </c>
      <c r="U82" s="1892">
        <f>30*V69</f>
        <v>228.3</v>
      </c>
      <c r="V82" s="1906">
        <f>V69*500</f>
        <v>3805</v>
      </c>
      <c r="W82" s="1892">
        <f>30*X69</f>
        <v>222.3</v>
      </c>
      <c r="X82" s="1906">
        <f>X69*500</f>
        <v>3705</v>
      </c>
      <c r="Y82" s="1892">
        <f>30*Z69</f>
        <v>245.1</v>
      </c>
      <c r="Z82" s="1906">
        <f>Z69*500</f>
        <v>4085</v>
      </c>
      <c r="AA82" s="1907">
        <f>30*AB69</f>
        <v>253.2</v>
      </c>
      <c r="AB82" s="1908">
        <f>AB69*500</f>
        <v>4220</v>
      </c>
      <c r="AC82" s="1907">
        <f>30*AD69</f>
        <v>256.5</v>
      </c>
      <c r="AD82" s="1908">
        <f>AD69*500</f>
        <v>4275</v>
      </c>
      <c r="AE82" s="1907">
        <f>30*AF69</f>
        <v>252.3</v>
      </c>
      <c r="AF82" s="1908">
        <f>AF69*500</f>
        <v>4205</v>
      </c>
      <c r="AG82" s="1907">
        <f>30*AH69</f>
        <v>270.89999999999998</v>
      </c>
      <c r="AH82" s="1908">
        <f>AH69*500</f>
        <v>4515</v>
      </c>
      <c r="AI82" s="1907">
        <f>30*AJ69</f>
        <v>279.89999999999998</v>
      </c>
      <c r="AJ82" s="1908">
        <f>AJ69*500</f>
        <v>4665</v>
      </c>
      <c r="AK82" s="1907">
        <f>30*AL69</f>
        <v>283.5</v>
      </c>
      <c r="AL82" s="1908">
        <f>AL69*500</f>
        <v>4725</v>
      </c>
      <c r="AM82" s="1907">
        <f>30*AN69</f>
        <v>279</v>
      </c>
      <c r="AN82" s="1908">
        <f>AN69*500</f>
        <v>4650</v>
      </c>
      <c r="AO82" s="1907">
        <f>30*AP69</f>
        <v>296.09999999999997</v>
      </c>
      <c r="AP82" s="1908">
        <f>AP69*500</f>
        <v>4935</v>
      </c>
      <c r="AQ82" s="1907">
        <f>30*AR69</f>
        <v>305.7</v>
      </c>
      <c r="AR82" s="1908">
        <f>AR69*500</f>
        <v>5095</v>
      </c>
      <c r="AS82" s="1907">
        <f>30*AT69</f>
        <v>309.60000000000002</v>
      </c>
      <c r="AT82" s="1908">
        <f>AT69*500</f>
        <v>5160</v>
      </c>
      <c r="AU82" s="1907">
        <f>30*AV69</f>
        <v>304.8</v>
      </c>
      <c r="AV82" s="1908">
        <f>AV69*500</f>
        <v>5080</v>
      </c>
      <c r="AW82" s="1907">
        <f>30*AX69</f>
        <v>320.39999999999998</v>
      </c>
      <c r="AX82" s="1908">
        <f>AX69*500</f>
        <v>5340</v>
      </c>
      <c r="AY82" s="1907">
        <f>30*AZ69</f>
        <v>330.9</v>
      </c>
      <c r="AZ82" s="1908">
        <f>AZ69*500</f>
        <v>5515</v>
      </c>
      <c r="BA82" s="1907">
        <f>30*BB69</f>
        <v>335.1</v>
      </c>
      <c r="BB82" s="1908">
        <f>BB69*500</f>
        <v>5585</v>
      </c>
      <c r="BC82" s="1907">
        <f>30*BD69</f>
        <v>329.7</v>
      </c>
      <c r="BD82" s="1908">
        <f>BD69*500</f>
        <v>5495</v>
      </c>
      <c r="BE82" s="1907">
        <f>30*BF69</f>
        <v>186.3</v>
      </c>
      <c r="BF82" s="1908">
        <f>BF69*500</f>
        <v>3105</v>
      </c>
      <c r="BG82" s="1907">
        <f>30*BH69</f>
        <v>192.89999999999998</v>
      </c>
      <c r="BH82" s="1908">
        <f>BH69*500</f>
        <v>3215</v>
      </c>
      <c r="BI82" s="1907">
        <f>30*BJ69</f>
        <v>197.4</v>
      </c>
      <c r="BJ82" s="1908">
        <f>BJ69*500</f>
        <v>3290</v>
      </c>
      <c r="BK82" s="1907">
        <f>30*BL69</f>
        <v>199.2</v>
      </c>
      <c r="BL82" s="1908">
        <f>BL69*500</f>
        <v>3320</v>
      </c>
      <c r="BM82" s="1907">
        <f>30*BN69</f>
        <v>197.4</v>
      </c>
      <c r="BN82" s="1908">
        <f>BN69*500</f>
        <v>3290</v>
      </c>
      <c r="BO82" s="1907">
        <f>30*BP69</f>
        <v>213.6</v>
      </c>
      <c r="BP82" s="1908">
        <f>BP69*500</f>
        <v>3560</v>
      </c>
      <c r="BQ82" s="1907">
        <f>30*BR69</f>
        <v>221.1</v>
      </c>
      <c r="BR82" s="1908">
        <f>BR69*500</f>
        <v>3685</v>
      </c>
      <c r="BS82" s="1907">
        <f>30*BT69</f>
        <v>226.2</v>
      </c>
      <c r="BT82" s="1908">
        <f>BT69*500</f>
        <v>3770</v>
      </c>
      <c r="BU82" s="1907">
        <f>30*BV69</f>
        <v>228.3</v>
      </c>
      <c r="BV82" s="1908">
        <f>BV69*500</f>
        <v>3805</v>
      </c>
      <c r="BW82" s="1907">
        <f>30*BX69</f>
        <v>226.5</v>
      </c>
      <c r="BX82" s="1908">
        <f>BX69*500</f>
        <v>3775</v>
      </c>
      <c r="BY82" s="1907">
        <f>30*BZ69</f>
        <v>239.70000000000002</v>
      </c>
      <c r="BZ82" s="1908">
        <f>BZ69*500</f>
        <v>3995</v>
      </c>
      <c r="CA82" s="1907">
        <f>30*CB69</f>
        <v>248.39999999999998</v>
      </c>
      <c r="CB82" s="1908">
        <f>CB69*500</f>
        <v>4140</v>
      </c>
      <c r="CC82" s="1907">
        <f>30*CD69</f>
        <v>253.8</v>
      </c>
      <c r="CD82" s="1908">
        <f>CD69*500</f>
        <v>4230</v>
      </c>
      <c r="CE82" s="1907">
        <f>30*CF69</f>
        <v>256.2</v>
      </c>
      <c r="CF82" s="1908">
        <f>CF69*500</f>
        <v>4270</v>
      </c>
      <c r="CG82" s="1907">
        <f>30*CH69</f>
        <v>254.10000000000002</v>
      </c>
      <c r="CH82" s="1908">
        <f>CH69*500</f>
        <v>4235</v>
      </c>
      <c r="CI82" s="1907">
        <f>30*CJ69</f>
        <v>264.89999999999998</v>
      </c>
      <c r="CJ82" s="1908">
        <f>CJ69*500</f>
        <v>4415</v>
      </c>
      <c r="CK82" s="1907">
        <f>30*CL69</f>
        <v>274.5</v>
      </c>
      <c r="CL82" s="1908">
        <f>CL69*500</f>
        <v>4575</v>
      </c>
      <c r="CM82" s="1907">
        <f>30*CN69</f>
        <v>280.79999999999995</v>
      </c>
      <c r="CN82" s="1908">
        <f>CN69*500</f>
        <v>4680</v>
      </c>
      <c r="CO82" s="1907">
        <f>30*CP69</f>
        <v>283.2</v>
      </c>
      <c r="CP82" s="1908">
        <f>CP69*500</f>
        <v>4720</v>
      </c>
      <c r="CQ82" s="1907">
        <f>30*CR69</f>
        <v>281.09999999999997</v>
      </c>
      <c r="CR82" s="1908">
        <f>CR69*500</f>
        <v>4685</v>
      </c>
      <c r="CS82" s="1907">
        <f>30*CT69</f>
        <v>289.5</v>
      </c>
      <c r="CT82" s="1908">
        <f>CT69*500</f>
        <v>4825</v>
      </c>
      <c r="CU82" s="1907">
        <f>30*CV69</f>
        <v>299.7</v>
      </c>
      <c r="CV82" s="1908">
        <f>CV69*500</f>
        <v>4995</v>
      </c>
      <c r="CW82" s="1907">
        <f>30*CX69</f>
        <v>306.60000000000002</v>
      </c>
      <c r="CX82" s="1908">
        <f>CX69*500</f>
        <v>5110</v>
      </c>
      <c r="CY82" s="1907">
        <f>30*CZ69</f>
        <v>309.60000000000002</v>
      </c>
      <c r="CZ82" s="1908">
        <f>CZ69*500</f>
        <v>5160</v>
      </c>
      <c r="DA82" s="1907">
        <f>30*DB69</f>
        <v>306.90000000000003</v>
      </c>
      <c r="DB82" s="1908">
        <f>DB69*500</f>
        <v>5115</v>
      </c>
      <c r="DC82" s="1907">
        <f>30*DD69</f>
        <v>313.2</v>
      </c>
      <c r="DD82" s="1908">
        <f>DD69*500</f>
        <v>5220</v>
      </c>
      <c r="DE82" s="1907">
        <f>30*DF69</f>
        <v>324.60000000000002</v>
      </c>
      <c r="DF82" s="1908">
        <f>DF69*500</f>
        <v>5410</v>
      </c>
      <c r="DG82" s="1907">
        <f>30*DH69</f>
        <v>331.8</v>
      </c>
      <c r="DH82" s="1908">
        <f>DH69*500</f>
        <v>5530</v>
      </c>
      <c r="DI82" s="1907">
        <f>30*DJ69</f>
        <v>335.1</v>
      </c>
      <c r="DJ82" s="1908">
        <f>DJ69*500</f>
        <v>5585</v>
      </c>
      <c r="DK82" s="1907">
        <f>30*DL69</f>
        <v>332.1</v>
      </c>
      <c r="DL82" s="1908">
        <f>DL69*500</f>
        <v>5535</v>
      </c>
      <c r="DM82" s="1907">
        <f>30*DN69</f>
        <v>336.6</v>
      </c>
      <c r="DN82" s="1908">
        <f>DN69*500</f>
        <v>5610</v>
      </c>
      <c r="DO82" s="1907">
        <f>30*DP69</f>
        <v>348.59999999999997</v>
      </c>
      <c r="DP82" s="1908">
        <f>DP69*500</f>
        <v>5810</v>
      </c>
      <c r="DQ82" s="1907">
        <f>30*DR69</f>
        <v>356.40000000000003</v>
      </c>
      <c r="DR82" s="1908">
        <f>DR69*500</f>
        <v>5940</v>
      </c>
      <c r="DS82" s="1907">
        <f>30*DT69</f>
        <v>359.7</v>
      </c>
      <c r="DT82" s="1908">
        <f>DT69*500</f>
        <v>5995</v>
      </c>
      <c r="DU82" s="1907">
        <f>30*DV69</f>
        <v>356.70000000000005</v>
      </c>
      <c r="DV82" s="1908">
        <f>DV69*500</f>
        <v>5945</v>
      </c>
      <c r="DW82" s="1907">
        <f>30*DX69</f>
        <v>219</v>
      </c>
      <c r="DX82" s="1908">
        <f>DX69*500</f>
        <v>3650</v>
      </c>
      <c r="DY82" s="1907">
        <f>30*DZ69</f>
        <v>216</v>
      </c>
      <c r="DZ82" s="1908">
        <f>DZ69*500</f>
        <v>3600</v>
      </c>
      <c r="EA82" s="1907">
        <f>30*EB69</f>
        <v>210</v>
      </c>
      <c r="EB82" s="1908">
        <f>EB69*500</f>
        <v>3500</v>
      </c>
      <c r="EC82" s="1907">
        <f>30*ED69</f>
        <v>207</v>
      </c>
      <c r="ED82" s="1908">
        <f>ED69*500</f>
        <v>3450</v>
      </c>
      <c r="EE82" s="1907">
        <f>30*EF69</f>
        <v>245.99999999999997</v>
      </c>
      <c r="EF82" s="1908">
        <f>EF69*500</f>
        <v>4100</v>
      </c>
      <c r="EG82" s="1907">
        <f>30*EH69</f>
        <v>243</v>
      </c>
      <c r="EH82" s="1908">
        <f>EH69*500</f>
        <v>4050</v>
      </c>
      <c r="EI82" s="1907">
        <f>30*EJ69</f>
        <v>240</v>
      </c>
      <c r="EJ82" s="1908">
        <f>EJ69*500</f>
        <v>4000</v>
      </c>
      <c r="EK82" s="1907">
        <f>30*EL69</f>
        <v>237</v>
      </c>
      <c r="EL82" s="1908">
        <f>EL69*500</f>
        <v>3950</v>
      </c>
      <c r="EM82" s="1907">
        <f>30*EN69</f>
        <v>276</v>
      </c>
      <c r="EN82" s="1908">
        <f>EN69*500</f>
        <v>4600</v>
      </c>
      <c r="EO82" s="1907">
        <f>30*EP69</f>
        <v>273</v>
      </c>
      <c r="EP82" s="1908">
        <f>EP69*500</f>
        <v>4550</v>
      </c>
      <c r="EQ82" s="1907">
        <f>30*ER69</f>
        <v>267</v>
      </c>
      <c r="ER82" s="1908">
        <f>ER69*500</f>
        <v>4450</v>
      </c>
      <c r="ES82" s="1907">
        <f>30*ET69</f>
        <v>264</v>
      </c>
      <c r="ET82" s="1908">
        <f>ET69*500</f>
        <v>4400</v>
      </c>
      <c r="EU82" s="1907">
        <f>30*EV69</f>
        <v>303</v>
      </c>
      <c r="EV82" s="1908">
        <f>EV69*500</f>
        <v>5050</v>
      </c>
      <c r="EW82" s="1907">
        <f>30*EX69</f>
        <v>300</v>
      </c>
      <c r="EX82" s="1908">
        <f>EX69*500</f>
        <v>5000</v>
      </c>
      <c r="EY82" s="1907">
        <f>30*EZ69</f>
        <v>297</v>
      </c>
      <c r="EZ82" s="1908">
        <f>EZ69*500</f>
        <v>4950</v>
      </c>
      <c r="FA82" s="1907">
        <f>30*FB69</f>
        <v>294</v>
      </c>
      <c r="FB82" s="1908">
        <f>FB69*500</f>
        <v>4900</v>
      </c>
      <c r="FC82" s="1907">
        <f>30*FD69</f>
        <v>219</v>
      </c>
      <c r="FD82" s="1908">
        <f>FD69*500</f>
        <v>3650</v>
      </c>
      <c r="FE82" s="1907">
        <f>30*FF69</f>
        <v>216</v>
      </c>
      <c r="FF82" s="1908">
        <f>FF69*500</f>
        <v>3600</v>
      </c>
      <c r="FG82" s="1907">
        <f>30*FH69</f>
        <v>213</v>
      </c>
      <c r="FH82" s="1908">
        <f>FH69*500</f>
        <v>3550</v>
      </c>
      <c r="FI82" s="1907">
        <f>30*FJ69</f>
        <v>207</v>
      </c>
      <c r="FJ82" s="1908">
        <f>FJ69*500</f>
        <v>3450</v>
      </c>
      <c r="FK82" s="1907">
        <f>30*FL69</f>
        <v>249.00000000000003</v>
      </c>
      <c r="FL82" s="1908">
        <f>FL69*500</f>
        <v>4150</v>
      </c>
      <c r="FM82" s="1907">
        <f>30*FN69</f>
        <v>243</v>
      </c>
      <c r="FN82" s="1908">
        <f>FN69*500</f>
        <v>4050</v>
      </c>
      <c r="FO82" s="1907">
        <f>30*FP69</f>
        <v>240</v>
      </c>
      <c r="FP82" s="1908">
        <f>FP69*500</f>
        <v>4000</v>
      </c>
      <c r="FQ82" s="1907">
        <f>30*FR69</f>
        <v>237</v>
      </c>
      <c r="FR82" s="1908">
        <f>FR69*500</f>
        <v>3950</v>
      </c>
      <c r="FS82" s="1907">
        <f>30*FT69</f>
        <v>276</v>
      </c>
      <c r="FT82" s="1908">
        <f>FT69*500</f>
        <v>4600</v>
      </c>
      <c r="FU82" s="1907">
        <f>30*FV69</f>
        <v>273</v>
      </c>
      <c r="FV82" s="1908">
        <f>FV69*500</f>
        <v>4550</v>
      </c>
      <c r="FW82" s="1907">
        <f>30*FX69</f>
        <v>270</v>
      </c>
      <c r="FX82" s="1908">
        <f>FX69*500</f>
        <v>4500</v>
      </c>
      <c r="FY82" s="1907">
        <f>30*FZ69</f>
        <v>267</v>
      </c>
      <c r="FZ82" s="1908">
        <f>FZ69*500</f>
        <v>4450</v>
      </c>
      <c r="GA82" s="1907">
        <f>30*GB69</f>
        <v>306</v>
      </c>
      <c r="GB82" s="1908">
        <f>GB69*500</f>
        <v>5100</v>
      </c>
      <c r="GC82" s="1907">
        <f>30*GD69</f>
        <v>303</v>
      </c>
      <c r="GD82" s="1908">
        <f>GD69*500</f>
        <v>5050</v>
      </c>
      <c r="GE82" s="1907">
        <f>30*GF69</f>
        <v>297</v>
      </c>
      <c r="GF82" s="1908">
        <f>GF69*500</f>
        <v>4950</v>
      </c>
      <c r="GG82" s="1907">
        <f>30*GH69</f>
        <v>294</v>
      </c>
      <c r="GH82" s="1908">
        <f>GH69*500</f>
        <v>4900</v>
      </c>
      <c r="GI82" s="1907">
        <f>30*GJ69</f>
        <v>219</v>
      </c>
      <c r="GJ82" s="1908">
        <f>GJ69*500</f>
        <v>3650</v>
      </c>
      <c r="GK82" s="1907">
        <f>30*GL69</f>
        <v>216</v>
      </c>
      <c r="GL82" s="1908">
        <f>GL69*500</f>
        <v>3600</v>
      </c>
      <c r="GM82" s="1907">
        <f>30*GN69</f>
        <v>213</v>
      </c>
      <c r="GN82" s="1908">
        <f>GN69*500</f>
        <v>3550</v>
      </c>
      <c r="GO82" s="1907">
        <f>30*GP69</f>
        <v>210</v>
      </c>
      <c r="GP82" s="1908">
        <f>GP69*500</f>
        <v>3500</v>
      </c>
      <c r="GQ82" s="1907">
        <f>30*GR69</f>
        <v>249.00000000000003</v>
      </c>
      <c r="GR82" s="1908">
        <f>GR69*500</f>
        <v>4150</v>
      </c>
      <c r="GS82" s="1907">
        <f>30*GT69</f>
        <v>245.99999999999997</v>
      </c>
      <c r="GT82" s="1908">
        <f>GT69*500</f>
        <v>4100</v>
      </c>
      <c r="GU82" s="1907">
        <f>30*GV69</f>
        <v>243</v>
      </c>
      <c r="GV82" s="1908">
        <f>GV69*500</f>
        <v>4050</v>
      </c>
      <c r="GW82" s="1907">
        <f>30*GX69</f>
        <v>237</v>
      </c>
      <c r="GX82" s="1908">
        <f>GX69*500</f>
        <v>3950</v>
      </c>
      <c r="GY82" s="1907">
        <f>30*GZ69</f>
        <v>279</v>
      </c>
      <c r="GZ82" s="1908">
        <f>GZ69*500</f>
        <v>4650</v>
      </c>
      <c r="HA82" s="1907">
        <f>30*HB69</f>
        <v>273</v>
      </c>
      <c r="HB82" s="1908">
        <f>HB69*500</f>
        <v>4550</v>
      </c>
      <c r="HC82" s="1907">
        <f>30*HD69</f>
        <v>270</v>
      </c>
      <c r="HD82" s="1908">
        <f>HD69*500</f>
        <v>4500</v>
      </c>
      <c r="HE82" s="1907">
        <f>30*HF69</f>
        <v>267</v>
      </c>
      <c r="HF82" s="1908">
        <f>HF69*500</f>
        <v>4450</v>
      </c>
      <c r="HG82" s="1907">
        <f>30*HH69</f>
        <v>306</v>
      </c>
      <c r="HH82" s="1908">
        <f>HH69*500</f>
        <v>5100</v>
      </c>
      <c r="HI82" s="1907">
        <f>30*HJ69</f>
        <v>303</v>
      </c>
      <c r="HJ82" s="1908">
        <f>HJ69*500</f>
        <v>5050</v>
      </c>
      <c r="HK82" s="1907">
        <f>30*HL69</f>
        <v>300</v>
      </c>
      <c r="HL82" s="1908">
        <f>HL69*500</f>
        <v>5000</v>
      </c>
      <c r="HM82" s="1907">
        <f>30*HN69</f>
        <v>294</v>
      </c>
      <c r="HN82" s="1909">
        <f>HN69*500</f>
        <v>4900</v>
      </c>
    </row>
    <row r="83" spans="2:222">
      <c r="B83" s="1729"/>
      <c r="C83" s="1729"/>
      <c r="H83" s="1905" t="s">
        <v>23</v>
      </c>
      <c r="I83" s="1892">
        <f>50*J69</f>
        <v>317.5</v>
      </c>
      <c r="J83" s="1906">
        <f>J69*1000</f>
        <v>6350</v>
      </c>
      <c r="K83" s="1892">
        <f>50*L69</f>
        <v>328</v>
      </c>
      <c r="L83" s="1906">
        <f>L69*1000</f>
        <v>6560</v>
      </c>
      <c r="M83" s="1892">
        <f>50*N69</f>
        <v>332</v>
      </c>
      <c r="N83" s="1906">
        <f>N69*1000</f>
        <v>6640</v>
      </c>
      <c r="O83" s="1892">
        <f>50*P69</f>
        <v>327</v>
      </c>
      <c r="P83" s="1906">
        <f>P69*1000</f>
        <v>6540</v>
      </c>
      <c r="Q83" s="1892">
        <f>50*R69</f>
        <v>364</v>
      </c>
      <c r="R83" s="1906">
        <f>R69*1000</f>
        <v>7280</v>
      </c>
      <c r="S83" s="1892">
        <f>50*T69</f>
        <v>376</v>
      </c>
      <c r="T83" s="1906">
        <f>T69*1000</f>
        <v>7520</v>
      </c>
      <c r="U83" s="1892">
        <f>50*V69</f>
        <v>380.5</v>
      </c>
      <c r="V83" s="1906">
        <f>V69*1000</f>
        <v>7610</v>
      </c>
      <c r="W83" s="1892">
        <f>50*X69</f>
        <v>370.5</v>
      </c>
      <c r="X83" s="1906">
        <f>X69*1000</f>
        <v>7410</v>
      </c>
      <c r="Y83" s="1892">
        <f>50*Z69</f>
        <v>408.5</v>
      </c>
      <c r="Z83" s="1906">
        <f>Z69*1000</f>
        <v>8170</v>
      </c>
      <c r="AA83" s="1907">
        <f>50*AB69</f>
        <v>422</v>
      </c>
      <c r="AB83" s="1908">
        <f>AB69*1000</f>
        <v>8440</v>
      </c>
      <c r="AC83" s="1907">
        <f>50*AD69</f>
        <v>427.50000000000006</v>
      </c>
      <c r="AD83" s="1908">
        <f>AD69*1000</f>
        <v>8550</v>
      </c>
      <c r="AE83" s="1907">
        <f>50*AF69</f>
        <v>420.5</v>
      </c>
      <c r="AF83" s="1908">
        <f>AF69*1000</f>
        <v>8410</v>
      </c>
      <c r="AG83" s="1907">
        <f>50*AH69</f>
        <v>451.49999999999994</v>
      </c>
      <c r="AH83" s="1908">
        <f>AH69*1000</f>
        <v>9030</v>
      </c>
      <c r="AI83" s="1907">
        <f>50*AJ69</f>
        <v>466.5</v>
      </c>
      <c r="AJ83" s="1908">
        <f>AJ69*1000</f>
        <v>9330</v>
      </c>
      <c r="AK83" s="1907">
        <f>50*AL69</f>
        <v>472.49999999999994</v>
      </c>
      <c r="AL83" s="1908">
        <f>AL69*1000</f>
        <v>9450</v>
      </c>
      <c r="AM83" s="1907">
        <f>50*AN69</f>
        <v>465.00000000000006</v>
      </c>
      <c r="AN83" s="1908">
        <f>AN69*1000</f>
        <v>9300</v>
      </c>
      <c r="AO83" s="1907">
        <f>50*AP69</f>
        <v>493.49999999999994</v>
      </c>
      <c r="AP83" s="1908">
        <f>AP69*1000</f>
        <v>9870</v>
      </c>
      <c r="AQ83" s="1907">
        <f>50*AR69</f>
        <v>509.5</v>
      </c>
      <c r="AR83" s="1908">
        <f>AR69*1000</f>
        <v>10190</v>
      </c>
      <c r="AS83" s="1907">
        <f>50*AT69</f>
        <v>516</v>
      </c>
      <c r="AT83" s="1908">
        <f>AT69*1000</f>
        <v>10320</v>
      </c>
      <c r="AU83" s="1907">
        <f>50*AV69</f>
        <v>508</v>
      </c>
      <c r="AV83" s="1908">
        <f>AV69*1000</f>
        <v>10160</v>
      </c>
      <c r="AW83" s="1907">
        <f>50*AX69</f>
        <v>534</v>
      </c>
      <c r="AX83" s="1908">
        <f>AX69*1000</f>
        <v>10680</v>
      </c>
      <c r="AY83" s="1907">
        <f>50*AZ69</f>
        <v>551.5</v>
      </c>
      <c r="AZ83" s="1908">
        <f>AZ69*1000</f>
        <v>11030</v>
      </c>
      <c r="BA83" s="1907">
        <f>50*BB69</f>
        <v>558.5</v>
      </c>
      <c r="BB83" s="1908">
        <f>BB69*1000</f>
        <v>11170</v>
      </c>
      <c r="BC83" s="1907">
        <f>50*BD69</f>
        <v>549.5</v>
      </c>
      <c r="BD83" s="1908">
        <f>BD69*1000</f>
        <v>10990</v>
      </c>
      <c r="BE83" s="1907">
        <f>50*BF69</f>
        <v>310.5</v>
      </c>
      <c r="BF83" s="1908">
        <f>BF69*1000</f>
        <v>6210</v>
      </c>
      <c r="BG83" s="1907">
        <f>50*BH69</f>
        <v>321.5</v>
      </c>
      <c r="BH83" s="1908">
        <f>BH69*1000</f>
        <v>6430</v>
      </c>
      <c r="BI83" s="1907">
        <f>50*BJ69</f>
        <v>329</v>
      </c>
      <c r="BJ83" s="1908">
        <f>BJ69*1000</f>
        <v>6580</v>
      </c>
      <c r="BK83" s="1907">
        <f>50*BL69</f>
        <v>332</v>
      </c>
      <c r="BL83" s="1908">
        <f>BL69*1000</f>
        <v>6640</v>
      </c>
      <c r="BM83" s="1907">
        <f>50*BN69</f>
        <v>329</v>
      </c>
      <c r="BN83" s="1908">
        <f>BN69*1000</f>
        <v>6580</v>
      </c>
      <c r="BO83" s="1907">
        <f>50*BP69</f>
        <v>356</v>
      </c>
      <c r="BP83" s="1908">
        <f>BP69*1000</f>
        <v>7120</v>
      </c>
      <c r="BQ83" s="1907">
        <f>50*BR69</f>
        <v>368.5</v>
      </c>
      <c r="BR83" s="1908">
        <f>BR69*1000</f>
        <v>7370</v>
      </c>
      <c r="BS83" s="1907">
        <f>50*BT69</f>
        <v>377</v>
      </c>
      <c r="BT83" s="1908">
        <f>BT69*1000</f>
        <v>7540</v>
      </c>
      <c r="BU83" s="1907">
        <f>50*BV69</f>
        <v>380.5</v>
      </c>
      <c r="BV83" s="1908">
        <f>BV69*1000</f>
        <v>7610</v>
      </c>
      <c r="BW83" s="1907">
        <f>50*BX69</f>
        <v>377.5</v>
      </c>
      <c r="BX83" s="1908">
        <f>BX69*1000</f>
        <v>7550</v>
      </c>
      <c r="BY83" s="1907">
        <f>50*BZ69</f>
        <v>399.5</v>
      </c>
      <c r="BZ83" s="1908">
        <f>BZ69*1000</f>
        <v>7990</v>
      </c>
      <c r="CA83" s="1907">
        <f>50*CB69</f>
        <v>413.99999999999994</v>
      </c>
      <c r="CB83" s="1908">
        <f>CB69*1000</f>
        <v>8280</v>
      </c>
      <c r="CC83" s="1907">
        <f>50*CD69</f>
        <v>423.00000000000006</v>
      </c>
      <c r="CD83" s="1908">
        <f>CD69*1000</f>
        <v>8460</v>
      </c>
      <c r="CE83" s="1907">
        <f>50*CF69</f>
        <v>426.99999999999994</v>
      </c>
      <c r="CF83" s="1908">
        <f>CF69*1000</f>
        <v>8540</v>
      </c>
      <c r="CG83" s="1907">
        <f>50*CH69</f>
        <v>423.50000000000006</v>
      </c>
      <c r="CH83" s="1908">
        <f>CH69*1000</f>
        <v>8470</v>
      </c>
      <c r="CI83" s="1907">
        <f>50*CJ69</f>
        <v>441.5</v>
      </c>
      <c r="CJ83" s="1908">
        <f>CJ69*1000</f>
        <v>8830</v>
      </c>
      <c r="CK83" s="1907">
        <f>50*CL69</f>
        <v>457.5</v>
      </c>
      <c r="CL83" s="1908">
        <f>CL69*1000</f>
        <v>9150</v>
      </c>
      <c r="CM83" s="1907">
        <f>50*CN69</f>
        <v>468</v>
      </c>
      <c r="CN83" s="1908">
        <f>CN69*1000</f>
        <v>9360</v>
      </c>
      <c r="CO83" s="1907">
        <f>50*CP69</f>
        <v>472</v>
      </c>
      <c r="CP83" s="1908">
        <f>CP69*1000</f>
        <v>9440</v>
      </c>
      <c r="CQ83" s="1907">
        <f>50*CR69</f>
        <v>468.49999999999994</v>
      </c>
      <c r="CR83" s="1908">
        <f>CR69*1000</f>
        <v>9370</v>
      </c>
      <c r="CS83" s="1907">
        <f>50*CT69</f>
        <v>482.5</v>
      </c>
      <c r="CT83" s="1908">
        <f>CT69*1000</f>
        <v>9650</v>
      </c>
      <c r="CU83" s="1907">
        <f>50*CV69</f>
        <v>499.5</v>
      </c>
      <c r="CV83" s="1908">
        <f>CV69*1000</f>
        <v>9990</v>
      </c>
      <c r="CW83" s="1907">
        <f>50*CX69</f>
        <v>511.00000000000006</v>
      </c>
      <c r="CX83" s="1908">
        <f>CX69*1000</f>
        <v>10220</v>
      </c>
      <c r="CY83" s="1907">
        <f>50*CZ69</f>
        <v>516</v>
      </c>
      <c r="CZ83" s="1908">
        <f>CZ69*1000</f>
        <v>10320</v>
      </c>
      <c r="DA83" s="1907">
        <f>50*DB69</f>
        <v>511.5</v>
      </c>
      <c r="DB83" s="1908">
        <f>DB69*1000</f>
        <v>10230</v>
      </c>
      <c r="DC83" s="1907">
        <f>50*DD69</f>
        <v>522</v>
      </c>
      <c r="DD83" s="1908">
        <f>DD69*1000</f>
        <v>10440</v>
      </c>
      <c r="DE83" s="1907">
        <f>50*DF69</f>
        <v>541</v>
      </c>
      <c r="DF83" s="1908">
        <f>DF69*1000</f>
        <v>10820</v>
      </c>
      <c r="DG83" s="1907">
        <f>50*DH69</f>
        <v>553</v>
      </c>
      <c r="DH83" s="1908">
        <f>DH69*1000</f>
        <v>11060</v>
      </c>
      <c r="DI83" s="1907">
        <f>50*DJ69</f>
        <v>558.5</v>
      </c>
      <c r="DJ83" s="1908">
        <f>DJ69*1000</f>
        <v>11170</v>
      </c>
      <c r="DK83" s="1907">
        <f>50*DL69</f>
        <v>553.5</v>
      </c>
      <c r="DL83" s="1908">
        <f>DL69*1000</f>
        <v>11070</v>
      </c>
      <c r="DM83" s="1907">
        <f>50*DN69</f>
        <v>561</v>
      </c>
      <c r="DN83" s="1908">
        <f>DN69*1000</f>
        <v>11220</v>
      </c>
      <c r="DO83" s="1907">
        <f>50*DP69</f>
        <v>581</v>
      </c>
      <c r="DP83" s="1908">
        <f>DP69*1000</f>
        <v>11620</v>
      </c>
      <c r="DQ83" s="1907">
        <f>50*DR69</f>
        <v>594</v>
      </c>
      <c r="DR83" s="1908">
        <f>DR69*1000</f>
        <v>11880</v>
      </c>
      <c r="DS83" s="1907">
        <f>50*DT69</f>
        <v>599.5</v>
      </c>
      <c r="DT83" s="1908">
        <f>DT69*1000</f>
        <v>11990</v>
      </c>
      <c r="DU83" s="1907">
        <f>50*DV69</f>
        <v>594.5</v>
      </c>
      <c r="DV83" s="1908">
        <f>DV69*1000</f>
        <v>11890</v>
      </c>
      <c r="DW83" s="1907">
        <f>50*DX69</f>
        <v>365</v>
      </c>
      <c r="DX83" s="1908">
        <f>DX69*1000</f>
        <v>7300</v>
      </c>
      <c r="DY83" s="1907">
        <f>50*DZ69</f>
        <v>360</v>
      </c>
      <c r="DZ83" s="1908">
        <f>DZ69*1000</f>
        <v>7200</v>
      </c>
      <c r="EA83" s="1907">
        <f>50*EB69</f>
        <v>350</v>
      </c>
      <c r="EB83" s="1908">
        <f>EB69*1000</f>
        <v>7000</v>
      </c>
      <c r="EC83" s="1907">
        <f>50*ED69</f>
        <v>345</v>
      </c>
      <c r="ED83" s="1908">
        <f>ED69*1000</f>
        <v>6900</v>
      </c>
      <c r="EE83" s="1907">
        <f>50*EF69</f>
        <v>409.99999999999994</v>
      </c>
      <c r="EF83" s="1908">
        <f>EF69*1000</f>
        <v>8200</v>
      </c>
      <c r="EG83" s="1907">
        <f>50*EH69</f>
        <v>405</v>
      </c>
      <c r="EH83" s="1908">
        <f>EH69*1000</f>
        <v>8100</v>
      </c>
      <c r="EI83" s="1907">
        <f>50*EJ69</f>
        <v>400</v>
      </c>
      <c r="EJ83" s="1908">
        <f>EJ69*1000</f>
        <v>8000</v>
      </c>
      <c r="EK83" s="1907">
        <f>50*EL69</f>
        <v>395</v>
      </c>
      <c r="EL83" s="1908">
        <f>EL69*1000</f>
        <v>7900</v>
      </c>
      <c r="EM83" s="1907">
        <f>50*EN69</f>
        <v>459.99999999999994</v>
      </c>
      <c r="EN83" s="1908">
        <f>EN69*1000</f>
        <v>9200</v>
      </c>
      <c r="EO83" s="1907">
        <f>50*EP69</f>
        <v>455</v>
      </c>
      <c r="EP83" s="1908">
        <f>EP69*1000</f>
        <v>9100</v>
      </c>
      <c r="EQ83" s="1907">
        <f>50*ER69</f>
        <v>445</v>
      </c>
      <c r="ER83" s="1908">
        <f>ER69*1000</f>
        <v>8900</v>
      </c>
      <c r="ES83" s="1907">
        <f>50*ET69</f>
        <v>440.00000000000006</v>
      </c>
      <c r="ET83" s="1908">
        <f>ET69*1000</f>
        <v>8800</v>
      </c>
      <c r="EU83" s="1907">
        <f>50*EV69</f>
        <v>505</v>
      </c>
      <c r="EV83" s="1908">
        <f>EV69*1000</f>
        <v>10100</v>
      </c>
      <c r="EW83" s="1907">
        <f>50*EX69</f>
        <v>500</v>
      </c>
      <c r="EX83" s="1908">
        <f>EX69*1000</f>
        <v>10000</v>
      </c>
      <c r="EY83" s="1907">
        <f>50*EZ69</f>
        <v>495</v>
      </c>
      <c r="EZ83" s="1908">
        <f>EZ69*1000</f>
        <v>9900</v>
      </c>
      <c r="FA83" s="1907">
        <f>50*FB69</f>
        <v>490.00000000000006</v>
      </c>
      <c r="FB83" s="1908">
        <f>FB69*1000</f>
        <v>9800</v>
      </c>
      <c r="FC83" s="1907">
        <f>50*FD69</f>
        <v>365</v>
      </c>
      <c r="FD83" s="1908">
        <f>FD69*1000</f>
        <v>7300</v>
      </c>
      <c r="FE83" s="1907">
        <f>50*FF69</f>
        <v>360</v>
      </c>
      <c r="FF83" s="1908">
        <f>FF69*1000</f>
        <v>7200</v>
      </c>
      <c r="FG83" s="1907">
        <f>50*FH69</f>
        <v>355</v>
      </c>
      <c r="FH83" s="1908">
        <f>FH69*1000</f>
        <v>7100</v>
      </c>
      <c r="FI83" s="1907">
        <f>50*FJ69</f>
        <v>345</v>
      </c>
      <c r="FJ83" s="1908">
        <f>FJ69*1000</f>
        <v>6900</v>
      </c>
      <c r="FK83" s="1907">
        <f>50*FL69</f>
        <v>415.00000000000006</v>
      </c>
      <c r="FL83" s="1908">
        <f>FL69*1000</f>
        <v>8300</v>
      </c>
      <c r="FM83" s="1907">
        <f>50*FN69</f>
        <v>405</v>
      </c>
      <c r="FN83" s="1908">
        <f>FN69*1000</f>
        <v>8100</v>
      </c>
      <c r="FO83" s="1907">
        <f>50*FP69</f>
        <v>400</v>
      </c>
      <c r="FP83" s="1908">
        <f>FP69*1000</f>
        <v>8000</v>
      </c>
      <c r="FQ83" s="1907">
        <f>50*FR69</f>
        <v>395</v>
      </c>
      <c r="FR83" s="1908">
        <f>FR69*1000</f>
        <v>7900</v>
      </c>
      <c r="FS83" s="1907">
        <f>50*FT69</f>
        <v>459.99999999999994</v>
      </c>
      <c r="FT83" s="1908">
        <f>FT69*1000</f>
        <v>9200</v>
      </c>
      <c r="FU83" s="1907">
        <f>50*FV69</f>
        <v>455</v>
      </c>
      <c r="FV83" s="1908">
        <f>FV69*1000</f>
        <v>9100</v>
      </c>
      <c r="FW83" s="1907">
        <f>50*FX69</f>
        <v>450</v>
      </c>
      <c r="FX83" s="1908">
        <f>FX69*1000</f>
        <v>9000</v>
      </c>
      <c r="FY83" s="1907">
        <f>50*FZ69</f>
        <v>445</v>
      </c>
      <c r="FZ83" s="1908">
        <f>FZ69*1000</f>
        <v>8900</v>
      </c>
      <c r="GA83" s="1907">
        <f>50*GB69</f>
        <v>509.99999999999994</v>
      </c>
      <c r="GB83" s="1908">
        <f>GB69*1000</f>
        <v>10200</v>
      </c>
      <c r="GC83" s="1907">
        <f>50*GD69</f>
        <v>505</v>
      </c>
      <c r="GD83" s="1908">
        <f>GD69*1000</f>
        <v>10100</v>
      </c>
      <c r="GE83" s="1907">
        <f>50*GF69</f>
        <v>495</v>
      </c>
      <c r="GF83" s="1908">
        <f>GF69*1000</f>
        <v>9900</v>
      </c>
      <c r="GG83" s="1907">
        <f>50*GH69</f>
        <v>490.00000000000006</v>
      </c>
      <c r="GH83" s="1908">
        <f>GH69*1000</f>
        <v>9800</v>
      </c>
      <c r="GI83" s="1907">
        <f>50*GJ69</f>
        <v>365</v>
      </c>
      <c r="GJ83" s="1908">
        <f>GJ69*1000</f>
        <v>7300</v>
      </c>
      <c r="GK83" s="1907">
        <f>50*GL69</f>
        <v>360</v>
      </c>
      <c r="GL83" s="1908">
        <f>GL69*1000</f>
        <v>7200</v>
      </c>
      <c r="GM83" s="1907">
        <f>50*GN69</f>
        <v>355</v>
      </c>
      <c r="GN83" s="1908">
        <f>GN69*1000</f>
        <v>7100</v>
      </c>
      <c r="GO83" s="1907">
        <f>50*GP69</f>
        <v>350</v>
      </c>
      <c r="GP83" s="1908">
        <f>GP69*1000</f>
        <v>7000</v>
      </c>
      <c r="GQ83" s="1907">
        <f>50*GR69</f>
        <v>415.00000000000006</v>
      </c>
      <c r="GR83" s="1908">
        <f>GR69*1000</f>
        <v>8300</v>
      </c>
      <c r="GS83" s="1907">
        <f>50*GT69</f>
        <v>409.99999999999994</v>
      </c>
      <c r="GT83" s="1908">
        <f>GT69*1000</f>
        <v>8200</v>
      </c>
      <c r="GU83" s="1907">
        <f>50*GV69</f>
        <v>405</v>
      </c>
      <c r="GV83" s="1908">
        <f>GV69*1000</f>
        <v>8100</v>
      </c>
      <c r="GW83" s="1907">
        <f>50*GX69</f>
        <v>395</v>
      </c>
      <c r="GX83" s="1908">
        <f>GX69*1000</f>
        <v>7900</v>
      </c>
      <c r="GY83" s="1907">
        <f>50*GZ69</f>
        <v>465.00000000000006</v>
      </c>
      <c r="GZ83" s="1908">
        <f>GZ69*1000</f>
        <v>9300</v>
      </c>
      <c r="HA83" s="1907">
        <f>50*HB69</f>
        <v>455</v>
      </c>
      <c r="HB83" s="1908">
        <f>HB69*1000</f>
        <v>9100</v>
      </c>
      <c r="HC83" s="1907">
        <f>50*HD69</f>
        <v>450</v>
      </c>
      <c r="HD83" s="1908">
        <f>HD69*1000</f>
        <v>9000</v>
      </c>
      <c r="HE83" s="1907">
        <f>50*HF69</f>
        <v>445</v>
      </c>
      <c r="HF83" s="1908">
        <f>HF69*1000</f>
        <v>8900</v>
      </c>
      <c r="HG83" s="1907">
        <f>50*HH69</f>
        <v>509.99999999999994</v>
      </c>
      <c r="HH83" s="1908">
        <f>HH69*1000</f>
        <v>10200</v>
      </c>
      <c r="HI83" s="1907">
        <f>50*HJ69</f>
        <v>505</v>
      </c>
      <c r="HJ83" s="1908">
        <f>HJ69*1000</f>
        <v>10100</v>
      </c>
      <c r="HK83" s="1907">
        <f>50*HL69</f>
        <v>500</v>
      </c>
      <c r="HL83" s="1908">
        <f>HL69*1000</f>
        <v>10000</v>
      </c>
      <c r="HM83" s="1907">
        <f>50*HN69</f>
        <v>490.00000000000006</v>
      </c>
      <c r="HN83" s="1909">
        <f>HN69*1000</f>
        <v>9800</v>
      </c>
    </row>
    <row r="84" spans="2:222">
      <c r="B84" s="1729"/>
      <c r="C84" s="1729"/>
      <c r="H84" s="1905" t="s">
        <v>24</v>
      </c>
      <c r="I84" s="1892">
        <f>20*J69</f>
        <v>127</v>
      </c>
      <c r="J84" s="1906">
        <f>J69*1000</f>
        <v>6350</v>
      </c>
      <c r="K84" s="1892">
        <f>20*L69</f>
        <v>131.19999999999999</v>
      </c>
      <c r="L84" s="1906">
        <f>L69*1000</f>
        <v>6560</v>
      </c>
      <c r="M84" s="1892">
        <f>20*N69</f>
        <v>132.79999999999998</v>
      </c>
      <c r="N84" s="1906">
        <f>N69*1000</f>
        <v>6640</v>
      </c>
      <c r="O84" s="1892">
        <f>20*P69</f>
        <v>130.80000000000001</v>
      </c>
      <c r="P84" s="1906">
        <f>P69*1000</f>
        <v>6540</v>
      </c>
      <c r="Q84" s="1892">
        <f>20*R69</f>
        <v>145.6</v>
      </c>
      <c r="R84" s="1906">
        <f>R69*1000</f>
        <v>7280</v>
      </c>
      <c r="S84" s="1892">
        <f>20*T69</f>
        <v>150.39999999999998</v>
      </c>
      <c r="T84" s="1906">
        <f>T69*1000</f>
        <v>7520</v>
      </c>
      <c r="U84" s="1892">
        <f>20*V69</f>
        <v>152.20000000000002</v>
      </c>
      <c r="V84" s="1906">
        <f>V69*1000</f>
        <v>7610</v>
      </c>
      <c r="W84" s="1892">
        <f>20*X69</f>
        <v>148.19999999999999</v>
      </c>
      <c r="X84" s="1906">
        <f>X69*1000</f>
        <v>7410</v>
      </c>
      <c r="Y84" s="1892">
        <f>20*Z69</f>
        <v>163.4</v>
      </c>
      <c r="Z84" s="1906">
        <f>Z69*1000</f>
        <v>8170</v>
      </c>
      <c r="AA84" s="1907">
        <f>20*AB69</f>
        <v>168.79999999999998</v>
      </c>
      <c r="AB84" s="1908">
        <f>AB69*1000</f>
        <v>8440</v>
      </c>
      <c r="AC84" s="1907">
        <f>20*AD69</f>
        <v>171</v>
      </c>
      <c r="AD84" s="1908">
        <f>AD69*1000</f>
        <v>8550</v>
      </c>
      <c r="AE84" s="1907">
        <f>20*AF69</f>
        <v>168.2</v>
      </c>
      <c r="AF84" s="1908">
        <f>AF69*1000</f>
        <v>8410</v>
      </c>
      <c r="AG84" s="1907">
        <f>20*AH69</f>
        <v>180.6</v>
      </c>
      <c r="AH84" s="1908">
        <f>AH69*1000</f>
        <v>9030</v>
      </c>
      <c r="AI84" s="1907">
        <f>20*AJ69</f>
        <v>186.6</v>
      </c>
      <c r="AJ84" s="1908">
        <f>AJ69*1000</f>
        <v>9330</v>
      </c>
      <c r="AK84" s="1907">
        <f>20*AL69</f>
        <v>189</v>
      </c>
      <c r="AL84" s="1908">
        <f>AL69*1000</f>
        <v>9450</v>
      </c>
      <c r="AM84" s="1907">
        <f>20*AN69</f>
        <v>186</v>
      </c>
      <c r="AN84" s="1908">
        <f>AN69*1000</f>
        <v>9300</v>
      </c>
      <c r="AO84" s="1907">
        <f>20*AP69</f>
        <v>197.39999999999998</v>
      </c>
      <c r="AP84" s="1908">
        <f>AP69*1000</f>
        <v>9870</v>
      </c>
      <c r="AQ84" s="1907">
        <f>20*AR69</f>
        <v>203.79999999999998</v>
      </c>
      <c r="AR84" s="1908">
        <f>AR69*1000</f>
        <v>10190</v>
      </c>
      <c r="AS84" s="1907">
        <f>20*AT69</f>
        <v>206.4</v>
      </c>
      <c r="AT84" s="1908">
        <f>AT69*1000</f>
        <v>10320</v>
      </c>
      <c r="AU84" s="1907">
        <f>20*AV69</f>
        <v>203.2</v>
      </c>
      <c r="AV84" s="1908">
        <f>AV69*1000</f>
        <v>10160</v>
      </c>
      <c r="AW84" s="1907">
        <f>20*AX69</f>
        <v>213.6</v>
      </c>
      <c r="AX84" s="1908">
        <f>AX69*1000</f>
        <v>10680</v>
      </c>
      <c r="AY84" s="1907">
        <f>20*AZ69</f>
        <v>220.6</v>
      </c>
      <c r="AZ84" s="1908">
        <f>AZ69*1000</f>
        <v>11030</v>
      </c>
      <c r="BA84" s="1907">
        <f>20*BB69</f>
        <v>223.4</v>
      </c>
      <c r="BB84" s="1908">
        <f>BB69*1000</f>
        <v>11170</v>
      </c>
      <c r="BC84" s="1907">
        <f>20*BD69</f>
        <v>219.8</v>
      </c>
      <c r="BD84" s="1908">
        <f>BD69*1000</f>
        <v>10990</v>
      </c>
      <c r="BE84" s="1907">
        <f>20*BF69</f>
        <v>124.2</v>
      </c>
      <c r="BF84" s="1908">
        <f>BF69*1000</f>
        <v>6210</v>
      </c>
      <c r="BG84" s="1907">
        <f>20*BH69</f>
        <v>128.6</v>
      </c>
      <c r="BH84" s="1908">
        <f>BH69*1000</f>
        <v>6430</v>
      </c>
      <c r="BI84" s="1907">
        <f>20*BJ69</f>
        <v>131.6</v>
      </c>
      <c r="BJ84" s="1908">
        <f>BJ69*1000</f>
        <v>6580</v>
      </c>
      <c r="BK84" s="1907">
        <f>20*BL69</f>
        <v>132.79999999999998</v>
      </c>
      <c r="BL84" s="1908">
        <f>BL69*1000</f>
        <v>6640</v>
      </c>
      <c r="BM84" s="1907">
        <f>20*BN69</f>
        <v>131.6</v>
      </c>
      <c r="BN84" s="1908">
        <f>BN69*1000</f>
        <v>6580</v>
      </c>
      <c r="BO84" s="1907">
        <f>20*BP69</f>
        <v>142.4</v>
      </c>
      <c r="BP84" s="1908">
        <f>BP69*1000</f>
        <v>7120</v>
      </c>
      <c r="BQ84" s="1907">
        <f>20*BR69</f>
        <v>147.4</v>
      </c>
      <c r="BR84" s="1908">
        <f>BR69*1000</f>
        <v>7370</v>
      </c>
      <c r="BS84" s="1907">
        <f>20*BT69</f>
        <v>150.80000000000001</v>
      </c>
      <c r="BT84" s="1908">
        <f>BT69*1000</f>
        <v>7540</v>
      </c>
      <c r="BU84" s="1907">
        <f>20*BV69</f>
        <v>152.20000000000002</v>
      </c>
      <c r="BV84" s="1908">
        <f>BV69*1000</f>
        <v>7610</v>
      </c>
      <c r="BW84" s="1907">
        <f>20*BX69</f>
        <v>151</v>
      </c>
      <c r="BX84" s="1908">
        <f>BX69*1000</f>
        <v>7550</v>
      </c>
      <c r="BY84" s="1907">
        <f>20*BZ69</f>
        <v>159.80000000000001</v>
      </c>
      <c r="BZ84" s="1908">
        <f>BZ69*1000</f>
        <v>7990</v>
      </c>
      <c r="CA84" s="1907">
        <f>20*CB69</f>
        <v>165.6</v>
      </c>
      <c r="CB84" s="1908">
        <f>CB69*1000</f>
        <v>8280</v>
      </c>
      <c r="CC84" s="1907">
        <f>20*CD69</f>
        <v>169.20000000000002</v>
      </c>
      <c r="CD84" s="1908">
        <f>CD69*1000</f>
        <v>8460</v>
      </c>
      <c r="CE84" s="1907">
        <f>20*CF69</f>
        <v>170.79999999999998</v>
      </c>
      <c r="CF84" s="1908">
        <f>CF69*1000</f>
        <v>8540</v>
      </c>
      <c r="CG84" s="1907">
        <f>20*CH69</f>
        <v>169.4</v>
      </c>
      <c r="CH84" s="1908">
        <f>CH69*1000</f>
        <v>8470</v>
      </c>
      <c r="CI84" s="1907">
        <f>20*CJ69</f>
        <v>176.6</v>
      </c>
      <c r="CJ84" s="1908">
        <f>CJ69*1000</f>
        <v>8830</v>
      </c>
      <c r="CK84" s="1907">
        <f>20*CL69</f>
        <v>183</v>
      </c>
      <c r="CL84" s="1908">
        <f>CL69*1000</f>
        <v>9150</v>
      </c>
      <c r="CM84" s="1907">
        <f>20*CN69</f>
        <v>187.2</v>
      </c>
      <c r="CN84" s="1908">
        <f>CN69*1000</f>
        <v>9360</v>
      </c>
      <c r="CO84" s="1907">
        <f>20*CP69</f>
        <v>188.79999999999998</v>
      </c>
      <c r="CP84" s="1908">
        <f>CP69*1000</f>
        <v>9440</v>
      </c>
      <c r="CQ84" s="1907">
        <f>20*CR69</f>
        <v>187.39999999999998</v>
      </c>
      <c r="CR84" s="1908">
        <f>CR69*1000</f>
        <v>9370</v>
      </c>
      <c r="CS84" s="1907">
        <f>20*CT69</f>
        <v>193</v>
      </c>
      <c r="CT84" s="1908">
        <f>CT69*1000</f>
        <v>9650</v>
      </c>
      <c r="CU84" s="1907">
        <f>20*CV69</f>
        <v>199.8</v>
      </c>
      <c r="CV84" s="1908">
        <f>CV69*1000</f>
        <v>9990</v>
      </c>
      <c r="CW84" s="1907">
        <f>20*CX69</f>
        <v>204.4</v>
      </c>
      <c r="CX84" s="1908">
        <f>CX69*1000</f>
        <v>10220</v>
      </c>
      <c r="CY84" s="1907">
        <f>20*CZ69</f>
        <v>206.4</v>
      </c>
      <c r="CZ84" s="1908">
        <f>CZ69*1000</f>
        <v>10320</v>
      </c>
      <c r="DA84" s="1907">
        <f>20*DB69</f>
        <v>204.60000000000002</v>
      </c>
      <c r="DB84" s="1908">
        <f>DB69*1000</f>
        <v>10230</v>
      </c>
      <c r="DC84" s="1907">
        <f>20*DD69</f>
        <v>208.79999999999998</v>
      </c>
      <c r="DD84" s="1908">
        <f>DD69*1000</f>
        <v>10440</v>
      </c>
      <c r="DE84" s="1907">
        <f>20*DF69</f>
        <v>216.4</v>
      </c>
      <c r="DF84" s="1908">
        <f>DF69*1000</f>
        <v>10820</v>
      </c>
      <c r="DG84" s="1907">
        <f>20*DH69</f>
        <v>221.20000000000002</v>
      </c>
      <c r="DH84" s="1908">
        <f>DH69*1000</f>
        <v>11060</v>
      </c>
      <c r="DI84" s="1907">
        <f>20*DJ69</f>
        <v>223.4</v>
      </c>
      <c r="DJ84" s="1908">
        <f>DJ69*1000</f>
        <v>11170</v>
      </c>
      <c r="DK84" s="1907">
        <f>20*DL69</f>
        <v>221.4</v>
      </c>
      <c r="DL84" s="1908">
        <f>DL69*1000</f>
        <v>11070</v>
      </c>
      <c r="DM84" s="1907">
        <f>20*DN69</f>
        <v>224.4</v>
      </c>
      <c r="DN84" s="1908">
        <f>DN69*1000</f>
        <v>11220</v>
      </c>
      <c r="DO84" s="1907">
        <f>20*DP69</f>
        <v>232.39999999999998</v>
      </c>
      <c r="DP84" s="1908">
        <f>DP69*1000</f>
        <v>11620</v>
      </c>
      <c r="DQ84" s="1907">
        <f>20*DR69</f>
        <v>237.60000000000002</v>
      </c>
      <c r="DR84" s="1908">
        <f>DR69*1000</f>
        <v>11880</v>
      </c>
      <c r="DS84" s="1907">
        <f>20*DT69</f>
        <v>239.8</v>
      </c>
      <c r="DT84" s="1908">
        <f>DT69*1000</f>
        <v>11990</v>
      </c>
      <c r="DU84" s="1907">
        <f>20*DV69</f>
        <v>237.8</v>
      </c>
      <c r="DV84" s="1908">
        <f>DV69*1000</f>
        <v>11890</v>
      </c>
      <c r="DW84" s="1907">
        <f>20*DX69</f>
        <v>146</v>
      </c>
      <c r="DX84" s="1908">
        <f>DX69*1000</f>
        <v>7300</v>
      </c>
      <c r="DY84" s="1907">
        <f>20*DZ69</f>
        <v>144</v>
      </c>
      <c r="DZ84" s="1908">
        <f>DZ69*1000</f>
        <v>7200</v>
      </c>
      <c r="EA84" s="1907">
        <f>20*EB69</f>
        <v>140</v>
      </c>
      <c r="EB84" s="1908">
        <f>EB69*1000</f>
        <v>7000</v>
      </c>
      <c r="EC84" s="1907">
        <f>20*ED69</f>
        <v>138</v>
      </c>
      <c r="ED84" s="1908">
        <f>ED69*1000</f>
        <v>6900</v>
      </c>
      <c r="EE84" s="1907">
        <f>20*EF69</f>
        <v>164</v>
      </c>
      <c r="EF84" s="1908">
        <f>EF69*1000</f>
        <v>8200</v>
      </c>
      <c r="EG84" s="1907">
        <f>20*EH69</f>
        <v>162</v>
      </c>
      <c r="EH84" s="1908">
        <f>EH69*1000</f>
        <v>8100</v>
      </c>
      <c r="EI84" s="1907">
        <f>20*EJ69</f>
        <v>160</v>
      </c>
      <c r="EJ84" s="1908">
        <f>EJ69*1000</f>
        <v>8000</v>
      </c>
      <c r="EK84" s="1907">
        <f>20*EL69</f>
        <v>158</v>
      </c>
      <c r="EL84" s="1908">
        <f>EL69*1000</f>
        <v>7900</v>
      </c>
      <c r="EM84" s="1907">
        <f>20*EN69</f>
        <v>184</v>
      </c>
      <c r="EN84" s="1908">
        <f>EN69*1000</f>
        <v>9200</v>
      </c>
      <c r="EO84" s="1907">
        <f>20*EP69</f>
        <v>182</v>
      </c>
      <c r="EP84" s="1908">
        <f>EP69*1000</f>
        <v>9100</v>
      </c>
      <c r="EQ84" s="1907">
        <f>20*ER69</f>
        <v>178</v>
      </c>
      <c r="ER84" s="1908">
        <f>ER69*1000</f>
        <v>8900</v>
      </c>
      <c r="ES84" s="1907">
        <f>20*ET69</f>
        <v>176</v>
      </c>
      <c r="ET84" s="1908">
        <f>ET69*1000</f>
        <v>8800</v>
      </c>
      <c r="EU84" s="1907">
        <f>20*EV69</f>
        <v>202</v>
      </c>
      <c r="EV84" s="1908">
        <f>EV69*1000</f>
        <v>10100</v>
      </c>
      <c r="EW84" s="1907">
        <f>20*EX69</f>
        <v>200</v>
      </c>
      <c r="EX84" s="1908">
        <f>EX69*1000</f>
        <v>10000</v>
      </c>
      <c r="EY84" s="1907">
        <f>20*EZ69</f>
        <v>198</v>
      </c>
      <c r="EZ84" s="1908">
        <f>EZ69*1000</f>
        <v>9900</v>
      </c>
      <c r="FA84" s="1907">
        <f>20*FB69</f>
        <v>196</v>
      </c>
      <c r="FB84" s="1908">
        <f>FB69*1000</f>
        <v>9800</v>
      </c>
      <c r="FC84" s="1907">
        <f>20*FD69</f>
        <v>146</v>
      </c>
      <c r="FD84" s="1908">
        <f>FD69*1000</f>
        <v>7300</v>
      </c>
      <c r="FE84" s="1907">
        <f>20*FF69</f>
        <v>144</v>
      </c>
      <c r="FF84" s="1908">
        <f>FF69*1000</f>
        <v>7200</v>
      </c>
      <c r="FG84" s="1907">
        <f>20*FH69</f>
        <v>142</v>
      </c>
      <c r="FH84" s="1908">
        <f>FH69*1000</f>
        <v>7100</v>
      </c>
      <c r="FI84" s="1907">
        <f>20*FJ69</f>
        <v>138</v>
      </c>
      <c r="FJ84" s="1908">
        <f>FJ69*1000</f>
        <v>6900</v>
      </c>
      <c r="FK84" s="1907">
        <f>20*FL69</f>
        <v>166</v>
      </c>
      <c r="FL84" s="1908">
        <f>FL69*1000</f>
        <v>8300</v>
      </c>
      <c r="FM84" s="1907">
        <f>20*FN69</f>
        <v>162</v>
      </c>
      <c r="FN84" s="1908">
        <f>FN69*1000</f>
        <v>8100</v>
      </c>
      <c r="FO84" s="1907">
        <f>20*FP69</f>
        <v>160</v>
      </c>
      <c r="FP84" s="1908">
        <f>FP69*1000</f>
        <v>8000</v>
      </c>
      <c r="FQ84" s="1907">
        <f>20*FR69</f>
        <v>158</v>
      </c>
      <c r="FR84" s="1908">
        <f>FR69*1000</f>
        <v>7900</v>
      </c>
      <c r="FS84" s="1907">
        <f>20*FT69</f>
        <v>184</v>
      </c>
      <c r="FT84" s="1908">
        <f>FT69*1000</f>
        <v>9200</v>
      </c>
      <c r="FU84" s="1907">
        <f>20*FV69</f>
        <v>182</v>
      </c>
      <c r="FV84" s="1908">
        <f>FV69*1000</f>
        <v>9100</v>
      </c>
      <c r="FW84" s="1907">
        <f>20*FX69</f>
        <v>180</v>
      </c>
      <c r="FX84" s="1908">
        <f>FX69*1000</f>
        <v>9000</v>
      </c>
      <c r="FY84" s="1907">
        <f>20*FZ69</f>
        <v>178</v>
      </c>
      <c r="FZ84" s="1908">
        <f>FZ69*1000</f>
        <v>8900</v>
      </c>
      <c r="GA84" s="1907">
        <f>20*GB69</f>
        <v>204</v>
      </c>
      <c r="GB84" s="1908">
        <f>GB69*1000</f>
        <v>10200</v>
      </c>
      <c r="GC84" s="1907">
        <f>20*GD69</f>
        <v>202</v>
      </c>
      <c r="GD84" s="1908">
        <f>GD69*1000</f>
        <v>10100</v>
      </c>
      <c r="GE84" s="1907">
        <f>20*GF69</f>
        <v>198</v>
      </c>
      <c r="GF84" s="1908">
        <f>GF69*1000</f>
        <v>9900</v>
      </c>
      <c r="GG84" s="1907">
        <f>20*GH69</f>
        <v>196</v>
      </c>
      <c r="GH84" s="1908">
        <f>GH69*1000</f>
        <v>9800</v>
      </c>
      <c r="GI84" s="1907">
        <f>20*GJ69</f>
        <v>146</v>
      </c>
      <c r="GJ84" s="1908">
        <f>GJ69*1000</f>
        <v>7300</v>
      </c>
      <c r="GK84" s="1907">
        <f>20*GL69</f>
        <v>144</v>
      </c>
      <c r="GL84" s="1908">
        <f>GL69*1000</f>
        <v>7200</v>
      </c>
      <c r="GM84" s="1907">
        <f>20*GN69</f>
        <v>142</v>
      </c>
      <c r="GN84" s="1908">
        <f>GN69*1000</f>
        <v>7100</v>
      </c>
      <c r="GO84" s="1907">
        <f>20*GP69</f>
        <v>140</v>
      </c>
      <c r="GP84" s="1908">
        <f>GP69*1000</f>
        <v>7000</v>
      </c>
      <c r="GQ84" s="1907">
        <f>20*GR69</f>
        <v>166</v>
      </c>
      <c r="GR84" s="1908">
        <f>GR69*1000</f>
        <v>8300</v>
      </c>
      <c r="GS84" s="1907">
        <f>20*GT69</f>
        <v>164</v>
      </c>
      <c r="GT84" s="1908">
        <f>GT69*1000</f>
        <v>8200</v>
      </c>
      <c r="GU84" s="1907">
        <f>20*GV69</f>
        <v>162</v>
      </c>
      <c r="GV84" s="1908">
        <f>GV69*1000</f>
        <v>8100</v>
      </c>
      <c r="GW84" s="1907">
        <f>20*GX69</f>
        <v>158</v>
      </c>
      <c r="GX84" s="1908">
        <f>GX69*1000</f>
        <v>7900</v>
      </c>
      <c r="GY84" s="1907">
        <f>20*GZ69</f>
        <v>186</v>
      </c>
      <c r="GZ84" s="1908">
        <f>GZ69*1000</f>
        <v>9300</v>
      </c>
      <c r="HA84" s="1907">
        <f>20*HB69</f>
        <v>182</v>
      </c>
      <c r="HB84" s="1908">
        <f>HB69*1000</f>
        <v>9100</v>
      </c>
      <c r="HC84" s="1907">
        <f>20*HD69</f>
        <v>180</v>
      </c>
      <c r="HD84" s="1908">
        <f>HD69*1000</f>
        <v>9000</v>
      </c>
      <c r="HE84" s="1907">
        <f>20*HF69</f>
        <v>178</v>
      </c>
      <c r="HF84" s="1908">
        <f>HF69*1000</f>
        <v>8900</v>
      </c>
      <c r="HG84" s="1907">
        <f>20*HH69</f>
        <v>204</v>
      </c>
      <c r="HH84" s="1908">
        <f>HH69*1000</f>
        <v>10200</v>
      </c>
      <c r="HI84" s="1907">
        <f>20*HJ69</f>
        <v>202</v>
      </c>
      <c r="HJ84" s="1908">
        <f>HJ69*1000</f>
        <v>10100</v>
      </c>
      <c r="HK84" s="1907">
        <f>20*HL69</f>
        <v>200</v>
      </c>
      <c r="HL84" s="1908">
        <f>HL69*1000</f>
        <v>10000</v>
      </c>
      <c r="HM84" s="1907">
        <f>20*HN69</f>
        <v>196</v>
      </c>
      <c r="HN84" s="1909">
        <f>HN69*1000</f>
        <v>9800</v>
      </c>
    </row>
    <row r="85" spans="2:222">
      <c r="B85" s="1729"/>
      <c r="C85" s="1729"/>
      <c r="H85" s="1905" t="s">
        <v>25</v>
      </c>
      <c r="I85" s="1892">
        <f>0.5*J69</f>
        <v>3.1749999999999998</v>
      </c>
      <c r="J85" s="1906">
        <f>J69*50</f>
        <v>317.5</v>
      </c>
      <c r="K85" s="1892">
        <f>0.5*L69</f>
        <v>3.28</v>
      </c>
      <c r="L85" s="1906">
        <f>L69*50</f>
        <v>328</v>
      </c>
      <c r="M85" s="1892">
        <f>0.5*N69</f>
        <v>3.32</v>
      </c>
      <c r="N85" s="1906">
        <f>N69*50</f>
        <v>332</v>
      </c>
      <c r="O85" s="1892">
        <f>0.5*P69</f>
        <v>3.27</v>
      </c>
      <c r="P85" s="1906">
        <f>P69*50</f>
        <v>327</v>
      </c>
      <c r="Q85" s="1892">
        <f>0.5*R69</f>
        <v>3.64</v>
      </c>
      <c r="R85" s="1906">
        <f>R69*50</f>
        <v>364</v>
      </c>
      <c r="S85" s="1892">
        <f>0.5*T69</f>
        <v>3.76</v>
      </c>
      <c r="T85" s="1906">
        <f>T69*50</f>
        <v>376</v>
      </c>
      <c r="U85" s="1892">
        <f>0.5*V69</f>
        <v>3.8050000000000002</v>
      </c>
      <c r="V85" s="1906">
        <f>V69*50</f>
        <v>380.5</v>
      </c>
      <c r="W85" s="1892">
        <f>0.5*X69</f>
        <v>3.7050000000000001</v>
      </c>
      <c r="X85" s="1906">
        <f>X69*50</f>
        <v>370.5</v>
      </c>
      <c r="Y85" s="1892">
        <f>0.5*Z69</f>
        <v>4.085</v>
      </c>
      <c r="Z85" s="1906">
        <f>Z69*50</f>
        <v>408.5</v>
      </c>
      <c r="AA85" s="1907">
        <f>0.5*AB69</f>
        <v>4.22</v>
      </c>
      <c r="AB85" s="1908">
        <f>AB69*50</f>
        <v>422</v>
      </c>
      <c r="AC85" s="1907">
        <f>0.5*AD69</f>
        <v>4.2750000000000004</v>
      </c>
      <c r="AD85" s="1908">
        <f>AD69*50</f>
        <v>427.50000000000006</v>
      </c>
      <c r="AE85" s="1907">
        <f>0.5*AF69</f>
        <v>4.2050000000000001</v>
      </c>
      <c r="AF85" s="1908">
        <f>AF69*50</f>
        <v>420.5</v>
      </c>
      <c r="AG85" s="1907">
        <f>0.5*AH69</f>
        <v>4.5149999999999997</v>
      </c>
      <c r="AH85" s="1908">
        <f>AH69*50</f>
        <v>451.49999999999994</v>
      </c>
      <c r="AI85" s="1907">
        <f>0.5*AJ69</f>
        <v>4.665</v>
      </c>
      <c r="AJ85" s="1908">
        <f>AJ69*50</f>
        <v>466.5</v>
      </c>
      <c r="AK85" s="1907">
        <f>0.5*AL69</f>
        <v>4.7249999999999996</v>
      </c>
      <c r="AL85" s="1908">
        <f>AL69*50</f>
        <v>472.49999999999994</v>
      </c>
      <c r="AM85" s="1907">
        <f>0.5*AN69</f>
        <v>4.6500000000000004</v>
      </c>
      <c r="AN85" s="1908">
        <f>AN69*50</f>
        <v>465.00000000000006</v>
      </c>
      <c r="AO85" s="1907">
        <f>0.5*AP69</f>
        <v>4.9349999999999996</v>
      </c>
      <c r="AP85" s="1908">
        <f>AP69*50</f>
        <v>493.49999999999994</v>
      </c>
      <c r="AQ85" s="1907">
        <f>0.5*AR69</f>
        <v>5.0949999999999998</v>
      </c>
      <c r="AR85" s="1908">
        <f>AR69*50</f>
        <v>509.5</v>
      </c>
      <c r="AS85" s="1907">
        <f>0.5*AT69</f>
        <v>5.16</v>
      </c>
      <c r="AT85" s="1908">
        <f>AT69*50</f>
        <v>516</v>
      </c>
      <c r="AU85" s="1907">
        <f>0.5*AV69</f>
        <v>5.08</v>
      </c>
      <c r="AV85" s="1908">
        <f>AV69*50</f>
        <v>508</v>
      </c>
      <c r="AW85" s="1907">
        <f>0.5*AX69</f>
        <v>5.34</v>
      </c>
      <c r="AX85" s="1908">
        <f>AX69*50</f>
        <v>534</v>
      </c>
      <c r="AY85" s="1907">
        <f>0.5*AZ69</f>
        <v>5.5149999999999997</v>
      </c>
      <c r="AZ85" s="1908">
        <f>AZ69*50</f>
        <v>551.5</v>
      </c>
      <c r="BA85" s="1907">
        <f>0.5*BB69</f>
        <v>5.585</v>
      </c>
      <c r="BB85" s="1908">
        <f>BB69*50</f>
        <v>558.5</v>
      </c>
      <c r="BC85" s="1907">
        <f>0.5*BD69</f>
        <v>5.4950000000000001</v>
      </c>
      <c r="BD85" s="1908">
        <f>BD69*50</f>
        <v>549.5</v>
      </c>
      <c r="BE85" s="1907">
        <f>0.5*BF69</f>
        <v>3.105</v>
      </c>
      <c r="BF85" s="1908">
        <f>BF69*50</f>
        <v>310.5</v>
      </c>
      <c r="BG85" s="1907">
        <f>0.5*BH69</f>
        <v>3.2149999999999999</v>
      </c>
      <c r="BH85" s="1908">
        <f>BH69*50</f>
        <v>321.5</v>
      </c>
      <c r="BI85" s="1907">
        <f>0.5*BJ69</f>
        <v>3.29</v>
      </c>
      <c r="BJ85" s="1908">
        <f>BJ69*50</f>
        <v>329</v>
      </c>
      <c r="BK85" s="1907">
        <f>0.5*BL69</f>
        <v>3.32</v>
      </c>
      <c r="BL85" s="1908">
        <f>BL69*50</f>
        <v>332</v>
      </c>
      <c r="BM85" s="1907">
        <f>0.5*BN69</f>
        <v>3.29</v>
      </c>
      <c r="BN85" s="1908">
        <f>BN69*50</f>
        <v>329</v>
      </c>
      <c r="BO85" s="1907">
        <f>0.5*BP69</f>
        <v>3.56</v>
      </c>
      <c r="BP85" s="1908">
        <f>BP69*50</f>
        <v>356</v>
      </c>
      <c r="BQ85" s="1907">
        <f>0.5*BR69</f>
        <v>3.6850000000000001</v>
      </c>
      <c r="BR85" s="1908">
        <f>BR69*50</f>
        <v>368.5</v>
      </c>
      <c r="BS85" s="1907">
        <f>0.5*BT69</f>
        <v>3.77</v>
      </c>
      <c r="BT85" s="1908">
        <f>BT69*50</f>
        <v>377</v>
      </c>
      <c r="BU85" s="1907">
        <f>0.5*BV69</f>
        <v>3.8050000000000002</v>
      </c>
      <c r="BV85" s="1908">
        <f>BV69*50</f>
        <v>380.5</v>
      </c>
      <c r="BW85" s="1907">
        <f>0.5*BX69</f>
        <v>3.7749999999999999</v>
      </c>
      <c r="BX85" s="1908">
        <f>BX69*50</f>
        <v>377.5</v>
      </c>
      <c r="BY85" s="1907">
        <f>0.5*BZ69</f>
        <v>3.9950000000000001</v>
      </c>
      <c r="BZ85" s="1908">
        <f>BZ69*50</f>
        <v>399.5</v>
      </c>
      <c r="CA85" s="1907">
        <f>0.5*CB69</f>
        <v>4.1399999999999997</v>
      </c>
      <c r="CB85" s="1908">
        <f>CB69*50</f>
        <v>413.99999999999994</v>
      </c>
      <c r="CC85" s="1907">
        <f>0.5*CD69</f>
        <v>4.2300000000000004</v>
      </c>
      <c r="CD85" s="1908">
        <f>CD69*50</f>
        <v>423.00000000000006</v>
      </c>
      <c r="CE85" s="1907">
        <f>0.5*CF69</f>
        <v>4.2699999999999996</v>
      </c>
      <c r="CF85" s="1908">
        <f>CF69*50</f>
        <v>426.99999999999994</v>
      </c>
      <c r="CG85" s="1907">
        <f>0.5*CH69</f>
        <v>4.2350000000000003</v>
      </c>
      <c r="CH85" s="1908">
        <f>CH69*50</f>
        <v>423.50000000000006</v>
      </c>
      <c r="CI85" s="1907">
        <f>0.5*CJ69</f>
        <v>4.415</v>
      </c>
      <c r="CJ85" s="1908">
        <f>CJ69*50</f>
        <v>441.5</v>
      </c>
      <c r="CK85" s="1907">
        <f>0.5*CL69</f>
        <v>4.5750000000000002</v>
      </c>
      <c r="CL85" s="1908">
        <f>CL69*50</f>
        <v>457.5</v>
      </c>
      <c r="CM85" s="1907">
        <f>0.5*CN69</f>
        <v>4.68</v>
      </c>
      <c r="CN85" s="1908">
        <f>CN69*50</f>
        <v>468</v>
      </c>
      <c r="CO85" s="1907">
        <f>0.5*CP69</f>
        <v>4.72</v>
      </c>
      <c r="CP85" s="1908">
        <f>CP69*50</f>
        <v>472</v>
      </c>
      <c r="CQ85" s="1907">
        <f>0.5*CR69</f>
        <v>4.6849999999999996</v>
      </c>
      <c r="CR85" s="1908">
        <f>CR69*50</f>
        <v>468.49999999999994</v>
      </c>
      <c r="CS85" s="1907">
        <f>0.5*CT69</f>
        <v>4.8250000000000002</v>
      </c>
      <c r="CT85" s="1908">
        <f>CT69*50</f>
        <v>482.5</v>
      </c>
      <c r="CU85" s="1907">
        <f>0.5*CV69</f>
        <v>4.9950000000000001</v>
      </c>
      <c r="CV85" s="1908">
        <f>CV69*50</f>
        <v>499.5</v>
      </c>
      <c r="CW85" s="1907">
        <f>0.5*CX69</f>
        <v>5.1100000000000003</v>
      </c>
      <c r="CX85" s="1908">
        <f>CX69*50</f>
        <v>511.00000000000006</v>
      </c>
      <c r="CY85" s="1907">
        <f>0.5*CZ69</f>
        <v>5.16</v>
      </c>
      <c r="CZ85" s="1908">
        <f>CZ69*50</f>
        <v>516</v>
      </c>
      <c r="DA85" s="1907">
        <f>0.5*DB69</f>
        <v>5.1150000000000002</v>
      </c>
      <c r="DB85" s="1908">
        <f>DB69*50</f>
        <v>511.5</v>
      </c>
      <c r="DC85" s="1907">
        <f>0.5*DD69</f>
        <v>5.22</v>
      </c>
      <c r="DD85" s="1908">
        <f>DD69*50</f>
        <v>522</v>
      </c>
      <c r="DE85" s="1907">
        <f>0.5*DF69</f>
        <v>5.41</v>
      </c>
      <c r="DF85" s="1908">
        <f>DF69*50</f>
        <v>541</v>
      </c>
      <c r="DG85" s="1907">
        <f>0.5*DH69</f>
        <v>5.53</v>
      </c>
      <c r="DH85" s="1908">
        <f>DH69*50</f>
        <v>553</v>
      </c>
      <c r="DI85" s="1907">
        <f>0.5*DJ69</f>
        <v>5.585</v>
      </c>
      <c r="DJ85" s="1908">
        <f>DJ69*50</f>
        <v>558.5</v>
      </c>
      <c r="DK85" s="1907">
        <f>0.5*DL69</f>
        <v>5.5350000000000001</v>
      </c>
      <c r="DL85" s="1908">
        <f>DL69*50</f>
        <v>553.5</v>
      </c>
      <c r="DM85" s="1907">
        <f>0.5*DN69</f>
        <v>5.61</v>
      </c>
      <c r="DN85" s="1908">
        <f>DN69*50</f>
        <v>561</v>
      </c>
      <c r="DO85" s="1907">
        <f>0.5*DP69</f>
        <v>5.81</v>
      </c>
      <c r="DP85" s="1908">
        <f>DP69*50</f>
        <v>581</v>
      </c>
      <c r="DQ85" s="1907">
        <f>0.5*DR69</f>
        <v>5.94</v>
      </c>
      <c r="DR85" s="1908">
        <f>DR69*50</f>
        <v>594</v>
      </c>
      <c r="DS85" s="1907">
        <f>0.5*DT69</f>
        <v>5.9950000000000001</v>
      </c>
      <c r="DT85" s="1908">
        <f>DT69*50</f>
        <v>599.5</v>
      </c>
      <c r="DU85" s="1907">
        <f>0.5*DV69</f>
        <v>5.9450000000000003</v>
      </c>
      <c r="DV85" s="1908">
        <f>DV69*50</f>
        <v>594.5</v>
      </c>
      <c r="DW85" s="1907">
        <f>0.5*DX69</f>
        <v>3.65</v>
      </c>
      <c r="DX85" s="1908">
        <f>DX69*50</f>
        <v>365</v>
      </c>
      <c r="DY85" s="1907">
        <f>0.5*DZ69</f>
        <v>3.6</v>
      </c>
      <c r="DZ85" s="1908">
        <f>DZ69*50</f>
        <v>360</v>
      </c>
      <c r="EA85" s="1907">
        <f>0.5*EB69</f>
        <v>3.5</v>
      </c>
      <c r="EB85" s="1908">
        <f>EB69*50</f>
        <v>350</v>
      </c>
      <c r="EC85" s="1907">
        <f>0.5*ED69</f>
        <v>3.45</v>
      </c>
      <c r="ED85" s="1908">
        <f>ED69*50</f>
        <v>345</v>
      </c>
      <c r="EE85" s="1907">
        <f>0.5*EF69</f>
        <v>4.0999999999999996</v>
      </c>
      <c r="EF85" s="1908">
        <f>EF69*50</f>
        <v>409.99999999999994</v>
      </c>
      <c r="EG85" s="1907">
        <f>0.5*EH69</f>
        <v>4.05</v>
      </c>
      <c r="EH85" s="1908">
        <f>EH69*50</f>
        <v>405</v>
      </c>
      <c r="EI85" s="1907">
        <f>0.5*EJ69</f>
        <v>4</v>
      </c>
      <c r="EJ85" s="1908">
        <f>EJ69*50</f>
        <v>400</v>
      </c>
      <c r="EK85" s="1907">
        <f>0.5*EL69</f>
        <v>3.95</v>
      </c>
      <c r="EL85" s="1908">
        <f>EL69*50</f>
        <v>395</v>
      </c>
      <c r="EM85" s="1907">
        <f>0.5*EN69</f>
        <v>4.5999999999999996</v>
      </c>
      <c r="EN85" s="1908">
        <f>EN69*50</f>
        <v>459.99999999999994</v>
      </c>
      <c r="EO85" s="1907">
        <f>0.5*EP69</f>
        <v>4.55</v>
      </c>
      <c r="EP85" s="1908">
        <f>EP69*50</f>
        <v>455</v>
      </c>
      <c r="EQ85" s="1907">
        <f>0.5*ER69</f>
        <v>4.45</v>
      </c>
      <c r="ER85" s="1908">
        <f>ER69*50</f>
        <v>445</v>
      </c>
      <c r="ES85" s="1907">
        <f>0.5*ET69</f>
        <v>4.4000000000000004</v>
      </c>
      <c r="ET85" s="1908">
        <f>ET69*50</f>
        <v>440.00000000000006</v>
      </c>
      <c r="EU85" s="1907">
        <f>0.5*EV69</f>
        <v>5.05</v>
      </c>
      <c r="EV85" s="1908">
        <f>EV69*50</f>
        <v>505</v>
      </c>
      <c r="EW85" s="1907">
        <f>0.5*EX69</f>
        <v>5</v>
      </c>
      <c r="EX85" s="1908">
        <f>EX69*50</f>
        <v>500</v>
      </c>
      <c r="EY85" s="1907">
        <f>0.5*EZ69</f>
        <v>4.95</v>
      </c>
      <c r="EZ85" s="1908">
        <f>EZ69*50</f>
        <v>495</v>
      </c>
      <c r="FA85" s="1907">
        <f>0.5*FB69</f>
        <v>4.9000000000000004</v>
      </c>
      <c r="FB85" s="1908">
        <f>FB69*50</f>
        <v>490.00000000000006</v>
      </c>
      <c r="FC85" s="1907">
        <f>0.5*FD69</f>
        <v>3.65</v>
      </c>
      <c r="FD85" s="1908">
        <f>FD69*50</f>
        <v>365</v>
      </c>
      <c r="FE85" s="1907">
        <f>0.5*FF69</f>
        <v>3.6</v>
      </c>
      <c r="FF85" s="1908">
        <f>FF69*50</f>
        <v>360</v>
      </c>
      <c r="FG85" s="1907">
        <f>0.5*FH69</f>
        <v>3.55</v>
      </c>
      <c r="FH85" s="1908">
        <f>FH69*50</f>
        <v>355</v>
      </c>
      <c r="FI85" s="1907">
        <f>0.5*FJ69</f>
        <v>3.45</v>
      </c>
      <c r="FJ85" s="1908">
        <f>FJ69*50</f>
        <v>345</v>
      </c>
      <c r="FK85" s="1907">
        <f>0.5*FL69</f>
        <v>4.1500000000000004</v>
      </c>
      <c r="FL85" s="1908">
        <f>FL69*50</f>
        <v>415.00000000000006</v>
      </c>
      <c r="FM85" s="1907">
        <f>0.5*FN69</f>
        <v>4.05</v>
      </c>
      <c r="FN85" s="1908">
        <f>FN69*50</f>
        <v>405</v>
      </c>
      <c r="FO85" s="1907">
        <f>0.5*FP69</f>
        <v>4</v>
      </c>
      <c r="FP85" s="1908">
        <f>FP69*50</f>
        <v>400</v>
      </c>
      <c r="FQ85" s="1907">
        <f>0.5*FR69</f>
        <v>3.95</v>
      </c>
      <c r="FR85" s="1908">
        <f>FR69*50</f>
        <v>395</v>
      </c>
      <c r="FS85" s="1907">
        <f>0.5*FT69</f>
        <v>4.5999999999999996</v>
      </c>
      <c r="FT85" s="1908">
        <f>FT69*50</f>
        <v>459.99999999999994</v>
      </c>
      <c r="FU85" s="1907">
        <f>0.5*FV69</f>
        <v>4.55</v>
      </c>
      <c r="FV85" s="1908">
        <f>FV69*50</f>
        <v>455</v>
      </c>
      <c r="FW85" s="1907">
        <f>0.5*FX69</f>
        <v>4.5</v>
      </c>
      <c r="FX85" s="1908">
        <f>FX69*50</f>
        <v>450</v>
      </c>
      <c r="FY85" s="1907">
        <f>0.5*FZ69</f>
        <v>4.45</v>
      </c>
      <c r="FZ85" s="1908">
        <f>FZ69*50</f>
        <v>445</v>
      </c>
      <c r="GA85" s="1907">
        <f>0.5*GB69</f>
        <v>5.0999999999999996</v>
      </c>
      <c r="GB85" s="1908">
        <f>GB69*50</f>
        <v>509.99999999999994</v>
      </c>
      <c r="GC85" s="1907">
        <f>0.5*GD69</f>
        <v>5.05</v>
      </c>
      <c r="GD85" s="1908">
        <f>GD69*50</f>
        <v>505</v>
      </c>
      <c r="GE85" s="1907">
        <f>0.5*GF69</f>
        <v>4.95</v>
      </c>
      <c r="GF85" s="1908">
        <f>GF69*50</f>
        <v>495</v>
      </c>
      <c r="GG85" s="1907">
        <f>0.5*GH69</f>
        <v>4.9000000000000004</v>
      </c>
      <c r="GH85" s="1908">
        <f>GH69*50</f>
        <v>490.00000000000006</v>
      </c>
      <c r="GI85" s="1907">
        <f>0.5*GJ69</f>
        <v>3.65</v>
      </c>
      <c r="GJ85" s="1908">
        <f>GJ69*50</f>
        <v>365</v>
      </c>
      <c r="GK85" s="1907">
        <f>0.5*GL69</f>
        <v>3.6</v>
      </c>
      <c r="GL85" s="1908">
        <f>GL69*50</f>
        <v>360</v>
      </c>
      <c r="GM85" s="1907">
        <f>0.5*GN69</f>
        <v>3.55</v>
      </c>
      <c r="GN85" s="1908">
        <f>GN69*50</f>
        <v>355</v>
      </c>
      <c r="GO85" s="1907">
        <f>0.5*GP69</f>
        <v>3.5</v>
      </c>
      <c r="GP85" s="1908">
        <f>GP69*50</f>
        <v>350</v>
      </c>
      <c r="GQ85" s="1907">
        <f>0.5*GR69</f>
        <v>4.1500000000000004</v>
      </c>
      <c r="GR85" s="1908">
        <f>GR69*50</f>
        <v>415.00000000000006</v>
      </c>
      <c r="GS85" s="1907">
        <f>0.5*GT69</f>
        <v>4.0999999999999996</v>
      </c>
      <c r="GT85" s="1908">
        <f>GT69*50</f>
        <v>409.99999999999994</v>
      </c>
      <c r="GU85" s="1907">
        <f>0.5*GV69</f>
        <v>4.05</v>
      </c>
      <c r="GV85" s="1908">
        <f>GV69*50</f>
        <v>405</v>
      </c>
      <c r="GW85" s="1907">
        <f>0.5*GX69</f>
        <v>3.95</v>
      </c>
      <c r="GX85" s="1908">
        <f>GX69*50</f>
        <v>395</v>
      </c>
      <c r="GY85" s="1907">
        <f>0.5*GZ69</f>
        <v>4.6500000000000004</v>
      </c>
      <c r="GZ85" s="1908">
        <f>GZ69*50</f>
        <v>465.00000000000006</v>
      </c>
      <c r="HA85" s="1907">
        <f>0.5*HB69</f>
        <v>4.55</v>
      </c>
      <c r="HB85" s="1908">
        <f>HB69*50</f>
        <v>455</v>
      </c>
      <c r="HC85" s="1907">
        <f>0.5*HD69</f>
        <v>4.5</v>
      </c>
      <c r="HD85" s="1908">
        <f>HD69*50</f>
        <v>450</v>
      </c>
      <c r="HE85" s="1907">
        <f>0.5*HF69</f>
        <v>4.45</v>
      </c>
      <c r="HF85" s="1908">
        <f>HF69*50</f>
        <v>445</v>
      </c>
      <c r="HG85" s="1907">
        <f>0.5*HH69</f>
        <v>5.0999999999999996</v>
      </c>
      <c r="HH85" s="1908">
        <f>HH69*50</f>
        <v>509.99999999999994</v>
      </c>
      <c r="HI85" s="1907">
        <f>0.5*HJ69</f>
        <v>5.05</v>
      </c>
      <c r="HJ85" s="1908">
        <f>HJ69*50</f>
        <v>505</v>
      </c>
      <c r="HK85" s="1907">
        <f>0.5*HL69</f>
        <v>5</v>
      </c>
      <c r="HL85" s="1908">
        <f>HL69*50</f>
        <v>500</v>
      </c>
      <c r="HM85" s="1907">
        <f>0.5*HN69</f>
        <v>4.9000000000000004</v>
      </c>
      <c r="HN85" s="1909">
        <f>HN69*50</f>
        <v>490.00000000000006</v>
      </c>
    </row>
    <row r="86" spans="2:222">
      <c r="B86" s="1729"/>
      <c r="C86" s="1729"/>
      <c r="H86" s="1905" t="s">
        <v>26</v>
      </c>
      <c r="I86" s="1892">
        <f>0.2*J69</f>
        <v>1.27</v>
      </c>
      <c r="J86" s="1906">
        <f>J69*10</f>
        <v>63.5</v>
      </c>
      <c r="K86" s="1892">
        <f>0.2*L69</f>
        <v>1.3120000000000001</v>
      </c>
      <c r="L86" s="1906">
        <f>L69*10</f>
        <v>65.599999999999994</v>
      </c>
      <c r="M86" s="1892">
        <f>0.2*N69</f>
        <v>1.3280000000000001</v>
      </c>
      <c r="N86" s="1906">
        <f>N69*10</f>
        <v>66.399999999999991</v>
      </c>
      <c r="O86" s="1892">
        <f>0.2*P69</f>
        <v>1.3080000000000001</v>
      </c>
      <c r="P86" s="1906">
        <f>P69*10</f>
        <v>65.400000000000006</v>
      </c>
      <c r="Q86" s="1892">
        <f>0.2*R69</f>
        <v>1.4560000000000002</v>
      </c>
      <c r="R86" s="1906">
        <f>R69*10</f>
        <v>72.8</v>
      </c>
      <c r="S86" s="1892">
        <f>0.2*T69</f>
        <v>1.504</v>
      </c>
      <c r="T86" s="1906">
        <f>T69*10</f>
        <v>75.199999999999989</v>
      </c>
      <c r="U86" s="1892">
        <f>0.2*V69</f>
        <v>1.5220000000000002</v>
      </c>
      <c r="V86" s="1906">
        <f>V69*10</f>
        <v>76.100000000000009</v>
      </c>
      <c r="W86" s="1892">
        <f>0.2*X69</f>
        <v>1.4820000000000002</v>
      </c>
      <c r="X86" s="1906">
        <f>X69*10</f>
        <v>74.099999999999994</v>
      </c>
      <c r="Y86" s="1892">
        <f>0.2*Z69</f>
        <v>1.6340000000000001</v>
      </c>
      <c r="Z86" s="1906">
        <f>Z69*10</f>
        <v>81.7</v>
      </c>
      <c r="AA86" s="1907">
        <f>0.2*AB69</f>
        <v>1.6879999999999999</v>
      </c>
      <c r="AB86" s="1908">
        <f>AB69*10</f>
        <v>84.399999999999991</v>
      </c>
      <c r="AC86" s="1907">
        <f>0.2*AD69</f>
        <v>1.7100000000000002</v>
      </c>
      <c r="AD86" s="1908">
        <f>AD69*10</f>
        <v>85.5</v>
      </c>
      <c r="AE86" s="1907">
        <f>0.2*AF69</f>
        <v>1.6820000000000002</v>
      </c>
      <c r="AF86" s="1908">
        <f>AF69*10</f>
        <v>84.1</v>
      </c>
      <c r="AG86" s="1907">
        <f>0.2*AH69</f>
        <v>1.806</v>
      </c>
      <c r="AH86" s="1908">
        <f>AH69*10</f>
        <v>90.3</v>
      </c>
      <c r="AI86" s="1907">
        <f>0.2*AJ69</f>
        <v>1.8660000000000001</v>
      </c>
      <c r="AJ86" s="1908">
        <f>AJ69*10</f>
        <v>93.3</v>
      </c>
      <c r="AK86" s="1907">
        <f>0.2*AL69</f>
        <v>1.89</v>
      </c>
      <c r="AL86" s="1908">
        <f>AL69*10</f>
        <v>94.5</v>
      </c>
      <c r="AM86" s="1907">
        <f>0.2*AN69</f>
        <v>1.8600000000000003</v>
      </c>
      <c r="AN86" s="1908">
        <f>AN69*10</f>
        <v>93</v>
      </c>
      <c r="AO86" s="1907">
        <f>0.2*AP69</f>
        <v>1.974</v>
      </c>
      <c r="AP86" s="1908">
        <f>AP69*10</f>
        <v>98.699999999999989</v>
      </c>
      <c r="AQ86" s="1907">
        <f>0.2*AR69</f>
        <v>2.0379999999999998</v>
      </c>
      <c r="AR86" s="1908">
        <f>AR69*10</f>
        <v>101.89999999999999</v>
      </c>
      <c r="AS86" s="1907">
        <f>0.2*AT69</f>
        <v>2.0640000000000001</v>
      </c>
      <c r="AT86" s="1908">
        <f>AT69*10</f>
        <v>103.2</v>
      </c>
      <c r="AU86" s="1907">
        <f>0.2*AV69</f>
        <v>2.032</v>
      </c>
      <c r="AV86" s="1908">
        <f>AV69*10</f>
        <v>101.6</v>
      </c>
      <c r="AW86" s="1907">
        <f>0.2*AX69</f>
        <v>2.1360000000000001</v>
      </c>
      <c r="AX86" s="1908">
        <f>AX69*10</f>
        <v>106.8</v>
      </c>
      <c r="AY86" s="1907">
        <f>0.2*AZ69</f>
        <v>2.206</v>
      </c>
      <c r="AZ86" s="1908">
        <f>AZ69*10</f>
        <v>110.3</v>
      </c>
      <c r="BA86" s="1907">
        <f>0.2*BB69</f>
        <v>2.234</v>
      </c>
      <c r="BB86" s="1908">
        <f>BB69*10</f>
        <v>111.7</v>
      </c>
      <c r="BC86" s="1907">
        <f>0.2*BD69</f>
        <v>2.198</v>
      </c>
      <c r="BD86" s="1908">
        <f>BD69*10</f>
        <v>109.9</v>
      </c>
      <c r="BE86" s="1907">
        <f>0.2*BF69</f>
        <v>1.242</v>
      </c>
      <c r="BF86" s="1908">
        <f>BF69*10</f>
        <v>62.1</v>
      </c>
      <c r="BG86" s="1907">
        <f>0.2*BH69</f>
        <v>1.286</v>
      </c>
      <c r="BH86" s="1908">
        <f>BH69*10</f>
        <v>64.3</v>
      </c>
      <c r="BI86" s="1907">
        <f>0.2*BJ69</f>
        <v>1.3160000000000001</v>
      </c>
      <c r="BJ86" s="1908">
        <f>BJ69*10</f>
        <v>65.8</v>
      </c>
      <c r="BK86" s="1907">
        <f>0.2*BL69</f>
        <v>1.3280000000000001</v>
      </c>
      <c r="BL86" s="1908">
        <f>BL69*10</f>
        <v>66.399999999999991</v>
      </c>
      <c r="BM86" s="1907">
        <f>0.2*BN69</f>
        <v>1.3160000000000001</v>
      </c>
      <c r="BN86" s="1908">
        <f>BN69*10</f>
        <v>65.8</v>
      </c>
      <c r="BO86" s="1907">
        <f>0.2*BP69</f>
        <v>1.4240000000000002</v>
      </c>
      <c r="BP86" s="1908">
        <f>BP69*10</f>
        <v>71.2</v>
      </c>
      <c r="BQ86" s="1907">
        <f>0.2*BR69</f>
        <v>1.4740000000000002</v>
      </c>
      <c r="BR86" s="1908">
        <f>BR69*10</f>
        <v>73.7</v>
      </c>
      <c r="BS86" s="1907">
        <f>0.2*BT69</f>
        <v>1.508</v>
      </c>
      <c r="BT86" s="1908">
        <f>BT69*10</f>
        <v>75.400000000000006</v>
      </c>
      <c r="BU86" s="1907">
        <f>0.2*BV69</f>
        <v>1.5220000000000002</v>
      </c>
      <c r="BV86" s="1908">
        <f>BV69*10</f>
        <v>76.100000000000009</v>
      </c>
      <c r="BW86" s="1907">
        <f>0.2*BX69</f>
        <v>1.51</v>
      </c>
      <c r="BX86" s="1908">
        <f>BX69*10</f>
        <v>75.5</v>
      </c>
      <c r="BY86" s="1907">
        <f>0.2*BZ69</f>
        <v>1.5980000000000001</v>
      </c>
      <c r="BZ86" s="1908">
        <f>BZ69*10</f>
        <v>79.900000000000006</v>
      </c>
      <c r="CA86" s="1907">
        <f>0.2*CB69</f>
        <v>1.6559999999999999</v>
      </c>
      <c r="CB86" s="1908">
        <f>CB69*10</f>
        <v>82.8</v>
      </c>
      <c r="CC86" s="1907">
        <f>0.2*CD69</f>
        <v>1.6920000000000002</v>
      </c>
      <c r="CD86" s="1908">
        <f>CD69*10</f>
        <v>84.600000000000009</v>
      </c>
      <c r="CE86" s="1907">
        <f>0.2*CF69</f>
        <v>1.708</v>
      </c>
      <c r="CF86" s="1908">
        <f>CF69*10</f>
        <v>85.399999999999991</v>
      </c>
      <c r="CG86" s="1907">
        <f>0.2*CH69</f>
        <v>1.6940000000000002</v>
      </c>
      <c r="CH86" s="1908">
        <f>CH69*10</f>
        <v>84.7</v>
      </c>
      <c r="CI86" s="1907">
        <f>0.2*CJ69</f>
        <v>1.766</v>
      </c>
      <c r="CJ86" s="1908">
        <f>CJ69*10</f>
        <v>88.3</v>
      </c>
      <c r="CK86" s="1907">
        <f>0.2*CL69</f>
        <v>1.83</v>
      </c>
      <c r="CL86" s="1908">
        <f>CL69*10</f>
        <v>91.5</v>
      </c>
      <c r="CM86" s="1907">
        <f>0.2*CN69</f>
        <v>1.8719999999999999</v>
      </c>
      <c r="CN86" s="1908">
        <f>CN69*10</f>
        <v>93.6</v>
      </c>
      <c r="CO86" s="1907">
        <f>0.2*CP69</f>
        <v>1.8879999999999999</v>
      </c>
      <c r="CP86" s="1908">
        <f>CP69*10</f>
        <v>94.399999999999991</v>
      </c>
      <c r="CQ86" s="1907">
        <f>0.2*CR69</f>
        <v>1.8739999999999999</v>
      </c>
      <c r="CR86" s="1908">
        <f>CR69*10</f>
        <v>93.699999999999989</v>
      </c>
      <c r="CS86" s="1907">
        <f>0.2*CT69</f>
        <v>1.9300000000000002</v>
      </c>
      <c r="CT86" s="1908">
        <f>CT69*10</f>
        <v>96.5</v>
      </c>
      <c r="CU86" s="1907">
        <f>0.2*CV69</f>
        <v>1.9980000000000002</v>
      </c>
      <c r="CV86" s="1908">
        <f>CV69*10</f>
        <v>99.9</v>
      </c>
      <c r="CW86" s="1907">
        <f>0.2*CX69</f>
        <v>2.044</v>
      </c>
      <c r="CX86" s="1908">
        <f>CX69*10</f>
        <v>102.2</v>
      </c>
      <c r="CY86" s="1907">
        <f>0.2*CZ69</f>
        <v>2.0640000000000001</v>
      </c>
      <c r="CZ86" s="1908">
        <f>CZ69*10</f>
        <v>103.2</v>
      </c>
      <c r="DA86" s="1907">
        <f>0.2*DB69</f>
        <v>2.0460000000000003</v>
      </c>
      <c r="DB86" s="1908">
        <f>DB69*10</f>
        <v>102.30000000000001</v>
      </c>
      <c r="DC86" s="1907">
        <f>0.2*DD69</f>
        <v>2.0880000000000001</v>
      </c>
      <c r="DD86" s="1908">
        <f>DD69*10</f>
        <v>104.39999999999999</v>
      </c>
      <c r="DE86" s="1907">
        <f>0.2*DF69</f>
        <v>2.1640000000000001</v>
      </c>
      <c r="DF86" s="1908">
        <f>DF69*10</f>
        <v>108.2</v>
      </c>
      <c r="DG86" s="1907">
        <f>0.2*DH69</f>
        <v>2.2120000000000002</v>
      </c>
      <c r="DH86" s="1908">
        <f>DH69*10</f>
        <v>110.60000000000001</v>
      </c>
      <c r="DI86" s="1907">
        <f>0.2*DJ69</f>
        <v>2.234</v>
      </c>
      <c r="DJ86" s="1908">
        <f>DJ69*10</f>
        <v>111.7</v>
      </c>
      <c r="DK86" s="1907">
        <f>0.2*DL69</f>
        <v>2.214</v>
      </c>
      <c r="DL86" s="1908">
        <f>DL69*10</f>
        <v>110.7</v>
      </c>
      <c r="DM86" s="1907">
        <f>0.2*DN69</f>
        <v>2.2440000000000002</v>
      </c>
      <c r="DN86" s="1908">
        <f>DN69*10</f>
        <v>112.2</v>
      </c>
      <c r="DO86" s="1907">
        <f>0.2*DP69</f>
        <v>2.3239999999999998</v>
      </c>
      <c r="DP86" s="1908">
        <f>DP69*10</f>
        <v>116.19999999999999</v>
      </c>
      <c r="DQ86" s="1907">
        <f>0.2*DR69</f>
        <v>2.3760000000000003</v>
      </c>
      <c r="DR86" s="1908">
        <f>DR69*10</f>
        <v>118.80000000000001</v>
      </c>
      <c r="DS86" s="1907">
        <f>0.2*DT69</f>
        <v>2.3980000000000001</v>
      </c>
      <c r="DT86" s="1908">
        <f>DT69*10</f>
        <v>119.9</v>
      </c>
      <c r="DU86" s="1907">
        <f>0.2*DV69</f>
        <v>2.3780000000000001</v>
      </c>
      <c r="DV86" s="1908">
        <f>DV69*10</f>
        <v>118.9</v>
      </c>
      <c r="DW86" s="1907">
        <f>0.2*DX69</f>
        <v>1.46</v>
      </c>
      <c r="DX86" s="1908">
        <f>DX69*10</f>
        <v>73</v>
      </c>
      <c r="DY86" s="1907">
        <f>0.2*DZ69</f>
        <v>1.4400000000000002</v>
      </c>
      <c r="DZ86" s="1908">
        <f>DZ69*10</f>
        <v>72</v>
      </c>
      <c r="EA86" s="1907">
        <f>0.2*EB69</f>
        <v>1.4000000000000001</v>
      </c>
      <c r="EB86" s="1908">
        <f>EB69*10</f>
        <v>70</v>
      </c>
      <c r="EC86" s="1907">
        <f>0.2*ED69</f>
        <v>1.3800000000000001</v>
      </c>
      <c r="ED86" s="1908">
        <f>ED69*10</f>
        <v>69</v>
      </c>
      <c r="EE86" s="1907">
        <f>0.2*EF69</f>
        <v>1.64</v>
      </c>
      <c r="EF86" s="1908">
        <f>EF69*10</f>
        <v>82</v>
      </c>
      <c r="EG86" s="1907">
        <f>0.2*EH69</f>
        <v>1.62</v>
      </c>
      <c r="EH86" s="1908">
        <f>EH69*10</f>
        <v>81</v>
      </c>
      <c r="EI86" s="1907">
        <f>0.2*EJ69</f>
        <v>1.6</v>
      </c>
      <c r="EJ86" s="1908">
        <f>EJ69*10</f>
        <v>80</v>
      </c>
      <c r="EK86" s="1907">
        <f>0.2*EL69</f>
        <v>1.58</v>
      </c>
      <c r="EL86" s="1908">
        <f>EL69*10</f>
        <v>79</v>
      </c>
      <c r="EM86" s="1907">
        <f>0.2*EN69</f>
        <v>1.8399999999999999</v>
      </c>
      <c r="EN86" s="1908">
        <f>EN69*10</f>
        <v>92</v>
      </c>
      <c r="EO86" s="1907">
        <f>0.2*EP69</f>
        <v>1.82</v>
      </c>
      <c r="EP86" s="1908">
        <f>EP69*10</f>
        <v>91</v>
      </c>
      <c r="EQ86" s="1907">
        <f>0.2*ER69</f>
        <v>1.7800000000000002</v>
      </c>
      <c r="ER86" s="1908">
        <f>ER69*10</f>
        <v>89</v>
      </c>
      <c r="ES86" s="1907">
        <f>0.2*ET69</f>
        <v>1.7600000000000002</v>
      </c>
      <c r="ET86" s="1908">
        <f>ET69*10</f>
        <v>88</v>
      </c>
      <c r="EU86" s="1907">
        <f>0.2*EV69</f>
        <v>2.02</v>
      </c>
      <c r="EV86" s="1908">
        <f>EV69*10</f>
        <v>101</v>
      </c>
      <c r="EW86" s="1907">
        <f>0.2*EX69</f>
        <v>2</v>
      </c>
      <c r="EX86" s="1908">
        <f>EX69*10</f>
        <v>100</v>
      </c>
      <c r="EY86" s="1907">
        <f>0.2*EZ69</f>
        <v>1.9800000000000002</v>
      </c>
      <c r="EZ86" s="1908">
        <f>EZ69*10</f>
        <v>99</v>
      </c>
      <c r="FA86" s="1907">
        <f>0.2*FB69</f>
        <v>1.9600000000000002</v>
      </c>
      <c r="FB86" s="1908">
        <f>FB69*10</f>
        <v>98</v>
      </c>
      <c r="FC86" s="1907">
        <f>0.2*FD69</f>
        <v>1.46</v>
      </c>
      <c r="FD86" s="1908">
        <f>FD69*10</f>
        <v>73</v>
      </c>
      <c r="FE86" s="1907">
        <f>0.2*FF69</f>
        <v>1.4400000000000002</v>
      </c>
      <c r="FF86" s="1908">
        <f>FF69*10</f>
        <v>72</v>
      </c>
      <c r="FG86" s="1907">
        <f>0.2*FH69</f>
        <v>1.42</v>
      </c>
      <c r="FH86" s="1908">
        <f>FH69*10</f>
        <v>71</v>
      </c>
      <c r="FI86" s="1907">
        <f>0.2*FJ69</f>
        <v>1.3800000000000001</v>
      </c>
      <c r="FJ86" s="1908">
        <f>FJ69*10</f>
        <v>69</v>
      </c>
      <c r="FK86" s="1907">
        <f>0.2*FL69</f>
        <v>1.6600000000000001</v>
      </c>
      <c r="FL86" s="1908">
        <f>FL69*10</f>
        <v>83</v>
      </c>
      <c r="FM86" s="1907">
        <f>0.2*FN69</f>
        <v>1.62</v>
      </c>
      <c r="FN86" s="1908">
        <f>FN69*10</f>
        <v>81</v>
      </c>
      <c r="FO86" s="1907">
        <f>0.2*FP69</f>
        <v>1.6</v>
      </c>
      <c r="FP86" s="1908">
        <f>FP69*10</f>
        <v>80</v>
      </c>
      <c r="FQ86" s="1907">
        <f>0.2*FR69</f>
        <v>1.58</v>
      </c>
      <c r="FR86" s="1908">
        <f>FR69*10</f>
        <v>79</v>
      </c>
      <c r="FS86" s="1907">
        <f>0.2*FT69</f>
        <v>1.8399999999999999</v>
      </c>
      <c r="FT86" s="1908">
        <f>FT69*10</f>
        <v>92</v>
      </c>
      <c r="FU86" s="1907">
        <f>0.2*FV69</f>
        <v>1.82</v>
      </c>
      <c r="FV86" s="1908">
        <f>FV69*10</f>
        <v>91</v>
      </c>
      <c r="FW86" s="1907">
        <f>0.2*FX69</f>
        <v>1.8</v>
      </c>
      <c r="FX86" s="1908">
        <f>FX69*10</f>
        <v>90</v>
      </c>
      <c r="FY86" s="1907">
        <f>0.2*FZ69</f>
        <v>1.7800000000000002</v>
      </c>
      <c r="FZ86" s="1908">
        <f>FZ69*10</f>
        <v>89</v>
      </c>
      <c r="GA86" s="1907">
        <f>0.2*GB69</f>
        <v>2.04</v>
      </c>
      <c r="GB86" s="1908">
        <f>GB69*10</f>
        <v>102</v>
      </c>
      <c r="GC86" s="1907">
        <f>0.2*GD69</f>
        <v>2.02</v>
      </c>
      <c r="GD86" s="1908">
        <f>GD69*10</f>
        <v>101</v>
      </c>
      <c r="GE86" s="1907">
        <f>0.2*GF69</f>
        <v>1.9800000000000002</v>
      </c>
      <c r="GF86" s="1908">
        <f>GF69*10</f>
        <v>99</v>
      </c>
      <c r="GG86" s="1907">
        <f>0.2*GH69</f>
        <v>1.9600000000000002</v>
      </c>
      <c r="GH86" s="1908">
        <f>GH69*10</f>
        <v>98</v>
      </c>
      <c r="GI86" s="1907">
        <f>0.2*GJ69</f>
        <v>1.46</v>
      </c>
      <c r="GJ86" s="1908">
        <f>GJ69*10</f>
        <v>73</v>
      </c>
      <c r="GK86" s="1907">
        <f>0.2*GL69</f>
        <v>1.4400000000000002</v>
      </c>
      <c r="GL86" s="1908">
        <f>GL69*10</f>
        <v>72</v>
      </c>
      <c r="GM86" s="1907">
        <f>0.2*GN69</f>
        <v>1.42</v>
      </c>
      <c r="GN86" s="1908">
        <f>GN69*10</f>
        <v>71</v>
      </c>
      <c r="GO86" s="1907">
        <f>0.2*GP69</f>
        <v>1.4000000000000001</v>
      </c>
      <c r="GP86" s="1908">
        <f>GP69*10</f>
        <v>70</v>
      </c>
      <c r="GQ86" s="1907">
        <f>0.2*GR69</f>
        <v>1.6600000000000001</v>
      </c>
      <c r="GR86" s="1908">
        <f>GR69*10</f>
        <v>83</v>
      </c>
      <c r="GS86" s="1907">
        <f>0.2*GT69</f>
        <v>1.64</v>
      </c>
      <c r="GT86" s="1908">
        <f>GT69*10</f>
        <v>82</v>
      </c>
      <c r="GU86" s="1907">
        <f>0.2*GV69</f>
        <v>1.62</v>
      </c>
      <c r="GV86" s="1908">
        <f>GV69*10</f>
        <v>81</v>
      </c>
      <c r="GW86" s="1907">
        <f>0.2*GX69</f>
        <v>1.58</v>
      </c>
      <c r="GX86" s="1908">
        <f>GX69*10</f>
        <v>79</v>
      </c>
      <c r="GY86" s="1907">
        <f>0.2*GZ69</f>
        <v>1.8600000000000003</v>
      </c>
      <c r="GZ86" s="1908">
        <f>GZ69*10</f>
        <v>93</v>
      </c>
      <c r="HA86" s="1907">
        <f>0.2*HB69</f>
        <v>1.82</v>
      </c>
      <c r="HB86" s="1908">
        <f>HB69*10</f>
        <v>91</v>
      </c>
      <c r="HC86" s="1907">
        <f>0.2*HD69</f>
        <v>1.8</v>
      </c>
      <c r="HD86" s="1908">
        <f>HD69*10</f>
        <v>90</v>
      </c>
      <c r="HE86" s="1907">
        <f>0.2*HF69</f>
        <v>1.7800000000000002</v>
      </c>
      <c r="HF86" s="1908">
        <f>HF69*10</f>
        <v>89</v>
      </c>
      <c r="HG86" s="1907">
        <f>0.2*HH69</f>
        <v>2.04</v>
      </c>
      <c r="HH86" s="1908">
        <f>HH69*10</f>
        <v>102</v>
      </c>
      <c r="HI86" s="1907">
        <f>0.2*HJ69</f>
        <v>2.02</v>
      </c>
      <c r="HJ86" s="1908">
        <f>HJ69*10</f>
        <v>101</v>
      </c>
      <c r="HK86" s="1907">
        <f>0.2*HL69</f>
        <v>2</v>
      </c>
      <c r="HL86" s="1908">
        <f>HL69*10</f>
        <v>100</v>
      </c>
      <c r="HM86" s="1907">
        <f>0.2*HN69</f>
        <v>1.9600000000000002</v>
      </c>
      <c r="HN86" s="1909">
        <f>HN69*10</f>
        <v>98</v>
      </c>
    </row>
    <row r="87" spans="2:222">
      <c r="B87" s="1729"/>
      <c r="C87" s="1729"/>
      <c r="H87" s="1905" t="s">
        <v>27</v>
      </c>
      <c r="I87" s="1892">
        <f>0.2*J69</f>
        <v>1.27</v>
      </c>
      <c r="J87" s="1906">
        <f>J69*2</f>
        <v>12.7</v>
      </c>
      <c r="K87" s="1892">
        <f>0.2*L69</f>
        <v>1.3120000000000001</v>
      </c>
      <c r="L87" s="1906">
        <f>L69*2</f>
        <v>13.12</v>
      </c>
      <c r="M87" s="1892">
        <f>0.2*N69</f>
        <v>1.3280000000000001</v>
      </c>
      <c r="N87" s="1906">
        <f>N69*2</f>
        <v>13.28</v>
      </c>
      <c r="O87" s="1892">
        <f>0.2*P69</f>
        <v>1.3080000000000001</v>
      </c>
      <c r="P87" s="1906">
        <f>P69*2</f>
        <v>13.08</v>
      </c>
      <c r="Q87" s="1892">
        <f>0.2*R69</f>
        <v>1.4560000000000002</v>
      </c>
      <c r="R87" s="1906">
        <f>R69*2</f>
        <v>14.56</v>
      </c>
      <c r="S87" s="1892">
        <f>0.2*T69</f>
        <v>1.504</v>
      </c>
      <c r="T87" s="1906">
        <f>T69*2</f>
        <v>15.04</v>
      </c>
      <c r="U87" s="1892">
        <f>0.2*V69</f>
        <v>1.5220000000000002</v>
      </c>
      <c r="V87" s="1906">
        <f>V69*2</f>
        <v>15.22</v>
      </c>
      <c r="W87" s="1892">
        <f>0.2*X69</f>
        <v>1.4820000000000002</v>
      </c>
      <c r="X87" s="1906">
        <f>X69*2</f>
        <v>14.82</v>
      </c>
      <c r="Y87" s="1892">
        <f>0.2*Z69</f>
        <v>1.6340000000000001</v>
      </c>
      <c r="Z87" s="1906">
        <f>Z69*2</f>
        <v>16.34</v>
      </c>
      <c r="AA87" s="1907">
        <f>0.2*AB69</f>
        <v>1.6879999999999999</v>
      </c>
      <c r="AB87" s="1908">
        <f>AB69*2</f>
        <v>16.88</v>
      </c>
      <c r="AC87" s="1907">
        <f>0.2*AD69</f>
        <v>1.7100000000000002</v>
      </c>
      <c r="AD87" s="1908">
        <f>AD69*2</f>
        <v>17.100000000000001</v>
      </c>
      <c r="AE87" s="1907">
        <f>0.2*AF69</f>
        <v>1.6820000000000002</v>
      </c>
      <c r="AF87" s="1908">
        <f>AF69*2</f>
        <v>16.82</v>
      </c>
      <c r="AG87" s="1907">
        <f>0.2*AH69</f>
        <v>1.806</v>
      </c>
      <c r="AH87" s="1908">
        <f>AH69*2</f>
        <v>18.059999999999999</v>
      </c>
      <c r="AI87" s="1907">
        <f>0.2*AJ69</f>
        <v>1.8660000000000001</v>
      </c>
      <c r="AJ87" s="1908">
        <f>AJ69*2</f>
        <v>18.66</v>
      </c>
      <c r="AK87" s="1907">
        <f>0.2*AL69</f>
        <v>1.89</v>
      </c>
      <c r="AL87" s="1908">
        <f>AL69*2</f>
        <v>18.899999999999999</v>
      </c>
      <c r="AM87" s="1907">
        <f>0.2*AN69</f>
        <v>1.8600000000000003</v>
      </c>
      <c r="AN87" s="1908">
        <f>AN69*2</f>
        <v>18.600000000000001</v>
      </c>
      <c r="AO87" s="1907">
        <f>0.2*AP69</f>
        <v>1.974</v>
      </c>
      <c r="AP87" s="1908">
        <f>AP69*2</f>
        <v>19.739999999999998</v>
      </c>
      <c r="AQ87" s="1907">
        <f>0.2*AR69</f>
        <v>2.0379999999999998</v>
      </c>
      <c r="AR87" s="1908">
        <f>AR69*2</f>
        <v>20.38</v>
      </c>
      <c r="AS87" s="1907">
        <f>0.2*AT69</f>
        <v>2.0640000000000001</v>
      </c>
      <c r="AT87" s="1908">
        <f>AT69*2</f>
        <v>20.64</v>
      </c>
      <c r="AU87" s="1907">
        <f>0.2*AV69</f>
        <v>2.032</v>
      </c>
      <c r="AV87" s="1908">
        <f>AV69*2</f>
        <v>20.32</v>
      </c>
      <c r="AW87" s="1907">
        <f>0.2*AX69</f>
        <v>2.1360000000000001</v>
      </c>
      <c r="AX87" s="1908">
        <f>AX69*2</f>
        <v>21.36</v>
      </c>
      <c r="AY87" s="1907">
        <f>0.2*AZ69</f>
        <v>2.206</v>
      </c>
      <c r="AZ87" s="1908">
        <f>AZ69*2</f>
        <v>22.06</v>
      </c>
      <c r="BA87" s="1907">
        <f>0.2*BB69</f>
        <v>2.234</v>
      </c>
      <c r="BB87" s="1908">
        <f>BB69*2</f>
        <v>22.34</v>
      </c>
      <c r="BC87" s="1907">
        <f>0.2*BD69</f>
        <v>2.198</v>
      </c>
      <c r="BD87" s="1908">
        <f>BD69*2</f>
        <v>21.98</v>
      </c>
      <c r="BE87" s="1907">
        <f>0.2*BF69</f>
        <v>1.242</v>
      </c>
      <c r="BF87" s="1908">
        <f>BF69*2</f>
        <v>12.42</v>
      </c>
      <c r="BG87" s="1907">
        <f>0.2*BH69</f>
        <v>1.286</v>
      </c>
      <c r="BH87" s="1908">
        <f>BH69*2</f>
        <v>12.86</v>
      </c>
      <c r="BI87" s="1907">
        <f>0.2*BJ69</f>
        <v>1.3160000000000001</v>
      </c>
      <c r="BJ87" s="1908">
        <f>BJ69*2</f>
        <v>13.16</v>
      </c>
      <c r="BK87" s="1907">
        <f>0.2*BL69</f>
        <v>1.3280000000000001</v>
      </c>
      <c r="BL87" s="1908">
        <f>BL69*2</f>
        <v>13.28</v>
      </c>
      <c r="BM87" s="1907">
        <f>0.2*BN69</f>
        <v>1.3160000000000001</v>
      </c>
      <c r="BN87" s="1908">
        <f>BN69*2</f>
        <v>13.16</v>
      </c>
      <c r="BO87" s="1907">
        <f>0.2*BP69</f>
        <v>1.4240000000000002</v>
      </c>
      <c r="BP87" s="1908">
        <f>BP69*2</f>
        <v>14.24</v>
      </c>
      <c r="BQ87" s="1907">
        <f>0.2*BR69</f>
        <v>1.4740000000000002</v>
      </c>
      <c r="BR87" s="1908">
        <f>BR69*2</f>
        <v>14.74</v>
      </c>
      <c r="BS87" s="1907">
        <f>0.2*BT69</f>
        <v>1.508</v>
      </c>
      <c r="BT87" s="1908">
        <f>BT69*2</f>
        <v>15.08</v>
      </c>
      <c r="BU87" s="1907">
        <f>0.2*BV69</f>
        <v>1.5220000000000002</v>
      </c>
      <c r="BV87" s="1908">
        <f>BV69*2</f>
        <v>15.22</v>
      </c>
      <c r="BW87" s="1907">
        <f>0.2*BX69</f>
        <v>1.51</v>
      </c>
      <c r="BX87" s="1908">
        <f>BX69*2</f>
        <v>15.1</v>
      </c>
      <c r="BY87" s="1907">
        <f>0.2*BZ69</f>
        <v>1.5980000000000001</v>
      </c>
      <c r="BZ87" s="1908">
        <f>BZ69*2</f>
        <v>15.98</v>
      </c>
      <c r="CA87" s="1907">
        <f>0.2*CB69</f>
        <v>1.6559999999999999</v>
      </c>
      <c r="CB87" s="1908">
        <f>CB69*2</f>
        <v>16.559999999999999</v>
      </c>
      <c r="CC87" s="1907">
        <f>0.2*CD69</f>
        <v>1.6920000000000002</v>
      </c>
      <c r="CD87" s="1908">
        <f>CD69*2</f>
        <v>16.920000000000002</v>
      </c>
      <c r="CE87" s="1907">
        <f>0.2*CF69</f>
        <v>1.708</v>
      </c>
      <c r="CF87" s="1908">
        <f>CF69*2</f>
        <v>17.079999999999998</v>
      </c>
      <c r="CG87" s="1907">
        <f>0.2*CH69</f>
        <v>1.6940000000000002</v>
      </c>
      <c r="CH87" s="1908">
        <f>CH69*2</f>
        <v>16.940000000000001</v>
      </c>
      <c r="CI87" s="1907">
        <f>0.2*CJ69</f>
        <v>1.766</v>
      </c>
      <c r="CJ87" s="1908">
        <f>CJ69*2</f>
        <v>17.66</v>
      </c>
      <c r="CK87" s="1907">
        <f>0.2*CL69</f>
        <v>1.83</v>
      </c>
      <c r="CL87" s="1908">
        <f>CL69*2</f>
        <v>18.3</v>
      </c>
      <c r="CM87" s="1907">
        <f>0.2*CN69</f>
        <v>1.8719999999999999</v>
      </c>
      <c r="CN87" s="1908">
        <f>CN69*2</f>
        <v>18.72</v>
      </c>
      <c r="CO87" s="1907">
        <f>0.2*CP69</f>
        <v>1.8879999999999999</v>
      </c>
      <c r="CP87" s="1908">
        <f>CP69*2</f>
        <v>18.88</v>
      </c>
      <c r="CQ87" s="1907">
        <f>0.2*CR69</f>
        <v>1.8739999999999999</v>
      </c>
      <c r="CR87" s="1908">
        <f>CR69*2</f>
        <v>18.739999999999998</v>
      </c>
      <c r="CS87" s="1907">
        <f>0.2*CT69</f>
        <v>1.9300000000000002</v>
      </c>
      <c r="CT87" s="1908">
        <f>CT69*2</f>
        <v>19.3</v>
      </c>
      <c r="CU87" s="1907">
        <f>0.2*CV69</f>
        <v>1.9980000000000002</v>
      </c>
      <c r="CV87" s="1908">
        <f>CV69*2</f>
        <v>19.98</v>
      </c>
      <c r="CW87" s="1907">
        <f>0.2*CX69</f>
        <v>2.044</v>
      </c>
      <c r="CX87" s="1908">
        <f>CX69*2</f>
        <v>20.440000000000001</v>
      </c>
      <c r="CY87" s="1907">
        <f>0.2*CZ69</f>
        <v>2.0640000000000001</v>
      </c>
      <c r="CZ87" s="1908">
        <f>CZ69*2</f>
        <v>20.64</v>
      </c>
      <c r="DA87" s="1907">
        <f>0.2*DB69</f>
        <v>2.0460000000000003</v>
      </c>
      <c r="DB87" s="1908">
        <f>DB69*2</f>
        <v>20.46</v>
      </c>
      <c r="DC87" s="1907">
        <f>0.2*DD69</f>
        <v>2.0880000000000001</v>
      </c>
      <c r="DD87" s="1908">
        <f>DD69*2</f>
        <v>20.88</v>
      </c>
      <c r="DE87" s="1907">
        <f>0.2*DF69</f>
        <v>2.1640000000000001</v>
      </c>
      <c r="DF87" s="1908">
        <f>DF69*2</f>
        <v>21.64</v>
      </c>
      <c r="DG87" s="1907">
        <f>0.2*DH69</f>
        <v>2.2120000000000002</v>
      </c>
      <c r="DH87" s="1908">
        <f>DH69*2</f>
        <v>22.12</v>
      </c>
      <c r="DI87" s="1907">
        <f>0.2*DJ69</f>
        <v>2.234</v>
      </c>
      <c r="DJ87" s="1908">
        <f>DJ69*2</f>
        <v>22.34</v>
      </c>
      <c r="DK87" s="1907">
        <f>0.2*DL69</f>
        <v>2.214</v>
      </c>
      <c r="DL87" s="1908">
        <f>DL69*2</f>
        <v>22.14</v>
      </c>
      <c r="DM87" s="1907">
        <f>0.2*DN69</f>
        <v>2.2440000000000002</v>
      </c>
      <c r="DN87" s="1908">
        <f>DN69*2</f>
        <v>22.44</v>
      </c>
      <c r="DO87" s="1907">
        <f>0.2*DP69</f>
        <v>2.3239999999999998</v>
      </c>
      <c r="DP87" s="1908">
        <f>DP69*2</f>
        <v>23.24</v>
      </c>
      <c r="DQ87" s="1907">
        <f>0.2*DR69</f>
        <v>2.3760000000000003</v>
      </c>
      <c r="DR87" s="1908">
        <f>DR69*2</f>
        <v>23.76</v>
      </c>
      <c r="DS87" s="1907">
        <f>0.2*DT69</f>
        <v>2.3980000000000001</v>
      </c>
      <c r="DT87" s="1908">
        <f>DT69*2</f>
        <v>23.98</v>
      </c>
      <c r="DU87" s="1907">
        <f>0.2*DV69</f>
        <v>2.3780000000000001</v>
      </c>
      <c r="DV87" s="1908">
        <f>DV69*2</f>
        <v>23.78</v>
      </c>
      <c r="DW87" s="1907">
        <f>0.2*DX69</f>
        <v>1.46</v>
      </c>
      <c r="DX87" s="1908">
        <f>DX69*2</f>
        <v>14.6</v>
      </c>
      <c r="DY87" s="1907">
        <f>0.2*DZ69</f>
        <v>1.4400000000000002</v>
      </c>
      <c r="DZ87" s="1908">
        <f>DZ69*2</f>
        <v>14.4</v>
      </c>
      <c r="EA87" s="1907">
        <f>0.2*EB69</f>
        <v>1.4000000000000001</v>
      </c>
      <c r="EB87" s="1908">
        <f>EB69*2</f>
        <v>14</v>
      </c>
      <c r="EC87" s="1907">
        <f>0.2*ED69</f>
        <v>1.3800000000000001</v>
      </c>
      <c r="ED87" s="1908">
        <f>ED69*2</f>
        <v>13.8</v>
      </c>
      <c r="EE87" s="1907">
        <f>0.2*EF69</f>
        <v>1.64</v>
      </c>
      <c r="EF87" s="1908">
        <f>EF69*2</f>
        <v>16.399999999999999</v>
      </c>
      <c r="EG87" s="1907">
        <f>0.2*EH69</f>
        <v>1.62</v>
      </c>
      <c r="EH87" s="1908">
        <f>EH69*2</f>
        <v>16.2</v>
      </c>
      <c r="EI87" s="1907">
        <f>0.2*EJ69</f>
        <v>1.6</v>
      </c>
      <c r="EJ87" s="1908">
        <f>EJ69*2</f>
        <v>16</v>
      </c>
      <c r="EK87" s="1907">
        <f>0.2*EL69</f>
        <v>1.58</v>
      </c>
      <c r="EL87" s="1908">
        <f>EL69*2</f>
        <v>15.8</v>
      </c>
      <c r="EM87" s="1907">
        <f>0.2*EN69</f>
        <v>1.8399999999999999</v>
      </c>
      <c r="EN87" s="1908">
        <f>EN69*2</f>
        <v>18.399999999999999</v>
      </c>
      <c r="EO87" s="1907">
        <f>0.2*EP69</f>
        <v>1.82</v>
      </c>
      <c r="EP87" s="1908">
        <f>EP69*2</f>
        <v>18.2</v>
      </c>
      <c r="EQ87" s="1907">
        <f>0.2*ER69</f>
        <v>1.7800000000000002</v>
      </c>
      <c r="ER87" s="1908">
        <f>ER69*2</f>
        <v>17.8</v>
      </c>
      <c r="ES87" s="1907">
        <f>0.2*ET69</f>
        <v>1.7600000000000002</v>
      </c>
      <c r="ET87" s="1908">
        <f>ET69*2</f>
        <v>17.600000000000001</v>
      </c>
      <c r="EU87" s="1907">
        <f>0.2*EV69</f>
        <v>2.02</v>
      </c>
      <c r="EV87" s="1908">
        <f>EV69*2</f>
        <v>20.2</v>
      </c>
      <c r="EW87" s="1907">
        <f>0.2*EX69</f>
        <v>2</v>
      </c>
      <c r="EX87" s="1908">
        <f>EX69*2</f>
        <v>20</v>
      </c>
      <c r="EY87" s="1907">
        <f>0.2*EZ69</f>
        <v>1.9800000000000002</v>
      </c>
      <c r="EZ87" s="1908">
        <f>EZ69*2</f>
        <v>19.8</v>
      </c>
      <c r="FA87" s="1907">
        <f>0.2*FB69</f>
        <v>1.9600000000000002</v>
      </c>
      <c r="FB87" s="1908">
        <f>FB69*2</f>
        <v>19.600000000000001</v>
      </c>
      <c r="FC87" s="1907">
        <f>0.2*FD69</f>
        <v>1.46</v>
      </c>
      <c r="FD87" s="1908">
        <f>FD69*2</f>
        <v>14.6</v>
      </c>
      <c r="FE87" s="1907">
        <f>0.2*FF69</f>
        <v>1.4400000000000002</v>
      </c>
      <c r="FF87" s="1908">
        <f>FF69*2</f>
        <v>14.4</v>
      </c>
      <c r="FG87" s="1907">
        <f>0.2*FH69</f>
        <v>1.42</v>
      </c>
      <c r="FH87" s="1908">
        <f>FH69*2</f>
        <v>14.2</v>
      </c>
      <c r="FI87" s="1907">
        <f>0.2*FJ69</f>
        <v>1.3800000000000001</v>
      </c>
      <c r="FJ87" s="1908">
        <f>FJ69*2</f>
        <v>13.8</v>
      </c>
      <c r="FK87" s="1907">
        <f>0.2*FL69</f>
        <v>1.6600000000000001</v>
      </c>
      <c r="FL87" s="1908">
        <f>FL69*2</f>
        <v>16.600000000000001</v>
      </c>
      <c r="FM87" s="1907">
        <f>0.2*FN69</f>
        <v>1.62</v>
      </c>
      <c r="FN87" s="1908">
        <f>FN69*2</f>
        <v>16.2</v>
      </c>
      <c r="FO87" s="1907">
        <f>0.2*FP69</f>
        <v>1.6</v>
      </c>
      <c r="FP87" s="1908">
        <f>FP69*2</f>
        <v>16</v>
      </c>
      <c r="FQ87" s="1907">
        <f>0.2*FR69</f>
        <v>1.58</v>
      </c>
      <c r="FR87" s="1908">
        <f>FR69*2</f>
        <v>15.8</v>
      </c>
      <c r="FS87" s="1907">
        <f>0.2*FT69</f>
        <v>1.8399999999999999</v>
      </c>
      <c r="FT87" s="1908">
        <f>FT69*2</f>
        <v>18.399999999999999</v>
      </c>
      <c r="FU87" s="1907">
        <f>0.2*FV69</f>
        <v>1.82</v>
      </c>
      <c r="FV87" s="1908">
        <f>FV69*2</f>
        <v>18.2</v>
      </c>
      <c r="FW87" s="1907">
        <f>0.2*FX69</f>
        <v>1.8</v>
      </c>
      <c r="FX87" s="1908">
        <f>FX69*2</f>
        <v>18</v>
      </c>
      <c r="FY87" s="1907">
        <f>0.2*FZ69</f>
        <v>1.7800000000000002</v>
      </c>
      <c r="FZ87" s="1908">
        <f>FZ69*2</f>
        <v>17.8</v>
      </c>
      <c r="GA87" s="1907">
        <f>0.2*GB69</f>
        <v>2.04</v>
      </c>
      <c r="GB87" s="1908">
        <f>GB69*2</f>
        <v>20.399999999999999</v>
      </c>
      <c r="GC87" s="1907">
        <f>0.2*GD69</f>
        <v>2.02</v>
      </c>
      <c r="GD87" s="1908">
        <f>GD69*2</f>
        <v>20.2</v>
      </c>
      <c r="GE87" s="1907">
        <f>0.2*GF69</f>
        <v>1.9800000000000002</v>
      </c>
      <c r="GF87" s="1908">
        <f>GF69*2</f>
        <v>19.8</v>
      </c>
      <c r="GG87" s="1907">
        <f>0.2*GH69</f>
        <v>1.9600000000000002</v>
      </c>
      <c r="GH87" s="1908">
        <f>GH69*2</f>
        <v>19.600000000000001</v>
      </c>
      <c r="GI87" s="1907">
        <f>0.2*GJ69</f>
        <v>1.46</v>
      </c>
      <c r="GJ87" s="1908">
        <f>GJ69*2</f>
        <v>14.6</v>
      </c>
      <c r="GK87" s="1907">
        <f>0.2*GL69</f>
        <v>1.4400000000000002</v>
      </c>
      <c r="GL87" s="1908">
        <f>GL69*2</f>
        <v>14.4</v>
      </c>
      <c r="GM87" s="1907">
        <f>0.2*GN69</f>
        <v>1.42</v>
      </c>
      <c r="GN87" s="1908">
        <f>GN69*2</f>
        <v>14.2</v>
      </c>
      <c r="GO87" s="1907">
        <f>0.2*GP69</f>
        <v>1.4000000000000001</v>
      </c>
      <c r="GP87" s="1908">
        <f>GP69*2</f>
        <v>14</v>
      </c>
      <c r="GQ87" s="1907">
        <f>0.2*GR69</f>
        <v>1.6600000000000001</v>
      </c>
      <c r="GR87" s="1908">
        <f>GR69*2</f>
        <v>16.600000000000001</v>
      </c>
      <c r="GS87" s="1907">
        <f>0.2*GT69</f>
        <v>1.64</v>
      </c>
      <c r="GT87" s="1908">
        <f>GT69*2</f>
        <v>16.399999999999999</v>
      </c>
      <c r="GU87" s="1907">
        <f>0.2*GV69</f>
        <v>1.62</v>
      </c>
      <c r="GV87" s="1908">
        <f>GV69*2</f>
        <v>16.2</v>
      </c>
      <c r="GW87" s="1907">
        <f>0.2*GX69</f>
        <v>1.58</v>
      </c>
      <c r="GX87" s="1908">
        <f>GX69*2</f>
        <v>15.8</v>
      </c>
      <c r="GY87" s="1907">
        <f>0.2*GZ69</f>
        <v>1.8600000000000003</v>
      </c>
      <c r="GZ87" s="1908">
        <f>GZ69*2</f>
        <v>18.600000000000001</v>
      </c>
      <c r="HA87" s="1907">
        <f>0.2*HB69</f>
        <v>1.82</v>
      </c>
      <c r="HB87" s="1908">
        <f>HB69*2</f>
        <v>18.2</v>
      </c>
      <c r="HC87" s="1907">
        <f>0.2*HD69</f>
        <v>1.8</v>
      </c>
      <c r="HD87" s="1908">
        <f>HD69*2</f>
        <v>18</v>
      </c>
      <c r="HE87" s="1907">
        <f>0.2*HF69</f>
        <v>1.7800000000000002</v>
      </c>
      <c r="HF87" s="1908">
        <f>HF69*2</f>
        <v>17.8</v>
      </c>
      <c r="HG87" s="1907">
        <f>0.2*HH69</f>
        <v>2.04</v>
      </c>
      <c r="HH87" s="1908">
        <f>HH69*2</f>
        <v>20.399999999999999</v>
      </c>
      <c r="HI87" s="1907">
        <f>0.2*HJ69</f>
        <v>2.02</v>
      </c>
      <c r="HJ87" s="1908">
        <f>HJ69*2</f>
        <v>20.2</v>
      </c>
      <c r="HK87" s="1907">
        <f>0.2*HL69</f>
        <v>2</v>
      </c>
      <c r="HL87" s="1908">
        <f>HL69*2</f>
        <v>20</v>
      </c>
      <c r="HM87" s="1907">
        <f>0.2*HN69</f>
        <v>1.9600000000000002</v>
      </c>
      <c r="HN87" s="1909">
        <f>HN69*2</f>
        <v>19.600000000000001</v>
      </c>
    </row>
    <row r="88" spans="2:222">
      <c r="B88" s="1729"/>
      <c r="C88" s="1729"/>
      <c r="I88" s="1892"/>
      <c r="J88" s="1906"/>
      <c r="K88" s="1892"/>
      <c r="L88" s="1906"/>
      <c r="M88" s="1892"/>
      <c r="N88" s="1906"/>
      <c r="O88" s="1892"/>
      <c r="P88" s="1906"/>
      <c r="Q88" s="1892"/>
      <c r="R88" s="1906"/>
      <c r="S88" s="1892"/>
      <c r="T88" s="1906"/>
      <c r="U88" s="1892"/>
      <c r="V88" s="1906"/>
      <c r="W88" s="1892"/>
      <c r="X88" s="1906"/>
      <c r="Y88" s="1892"/>
      <c r="Z88" s="1906"/>
      <c r="AA88" s="1907"/>
      <c r="AB88" s="1908"/>
      <c r="AC88" s="1907"/>
      <c r="AD88" s="1908"/>
      <c r="AE88" s="1907"/>
      <c r="AF88" s="1908"/>
      <c r="AG88" s="1907"/>
      <c r="AH88" s="1908"/>
      <c r="AI88" s="1907"/>
      <c r="AJ88" s="1908"/>
      <c r="AK88" s="1907"/>
      <c r="AL88" s="1908"/>
      <c r="AM88" s="1907"/>
      <c r="AN88" s="1908"/>
      <c r="AO88" s="1907"/>
      <c r="AP88" s="1908"/>
      <c r="AQ88" s="1907"/>
      <c r="AR88" s="1908"/>
      <c r="AS88" s="1907"/>
      <c r="AT88" s="1908"/>
      <c r="AU88" s="1907"/>
      <c r="AV88" s="1908"/>
      <c r="AW88" s="1907"/>
      <c r="AX88" s="1908"/>
      <c r="AY88" s="1907"/>
      <c r="AZ88" s="1908"/>
      <c r="BA88" s="1907"/>
      <c r="BB88" s="1908"/>
      <c r="BC88" s="1907"/>
      <c r="BD88" s="1908"/>
      <c r="BE88" s="1907"/>
      <c r="BF88" s="1908"/>
      <c r="BG88" s="1907"/>
      <c r="BH88" s="1908"/>
      <c r="BI88" s="1907"/>
      <c r="BJ88" s="1908"/>
      <c r="BK88" s="1907"/>
      <c r="BL88" s="1908"/>
      <c r="BM88" s="1907"/>
      <c r="BN88" s="1908"/>
      <c r="BO88" s="1907"/>
      <c r="BP88" s="1908"/>
      <c r="BQ88" s="1907"/>
      <c r="BR88" s="1908"/>
      <c r="BS88" s="1907"/>
      <c r="BT88" s="1908"/>
      <c r="BU88" s="1907"/>
      <c r="BV88" s="1908"/>
      <c r="BW88" s="1907"/>
      <c r="BX88" s="1908"/>
      <c r="BY88" s="1907"/>
      <c r="BZ88" s="1908"/>
      <c r="CA88" s="1907"/>
      <c r="CB88" s="1908"/>
      <c r="CC88" s="1907"/>
      <c r="CD88" s="1908"/>
      <c r="CE88" s="1907"/>
      <c r="CF88" s="1908"/>
      <c r="CG88" s="1907"/>
      <c r="CH88" s="1908"/>
      <c r="CI88" s="1907"/>
      <c r="CJ88" s="1908"/>
      <c r="CK88" s="1907"/>
      <c r="CL88" s="1908"/>
      <c r="CM88" s="1907"/>
      <c r="CN88" s="1908"/>
      <c r="CO88" s="1907"/>
      <c r="CP88" s="1908"/>
      <c r="CQ88" s="1907"/>
      <c r="CR88" s="1908"/>
      <c r="CS88" s="1907"/>
      <c r="CT88" s="1908"/>
      <c r="CU88" s="1907"/>
      <c r="CV88" s="1908"/>
      <c r="CW88" s="1907"/>
      <c r="CX88" s="1908"/>
      <c r="CY88" s="1907"/>
      <c r="CZ88" s="1908"/>
      <c r="DA88" s="1907"/>
      <c r="DB88" s="1908"/>
      <c r="DC88" s="1907"/>
      <c r="DD88" s="1908"/>
      <c r="DE88" s="1907"/>
      <c r="DF88" s="1908"/>
      <c r="DG88" s="1907"/>
      <c r="DH88" s="1908"/>
      <c r="DI88" s="1907"/>
      <c r="DJ88" s="1908"/>
      <c r="DK88" s="1907"/>
      <c r="DL88" s="1908"/>
      <c r="DM88" s="1907"/>
      <c r="DN88" s="1908"/>
      <c r="DO88" s="1907"/>
      <c r="DP88" s="1908"/>
      <c r="DQ88" s="1907"/>
      <c r="DR88" s="1908"/>
      <c r="DS88" s="1907"/>
      <c r="DT88" s="1908"/>
      <c r="DU88" s="1907"/>
      <c r="DV88" s="1908"/>
      <c r="DW88" s="1907"/>
      <c r="DX88" s="1908"/>
      <c r="DY88" s="1907"/>
      <c r="DZ88" s="1908"/>
      <c r="EA88" s="1907"/>
      <c r="EB88" s="1908"/>
      <c r="EC88" s="1907"/>
      <c r="ED88" s="1908"/>
      <c r="EE88" s="1907"/>
      <c r="EF88" s="1908"/>
      <c r="EG88" s="1907"/>
      <c r="EH88" s="1908"/>
      <c r="EI88" s="1907"/>
      <c r="EJ88" s="1908"/>
      <c r="EK88" s="1907"/>
      <c r="EL88" s="1908"/>
      <c r="EM88" s="1907"/>
      <c r="EN88" s="1908"/>
      <c r="EO88" s="1907"/>
      <c r="EP88" s="1908"/>
      <c r="EQ88" s="1907"/>
      <c r="ER88" s="1908"/>
      <c r="ES88" s="1907"/>
      <c r="ET88" s="1908"/>
      <c r="EU88" s="1907"/>
      <c r="EV88" s="1908"/>
      <c r="EW88" s="1907"/>
      <c r="EX88" s="1908"/>
      <c r="EY88" s="1907"/>
      <c r="EZ88" s="1908"/>
      <c r="FA88" s="1907"/>
      <c r="FB88" s="1908"/>
      <c r="FC88" s="1907"/>
      <c r="FD88" s="1908"/>
      <c r="FE88" s="1907"/>
      <c r="FF88" s="1908"/>
      <c r="FG88" s="1907"/>
      <c r="FH88" s="1908"/>
      <c r="FI88" s="1907"/>
      <c r="FJ88" s="1908"/>
      <c r="FK88" s="1907"/>
      <c r="FL88" s="1908"/>
      <c r="FM88" s="1907"/>
      <c r="FN88" s="1908"/>
      <c r="FO88" s="1907"/>
      <c r="FP88" s="1908"/>
      <c r="FQ88" s="1907"/>
      <c r="FR88" s="1908"/>
      <c r="FS88" s="1907"/>
      <c r="FT88" s="1908"/>
      <c r="FU88" s="1907"/>
      <c r="FV88" s="1908"/>
      <c r="FW88" s="1907"/>
      <c r="FX88" s="1908"/>
      <c r="FY88" s="1907"/>
      <c r="FZ88" s="1908"/>
      <c r="GA88" s="1907"/>
      <c r="GB88" s="1908"/>
      <c r="GC88" s="1907"/>
      <c r="GD88" s="1908"/>
      <c r="GE88" s="1907"/>
      <c r="GF88" s="1908"/>
      <c r="GG88" s="1907"/>
      <c r="GH88" s="1908"/>
      <c r="GI88" s="1907"/>
      <c r="GJ88" s="1908"/>
      <c r="GK88" s="1907"/>
      <c r="GL88" s="1908"/>
      <c r="GM88" s="1907"/>
      <c r="GN88" s="1908"/>
      <c r="GO88" s="1907"/>
      <c r="GP88" s="1908"/>
      <c r="GQ88" s="1907"/>
      <c r="GR88" s="1908"/>
      <c r="GS88" s="1907"/>
      <c r="GT88" s="1908"/>
      <c r="GU88" s="1907"/>
      <c r="GV88" s="1908"/>
      <c r="GW88" s="1907"/>
      <c r="GX88" s="1908"/>
      <c r="GY88" s="1907"/>
      <c r="GZ88" s="1908"/>
      <c r="HA88" s="1907"/>
      <c r="HB88" s="1908"/>
      <c r="HC88" s="1907"/>
      <c r="HD88" s="1908"/>
      <c r="HE88" s="1907"/>
      <c r="HF88" s="1908"/>
      <c r="HG88" s="1907"/>
      <c r="HH88" s="1908"/>
      <c r="HI88" s="1907"/>
      <c r="HJ88" s="1908"/>
      <c r="HK88" s="1907"/>
      <c r="HL88" s="1908"/>
      <c r="HM88" s="1907"/>
      <c r="HN88" s="1909"/>
    </row>
    <row r="89" spans="2:222">
      <c r="B89" s="1729"/>
      <c r="C89" s="1729"/>
      <c r="I89" s="1892" t="s">
        <v>943</v>
      </c>
      <c r="J89" s="1911"/>
      <c r="K89" s="1911"/>
      <c r="L89" s="1911"/>
      <c r="M89" s="1911"/>
      <c r="N89" s="1911"/>
      <c r="O89" s="1911"/>
      <c r="P89" s="1892" t="s">
        <v>943</v>
      </c>
      <c r="Q89" s="1911"/>
      <c r="R89" s="1911"/>
      <c r="S89" s="1911"/>
      <c r="T89" s="1911"/>
      <c r="U89" s="1911"/>
      <c r="V89" s="1911"/>
      <c r="W89" s="1892" t="s">
        <v>943</v>
      </c>
      <c r="X89" s="1911"/>
      <c r="Y89" s="1911"/>
      <c r="Z89" s="1911"/>
      <c r="AA89" s="1735"/>
      <c r="AB89" s="1735"/>
      <c r="AC89" s="1735"/>
      <c r="AD89" s="1735"/>
      <c r="AE89" s="1889" t="s">
        <v>943</v>
      </c>
      <c r="AF89" s="1735"/>
      <c r="AG89" s="1735"/>
      <c r="AH89" s="1735"/>
      <c r="AI89" s="1735"/>
      <c r="AJ89" s="1735"/>
      <c r="AK89" s="1735"/>
      <c r="AL89" s="1735"/>
      <c r="AM89" s="1889" t="s">
        <v>943</v>
      </c>
      <c r="AN89" s="1735"/>
      <c r="AO89" s="1735"/>
      <c r="AP89" s="1735"/>
      <c r="AQ89" s="1735"/>
      <c r="AR89" s="1735"/>
      <c r="AS89" s="1735"/>
      <c r="AT89" s="1735"/>
      <c r="AU89" s="1889" t="s">
        <v>943</v>
      </c>
      <c r="AV89" s="1735"/>
      <c r="AW89" s="1735"/>
      <c r="AX89" s="1735"/>
      <c r="AY89" s="1735"/>
      <c r="AZ89" s="1735"/>
      <c r="BA89" s="1735"/>
      <c r="BB89" s="1735"/>
      <c r="BC89" s="1735"/>
      <c r="BD89" s="1889" t="s">
        <v>943</v>
      </c>
      <c r="BE89" s="1735"/>
      <c r="BF89" s="1735"/>
      <c r="BG89" s="1735"/>
      <c r="BH89" s="1735"/>
      <c r="BI89" s="1735"/>
      <c r="BJ89" s="1735"/>
      <c r="BK89" s="1735"/>
      <c r="BL89" s="1735"/>
      <c r="BM89" s="1735"/>
      <c r="BN89" s="1735"/>
      <c r="BO89" s="1735"/>
      <c r="BP89" s="1735"/>
      <c r="BQ89" s="1735"/>
      <c r="BR89" s="1735"/>
      <c r="BS89" s="1889" t="s">
        <v>943</v>
      </c>
      <c r="BT89" s="1735"/>
      <c r="BU89" s="1735"/>
      <c r="BV89" s="1735"/>
      <c r="BW89" s="1735"/>
      <c r="BX89" s="1735"/>
      <c r="BY89" s="1735"/>
      <c r="BZ89" s="1735"/>
      <c r="CA89" s="1735"/>
      <c r="CB89" s="1735"/>
      <c r="CC89" s="1889" t="s">
        <v>943</v>
      </c>
      <c r="CD89" s="1735"/>
      <c r="CE89" s="1735"/>
      <c r="CF89" s="1735"/>
      <c r="CG89" s="1735"/>
      <c r="CH89" s="1735"/>
      <c r="CI89" s="1735"/>
      <c r="CJ89" s="1735"/>
      <c r="CK89" s="1735"/>
      <c r="CL89" s="1735"/>
      <c r="CM89" s="1735"/>
      <c r="CN89" s="1735"/>
      <c r="CO89" s="1889" t="s">
        <v>943</v>
      </c>
      <c r="CP89" s="1735"/>
      <c r="CQ89" s="1735"/>
      <c r="CR89" s="1735"/>
      <c r="CS89" s="1735"/>
      <c r="CT89" s="1908"/>
      <c r="CU89" s="1907"/>
      <c r="CV89" s="1908"/>
      <c r="CW89" s="1907"/>
      <c r="CX89" s="1908"/>
      <c r="CY89" s="1907"/>
      <c r="CZ89" s="1908"/>
      <c r="DA89" s="1907"/>
      <c r="DB89" s="1908"/>
      <c r="DC89" s="1907"/>
      <c r="DD89" s="1908"/>
      <c r="DE89" s="1907"/>
      <c r="DF89" s="1908"/>
      <c r="DG89" s="1907"/>
      <c r="DH89" s="1908"/>
      <c r="DI89" s="1907"/>
      <c r="DJ89" s="1908"/>
      <c r="DK89" s="1907"/>
      <c r="DL89" s="1908"/>
      <c r="DM89" s="1907"/>
      <c r="DN89" s="1908"/>
      <c r="DO89" s="1907"/>
      <c r="DP89" s="1908"/>
      <c r="DQ89" s="1907"/>
      <c r="DR89" s="1908"/>
      <c r="DS89" s="1907"/>
      <c r="DT89" s="1908"/>
      <c r="DU89" s="1907"/>
      <c r="DV89" s="1908"/>
      <c r="DW89" s="1905" t="s">
        <v>944</v>
      </c>
      <c r="DX89" s="1735"/>
      <c r="DY89" s="1735"/>
      <c r="DZ89" s="1735"/>
      <c r="EA89" s="1735"/>
      <c r="EB89" s="1735"/>
      <c r="EC89" s="1905"/>
      <c r="ED89" s="1735"/>
      <c r="EE89" s="1735"/>
      <c r="EF89" s="1735"/>
      <c r="EG89" s="1735"/>
      <c r="EH89" s="1735"/>
      <c r="EI89" s="1735"/>
      <c r="EJ89" s="1735"/>
      <c r="EK89" s="1735"/>
      <c r="EL89" s="1735"/>
      <c r="EM89" s="1735"/>
      <c r="EN89" s="1735"/>
      <c r="EO89" s="1735"/>
      <c r="EP89" s="1735"/>
      <c r="EQ89" s="1905" t="s">
        <v>944</v>
      </c>
      <c r="ER89" s="1735"/>
      <c r="ES89" s="1735"/>
      <c r="ET89" s="1735"/>
      <c r="EU89" s="1735"/>
      <c r="EV89" s="1735"/>
      <c r="EW89" s="1905"/>
      <c r="EX89" s="1735"/>
      <c r="EY89" s="1735"/>
      <c r="EZ89" s="1735"/>
      <c r="FA89" s="1735"/>
      <c r="FB89" s="1735"/>
      <c r="FC89" s="1735"/>
      <c r="FD89" s="1735"/>
      <c r="FE89" s="1735"/>
      <c r="FF89" s="1735"/>
      <c r="FG89" s="1735"/>
      <c r="FH89" s="1735"/>
      <c r="FI89" s="1735"/>
      <c r="FJ89" s="1735"/>
      <c r="FK89" s="1905" t="s">
        <v>944</v>
      </c>
      <c r="FL89" s="1735"/>
      <c r="FM89" s="1735"/>
      <c r="FN89" s="1735"/>
      <c r="FO89" s="1735"/>
      <c r="FP89" s="1735"/>
      <c r="FQ89" s="1905"/>
      <c r="FR89" s="1735"/>
      <c r="FS89" s="1735"/>
      <c r="FT89" s="1735"/>
      <c r="FU89" s="1735"/>
      <c r="FV89" s="1735"/>
      <c r="FW89" s="1735"/>
      <c r="FX89" s="1735"/>
      <c r="FY89" s="1735"/>
      <c r="FZ89" s="1735"/>
      <c r="GA89" s="1735"/>
      <c r="GB89" s="1735"/>
      <c r="GC89" s="1735"/>
      <c r="GD89" s="1735"/>
      <c r="GE89" s="1735"/>
      <c r="GF89" s="1735"/>
      <c r="GG89" s="1905" t="s">
        <v>944</v>
      </c>
      <c r="GH89" s="1735"/>
      <c r="GI89" s="1735"/>
      <c r="GJ89" s="1735"/>
      <c r="GK89" s="1735"/>
      <c r="GL89" s="1735"/>
      <c r="GM89" s="1905"/>
      <c r="GN89" s="1735"/>
      <c r="GO89" s="1735"/>
      <c r="GP89" s="1735"/>
      <c r="GQ89" s="1735"/>
      <c r="GR89" s="1735"/>
      <c r="GS89" s="1735"/>
      <c r="GT89" s="1735"/>
      <c r="GU89" s="1735"/>
      <c r="GV89" s="1735"/>
      <c r="GW89" s="1735"/>
      <c r="GX89" s="1735"/>
      <c r="GY89" s="1735"/>
      <c r="GZ89" s="1735"/>
      <c r="HA89" s="1735"/>
      <c r="HB89" s="1735"/>
      <c r="HC89" s="1735"/>
      <c r="HD89" s="1735"/>
      <c r="HE89" s="1907"/>
      <c r="HF89" s="1908"/>
      <c r="HG89" s="1907"/>
      <c r="HH89" s="1908"/>
      <c r="HI89" s="1907"/>
      <c r="HJ89" s="1908"/>
      <c r="HK89" s="1907"/>
      <c r="HL89" s="1908"/>
      <c r="HM89" s="1907"/>
      <c r="HN89" s="1909"/>
    </row>
    <row r="90" spans="2:222">
      <c r="B90" s="1729"/>
      <c r="C90" s="1729"/>
      <c r="I90" s="1892"/>
      <c r="J90" s="1906"/>
      <c r="K90" s="1892"/>
      <c r="L90" s="1906"/>
      <c r="M90" s="1892"/>
      <c r="N90" s="1906"/>
      <c r="O90" s="1892"/>
      <c r="P90" s="1906"/>
      <c r="Q90" s="1892"/>
      <c r="R90" s="1906"/>
      <c r="S90" s="1892"/>
      <c r="T90" s="1906"/>
      <c r="U90" s="1892"/>
      <c r="V90" s="1906"/>
      <c r="W90" s="1892"/>
      <c r="X90" s="1906"/>
      <c r="Y90" s="1892"/>
      <c r="Z90" s="1906"/>
      <c r="AA90" s="1907"/>
      <c r="AB90" s="1908"/>
      <c r="AC90" s="1907"/>
      <c r="AD90" s="1908"/>
      <c r="AE90" s="1907"/>
      <c r="AF90" s="1908"/>
      <c r="AG90" s="1907"/>
      <c r="AH90" s="1908"/>
      <c r="AI90" s="1907"/>
      <c r="AJ90" s="1908"/>
      <c r="AK90" s="1907"/>
      <c r="AL90" s="1908"/>
      <c r="AM90" s="1907"/>
      <c r="AN90" s="1908"/>
      <c r="AO90" s="1907"/>
      <c r="AP90" s="1908"/>
      <c r="AQ90" s="1907"/>
      <c r="AR90" s="1908"/>
      <c r="AS90" s="1907"/>
      <c r="AT90" s="1908"/>
      <c r="AU90" s="1907"/>
      <c r="AV90" s="1908"/>
      <c r="AW90" s="1907"/>
      <c r="AX90" s="1908"/>
      <c r="AY90" s="1907"/>
      <c r="AZ90" s="1908"/>
      <c r="BA90" s="1907"/>
      <c r="BB90" s="1908"/>
      <c r="BC90" s="1907"/>
      <c r="BD90" s="1908"/>
      <c r="BE90" s="1907"/>
      <c r="BF90" s="1908"/>
      <c r="BG90" s="1907"/>
      <c r="BH90" s="1908"/>
      <c r="BI90" s="1907"/>
      <c r="BJ90" s="1908"/>
      <c r="BK90" s="1907"/>
      <c r="BL90" s="1908"/>
      <c r="BM90" s="1907"/>
      <c r="BN90" s="1908"/>
      <c r="BO90" s="1907"/>
      <c r="BP90" s="1908"/>
      <c r="BQ90" s="1907"/>
      <c r="BR90" s="1908"/>
      <c r="BS90" s="1907"/>
      <c r="BT90" s="1908"/>
      <c r="BU90" s="1907"/>
      <c r="BV90" s="1908"/>
      <c r="BW90" s="1907"/>
      <c r="BX90" s="1908"/>
      <c r="BY90" s="1907"/>
      <c r="BZ90" s="1908"/>
      <c r="CA90" s="1907"/>
      <c r="CB90" s="1908"/>
      <c r="CC90" s="1907"/>
      <c r="CD90" s="1908"/>
      <c r="CE90" s="1907"/>
      <c r="CF90" s="1908"/>
      <c r="CG90" s="1907"/>
      <c r="CH90" s="1908"/>
      <c r="CI90" s="1907"/>
      <c r="CJ90" s="1908"/>
      <c r="CK90" s="1907"/>
      <c r="CL90" s="1908"/>
      <c r="CM90" s="1907"/>
      <c r="CN90" s="1908"/>
      <c r="CO90" s="1907"/>
      <c r="CP90" s="1908"/>
      <c r="CQ90" s="1907"/>
      <c r="CR90" s="1908"/>
      <c r="CS90" s="1907"/>
      <c r="CT90" s="1908"/>
      <c r="CU90" s="1907"/>
      <c r="CV90" s="1908"/>
      <c r="CW90" s="1907"/>
      <c r="CX90" s="1908"/>
      <c r="CY90" s="1907"/>
      <c r="CZ90" s="1908"/>
      <c r="DA90" s="1907"/>
      <c r="DB90" s="1908"/>
      <c r="DC90" s="1907"/>
      <c r="DD90" s="1908"/>
      <c r="DE90" s="1907"/>
      <c r="DF90" s="1908"/>
      <c r="DG90" s="1907"/>
      <c r="DH90" s="1908"/>
      <c r="DI90" s="1907"/>
      <c r="DJ90" s="1908"/>
      <c r="DK90" s="1907"/>
      <c r="DL90" s="1908"/>
      <c r="DM90" s="1907"/>
      <c r="DN90" s="1908"/>
      <c r="DO90" s="1907"/>
      <c r="DP90" s="1908"/>
      <c r="DQ90" s="1907"/>
      <c r="DR90" s="1908"/>
      <c r="DS90" s="1907"/>
      <c r="DT90" s="1908"/>
      <c r="DU90" s="1907"/>
      <c r="DV90" s="1908"/>
      <c r="DW90" s="1907"/>
      <c r="DX90" s="1908"/>
      <c r="DY90" s="1907"/>
      <c r="DZ90" s="1908"/>
      <c r="EA90" s="1907"/>
      <c r="EB90" s="1908"/>
      <c r="EC90" s="1907"/>
      <c r="ED90" s="1908"/>
      <c r="EE90" s="1907"/>
      <c r="EF90" s="1908"/>
      <c r="EG90" s="1907"/>
      <c r="EH90" s="1908"/>
      <c r="EI90" s="1907"/>
      <c r="EJ90" s="1908"/>
      <c r="EK90" s="1907"/>
      <c r="EL90" s="1908"/>
      <c r="EM90" s="1907"/>
      <c r="EN90" s="1908"/>
      <c r="EO90" s="1907"/>
      <c r="EP90" s="1908"/>
      <c r="EQ90" s="1907"/>
      <c r="ER90" s="1908"/>
      <c r="ES90" s="1907"/>
      <c r="ET90" s="1908"/>
      <c r="EU90" s="1907"/>
      <c r="EV90" s="1908"/>
      <c r="EW90" s="1907"/>
      <c r="EX90" s="1908"/>
      <c r="EY90" s="1907"/>
      <c r="EZ90" s="1908"/>
      <c r="FA90" s="1907"/>
      <c r="FB90" s="1908"/>
      <c r="FC90" s="1907"/>
      <c r="FD90" s="1908"/>
      <c r="FE90" s="1907"/>
      <c r="FF90" s="1908"/>
      <c r="FG90" s="1907"/>
      <c r="FH90" s="1908"/>
      <c r="FI90" s="1907"/>
      <c r="FJ90" s="1908"/>
      <c r="FK90" s="1907"/>
      <c r="FL90" s="1908"/>
      <c r="FM90" s="1907"/>
      <c r="FN90" s="1908"/>
      <c r="FO90" s="1907"/>
      <c r="FP90" s="1908"/>
      <c r="FQ90" s="1907"/>
      <c r="FR90" s="1908"/>
      <c r="FS90" s="1907"/>
      <c r="FT90" s="1908"/>
      <c r="FU90" s="1907"/>
      <c r="FV90" s="1908"/>
      <c r="FW90" s="1907"/>
      <c r="FX90" s="1908"/>
      <c r="FY90" s="1907"/>
      <c r="FZ90" s="1908"/>
      <c r="GA90" s="1907"/>
      <c r="GB90" s="1908"/>
      <c r="GC90" s="1907"/>
      <c r="GD90" s="1908"/>
      <c r="GE90" s="1907"/>
      <c r="GF90" s="1908"/>
      <c r="GG90" s="1907"/>
      <c r="GH90" s="1908"/>
      <c r="GI90" s="1907"/>
      <c r="GJ90" s="1908"/>
      <c r="GK90" s="1907"/>
      <c r="GL90" s="1908"/>
      <c r="GM90" s="1907"/>
      <c r="GN90" s="1908"/>
      <c r="GO90" s="1907"/>
      <c r="GP90" s="1908"/>
      <c r="GQ90" s="1907"/>
      <c r="GR90" s="1908"/>
      <c r="GS90" s="1907"/>
      <c r="GT90" s="1908"/>
      <c r="GU90" s="1907"/>
      <c r="GV90" s="1908"/>
      <c r="GW90" s="1907"/>
      <c r="GX90" s="1908"/>
      <c r="GY90" s="1907"/>
      <c r="GZ90" s="1908"/>
      <c r="HA90" s="1907"/>
      <c r="HB90" s="1908"/>
      <c r="HC90" s="1907"/>
      <c r="HD90" s="1908"/>
      <c r="HE90" s="1907"/>
      <c r="HF90" s="1908"/>
      <c r="HG90" s="1907"/>
      <c r="HH90" s="1908"/>
      <c r="HI90" s="1907"/>
      <c r="HJ90" s="1908"/>
      <c r="HK90" s="1907"/>
      <c r="HL90" s="1908"/>
      <c r="HM90" s="1907"/>
      <c r="HN90" s="1909"/>
    </row>
    <row r="91" spans="2:222">
      <c r="B91" s="1729"/>
      <c r="C91" s="1729"/>
    </row>
    <row r="92" spans="2:222">
      <c r="B92" s="1729"/>
      <c r="C92" s="1729"/>
    </row>
    <row r="93" spans="2:222">
      <c r="B93" s="1729"/>
      <c r="C93" s="1729"/>
    </row>
    <row r="94" spans="2:222" ht="15" thickBot="1">
      <c r="B94" s="1729"/>
      <c r="C94" s="1729"/>
    </row>
    <row r="95" spans="2:222" ht="15.75" thickBot="1">
      <c r="H95" s="1885" t="s">
        <v>640</v>
      </c>
      <c r="I95" s="2096">
        <v>250</v>
      </c>
      <c r="J95" s="2097"/>
      <c r="K95" s="2096">
        <v>250</v>
      </c>
      <c r="L95" s="2097"/>
      <c r="M95" s="2096">
        <v>250</v>
      </c>
      <c r="N95" s="2097"/>
      <c r="O95" s="2096">
        <v>250</v>
      </c>
      <c r="P95" s="2097"/>
      <c r="Q95" s="2096">
        <v>300</v>
      </c>
      <c r="R95" s="2097"/>
      <c r="S95" s="2096">
        <v>300</v>
      </c>
      <c r="T95" s="2097"/>
      <c r="U95" s="2096">
        <v>300</v>
      </c>
      <c r="V95" s="2097"/>
      <c r="W95" s="2096">
        <v>300</v>
      </c>
      <c r="X95" s="2097"/>
      <c r="Y95" s="2096">
        <v>350</v>
      </c>
      <c r="Z95" s="2097"/>
      <c r="AA95" s="2096">
        <v>350</v>
      </c>
      <c r="AB95" s="2097"/>
      <c r="AC95" s="2096">
        <v>350</v>
      </c>
      <c r="AD95" s="2097"/>
      <c r="AE95" s="2096">
        <v>350</v>
      </c>
      <c r="AF95" s="2097"/>
      <c r="AG95" s="2096">
        <v>400</v>
      </c>
      <c r="AH95" s="2097"/>
      <c r="AI95" s="2096">
        <v>400</v>
      </c>
      <c r="AJ95" s="2097"/>
      <c r="AK95" s="2096">
        <v>400</v>
      </c>
      <c r="AL95" s="2097"/>
      <c r="AM95" s="2096">
        <v>400</v>
      </c>
      <c r="AN95" s="2097"/>
      <c r="AO95" s="2096">
        <v>271</v>
      </c>
      <c r="AP95" s="2097"/>
      <c r="AQ95" s="2096">
        <v>380</v>
      </c>
      <c r="AR95" s="2097"/>
      <c r="AS95" s="2096">
        <v>392</v>
      </c>
      <c r="AT95" s="2097"/>
      <c r="AU95" s="2096">
        <v>404</v>
      </c>
      <c r="AV95" s="2097"/>
      <c r="AW95" s="2096">
        <v>343</v>
      </c>
      <c r="AX95" s="2097"/>
      <c r="AY95" s="2096">
        <v>367</v>
      </c>
      <c r="AZ95" s="2097"/>
      <c r="BA95" s="2096">
        <v>391</v>
      </c>
      <c r="BB95" s="2097"/>
      <c r="BC95" s="2096">
        <v>415</v>
      </c>
      <c r="BD95" s="2097"/>
      <c r="BE95" s="2096">
        <v>427</v>
      </c>
      <c r="BF95" s="2097"/>
      <c r="BG95" s="2096">
        <v>439</v>
      </c>
      <c r="BH95" s="2097"/>
      <c r="BI95" s="2096">
        <v>378</v>
      </c>
      <c r="BJ95" s="2097"/>
      <c r="BK95" s="2096">
        <v>402</v>
      </c>
      <c r="BL95" s="2097"/>
      <c r="BM95" s="2096">
        <v>427</v>
      </c>
      <c r="BN95" s="2097"/>
      <c r="BO95" s="2096">
        <v>451</v>
      </c>
      <c r="BP95" s="2097"/>
      <c r="BQ95" s="2096">
        <v>463</v>
      </c>
      <c r="BR95" s="2097"/>
      <c r="BS95" s="2096">
        <v>475</v>
      </c>
      <c r="BT95" s="2097"/>
      <c r="BU95" s="2096">
        <v>450</v>
      </c>
      <c r="BV95" s="2097"/>
      <c r="BW95" s="2096">
        <v>450</v>
      </c>
      <c r="BX95" s="2097"/>
      <c r="BY95" s="2096">
        <v>450</v>
      </c>
      <c r="BZ95" s="2097"/>
      <c r="CA95" s="2096">
        <v>450</v>
      </c>
      <c r="CB95" s="2097"/>
      <c r="CC95" s="2096">
        <v>450</v>
      </c>
      <c r="CD95" s="2097"/>
      <c r="CE95" s="2096">
        <v>450</v>
      </c>
      <c r="CF95" s="2097"/>
      <c r="CG95" s="2096">
        <v>500</v>
      </c>
      <c r="CH95" s="2097"/>
      <c r="CI95" s="2096">
        <v>500</v>
      </c>
      <c r="CJ95" s="2097"/>
      <c r="CK95" s="2096">
        <v>500</v>
      </c>
      <c r="CL95" s="2097"/>
      <c r="CM95" s="2096">
        <v>500</v>
      </c>
      <c r="CN95" s="2097"/>
      <c r="CO95" s="2096">
        <v>500</v>
      </c>
      <c r="CP95" s="2097"/>
      <c r="CQ95" s="2096">
        <v>500</v>
      </c>
      <c r="CR95" s="2097"/>
      <c r="CS95" s="2096">
        <v>550</v>
      </c>
      <c r="CT95" s="2097"/>
      <c r="CU95" s="2096">
        <v>550</v>
      </c>
      <c r="CV95" s="2097"/>
      <c r="CW95" s="2096">
        <v>550</v>
      </c>
      <c r="CX95" s="2097"/>
      <c r="CY95" s="2096">
        <v>550</v>
      </c>
      <c r="CZ95" s="2097"/>
      <c r="DA95" s="2096">
        <v>550</v>
      </c>
      <c r="DB95" s="2097"/>
      <c r="DC95" s="2096">
        <v>550</v>
      </c>
      <c r="DD95" s="2097"/>
      <c r="DE95" s="2096">
        <v>600</v>
      </c>
      <c r="DF95" s="2097"/>
      <c r="DG95" s="2096">
        <v>600</v>
      </c>
      <c r="DH95" s="2097"/>
      <c r="DI95" s="2096">
        <v>600</v>
      </c>
      <c r="DJ95" s="2097"/>
      <c r="DK95" s="2096">
        <v>600</v>
      </c>
      <c r="DL95" s="2097"/>
      <c r="DM95" s="2096">
        <v>600</v>
      </c>
      <c r="DN95" s="2097"/>
      <c r="DO95" s="2096">
        <v>600</v>
      </c>
      <c r="DP95" s="2097"/>
      <c r="DQ95" s="2114"/>
      <c r="DR95" s="2115"/>
      <c r="DS95" s="2114"/>
      <c r="DT95" s="2115"/>
      <c r="DU95" s="2114"/>
      <c r="DV95" s="2115"/>
      <c r="DW95" s="2114"/>
      <c r="DX95" s="2115"/>
    </row>
    <row r="96" spans="2:222">
      <c r="H96" s="2105" t="s">
        <v>2</v>
      </c>
      <c r="I96" s="2101" t="s">
        <v>945</v>
      </c>
      <c r="J96" s="2102"/>
      <c r="K96" s="2101" t="s">
        <v>945</v>
      </c>
      <c r="L96" s="2102"/>
      <c r="M96" s="2101" t="s">
        <v>945</v>
      </c>
      <c r="N96" s="2102"/>
      <c r="O96" s="2101" t="s">
        <v>945</v>
      </c>
      <c r="P96" s="2102"/>
      <c r="Q96" s="2101" t="s">
        <v>946</v>
      </c>
      <c r="R96" s="2102"/>
      <c r="S96" s="2101" t="s">
        <v>947</v>
      </c>
      <c r="T96" s="2102"/>
      <c r="U96" s="2101" t="s">
        <v>947</v>
      </c>
      <c r="V96" s="2102"/>
      <c r="W96" s="2101" t="s">
        <v>947</v>
      </c>
      <c r="X96" s="2102"/>
      <c r="Y96" s="2101" t="s">
        <v>948</v>
      </c>
      <c r="Z96" s="2102"/>
      <c r="AA96" s="2101" t="s">
        <v>949</v>
      </c>
      <c r="AB96" s="2102"/>
      <c r="AC96" s="2101" t="s">
        <v>948</v>
      </c>
      <c r="AD96" s="2102"/>
      <c r="AE96" s="2101" t="s">
        <v>948</v>
      </c>
      <c r="AF96" s="2102"/>
      <c r="AG96" s="2101" t="s">
        <v>950</v>
      </c>
      <c r="AH96" s="2102"/>
      <c r="AI96" s="2101" t="s">
        <v>951</v>
      </c>
      <c r="AJ96" s="2102"/>
      <c r="AK96" s="2101" t="s">
        <v>952</v>
      </c>
      <c r="AL96" s="2102"/>
      <c r="AM96" s="2101" t="s">
        <v>953</v>
      </c>
      <c r="AN96" s="2102"/>
      <c r="AO96" s="2101" t="s">
        <v>954</v>
      </c>
      <c r="AP96" s="2102"/>
      <c r="AQ96" s="2101" t="s">
        <v>955</v>
      </c>
      <c r="AR96" s="2102"/>
      <c r="AS96" s="2101" t="s">
        <v>956</v>
      </c>
      <c r="AT96" s="2102"/>
      <c r="AU96" s="2101" t="s">
        <v>957</v>
      </c>
      <c r="AV96" s="2102"/>
      <c r="AW96" s="2101" t="s">
        <v>958</v>
      </c>
      <c r="AX96" s="2102"/>
      <c r="AY96" s="2101" t="s">
        <v>959</v>
      </c>
      <c r="AZ96" s="2102"/>
      <c r="BA96" s="2101" t="s">
        <v>960</v>
      </c>
      <c r="BB96" s="2102"/>
      <c r="BC96" s="2101" t="s">
        <v>961</v>
      </c>
      <c r="BD96" s="2102"/>
      <c r="BE96" s="2101" t="s">
        <v>962</v>
      </c>
      <c r="BF96" s="2102"/>
      <c r="BG96" s="2101" t="s">
        <v>963</v>
      </c>
      <c r="BH96" s="2102"/>
      <c r="BI96" s="2101" t="s">
        <v>964</v>
      </c>
      <c r="BJ96" s="2102"/>
      <c r="BK96" s="2101" t="s">
        <v>965</v>
      </c>
      <c r="BL96" s="2102"/>
      <c r="BM96" s="2101" t="s">
        <v>966</v>
      </c>
      <c r="BN96" s="2102"/>
      <c r="BO96" s="2101" t="s">
        <v>967</v>
      </c>
      <c r="BP96" s="2102"/>
      <c r="BQ96" s="2101" t="s">
        <v>968</v>
      </c>
      <c r="BR96" s="2102"/>
      <c r="BS96" s="2101" t="s">
        <v>969</v>
      </c>
      <c r="BT96" s="2102"/>
      <c r="BU96" s="2101" t="s">
        <v>970</v>
      </c>
      <c r="BV96" s="2102"/>
      <c r="BW96" s="2101" t="s">
        <v>971</v>
      </c>
      <c r="BX96" s="2102"/>
      <c r="BY96" s="2101" t="s">
        <v>972</v>
      </c>
      <c r="BZ96" s="2102"/>
      <c r="CA96" s="2101" t="s">
        <v>973</v>
      </c>
      <c r="CB96" s="2102"/>
      <c r="CC96" s="2101" t="s">
        <v>974</v>
      </c>
      <c r="CD96" s="2102"/>
      <c r="CE96" s="2101" t="s">
        <v>975</v>
      </c>
      <c r="CF96" s="2102"/>
      <c r="CG96" s="2101" t="s">
        <v>976</v>
      </c>
      <c r="CH96" s="2102"/>
      <c r="CI96" s="2101" t="s">
        <v>977</v>
      </c>
      <c r="CJ96" s="2102"/>
      <c r="CK96" s="2101" t="s">
        <v>978</v>
      </c>
      <c r="CL96" s="2102"/>
      <c r="CM96" s="2101" t="s">
        <v>979</v>
      </c>
      <c r="CN96" s="2102"/>
      <c r="CO96" s="2101" t="s">
        <v>980</v>
      </c>
      <c r="CP96" s="2102"/>
      <c r="CQ96" s="2101" t="s">
        <v>981</v>
      </c>
      <c r="CR96" s="2102"/>
      <c r="CS96" s="2101" t="s">
        <v>982</v>
      </c>
      <c r="CT96" s="2102"/>
      <c r="CU96" s="2101" t="s">
        <v>983</v>
      </c>
      <c r="CV96" s="2102"/>
      <c r="CW96" s="2101" t="s">
        <v>984</v>
      </c>
      <c r="CX96" s="2102"/>
      <c r="CY96" s="2101" t="s">
        <v>985</v>
      </c>
      <c r="CZ96" s="2102"/>
      <c r="DA96" s="2101" t="s">
        <v>986</v>
      </c>
      <c r="DB96" s="2102"/>
      <c r="DC96" s="2101" t="s">
        <v>987</v>
      </c>
      <c r="DD96" s="2102"/>
      <c r="DE96" s="2101" t="s">
        <v>988</v>
      </c>
      <c r="DF96" s="2102"/>
      <c r="DG96" s="2101" t="s">
        <v>989</v>
      </c>
      <c r="DH96" s="2102"/>
      <c r="DI96" s="2101" t="s">
        <v>990</v>
      </c>
      <c r="DJ96" s="2102"/>
      <c r="DK96" s="2101" t="s">
        <v>991</v>
      </c>
      <c r="DL96" s="2102"/>
      <c r="DM96" s="2101" t="s">
        <v>992</v>
      </c>
      <c r="DN96" s="2102"/>
      <c r="DO96" s="2101" t="s">
        <v>993</v>
      </c>
      <c r="DP96" s="2102"/>
      <c r="DQ96" s="2116"/>
      <c r="DR96" s="2117"/>
      <c r="DS96" s="2116"/>
      <c r="DT96" s="2117"/>
      <c r="DU96" s="2116"/>
      <c r="DV96" s="2117"/>
      <c r="DW96" s="2116"/>
      <c r="DX96" s="2117"/>
    </row>
    <row r="97" spans="1:257" ht="71.25" customHeight="1" thickBot="1">
      <c r="H97" s="2105"/>
      <c r="I97" s="2103"/>
      <c r="J97" s="2104"/>
      <c r="K97" s="2103"/>
      <c r="L97" s="2104"/>
      <c r="M97" s="2103"/>
      <c r="N97" s="2104"/>
      <c r="O97" s="2103"/>
      <c r="P97" s="2104"/>
      <c r="Q97" s="2103"/>
      <c r="R97" s="2104"/>
      <c r="S97" s="2103"/>
      <c r="T97" s="2104"/>
      <c r="U97" s="2103"/>
      <c r="V97" s="2104"/>
      <c r="W97" s="2103"/>
      <c r="X97" s="2104"/>
      <c r="Y97" s="2103"/>
      <c r="Z97" s="2104"/>
      <c r="AA97" s="2103"/>
      <c r="AB97" s="2104"/>
      <c r="AC97" s="2103"/>
      <c r="AD97" s="2104"/>
      <c r="AE97" s="2103"/>
      <c r="AF97" s="2104"/>
      <c r="AG97" s="2103"/>
      <c r="AH97" s="2104"/>
      <c r="AI97" s="2103"/>
      <c r="AJ97" s="2104"/>
      <c r="AK97" s="2103"/>
      <c r="AL97" s="2104"/>
      <c r="AM97" s="2103"/>
      <c r="AN97" s="2104"/>
      <c r="AO97" s="2103"/>
      <c r="AP97" s="2104"/>
      <c r="AQ97" s="2103"/>
      <c r="AR97" s="2104"/>
      <c r="AS97" s="2103"/>
      <c r="AT97" s="2104"/>
      <c r="AU97" s="2103"/>
      <c r="AV97" s="2104"/>
      <c r="AW97" s="2103"/>
      <c r="AX97" s="2104"/>
      <c r="AY97" s="2103"/>
      <c r="AZ97" s="2104"/>
      <c r="BA97" s="2103"/>
      <c r="BB97" s="2104"/>
      <c r="BC97" s="2103"/>
      <c r="BD97" s="2104"/>
      <c r="BE97" s="2103"/>
      <c r="BF97" s="2104"/>
      <c r="BG97" s="2103"/>
      <c r="BH97" s="2104"/>
      <c r="BI97" s="2103"/>
      <c r="BJ97" s="2104"/>
      <c r="BK97" s="2103"/>
      <c r="BL97" s="2104"/>
      <c r="BM97" s="2103"/>
      <c r="BN97" s="2104"/>
      <c r="BO97" s="2103"/>
      <c r="BP97" s="2104"/>
      <c r="BQ97" s="2103"/>
      <c r="BR97" s="2104"/>
      <c r="BS97" s="2103"/>
      <c r="BT97" s="2104"/>
      <c r="BU97" s="2103"/>
      <c r="BV97" s="2104"/>
      <c r="BW97" s="2103"/>
      <c r="BX97" s="2104"/>
      <c r="BY97" s="2103"/>
      <c r="BZ97" s="2104"/>
      <c r="CA97" s="2103"/>
      <c r="CB97" s="2104"/>
      <c r="CC97" s="2103"/>
      <c r="CD97" s="2104"/>
      <c r="CE97" s="2103"/>
      <c r="CF97" s="2104"/>
      <c r="CG97" s="2103"/>
      <c r="CH97" s="2104"/>
      <c r="CI97" s="2103"/>
      <c r="CJ97" s="2104"/>
      <c r="CK97" s="2103"/>
      <c r="CL97" s="2104"/>
      <c r="CM97" s="2103"/>
      <c r="CN97" s="2104"/>
      <c r="CO97" s="2103"/>
      <c r="CP97" s="2104"/>
      <c r="CQ97" s="2103"/>
      <c r="CR97" s="2104"/>
      <c r="CS97" s="2103"/>
      <c r="CT97" s="2104"/>
      <c r="CU97" s="2103"/>
      <c r="CV97" s="2104"/>
      <c r="CW97" s="2103"/>
      <c r="CX97" s="2104"/>
      <c r="CY97" s="2103"/>
      <c r="CZ97" s="2104"/>
      <c r="DA97" s="2103"/>
      <c r="DB97" s="2104"/>
      <c r="DC97" s="2103"/>
      <c r="DD97" s="2104"/>
      <c r="DE97" s="2103"/>
      <c r="DF97" s="2104"/>
      <c r="DG97" s="2103"/>
      <c r="DH97" s="2104"/>
      <c r="DI97" s="2103"/>
      <c r="DJ97" s="2104"/>
      <c r="DK97" s="2103"/>
      <c r="DL97" s="2104"/>
      <c r="DM97" s="2103"/>
      <c r="DN97" s="2104"/>
      <c r="DO97" s="2103"/>
      <c r="DP97" s="2104"/>
      <c r="DQ97" s="2118"/>
      <c r="DR97" s="2119"/>
      <c r="DS97" s="2118"/>
      <c r="DT97" s="2119"/>
      <c r="DU97" s="2118"/>
      <c r="DV97" s="2119"/>
      <c r="DW97" s="2118"/>
      <c r="DX97" s="2119"/>
    </row>
    <row r="98" spans="1:257">
      <c r="H98" s="1886" t="s">
        <v>899</v>
      </c>
      <c r="I98" s="2112">
        <v>0.3</v>
      </c>
      <c r="J98" s="2113"/>
      <c r="K98" s="2112">
        <v>0.6</v>
      </c>
      <c r="L98" s="2113"/>
      <c r="M98" s="2112">
        <v>0.9</v>
      </c>
      <c r="N98" s="2113"/>
      <c r="O98" s="2112">
        <v>1.2</v>
      </c>
      <c r="P98" s="2113"/>
      <c r="Q98" s="2112">
        <v>0.3</v>
      </c>
      <c r="R98" s="2113"/>
      <c r="S98" s="2112">
        <v>0.6</v>
      </c>
      <c r="T98" s="2113"/>
      <c r="U98" s="2112">
        <v>0.9</v>
      </c>
      <c r="V98" s="2113"/>
      <c r="W98" s="2112">
        <v>1.2</v>
      </c>
      <c r="X98" s="2113"/>
      <c r="Y98" s="2112">
        <v>0.3</v>
      </c>
      <c r="Z98" s="2113"/>
      <c r="AA98" s="2112">
        <v>0.6</v>
      </c>
      <c r="AB98" s="2113"/>
      <c r="AC98" s="2112">
        <v>0.9</v>
      </c>
      <c r="AD98" s="2113"/>
      <c r="AE98" s="2112">
        <v>1.2</v>
      </c>
      <c r="AF98" s="2113"/>
      <c r="AG98" s="2112">
        <v>0.3</v>
      </c>
      <c r="AH98" s="2113"/>
      <c r="AI98" s="2112">
        <v>0.6</v>
      </c>
      <c r="AJ98" s="2113"/>
      <c r="AK98" s="2112">
        <v>0.9</v>
      </c>
      <c r="AL98" s="2113"/>
      <c r="AM98" s="2112">
        <v>1.2</v>
      </c>
      <c r="AN98" s="2113"/>
      <c r="AO98" s="2112"/>
      <c r="AP98" s="2113"/>
      <c r="AQ98" s="2112"/>
      <c r="AR98" s="2113"/>
      <c r="AS98" s="2112"/>
      <c r="AT98" s="2113"/>
      <c r="AU98" s="2112"/>
      <c r="AV98" s="2113"/>
      <c r="AW98" s="2112"/>
      <c r="AX98" s="2113"/>
      <c r="AY98" s="2112"/>
      <c r="AZ98" s="2113"/>
      <c r="BA98" s="2112"/>
      <c r="BB98" s="2113"/>
      <c r="BC98" s="2112"/>
      <c r="BD98" s="2113"/>
      <c r="BE98" s="2112"/>
      <c r="BF98" s="2113"/>
      <c r="BG98" s="2112"/>
      <c r="BH98" s="2113"/>
      <c r="BI98" s="2112"/>
      <c r="BJ98" s="2113"/>
      <c r="BK98" s="2112"/>
      <c r="BL98" s="2113"/>
      <c r="BM98" s="2112"/>
      <c r="BN98" s="2113"/>
      <c r="BO98" s="2112"/>
      <c r="BP98" s="2113"/>
      <c r="BQ98" s="2112"/>
      <c r="BR98" s="2113"/>
      <c r="BS98" s="2112"/>
      <c r="BT98" s="2113"/>
      <c r="BU98" s="2112"/>
      <c r="BV98" s="2113"/>
      <c r="BW98" s="2112"/>
      <c r="BX98" s="2113"/>
      <c r="BY98" s="2112"/>
      <c r="BZ98" s="2113"/>
      <c r="CA98" s="2112"/>
      <c r="CB98" s="2113"/>
      <c r="CC98" s="2112"/>
      <c r="CD98" s="2113"/>
      <c r="CE98" s="2112"/>
      <c r="CF98" s="2113"/>
      <c r="CG98" s="2112"/>
      <c r="CH98" s="2113"/>
      <c r="CI98" s="2112"/>
      <c r="CJ98" s="2113"/>
      <c r="CK98" s="2112"/>
      <c r="CL98" s="2113"/>
      <c r="CM98" s="2112"/>
      <c r="CN98" s="2113"/>
      <c r="CO98" s="2112"/>
      <c r="CP98" s="2113"/>
      <c r="CQ98" s="2112"/>
      <c r="CR98" s="2113"/>
      <c r="CS98" s="2112"/>
      <c r="CT98" s="2113"/>
      <c r="CU98" s="2112"/>
      <c r="CV98" s="2113"/>
      <c r="CW98" s="2112"/>
      <c r="CX98" s="2113"/>
      <c r="CY98" s="2112"/>
      <c r="CZ98" s="2113"/>
      <c r="DA98" s="2112"/>
      <c r="DB98" s="2113"/>
      <c r="DC98" s="2112"/>
      <c r="DD98" s="2113"/>
      <c r="DE98" s="2112"/>
      <c r="DF98" s="2113"/>
      <c r="DG98" s="2112"/>
      <c r="DH98" s="2113"/>
      <c r="DI98" s="2112"/>
      <c r="DJ98" s="2113"/>
      <c r="DK98" s="2112"/>
      <c r="DL98" s="2113"/>
      <c r="DM98" s="2112"/>
      <c r="DN98" s="2113"/>
      <c r="DO98" s="2112"/>
      <c r="DP98" s="2113"/>
      <c r="DQ98" s="2089"/>
      <c r="DR98" s="2090"/>
      <c r="DS98" s="2089"/>
      <c r="DT98" s="2090"/>
      <c r="DU98" s="2089"/>
      <c r="DV98" s="2090"/>
      <c r="DW98" s="2089"/>
      <c r="DX98" s="2090"/>
      <c r="EC98" s="1735"/>
      <c r="ED98" s="1735"/>
      <c r="GR98" s="1735"/>
      <c r="GS98" s="1735"/>
      <c r="GT98" s="1735"/>
      <c r="GU98" s="1735"/>
      <c r="GV98" s="1735"/>
      <c r="GW98" s="1735"/>
      <c r="GX98" s="1735"/>
      <c r="GY98" s="1735"/>
      <c r="GZ98" s="1735"/>
      <c r="HA98" s="1735"/>
      <c r="HB98" s="1735"/>
      <c r="HC98" s="1735"/>
      <c r="HD98" s="1735"/>
      <c r="HE98" s="1735"/>
      <c r="HF98" s="1735"/>
      <c r="HG98" s="1735"/>
      <c r="HH98" s="1735"/>
      <c r="HI98" s="1735"/>
      <c r="HJ98" s="1735"/>
      <c r="HK98" s="1735"/>
      <c r="HL98" s="1735"/>
      <c r="HM98" s="1735"/>
      <c r="HN98" s="1735"/>
      <c r="HO98" s="1735"/>
      <c r="HP98" s="1735"/>
      <c r="HQ98" s="1735"/>
      <c r="HR98" s="1735"/>
      <c r="HS98" s="1735"/>
      <c r="HT98" s="1735"/>
      <c r="HU98" s="1735"/>
      <c r="HV98" s="1735"/>
      <c r="HW98" s="1735"/>
      <c r="HX98" s="1735"/>
      <c r="HY98" s="1735"/>
      <c r="HZ98" s="1735"/>
      <c r="IA98" s="1735"/>
      <c r="IB98" s="1735"/>
      <c r="IC98" s="1735"/>
      <c r="ID98" s="1735"/>
      <c r="IE98" s="1735"/>
      <c r="IF98" s="1735"/>
      <c r="IG98" s="1735"/>
      <c r="IH98" s="1735"/>
      <c r="II98" s="1735"/>
      <c r="IJ98" s="1735"/>
      <c r="IK98" s="1735"/>
      <c r="IL98" s="1735"/>
      <c r="IM98" s="1735"/>
      <c r="IN98" s="1735"/>
      <c r="IO98" s="1735"/>
      <c r="IP98" s="1735"/>
      <c r="IQ98" s="1735"/>
      <c r="IR98" s="1735"/>
      <c r="IS98" s="1735"/>
      <c r="IT98" s="1735"/>
      <c r="IU98" s="1735"/>
      <c r="IV98" s="1735"/>
      <c r="IW98" s="1735"/>
    </row>
    <row r="99" spans="1:257">
      <c r="H99" s="1886"/>
      <c r="I99" s="1890" t="s">
        <v>0</v>
      </c>
      <c r="J99" s="1912" t="s">
        <v>1</v>
      </c>
      <c r="K99" s="1890" t="s">
        <v>0</v>
      </c>
      <c r="L99" s="1912" t="s">
        <v>1</v>
      </c>
      <c r="M99" s="1890" t="s">
        <v>0</v>
      </c>
      <c r="N99" s="1912" t="s">
        <v>1</v>
      </c>
      <c r="O99" s="1890" t="s">
        <v>0</v>
      </c>
      <c r="P99" s="1912" t="s">
        <v>1</v>
      </c>
      <c r="Q99" s="1890" t="s">
        <v>0</v>
      </c>
      <c r="R99" s="1912" t="s">
        <v>1</v>
      </c>
      <c r="S99" s="1890" t="s">
        <v>0</v>
      </c>
      <c r="T99" s="1912" t="s">
        <v>1</v>
      </c>
      <c r="U99" s="1890" t="s">
        <v>0</v>
      </c>
      <c r="V99" s="1912" t="s">
        <v>1</v>
      </c>
      <c r="W99" s="1890" t="s">
        <v>0</v>
      </c>
      <c r="X99" s="1912" t="s">
        <v>1</v>
      </c>
      <c r="Y99" s="1890" t="s">
        <v>0</v>
      </c>
      <c r="Z99" s="1912" t="s">
        <v>1</v>
      </c>
      <c r="AA99" s="1890" t="s">
        <v>0</v>
      </c>
      <c r="AB99" s="1912" t="s">
        <v>1</v>
      </c>
      <c r="AC99" s="1890" t="s">
        <v>0</v>
      </c>
      <c r="AD99" s="1912" t="s">
        <v>1</v>
      </c>
      <c r="AE99" s="1890" t="s">
        <v>0</v>
      </c>
      <c r="AF99" s="1912" t="s">
        <v>1</v>
      </c>
      <c r="AG99" s="1890" t="s">
        <v>0</v>
      </c>
      <c r="AH99" s="1912" t="s">
        <v>1</v>
      </c>
      <c r="AI99" s="1890" t="s">
        <v>0</v>
      </c>
      <c r="AJ99" s="1912" t="s">
        <v>1</v>
      </c>
      <c r="AK99" s="1890" t="s">
        <v>0</v>
      </c>
      <c r="AL99" s="1912" t="s">
        <v>1</v>
      </c>
      <c r="AM99" s="1890" t="s">
        <v>0</v>
      </c>
      <c r="AN99" s="1912" t="s">
        <v>1</v>
      </c>
      <c r="AO99" s="1890" t="s">
        <v>0</v>
      </c>
      <c r="AP99" s="1912" t="s">
        <v>1</v>
      </c>
      <c r="AQ99" s="1890" t="s">
        <v>0</v>
      </c>
      <c r="AR99" s="1912" t="s">
        <v>1</v>
      </c>
      <c r="AS99" s="1890" t="s">
        <v>0</v>
      </c>
      <c r="AT99" s="1912" t="s">
        <v>1</v>
      </c>
      <c r="AU99" s="1890" t="s">
        <v>0</v>
      </c>
      <c r="AV99" s="1912" t="s">
        <v>1</v>
      </c>
      <c r="AW99" s="1890" t="s">
        <v>0</v>
      </c>
      <c r="AX99" s="1912" t="s">
        <v>1</v>
      </c>
      <c r="AY99" s="1890" t="s">
        <v>0</v>
      </c>
      <c r="AZ99" s="1912" t="s">
        <v>1</v>
      </c>
      <c r="BA99" s="1890" t="s">
        <v>0</v>
      </c>
      <c r="BB99" s="1912" t="s">
        <v>1</v>
      </c>
      <c r="BC99" s="1890" t="s">
        <v>0</v>
      </c>
      <c r="BD99" s="1912" t="s">
        <v>1</v>
      </c>
      <c r="BE99" s="1890" t="s">
        <v>0</v>
      </c>
      <c r="BF99" s="1912" t="s">
        <v>1</v>
      </c>
      <c r="BG99" s="1890" t="s">
        <v>0</v>
      </c>
      <c r="BH99" s="1912" t="s">
        <v>1</v>
      </c>
      <c r="BI99" s="1890" t="s">
        <v>0</v>
      </c>
      <c r="BJ99" s="1912" t="s">
        <v>1</v>
      </c>
      <c r="BK99" s="1890" t="s">
        <v>0</v>
      </c>
      <c r="BL99" s="1912" t="s">
        <v>1</v>
      </c>
      <c r="BM99" s="1890" t="s">
        <v>0</v>
      </c>
      <c r="BN99" s="1912" t="s">
        <v>1</v>
      </c>
      <c r="BO99" s="1890" t="s">
        <v>0</v>
      </c>
      <c r="BP99" s="1912" t="s">
        <v>1</v>
      </c>
      <c r="BQ99" s="1890" t="s">
        <v>0</v>
      </c>
      <c r="BR99" s="1912" t="s">
        <v>1</v>
      </c>
      <c r="BS99" s="1890" t="s">
        <v>0</v>
      </c>
      <c r="BT99" s="1912" t="s">
        <v>1</v>
      </c>
      <c r="BU99" s="1890" t="s">
        <v>0</v>
      </c>
      <c r="BV99" s="1912" t="s">
        <v>1</v>
      </c>
      <c r="BW99" s="1890" t="s">
        <v>0</v>
      </c>
      <c r="BX99" s="1912" t="s">
        <v>1</v>
      </c>
      <c r="BY99" s="1890" t="s">
        <v>0</v>
      </c>
      <c r="BZ99" s="1912" t="s">
        <v>1</v>
      </c>
      <c r="CA99" s="1890" t="s">
        <v>0</v>
      </c>
      <c r="CB99" s="1912" t="s">
        <v>1</v>
      </c>
      <c r="CC99" s="1890" t="s">
        <v>0</v>
      </c>
      <c r="CD99" s="1912" t="s">
        <v>1</v>
      </c>
      <c r="CE99" s="1890" t="s">
        <v>0</v>
      </c>
      <c r="CF99" s="1912" t="s">
        <v>1</v>
      </c>
      <c r="CG99" s="1890" t="s">
        <v>0</v>
      </c>
      <c r="CH99" s="1912" t="s">
        <v>1</v>
      </c>
      <c r="CI99" s="1890" t="s">
        <v>0</v>
      </c>
      <c r="CJ99" s="1912" t="s">
        <v>1</v>
      </c>
      <c r="CK99" s="1890" t="s">
        <v>0</v>
      </c>
      <c r="CL99" s="1912" t="s">
        <v>1</v>
      </c>
      <c r="CM99" s="1890" t="s">
        <v>0</v>
      </c>
      <c r="CN99" s="1912" t="s">
        <v>1</v>
      </c>
      <c r="CO99" s="1890" t="s">
        <v>0</v>
      </c>
      <c r="CP99" s="1912" t="s">
        <v>1</v>
      </c>
      <c r="CQ99" s="1890" t="s">
        <v>0</v>
      </c>
      <c r="CR99" s="1912" t="s">
        <v>1</v>
      </c>
      <c r="CS99" s="1890" t="s">
        <v>0</v>
      </c>
      <c r="CT99" s="1912" t="s">
        <v>1</v>
      </c>
      <c r="CU99" s="1890" t="s">
        <v>0</v>
      </c>
      <c r="CV99" s="1912" t="s">
        <v>1</v>
      </c>
      <c r="CW99" s="1890" t="s">
        <v>0</v>
      </c>
      <c r="CX99" s="1912" t="s">
        <v>1</v>
      </c>
      <c r="CY99" s="1890" t="s">
        <v>0</v>
      </c>
      <c r="CZ99" s="1912" t="s">
        <v>1</v>
      </c>
      <c r="DA99" s="1890" t="s">
        <v>0</v>
      </c>
      <c r="DB99" s="1912" t="s">
        <v>1</v>
      </c>
      <c r="DC99" s="1890" t="s">
        <v>0</v>
      </c>
      <c r="DD99" s="1912" t="s">
        <v>1</v>
      </c>
      <c r="DE99" s="1890" t="s">
        <v>0</v>
      </c>
      <c r="DF99" s="1912" t="s">
        <v>1</v>
      </c>
      <c r="DG99" s="1890" t="s">
        <v>0</v>
      </c>
      <c r="DH99" s="1912" t="s">
        <v>1</v>
      </c>
      <c r="DI99" s="1890" t="s">
        <v>0</v>
      </c>
      <c r="DJ99" s="1912" t="s">
        <v>1</v>
      </c>
      <c r="DK99" s="1890" t="s">
        <v>0</v>
      </c>
      <c r="DL99" s="1912" t="s">
        <v>1</v>
      </c>
      <c r="DM99" s="1890" t="s">
        <v>0</v>
      </c>
      <c r="DN99" s="1912" t="s">
        <v>1</v>
      </c>
      <c r="DO99" s="1890" t="s">
        <v>0</v>
      </c>
      <c r="DP99" s="1912" t="s">
        <v>1</v>
      </c>
      <c r="DQ99" s="1890" t="s">
        <v>0</v>
      </c>
      <c r="DR99" s="1912" t="s">
        <v>1</v>
      </c>
      <c r="DS99" s="1890" t="s">
        <v>0</v>
      </c>
      <c r="DT99" s="1912" t="s">
        <v>1</v>
      </c>
      <c r="DU99" s="1890" t="s">
        <v>0</v>
      </c>
      <c r="DV99" s="1912" t="s">
        <v>1</v>
      </c>
      <c r="DW99" s="1890" t="s">
        <v>0</v>
      </c>
      <c r="DX99" s="1912" t="s">
        <v>1</v>
      </c>
      <c r="EC99" s="1735"/>
      <c r="ED99" s="1735"/>
      <c r="EE99" s="1735"/>
      <c r="EF99" s="1735"/>
      <c r="EG99" s="1735"/>
      <c r="EH99" s="1735"/>
      <c r="EI99" s="1735"/>
      <c r="EJ99" s="1735"/>
      <c r="EK99" s="1735"/>
      <c r="EL99" s="1735"/>
      <c r="EM99" s="1735"/>
      <c r="EN99" s="1735"/>
      <c r="EO99" s="1735"/>
      <c r="EP99" s="1735"/>
      <c r="EQ99" s="1735"/>
      <c r="ER99" s="1735"/>
      <c r="ES99" s="1735"/>
      <c r="ET99" s="1735"/>
      <c r="EU99" s="1735"/>
      <c r="EV99" s="1735"/>
      <c r="EW99" s="1735"/>
      <c r="EX99" s="1735"/>
      <c r="EY99" s="1735"/>
      <c r="EZ99" s="1735"/>
      <c r="FA99" s="1735"/>
      <c r="FB99" s="1735"/>
      <c r="FC99" s="1735"/>
      <c r="FD99" s="1735"/>
      <c r="FE99" s="1735"/>
      <c r="FF99" s="1735"/>
      <c r="FG99" s="1735"/>
      <c r="FH99" s="1735"/>
      <c r="FI99" s="1735"/>
      <c r="FJ99" s="1735"/>
      <c r="FK99" s="1735"/>
      <c r="FL99" s="1735"/>
      <c r="FM99" s="1735"/>
      <c r="FN99" s="1735"/>
      <c r="FO99" s="1735"/>
      <c r="FP99" s="1735"/>
      <c r="FQ99" s="1735"/>
      <c r="FR99" s="1735"/>
      <c r="FS99" s="1735"/>
      <c r="FT99" s="1735"/>
      <c r="FU99" s="1735"/>
      <c r="FV99" s="1735"/>
      <c r="FW99" s="1735"/>
      <c r="FX99" s="1735"/>
      <c r="FY99" s="1735"/>
      <c r="FZ99" s="1735"/>
      <c r="GA99" s="1735"/>
      <c r="GB99" s="1735"/>
      <c r="GC99" s="1735"/>
      <c r="GD99" s="1735"/>
      <c r="GE99" s="1735"/>
      <c r="GF99" s="1735"/>
      <c r="GG99" s="1735"/>
      <c r="GH99" s="1735"/>
      <c r="GI99" s="1735"/>
      <c r="GJ99" s="1735"/>
      <c r="GK99" s="1735"/>
      <c r="GL99" s="1735"/>
      <c r="GM99" s="1735"/>
      <c r="GN99" s="1735"/>
      <c r="GO99" s="1735"/>
      <c r="GP99" s="1735"/>
      <c r="GQ99" s="1735"/>
      <c r="GR99" s="1735"/>
      <c r="GS99" s="1735"/>
      <c r="GT99" s="1735"/>
      <c r="GU99" s="1735"/>
      <c r="GV99" s="1735"/>
      <c r="GW99" s="1735"/>
      <c r="GX99" s="1735"/>
      <c r="GY99" s="1735"/>
      <c r="GZ99" s="1735"/>
      <c r="HA99" s="1735"/>
      <c r="HB99" s="1735"/>
      <c r="HC99" s="1735"/>
      <c r="HD99" s="1735"/>
      <c r="HE99" s="1735"/>
      <c r="HF99" s="1735"/>
      <c r="HG99" s="1735"/>
      <c r="HH99" s="1735"/>
      <c r="HI99" s="1735"/>
      <c r="HJ99" s="1735"/>
      <c r="HK99" s="1735"/>
      <c r="HL99" s="1735"/>
      <c r="HM99" s="1735"/>
      <c r="HN99" s="1735"/>
      <c r="HO99" s="1735"/>
      <c r="HP99" s="1735"/>
      <c r="HQ99" s="1735"/>
      <c r="HR99" s="1735"/>
      <c r="HS99" s="1735"/>
      <c r="HT99" s="1735"/>
      <c r="HU99" s="1735"/>
      <c r="HV99" s="1735"/>
      <c r="HW99" s="1735"/>
      <c r="HX99" s="1735"/>
      <c r="HY99" s="1735"/>
      <c r="HZ99" s="1735"/>
      <c r="IA99" s="1735"/>
      <c r="IB99" s="1735"/>
      <c r="IC99" s="1735"/>
      <c r="ID99" s="1735"/>
      <c r="IE99" s="1735"/>
      <c r="IF99" s="1735"/>
      <c r="IG99" s="1735"/>
      <c r="IH99" s="1735"/>
      <c r="II99" s="1735"/>
      <c r="IJ99" s="1735"/>
      <c r="IK99" s="1735"/>
      <c r="IL99" s="1735"/>
      <c r="IM99" s="1735"/>
      <c r="IN99" s="1735"/>
      <c r="IO99" s="1735"/>
      <c r="IP99" s="1735"/>
      <c r="IQ99" s="1735"/>
      <c r="IR99" s="1735"/>
      <c r="IS99" s="1735"/>
      <c r="IT99" s="1735"/>
      <c r="IU99" s="1735"/>
      <c r="IV99" s="1735"/>
      <c r="IW99" s="1735"/>
    </row>
    <row r="100" spans="1:257">
      <c r="H100" s="1893" t="s">
        <v>901</v>
      </c>
      <c r="I100" s="1896">
        <v>0</v>
      </c>
      <c r="J100" s="1895">
        <v>7.4</v>
      </c>
      <c r="K100" s="1896">
        <v>0</v>
      </c>
      <c r="L100" s="1895">
        <v>7.3</v>
      </c>
      <c r="M100" s="1896">
        <v>0</v>
      </c>
      <c r="N100" s="1895">
        <v>7.1</v>
      </c>
      <c r="O100" s="1896">
        <v>0</v>
      </c>
      <c r="P100" s="1895">
        <v>7</v>
      </c>
      <c r="Q100" s="1896">
        <v>0</v>
      </c>
      <c r="R100" s="1895">
        <v>8.3000000000000007</v>
      </c>
      <c r="S100" s="1896">
        <v>0</v>
      </c>
      <c r="T100" s="1895">
        <v>8.1999999999999993</v>
      </c>
      <c r="U100" s="1896">
        <v>0</v>
      </c>
      <c r="V100" s="1895">
        <v>8.1</v>
      </c>
      <c r="W100" s="1896">
        <v>0</v>
      </c>
      <c r="X100" s="1895">
        <v>8</v>
      </c>
      <c r="Y100" s="1896">
        <v>0</v>
      </c>
      <c r="Z100" s="1895">
        <v>9.3000000000000007</v>
      </c>
      <c r="AA100" s="1897">
        <v>0</v>
      </c>
      <c r="AB100" s="1898">
        <v>9.1999999999999993</v>
      </c>
      <c r="AC100" s="1897">
        <v>0</v>
      </c>
      <c r="AD100" s="1898">
        <v>9</v>
      </c>
      <c r="AE100" s="1897">
        <v>0</v>
      </c>
      <c r="AF100" s="1898">
        <v>8.9</v>
      </c>
      <c r="AG100" s="1897">
        <v>0</v>
      </c>
      <c r="AH100" s="1898">
        <v>10.199999999999999</v>
      </c>
      <c r="AI100" s="1897">
        <v>0</v>
      </c>
      <c r="AJ100" s="1898">
        <v>10.1</v>
      </c>
      <c r="AK100" s="1897">
        <v>0</v>
      </c>
      <c r="AL100" s="1898">
        <v>10</v>
      </c>
      <c r="AM100" s="1897">
        <v>0</v>
      </c>
      <c r="AN100" s="1898">
        <v>9.9</v>
      </c>
      <c r="AO100" s="1897">
        <v>0</v>
      </c>
      <c r="AP100" s="1898">
        <v>9.1999999999999993</v>
      </c>
      <c r="AQ100" s="1897">
        <v>0</v>
      </c>
      <c r="AR100" s="1898">
        <v>9.8000000000000007</v>
      </c>
      <c r="AS100" s="1897">
        <v>0</v>
      </c>
      <c r="AT100" s="1898">
        <v>10.1</v>
      </c>
      <c r="AU100" s="1897">
        <v>0</v>
      </c>
      <c r="AV100" s="1898">
        <v>10.5</v>
      </c>
      <c r="AW100" s="1897">
        <v>0</v>
      </c>
      <c r="AX100" s="1898">
        <v>8.8000000000000007</v>
      </c>
      <c r="AY100" s="1897">
        <v>0</v>
      </c>
      <c r="AZ100" s="1898">
        <v>9.3000000000000007</v>
      </c>
      <c r="BA100" s="1897">
        <v>0</v>
      </c>
      <c r="BB100" s="1898">
        <v>9.8000000000000007</v>
      </c>
      <c r="BC100" s="1897">
        <v>0</v>
      </c>
      <c r="BD100" s="1898">
        <v>10.5</v>
      </c>
      <c r="BE100" s="1897">
        <v>0</v>
      </c>
      <c r="BF100" s="1898">
        <v>10.8</v>
      </c>
      <c r="BG100" s="1897">
        <v>0</v>
      </c>
      <c r="BH100" s="1898">
        <v>11.1</v>
      </c>
      <c r="BI100" s="1897">
        <v>0</v>
      </c>
      <c r="BJ100" s="1898">
        <v>9.5</v>
      </c>
      <c r="BK100" s="1897">
        <v>0</v>
      </c>
      <c r="BL100" s="1898">
        <v>10</v>
      </c>
      <c r="BM100" s="1897">
        <v>0</v>
      </c>
      <c r="BN100" s="1898">
        <v>10.5</v>
      </c>
      <c r="BO100" s="1897">
        <v>0</v>
      </c>
      <c r="BP100" s="1898">
        <v>11.1</v>
      </c>
      <c r="BQ100" s="1897">
        <v>0</v>
      </c>
      <c r="BR100" s="1898">
        <v>11.5</v>
      </c>
      <c r="BS100" s="1897">
        <v>0</v>
      </c>
      <c r="BT100" s="1898">
        <v>11.8</v>
      </c>
      <c r="BU100" s="1897">
        <v>0</v>
      </c>
      <c r="BV100" s="1898">
        <v>11.1</v>
      </c>
      <c r="BW100" s="1897">
        <v>0</v>
      </c>
      <c r="BX100" s="1898">
        <v>11.1</v>
      </c>
      <c r="BY100" s="1897">
        <v>0</v>
      </c>
      <c r="BZ100" s="1898">
        <v>10.6</v>
      </c>
      <c r="CA100" s="1897">
        <v>0</v>
      </c>
      <c r="CB100" s="1898">
        <v>9.9</v>
      </c>
      <c r="CC100" s="1897">
        <v>0</v>
      </c>
      <c r="CD100" s="1898">
        <v>9.5</v>
      </c>
      <c r="CE100" s="1897">
        <v>0</v>
      </c>
      <c r="CF100" s="1898">
        <v>9.6</v>
      </c>
      <c r="CG100" s="1897">
        <v>0</v>
      </c>
      <c r="CH100" s="1898">
        <v>11.8</v>
      </c>
      <c r="CI100" s="1897">
        <v>0</v>
      </c>
      <c r="CJ100" s="1898">
        <v>11.9</v>
      </c>
      <c r="CK100" s="1897">
        <v>0</v>
      </c>
      <c r="CL100" s="1898">
        <v>11.3</v>
      </c>
      <c r="CM100" s="1897">
        <v>0</v>
      </c>
      <c r="CN100" s="1898">
        <v>10.6</v>
      </c>
      <c r="CO100" s="1897">
        <v>0</v>
      </c>
      <c r="CP100" s="1898">
        <v>10.3</v>
      </c>
      <c r="CQ100" s="1897">
        <v>0</v>
      </c>
      <c r="CR100" s="1898">
        <v>10.3</v>
      </c>
      <c r="CS100" s="1897">
        <v>0</v>
      </c>
      <c r="CT100" s="1898">
        <v>12.6</v>
      </c>
      <c r="CU100" s="1897">
        <v>0</v>
      </c>
      <c r="CV100" s="1898">
        <v>12.6</v>
      </c>
      <c r="CW100" s="1897">
        <v>0</v>
      </c>
      <c r="CX100" s="1898">
        <v>12.1</v>
      </c>
      <c r="CY100" s="1897">
        <v>0</v>
      </c>
      <c r="CZ100" s="1898">
        <v>11.4</v>
      </c>
      <c r="DA100" s="1897">
        <v>0</v>
      </c>
      <c r="DB100" s="1898">
        <v>11</v>
      </c>
      <c r="DC100" s="1897">
        <v>0</v>
      </c>
      <c r="DD100" s="1898">
        <v>11.1</v>
      </c>
      <c r="DE100" s="1897">
        <v>0</v>
      </c>
      <c r="DF100" s="1898">
        <v>13.3</v>
      </c>
      <c r="DG100" s="1897">
        <v>0</v>
      </c>
      <c r="DH100" s="1898">
        <v>13.3</v>
      </c>
      <c r="DI100" s="1897">
        <v>0</v>
      </c>
      <c r="DJ100" s="1898">
        <v>12.8</v>
      </c>
      <c r="DK100" s="1897">
        <v>0</v>
      </c>
      <c r="DL100" s="1898">
        <v>12.1</v>
      </c>
      <c r="DM100" s="1897">
        <v>0</v>
      </c>
      <c r="DN100" s="1898">
        <v>11.7</v>
      </c>
      <c r="DO100" s="1897">
        <v>0</v>
      </c>
      <c r="DP100" s="1898">
        <v>11.8</v>
      </c>
      <c r="DQ100" s="1913"/>
      <c r="DR100" s="1914"/>
      <c r="DS100" s="1913"/>
      <c r="DT100" s="1914"/>
      <c r="DU100" s="1913"/>
      <c r="DV100" s="1914"/>
      <c r="DW100" s="1913"/>
      <c r="DX100" s="1914"/>
      <c r="EC100" s="1735"/>
      <c r="ED100" s="1735"/>
      <c r="EE100" s="1735"/>
      <c r="EF100" s="1735"/>
      <c r="EG100" s="1735"/>
      <c r="EH100" s="1735"/>
      <c r="EI100" s="1735"/>
      <c r="EJ100" s="1735"/>
      <c r="EK100" s="1735"/>
      <c r="EL100" s="1735"/>
      <c r="EM100" s="1735"/>
      <c r="EN100" s="1735"/>
      <c r="EO100" s="1735"/>
      <c r="EP100" s="1735"/>
      <c r="EQ100" s="1735"/>
      <c r="ER100" s="1735"/>
      <c r="ES100" s="1735"/>
      <c r="ET100" s="1735"/>
      <c r="EU100" s="1735"/>
      <c r="EV100" s="1735"/>
      <c r="EW100" s="1735"/>
      <c r="EX100" s="1735"/>
      <c r="EY100" s="1735"/>
      <c r="EZ100" s="1735"/>
      <c r="FA100" s="1735"/>
      <c r="FB100" s="1735"/>
      <c r="FC100" s="1735"/>
      <c r="FD100" s="1735"/>
      <c r="FE100" s="1735"/>
      <c r="FF100" s="1735"/>
      <c r="FG100" s="1735"/>
      <c r="FH100" s="1735"/>
      <c r="FI100" s="1735"/>
      <c r="FJ100" s="1735"/>
      <c r="FK100" s="1735"/>
      <c r="FL100" s="1735"/>
      <c r="FM100" s="1735"/>
      <c r="FN100" s="1735"/>
      <c r="FO100" s="1735"/>
      <c r="FP100" s="1735"/>
      <c r="FQ100" s="1735"/>
      <c r="FR100" s="1735"/>
      <c r="FS100" s="1735"/>
      <c r="FT100" s="1735"/>
      <c r="FU100" s="1735"/>
      <c r="FV100" s="1735"/>
      <c r="FW100" s="1735"/>
      <c r="FX100" s="1735"/>
      <c r="FY100" s="1735"/>
      <c r="FZ100" s="1735"/>
      <c r="GA100" s="1735"/>
      <c r="GB100" s="1735"/>
      <c r="GC100" s="1735"/>
      <c r="GD100" s="1735"/>
      <c r="GE100" s="1735"/>
      <c r="GF100" s="1735"/>
      <c r="GG100" s="1735"/>
      <c r="GH100" s="1735"/>
      <c r="GI100" s="1735"/>
      <c r="GJ100" s="1735"/>
      <c r="GK100" s="1735"/>
      <c r="GL100" s="1735"/>
      <c r="GM100" s="1735"/>
      <c r="GN100" s="1735"/>
      <c r="GO100" s="1735"/>
      <c r="GP100" s="1735"/>
      <c r="GQ100" s="1735"/>
      <c r="GR100" s="1735"/>
      <c r="GS100" s="1735"/>
      <c r="GT100" s="1735"/>
      <c r="GU100" s="1735"/>
      <c r="GV100" s="1735"/>
      <c r="GW100" s="1735"/>
      <c r="GX100" s="1735"/>
      <c r="GY100" s="1735"/>
      <c r="GZ100" s="1735"/>
      <c r="HA100" s="1735"/>
      <c r="HB100" s="1735"/>
      <c r="HC100" s="1735"/>
      <c r="HD100" s="1735"/>
      <c r="HE100" s="1735"/>
      <c r="HF100" s="1735"/>
      <c r="HG100" s="1735"/>
      <c r="HH100" s="1735"/>
      <c r="HI100" s="1735"/>
      <c r="HJ100" s="1735"/>
      <c r="HK100" s="1735"/>
      <c r="HL100" s="1735"/>
      <c r="HM100" s="1735"/>
      <c r="HN100" s="1735"/>
      <c r="HO100" s="1735"/>
      <c r="HP100" s="1735"/>
      <c r="HQ100" s="1735"/>
      <c r="HR100" s="1735"/>
      <c r="HS100" s="1735"/>
      <c r="HT100" s="1735"/>
      <c r="HU100" s="1735"/>
      <c r="HV100" s="1735"/>
      <c r="HW100" s="1735"/>
      <c r="HX100" s="1735"/>
      <c r="HY100" s="1735"/>
      <c r="HZ100" s="1735"/>
      <c r="IA100" s="1735"/>
      <c r="IB100" s="1735"/>
      <c r="IC100" s="1735"/>
      <c r="ID100" s="1735"/>
      <c r="IE100" s="1735"/>
      <c r="IF100" s="1735"/>
      <c r="IG100" s="1735"/>
      <c r="IH100" s="1735"/>
      <c r="II100" s="1735"/>
      <c r="IJ100" s="1735"/>
      <c r="IK100" s="1735"/>
      <c r="IL100" s="1735"/>
      <c r="IM100" s="1735"/>
      <c r="IN100" s="1735"/>
      <c r="IO100" s="1735"/>
      <c r="IP100" s="1735"/>
      <c r="IQ100" s="1735"/>
      <c r="IR100" s="1735"/>
      <c r="IS100" s="1735"/>
      <c r="IT100" s="1735"/>
      <c r="IU100" s="1735"/>
      <c r="IV100" s="1735"/>
      <c r="IW100" s="1735"/>
    </row>
    <row r="101" spans="1:257">
      <c r="H101" s="1893" t="s">
        <v>8</v>
      </c>
      <c r="I101" s="1896">
        <v>3.4040000000000004</v>
      </c>
      <c r="J101" s="1895">
        <v>10000</v>
      </c>
      <c r="K101" s="1896">
        <v>3.9420000000000002</v>
      </c>
      <c r="L101" s="1895">
        <v>10000</v>
      </c>
      <c r="M101" s="1896">
        <v>4.3309999999999995</v>
      </c>
      <c r="N101" s="1895">
        <v>10000</v>
      </c>
      <c r="O101" s="1896">
        <v>4.76</v>
      </c>
      <c r="P101" s="1895">
        <v>10000</v>
      </c>
      <c r="Q101" s="1896">
        <v>3.8180000000000005</v>
      </c>
      <c r="R101" s="1895">
        <v>10000</v>
      </c>
      <c r="S101" s="1896">
        <v>4.4279999999999999</v>
      </c>
      <c r="T101" s="1895">
        <v>10000</v>
      </c>
      <c r="U101" s="1896">
        <v>4.9409999999999998</v>
      </c>
      <c r="V101" s="1895">
        <v>10000</v>
      </c>
      <c r="W101" s="1896">
        <v>5.44</v>
      </c>
      <c r="X101" s="1895">
        <v>10000</v>
      </c>
      <c r="Y101" s="1896">
        <v>4.2780000000000005</v>
      </c>
      <c r="Z101" s="1895">
        <v>10000</v>
      </c>
      <c r="AA101" s="1897">
        <v>4.968</v>
      </c>
      <c r="AB101" s="1898">
        <v>10000</v>
      </c>
      <c r="AC101" s="1897">
        <v>5.49</v>
      </c>
      <c r="AD101" s="1898">
        <v>10000</v>
      </c>
      <c r="AE101" s="1897">
        <v>6.0520000000000005</v>
      </c>
      <c r="AF101" s="1898">
        <v>10000</v>
      </c>
      <c r="AG101" s="1897">
        <v>4.6920000000000002</v>
      </c>
      <c r="AH101" s="1898">
        <v>10000</v>
      </c>
      <c r="AI101" s="1897">
        <v>5.4539999999999997</v>
      </c>
      <c r="AJ101" s="1898">
        <v>10000</v>
      </c>
      <c r="AK101" s="1897">
        <v>6.1</v>
      </c>
      <c r="AL101" s="1898">
        <v>10000</v>
      </c>
      <c r="AM101" s="1897">
        <v>6.7320000000000011</v>
      </c>
      <c r="AN101" s="1898">
        <v>10000</v>
      </c>
      <c r="AO101" s="1897">
        <v>4.6919999999999993</v>
      </c>
      <c r="AP101" s="1898">
        <v>10000</v>
      </c>
      <c r="AQ101" s="1897">
        <v>5.2920000000000007</v>
      </c>
      <c r="AR101" s="1898">
        <v>10000</v>
      </c>
      <c r="AS101" s="1897">
        <v>5.7569999999999997</v>
      </c>
      <c r="AT101" s="1898">
        <v>10000</v>
      </c>
      <c r="AU101" s="1897">
        <v>6.1950000000000003</v>
      </c>
      <c r="AV101" s="1898">
        <v>10000</v>
      </c>
      <c r="AW101" s="1897">
        <v>4.4880000000000004</v>
      </c>
      <c r="AX101" s="1898">
        <v>10000</v>
      </c>
      <c r="AY101" s="1897">
        <v>4.6500000000000004</v>
      </c>
      <c r="AZ101" s="1898">
        <v>10000</v>
      </c>
      <c r="BA101" s="1897">
        <v>4.9980000000000002</v>
      </c>
      <c r="BB101" s="1898">
        <v>10000</v>
      </c>
      <c r="BC101" s="1897">
        <v>5.67</v>
      </c>
      <c r="BD101" s="1898">
        <v>10000</v>
      </c>
      <c r="BE101" s="1897">
        <v>6.1559999999999997</v>
      </c>
      <c r="BF101" s="1898">
        <v>10000</v>
      </c>
      <c r="BG101" s="1897">
        <v>6.5489999999999995</v>
      </c>
      <c r="BH101" s="1898">
        <v>10000</v>
      </c>
      <c r="BI101" s="1897">
        <v>4.8449999999999998</v>
      </c>
      <c r="BJ101" s="1898">
        <v>10000</v>
      </c>
      <c r="BK101" s="1897">
        <v>5</v>
      </c>
      <c r="BL101" s="1898">
        <v>10000</v>
      </c>
      <c r="BM101" s="1897">
        <v>5.3550000000000004</v>
      </c>
      <c r="BN101" s="1898">
        <v>10000</v>
      </c>
      <c r="BO101" s="1897">
        <v>5.9939999999999998</v>
      </c>
      <c r="BP101" s="1898">
        <v>10000</v>
      </c>
      <c r="BQ101" s="1897">
        <v>6.5549999999999997</v>
      </c>
      <c r="BR101" s="1898">
        <v>10000</v>
      </c>
      <c r="BS101" s="1897">
        <v>6.9619999999999997</v>
      </c>
      <c r="BT101" s="1898">
        <v>10000</v>
      </c>
      <c r="BU101" s="1897">
        <v>6.1</v>
      </c>
      <c r="BV101" s="1898">
        <v>10000</v>
      </c>
      <c r="BW101" s="1897">
        <v>5.7</v>
      </c>
      <c r="BX101" s="1898">
        <v>10000</v>
      </c>
      <c r="BY101" s="1897">
        <v>5.3</v>
      </c>
      <c r="BZ101" s="1898">
        <v>10000</v>
      </c>
      <c r="CA101" s="1897">
        <v>4.9000000000000004</v>
      </c>
      <c r="CB101" s="1898">
        <v>10000</v>
      </c>
      <c r="CC101" s="1897">
        <v>4.9000000000000004</v>
      </c>
      <c r="CD101" s="1898">
        <v>10000</v>
      </c>
      <c r="CE101" s="1897">
        <v>5.2</v>
      </c>
      <c r="CF101" s="1898">
        <v>10000</v>
      </c>
      <c r="CG101" s="1897">
        <v>6.1</v>
      </c>
      <c r="CH101" s="1898">
        <v>10000</v>
      </c>
      <c r="CI101" s="1897">
        <v>5.7</v>
      </c>
      <c r="CJ101" s="1898">
        <v>10000</v>
      </c>
      <c r="CK101" s="1897">
        <v>5.3</v>
      </c>
      <c r="CL101" s="1898">
        <v>10000</v>
      </c>
      <c r="CM101" s="1897">
        <v>4.9000000000000004</v>
      </c>
      <c r="CN101" s="1898">
        <v>10000</v>
      </c>
      <c r="CO101" s="1897">
        <v>4.9000000000000004</v>
      </c>
      <c r="CP101" s="1898">
        <v>10000</v>
      </c>
      <c r="CQ101" s="1897">
        <v>5.2</v>
      </c>
      <c r="CR101" s="1898">
        <v>10000</v>
      </c>
      <c r="CS101" s="1897">
        <v>6.1</v>
      </c>
      <c r="CT101" s="1898">
        <v>10000</v>
      </c>
      <c r="CU101" s="1897">
        <v>5.7</v>
      </c>
      <c r="CV101" s="1898">
        <v>10000</v>
      </c>
      <c r="CW101" s="1897">
        <v>5.3</v>
      </c>
      <c r="CX101" s="1898">
        <v>10000</v>
      </c>
      <c r="CY101" s="1897">
        <v>4.9000000000000004</v>
      </c>
      <c r="CZ101" s="1898">
        <v>10000</v>
      </c>
      <c r="DA101" s="1897">
        <v>4.9000000000000004</v>
      </c>
      <c r="DB101" s="1898">
        <v>10000</v>
      </c>
      <c r="DC101" s="1897">
        <v>5.2</v>
      </c>
      <c r="DD101" s="1898">
        <v>10000</v>
      </c>
      <c r="DE101" s="1897">
        <v>6.1</v>
      </c>
      <c r="DF101" s="1898">
        <v>10000</v>
      </c>
      <c r="DG101" s="1897">
        <v>5.7</v>
      </c>
      <c r="DH101" s="1898">
        <v>10000</v>
      </c>
      <c r="DI101" s="1897">
        <v>5.3</v>
      </c>
      <c r="DJ101" s="1898">
        <v>10000</v>
      </c>
      <c r="DK101" s="1897">
        <v>4.9000000000000004</v>
      </c>
      <c r="DL101" s="1898">
        <v>10000</v>
      </c>
      <c r="DM101" s="1897">
        <v>4.9000000000000004</v>
      </c>
      <c r="DN101" s="1898">
        <v>10000</v>
      </c>
      <c r="DO101" s="1897">
        <v>5.2</v>
      </c>
      <c r="DP101" s="1898">
        <v>10000</v>
      </c>
      <c r="DQ101" s="1913"/>
      <c r="DR101" s="1914"/>
      <c r="DS101" s="1913"/>
      <c r="DT101" s="1914"/>
      <c r="DU101" s="1913"/>
      <c r="DV101" s="1914"/>
      <c r="DW101" s="1913"/>
      <c r="DX101" s="1914"/>
      <c r="EC101" s="1735"/>
      <c r="ED101" s="1735"/>
      <c r="EE101" s="1735"/>
      <c r="EF101" s="1735"/>
      <c r="EG101" s="1735"/>
      <c r="EH101" s="1735"/>
      <c r="EI101" s="1735"/>
      <c r="EJ101" s="1735"/>
      <c r="EK101" s="1735"/>
      <c r="EL101" s="1735"/>
      <c r="EM101" s="1735"/>
      <c r="EN101" s="1735"/>
      <c r="EO101" s="1735"/>
      <c r="EP101" s="1735"/>
      <c r="EQ101" s="1735"/>
      <c r="ER101" s="1735"/>
      <c r="ES101" s="1735"/>
      <c r="ET101" s="1735"/>
      <c r="EU101" s="1735"/>
      <c r="EV101" s="1735"/>
      <c r="EW101" s="1735"/>
      <c r="EX101" s="1735"/>
      <c r="EY101" s="1735"/>
      <c r="EZ101" s="1735"/>
      <c r="FA101" s="1735"/>
      <c r="FB101" s="1735"/>
      <c r="FC101" s="1735"/>
      <c r="FD101" s="1735"/>
      <c r="FE101" s="1735"/>
      <c r="FF101" s="1735"/>
      <c r="FG101" s="1735"/>
      <c r="FH101" s="1735"/>
      <c r="FI101" s="1735"/>
      <c r="FJ101" s="1735"/>
      <c r="FK101" s="1735"/>
      <c r="FL101" s="1735"/>
      <c r="FM101" s="1735"/>
      <c r="FN101" s="1735"/>
      <c r="FO101" s="1735"/>
      <c r="FP101" s="1735"/>
      <c r="FQ101" s="1735"/>
      <c r="FR101" s="1735"/>
      <c r="FS101" s="1735"/>
      <c r="FT101" s="1735"/>
      <c r="FU101" s="1735"/>
      <c r="FV101" s="1735"/>
      <c r="FW101" s="1735"/>
      <c r="FX101" s="1735"/>
      <c r="FY101" s="1735"/>
      <c r="FZ101" s="1735"/>
      <c r="GA101" s="1735"/>
      <c r="GB101" s="1735"/>
      <c r="GC101" s="1735"/>
      <c r="GD101" s="1735"/>
      <c r="GE101" s="1735"/>
      <c r="GF101" s="1735"/>
      <c r="GG101" s="1735"/>
      <c r="GH101" s="1735"/>
      <c r="GI101" s="1735"/>
      <c r="GJ101" s="1735"/>
      <c r="GK101" s="1735"/>
      <c r="GL101" s="1735"/>
      <c r="GM101" s="1735"/>
      <c r="GN101" s="1735"/>
      <c r="GO101" s="1735"/>
      <c r="GP101" s="1735"/>
      <c r="GQ101" s="1735"/>
      <c r="GR101" s="1735"/>
      <c r="GS101" s="1735"/>
      <c r="GT101" s="1735"/>
      <c r="GU101" s="1735"/>
      <c r="GV101" s="1735"/>
      <c r="GW101" s="1735"/>
      <c r="GX101" s="1735"/>
      <c r="GY101" s="1735"/>
      <c r="GZ101" s="1735"/>
      <c r="HA101" s="1735"/>
      <c r="HB101" s="1735"/>
      <c r="HC101" s="1735"/>
      <c r="HD101" s="1735"/>
      <c r="HE101" s="1735"/>
      <c r="HF101" s="1735"/>
      <c r="HG101" s="1735"/>
      <c r="HH101" s="1735"/>
      <c r="HI101" s="1735"/>
      <c r="HJ101" s="1735"/>
      <c r="HK101" s="1735"/>
      <c r="HL101" s="1735"/>
      <c r="HM101" s="1735"/>
      <c r="HN101" s="1735"/>
      <c r="HO101" s="1735"/>
      <c r="HP101" s="1735"/>
      <c r="HQ101" s="1735"/>
      <c r="HR101" s="1735"/>
      <c r="HS101" s="1735"/>
      <c r="HT101" s="1735"/>
      <c r="HU101" s="1735"/>
      <c r="HV101" s="1735"/>
      <c r="HW101" s="1735"/>
      <c r="HX101" s="1735"/>
      <c r="HY101" s="1735"/>
      <c r="HZ101" s="1735"/>
      <c r="IA101" s="1735"/>
      <c r="IB101" s="1735"/>
      <c r="IC101" s="1735"/>
      <c r="ID101" s="1735"/>
      <c r="IE101" s="1735"/>
      <c r="IF101" s="1735"/>
      <c r="IG101" s="1735"/>
      <c r="IH101" s="1735"/>
      <c r="II101" s="1735"/>
      <c r="IJ101" s="1735"/>
      <c r="IK101" s="1735"/>
      <c r="IL101" s="1735"/>
      <c r="IM101" s="1735"/>
      <c r="IN101" s="1735"/>
      <c r="IO101" s="1735"/>
      <c r="IP101" s="1735"/>
      <c r="IQ101" s="1735"/>
      <c r="IR101" s="1735"/>
      <c r="IS101" s="1735"/>
      <c r="IT101" s="1735"/>
      <c r="IU101" s="1735"/>
      <c r="IV101" s="1735"/>
      <c r="IW101" s="1735"/>
    </row>
    <row r="102" spans="1:257">
      <c r="H102" s="1893" t="s">
        <v>902</v>
      </c>
      <c r="I102" s="1896">
        <v>651.20000000000005</v>
      </c>
      <c r="J102" s="1895">
        <v>10000</v>
      </c>
      <c r="K102" s="1896">
        <v>759.2</v>
      </c>
      <c r="L102" s="1895">
        <v>10000</v>
      </c>
      <c r="M102" s="1896">
        <v>852</v>
      </c>
      <c r="N102" s="1895">
        <v>10000</v>
      </c>
      <c r="O102" s="1896">
        <v>952</v>
      </c>
      <c r="P102" s="1895">
        <v>10000</v>
      </c>
      <c r="Q102" s="1896">
        <v>639.1</v>
      </c>
      <c r="R102" s="1895">
        <v>10000</v>
      </c>
      <c r="S102" s="1896">
        <v>762.6</v>
      </c>
      <c r="T102" s="1895">
        <v>10000</v>
      </c>
      <c r="U102" s="1896">
        <v>874.8</v>
      </c>
      <c r="V102" s="1895">
        <v>10000</v>
      </c>
      <c r="W102" s="1896">
        <v>992</v>
      </c>
      <c r="X102" s="1895">
        <v>10000</v>
      </c>
      <c r="Y102" s="1896">
        <v>604.5</v>
      </c>
      <c r="Z102" s="1895">
        <v>10000</v>
      </c>
      <c r="AA102" s="1897">
        <v>745.2</v>
      </c>
      <c r="AB102" s="1898">
        <v>10000</v>
      </c>
      <c r="AC102" s="1897">
        <v>873</v>
      </c>
      <c r="AD102" s="1898">
        <v>10000</v>
      </c>
      <c r="AE102" s="1897">
        <v>1005.7</v>
      </c>
      <c r="AF102" s="1898">
        <v>10000</v>
      </c>
      <c r="AG102" s="1897">
        <v>663</v>
      </c>
      <c r="AH102" s="1898">
        <v>10000</v>
      </c>
      <c r="AI102" s="1897">
        <v>707</v>
      </c>
      <c r="AJ102" s="1898">
        <v>10000</v>
      </c>
      <c r="AK102" s="1897">
        <v>860</v>
      </c>
      <c r="AL102" s="1898">
        <v>10000</v>
      </c>
      <c r="AM102" s="1897">
        <v>1009.8000000000001</v>
      </c>
      <c r="AN102" s="1898">
        <v>10000</v>
      </c>
      <c r="AO102" s="1897">
        <v>671.6</v>
      </c>
      <c r="AP102" s="1898">
        <v>10000</v>
      </c>
      <c r="AQ102" s="1897">
        <v>793.8</v>
      </c>
      <c r="AR102" s="1898">
        <v>10000</v>
      </c>
      <c r="AS102" s="1897">
        <v>878.7</v>
      </c>
      <c r="AT102" s="1898">
        <v>10000</v>
      </c>
      <c r="AU102" s="1897">
        <v>987</v>
      </c>
      <c r="AV102" s="1898">
        <v>10000</v>
      </c>
      <c r="AW102" s="1897">
        <v>651.20000000000005</v>
      </c>
      <c r="AX102" s="1898">
        <v>10000</v>
      </c>
      <c r="AY102" s="1897">
        <v>651</v>
      </c>
      <c r="AZ102" s="1898">
        <v>10000</v>
      </c>
      <c r="BA102" s="1897">
        <v>715.4</v>
      </c>
      <c r="BB102" s="1898">
        <v>10000</v>
      </c>
      <c r="BC102" s="1897">
        <v>850.5</v>
      </c>
      <c r="BD102" s="1898">
        <v>10000</v>
      </c>
      <c r="BE102" s="1897">
        <v>939.6</v>
      </c>
      <c r="BF102" s="1898">
        <v>10000</v>
      </c>
      <c r="BG102" s="1897">
        <v>1043.4000000000001</v>
      </c>
      <c r="BH102" s="1898">
        <v>10000</v>
      </c>
      <c r="BI102" s="1897">
        <v>703</v>
      </c>
      <c r="BJ102" s="1898">
        <v>10000</v>
      </c>
      <c r="BK102" s="1897">
        <v>700</v>
      </c>
      <c r="BL102" s="1898">
        <v>10000</v>
      </c>
      <c r="BM102" s="1897">
        <v>766.5</v>
      </c>
      <c r="BN102" s="1898">
        <v>10000</v>
      </c>
      <c r="BO102" s="1897">
        <v>899.1</v>
      </c>
      <c r="BP102" s="1898">
        <v>10000</v>
      </c>
      <c r="BQ102" s="1897">
        <v>1000.5</v>
      </c>
      <c r="BR102" s="1898">
        <v>10000</v>
      </c>
      <c r="BS102" s="1897">
        <v>1109.2</v>
      </c>
      <c r="BT102" s="1898">
        <v>10000</v>
      </c>
      <c r="BU102" s="1897">
        <v>1176.5999999999999</v>
      </c>
      <c r="BV102" s="1898">
        <v>10000</v>
      </c>
      <c r="BW102" s="1897">
        <v>1076.7</v>
      </c>
      <c r="BX102" s="1898">
        <v>10000</v>
      </c>
      <c r="BY102" s="1897">
        <v>869.2</v>
      </c>
      <c r="BZ102" s="1898">
        <v>10000</v>
      </c>
      <c r="CA102" s="1897">
        <v>693</v>
      </c>
      <c r="CB102" s="1898">
        <v>10000</v>
      </c>
      <c r="CC102" s="1897">
        <v>646</v>
      </c>
      <c r="CD102" s="1898">
        <v>10000</v>
      </c>
      <c r="CE102" s="1897">
        <v>748.8</v>
      </c>
      <c r="CF102" s="1898">
        <v>10000</v>
      </c>
      <c r="CG102" s="1897">
        <v>1250.8</v>
      </c>
      <c r="CH102" s="1898">
        <v>10000</v>
      </c>
      <c r="CI102" s="1897">
        <v>1154.3</v>
      </c>
      <c r="CJ102" s="1898">
        <v>10000</v>
      </c>
      <c r="CK102" s="1897">
        <v>926.6</v>
      </c>
      <c r="CL102" s="1898">
        <v>10000</v>
      </c>
      <c r="CM102" s="1897">
        <v>742</v>
      </c>
      <c r="CN102" s="1898">
        <v>10000</v>
      </c>
      <c r="CO102" s="1897">
        <v>700.4</v>
      </c>
      <c r="CP102" s="1898">
        <v>10000</v>
      </c>
      <c r="CQ102" s="1897">
        <v>803.4</v>
      </c>
      <c r="CR102" s="1898">
        <v>10000</v>
      </c>
      <c r="CS102" s="1897">
        <v>1335.6</v>
      </c>
      <c r="CT102" s="1898">
        <v>10000</v>
      </c>
      <c r="CU102" s="1897">
        <v>1222.2</v>
      </c>
      <c r="CV102" s="1898">
        <v>10000</v>
      </c>
      <c r="CW102" s="1897">
        <v>992.2</v>
      </c>
      <c r="CX102" s="1898">
        <v>10000</v>
      </c>
      <c r="CY102" s="1897">
        <v>798</v>
      </c>
      <c r="CZ102" s="1898">
        <v>10000</v>
      </c>
      <c r="DA102" s="1897">
        <v>748</v>
      </c>
      <c r="DB102" s="1898">
        <v>10000</v>
      </c>
      <c r="DC102" s="1897">
        <v>865.8</v>
      </c>
      <c r="DD102" s="1898">
        <v>10000</v>
      </c>
      <c r="DE102" s="1897">
        <v>1409.8</v>
      </c>
      <c r="DF102" s="1898">
        <v>10000</v>
      </c>
      <c r="DG102" s="1897">
        <v>1290.0999999999999</v>
      </c>
      <c r="DH102" s="1898">
        <v>10000</v>
      </c>
      <c r="DI102" s="1897">
        <v>1049.5999999999999</v>
      </c>
      <c r="DJ102" s="1898">
        <v>10000</v>
      </c>
      <c r="DK102" s="1897">
        <v>847</v>
      </c>
      <c r="DL102" s="1898">
        <v>10000</v>
      </c>
      <c r="DM102" s="1897">
        <v>795.6</v>
      </c>
      <c r="DN102" s="1898">
        <v>10000</v>
      </c>
      <c r="DO102" s="1897">
        <v>920.4</v>
      </c>
      <c r="DP102" s="1898">
        <v>10000</v>
      </c>
      <c r="DQ102" s="1913"/>
      <c r="DR102" s="1914"/>
      <c r="DS102" s="1913"/>
      <c r="DT102" s="1914"/>
      <c r="DU102" s="1913"/>
      <c r="DV102" s="1914"/>
      <c r="DW102" s="1913"/>
      <c r="DX102" s="1914"/>
      <c r="EC102" s="1735"/>
      <c r="ED102" s="1735"/>
      <c r="EE102" s="1735"/>
      <c r="EF102" s="1735"/>
      <c r="EG102" s="1735"/>
      <c r="EH102" s="1735"/>
      <c r="EI102" s="1735"/>
      <c r="EJ102" s="1735"/>
      <c r="EK102" s="1735"/>
      <c r="EL102" s="1735"/>
      <c r="EM102" s="1735"/>
      <c r="EN102" s="1735"/>
      <c r="EO102" s="1735"/>
      <c r="EP102" s="1735"/>
      <c r="EQ102" s="1735"/>
      <c r="ER102" s="1735"/>
      <c r="ES102" s="1735"/>
      <c r="ET102" s="1735"/>
      <c r="EU102" s="1735"/>
      <c r="EV102" s="1735"/>
      <c r="EW102" s="1735"/>
      <c r="EX102" s="1735"/>
      <c r="EY102" s="1735"/>
      <c r="EZ102" s="1735"/>
      <c r="FA102" s="1735"/>
      <c r="FB102" s="1735"/>
      <c r="FC102" s="1735"/>
      <c r="FD102" s="1735"/>
      <c r="FE102" s="1735"/>
      <c r="FF102" s="1735"/>
      <c r="FG102" s="1735"/>
      <c r="FH102" s="1735"/>
      <c r="FI102" s="1735"/>
      <c r="FJ102" s="1735"/>
      <c r="FK102" s="1735"/>
      <c r="FL102" s="1735"/>
      <c r="FM102" s="1735"/>
      <c r="FN102" s="1735"/>
      <c r="FO102" s="1735"/>
      <c r="FP102" s="1735"/>
      <c r="FQ102" s="1735"/>
      <c r="FR102" s="1735"/>
      <c r="FS102" s="1735"/>
      <c r="FT102" s="1735"/>
      <c r="FU102" s="1735"/>
      <c r="FV102" s="1735"/>
      <c r="FW102" s="1735"/>
      <c r="FX102" s="1735"/>
      <c r="FY102" s="1735"/>
      <c r="FZ102" s="1735"/>
      <c r="GA102" s="1735"/>
      <c r="GB102" s="1735"/>
      <c r="GC102" s="1735"/>
      <c r="GD102" s="1735"/>
      <c r="GE102" s="1735"/>
      <c r="GF102" s="1735"/>
      <c r="GG102" s="1735"/>
      <c r="GH102" s="1735"/>
      <c r="GI102" s="1735"/>
      <c r="GJ102" s="1735"/>
      <c r="GK102" s="1735"/>
      <c r="GL102" s="1735"/>
      <c r="GM102" s="1735"/>
      <c r="GN102" s="1735"/>
      <c r="GO102" s="1735"/>
      <c r="GP102" s="1735"/>
      <c r="GQ102" s="1735"/>
      <c r="GR102" s="1735"/>
      <c r="GS102" s="1735"/>
      <c r="GT102" s="1735"/>
      <c r="GU102" s="1735"/>
      <c r="GV102" s="1735"/>
      <c r="GW102" s="1735"/>
      <c r="GX102" s="1735"/>
      <c r="GY102" s="1735"/>
      <c r="GZ102" s="1735"/>
      <c r="HA102" s="1735"/>
      <c r="HB102" s="1735"/>
      <c r="HC102" s="1735"/>
      <c r="HD102" s="1735"/>
      <c r="HE102" s="1735"/>
      <c r="HF102" s="1735"/>
      <c r="HG102" s="1735"/>
      <c r="HH102" s="1735"/>
      <c r="HI102" s="1735"/>
      <c r="HJ102" s="1735"/>
      <c r="HK102" s="1735"/>
      <c r="HL102" s="1735"/>
      <c r="HM102" s="1735"/>
      <c r="HN102" s="1735"/>
      <c r="HO102" s="1735"/>
      <c r="HP102" s="1735"/>
      <c r="HQ102" s="1735"/>
      <c r="HR102" s="1735"/>
      <c r="HS102" s="1735"/>
      <c r="HT102" s="1735"/>
      <c r="HU102" s="1735"/>
      <c r="HV102" s="1735"/>
      <c r="HW102" s="1735"/>
      <c r="HX102" s="1735"/>
      <c r="HY102" s="1735"/>
      <c r="HZ102" s="1735"/>
      <c r="IA102" s="1735"/>
      <c r="IB102" s="1735"/>
      <c r="IC102" s="1735"/>
      <c r="ID102" s="1735"/>
      <c r="IE102" s="1735"/>
      <c r="IF102" s="1735"/>
      <c r="IG102" s="1735"/>
      <c r="IH102" s="1735"/>
      <c r="II102" s="1735"/>
      <c r="IJ102" s="1735"/>
      <c r="IK102" s="1735"/>
      <c r="IL102" s="1735"/>
      <c r="IM102" s="1735"/>
      <c r="IN102" s="1735"/>
      <c r="IO102" s="1735"/>
      <c r="IP102" s="1735"/>
      <c r="IQ102" s="1735"/>
      <c r="IR102" s="1735"/>
      <c r="IS102" s="1735"/>
      <c r="IT102" s="1735"/>
      <c r="IU102" s="1735"/>
      <c r="IV102" s="1735"/>
      <c r="IW102" s="1735"/>
    </row>
    <row r="103" spans="1:257">
      <c r="H103" s="1893" t="s">
        <v>434</v>
      </c>
      <c r="I103" s="1896">
        <v>22.2</v>
      </c>
      <c r="J103" s="1895">
        <v>325.60000000000008</v>
      </c>
      <c r="K103" s="1896">
        <v>27.01</v>
      </c>
      <c r="L103" s="1895">
        <v>321.20000000000005</v>
      </c>
      <c r="M103" s="1896">
        <v>31.95</v>
      </c>
      <c r="N103" s="1895">
        <v>312.40000000000003</v>
      </c>
      <c r="O103" s="1896">
        <v>36.4</v>
      </c>
      <c r="P103" s="1895">
        <v>308.00000000000006</v>
      </c>
      <c r="Q103" s="1896">
        <v>20.75</v>
      </c>
      <c r="R103" s="1895">
        <v>365.2000000000001</v>
      </c>
      <c r="S103" s="1896">
        <v>26.24</v>
      </c>
      <c r="T103" s="1895">
        <v>360.8</v>
      </c>
      <c r="U103" s="1896">
        <v>31.59</v>
      </c>
      <c r="V103" s="1895">
        <v>356.4</v>
      </c>
      <c r="W103" s="1896">
        <v>36.799999999999997</v>
      </c>
      <c r="X103" s="1895">
        <v>352.00000000000006</v>
      </c>
      <c r="Y103" s="1896">
        <v>17.670000000000002</v>
      </c>
      <c r="Z103" s="1895">
        <v>409.20000000000005</v>
      </c>
      <c r="AA103" s="1897">
        <v>24.84</v>
      </c>
      <c r="AB103" s="1898">
        <v>404.8</v>
      </c>
      <c r="AC103" s="1897">
        <v>30.6</v>
      </c>
      <c r="AD103" s="1898">
        <v>396</v>
      </c>
      <c r="AE103" s="1897">
        <v>36.49</v>
      </c>
      <c r="AF103" s="1898">
        <v>391.60000000000008</v>
      </c>
      <c r="AG103" s="1897">
        <v>19.38</v>
      </c>
      <c r="AH103" s="1898">
        <v>448.8</v>
      </c>
      <c r="AI103" s="1897">
        <v>21.21</v>
      </c>
      <c r="AJ103" s="1898">
        <v>444.40000000000003</v>
      </c>
      <c r="AK103" s="1897">
        <v>28</v>
      </c>
      <c r="AL103" s="1898">
        <v>440.00000000000006</v>
      </c>
      <c r="AM103" s="1897">
        <v>35.64</v>
      </c>
      <c r="AN103" s="1898">
        <v>435.6</v>
      </c>
      <c r="AO103" s="1897">
        <v>19.32</v>
      </c>
      <c r="AP103" s="1898">
        <v>404.8</v>
      </c>
      <c r="AQ103" s="1897">
        <v>31.36</v>
      </c>
      <c r="AR103" s="1898">
        <v>431.2000000000001</v>
      </c>
      <c r="AS103" s="1897">
        <v>31.31</v>
      </c>
      <c r="AT103" s="1898">
        <v>444.40000000000003</v>
      </c>
      <c r="AU103" s="1897">
        <v>31.5</v>
      </c>
      <c r="AV103" s="1898">
        <v>462</v>
      </c>
      <c r="AW103" s="1897">
        <v>20.239999999999998</v>
      </c>
      <c r="AX103" s="1898">
        <v>387.20000000000005</v>
      </c>
      <c r="AY103" s="1897">
        <v>20.46</v>
      </c>
      <c r="AZ103" s="1898">
        <v>409.20000000000005</v>
      </c>
      <c r="BA103" s="1897">
        <v>21.56</v>
      </c>
      <c r="BB103" s="1898">
        <v>431.2000000000001</v>
      </c>
      <c r="BC103" s="1897">
        <v>32.549999999999997</v>
      </c>
      <c r="BD103" s="1898">
        <v>462</v>
      </c>
      <c r="BE103" s="1897">
        <v>33.479999999999997</v>
      </c>
      <c r="BF103" s="1898">
        <v>475.20000000000005</v>
      </c>
      <c r="BG103" s="1897">
        <v>33.299999999999997</v>
      </c>
      <c r="BH103" s="1898">
        <v>488.40000000000003</v>
      </c>
      <c r="BI103" s="1897">
        <v>22.8</v>
      </c>
      <c r="BJ103" s="1898">
        <v>418.00000000000006</v>
      </c>
      <c r="BK103" s="1897">
        <v>23</v>
      </c>
      <c r="BL103" s="1898">
        <v>440.00000000000006</v>
      </c>
      <c r="BM103" s="1897">
        <v>23.1</v>
      </c>
      <c r="BN103" s="1898">
        <v>462</v>
      </c>
      <c r="BO103" s="1897">
        <v>34.409999999999997</v>
      </c>
      <c r="BP103" s="1898">
        <v>488.40000000000003</v>
      </c>
      <c r="BQ103" s="1897">
        <v>34.5</v>
      </c>
      <c r="BR103" s="1898">
        <v>506</v>
      </c>
      <c r="BS103" s="1897">
        <v>35.4</v>
      </c>
      <c r="BT103" s="1898">
        <v>519.20000000000016</v>
      </c>
      <c r="BU103" s="1897">
        <v>34.409999999999997</v>
      </c>
      <c r="BV103" s="1898">
        <v>488.40000000000003</v>
      </c>
      <c r="BW103" s="1897">
        <v>31.08</v>
      </c>
      <c r="BX103" s="1898">
        <v>488.40000000000003</v>
      </c>
      <c r="BY103" s="1897">
        <v>24.38</v>
      </c>
      <c r="BZ103" s="1898">
        <v>466.40000000000003</v>
      </c>
      <c r="CA103" s="1897">
        <v>18.809999999999999</v>
      </c>
      <c r="CB103" s="1898">
        <v>435.6</v>
      </c>
      <c r="CC103" s="1897">
        <v>18.05</v>
      </c>
      <c r="CD103" s="1898">
        <v>418.00000000000006</v>
      </c>
      <c r="CE103" s="1897">
        <v>21.12</v>
      </c>
      <c r="CF103" s="1898">
        <v>422.40000000000003</v>
      </c>
      <c r="CG103" s="1897">
        <v>35.4</v>
      </c>
      <c r="CH103" s="1898">
        <v>519.20000000000016</v>
      </c>
      <c r="CI103" s="1897">
        <v>33.32</v>
      </c>
      <c r="CJ103" s="1898">
        <v>523.6</v>
      </c>
      <c r="CK103" s="1897">
        <v>27.12</v>
      </c>
      <c r="CL103" s="1898">
        <v>497.2000000000001</v>
      </c>
      <c r="CM103" s="1897">
        <v>20.14</v>
      </c>
      <c r="CN103" s="1898">
        <v>466.40000000000003</v>
      </c>
      <c r="CO103" s="1897">
        <v>19.57</v>
      </c>
      <c r="CP103" s="1898">
        <v>453.2000000000001</v>
      </c>
      <c r="CQ103" s="1897">
        <v>23.69</v>
      </c>
      <c r="CR103" s="1898">
        <v>453.2000000000001</v>
      </c>
      <c r="CS103" s="1897">
        <v>37.799999999999997</v>
      </c>
      <c r="CT103" s="1898">
        <v>554.4</v>
      </c>
      <c r="CU103" s="1897">
        <v>35.28</v>
      </c>
      <c r="CV103" s="1898">
        <v>554.4</v>
      </c>
      <c r="CW103" s="1897">
        <v>29.04</v>
      </c>
      <c r="CX103" s="1898">
        <v>532.4</v>
      </c>
      <c r="CY103" s="1897">
        <v>22.8</v>
      </c>
      <c r="CZ103" s="1898">
        <v>501.6</v>
      </c>
      <c r="DA103" s="1897">
        <v>22</v>
      </c>
      <c r="DB103" s="1898">
        <v>484.00000000000006</v>
      </c>
      <c r="DC103" s="1897">
        <v>25.53</v>
      </c>
      <c r="DD103" s="1898">
        <v>488.40000000000003</v>
      </c>
      <c r="DE103" s="1897">
        <v>39.9</v>
      </c>
      <c r="DF103" s="1898">
        <v>585.20000000000005</v>
      </c>
      <c r="DG103" s="1897">
        <v>37.24</v>
      </c>
      <c r="DH103" s="1898">
        <v>585.20000000000005</v>
      </c>
      <c r="DI103" s="1897">
        <v>30.72</v>
      </c>
      <c r="DJ103" s="1898">
        <v>563.20000000000005</v>
      </c>
      <c r="DK103" s="1897">
        <v>24.2</v>
      </c>
      <c r="DL103" s="1898">
        <v>532.4</v>
      </c>
      <c r="DM103" s="1897">
        <v>23.4</v>
      </c>
      <c r="DN103" s="1898">
        <v>514.80000000000007</v>
      </c>
      <c r="DO103" s="1897">
        <v>28.32</v>
      </c>
      <c r="DP103" s="1898">
        <v>519.20000000000016</v>
      </c>
      <c r="DQ103" s="1913"/>
      <c r="DR103" s="1914"/>
      <c r="DS103" s="1913"/>
      <c r="DT103" s="1914"/>
      <c r="DU103" s="1913"/>
      <c r="DV103" s="1914"/>
      <c r="DW103" s="1913"/>
      <c r="DX103" s="1914"/>
      <c r="EC103" s="1735"/>
      <c r="ED103" s="1735"/>
      <c r="EE103" s="1735"/>
      <c r="EF103" s="1735"/>
      <c r="EG103" s="1735"/>
      <c r="EH103" s="1735"/>
      <c r="EI103" s="1735"/>
      <c r="EJ103" s="1735"/>
      <c r="EK103" s="1735"/>
      <c r="EL103" s="1735"/>
      <c r="EM103" s="1735"/>
      <c r="EN103" s="1735"/>
      <c r="EO103" s="1735"/>
      <c r="EP103" s="1735"/>
      <c r="EQ103" s="1735"/>
      <c r="ER103" s="1735"/>
      <c r="ES103" s="1735"/>
      <c r="ET103" s="1735"/>
      <c r="EU103" s="1735"/>
      <c r="EV103" s="1735"/>
      <c r="EW103" s="1735"/>
      <c r="EX103" s="1735"/>
      <c r="EY103" s="1735"/>
      <c r="EZ103" s="1735"/>
      <c r="FA103" s="1735"/>
      <c r="FB103" s="1735"/>
      <c r="FC103" s="1735"/>
      <c r="FD103" s="1735"/>
      <c r="FE103" s="1735"/>
      <c r="FF103" s="1735"/>
      <c r="FG103" s="1735"/>
      <c r="FH103" s="1735"/>
      <c r="FI103" s="1735"/>
      <c r="FJ103" s="1735"/>
      <c r="FK103" s="1735"/>
      <c r="FL103" s="1735"/>
      <c r="FM103" s="1735"/>
      <c r="FN103" s="1735"/>
      <c r="FO103" s="1735"/>
      <c r="FP103" s="1735"/>
      <c r="FQ103" s="1735"/>
      <c r="FR103" s="1735"/>
      <c r="FS103" s="1735"/>
      <c r="FT103" s="1735"/>
      <c r="FU103" s="1735"/>
      <c r="FV103" s="1735"/>
      <c r="FW103" s="1735"/>
      <c r="FX103" s="1735"/>
      <c r="FY103" s="1735"/>
      <c r="FZ103" s="1735"/>
      <c r="GA103" s="1735"/>
      <c r="GB103" s="1735"/>
      <c r="GC103" s="1735"/>
      <c r="GD103" s="1735"/>
      <c r="GE103" s="1735"/>
      <c r="GF103" s="1735"/>
      <c r="GG103" s="1735"/>
      <c r="GH103" s="1735"/>
      <c r="GI103" s="1735"/>
      <c r="GJ103" s="1735"/>
      <c r="GK103" s="1735"/>
      <c r="GL103" s="1735"/>
      <c r="GM103" s="1735"/>
      <c r="GN103" s="1735"/>
      <c r="GO103" s="1735"/>
      <c r="GP103" s="1735"/>
      <c r="GQ103" s="1735"/>
      <c r="GR103" s="1735"/>
      <c r="GS103" s="1735"/>
      <c r="GT103" s="1735"/>
      <c r="GU103" s="1735"/>
      <c r="GV103" s="1735"/>
      <c r="GW103" s="1735"/>
      <c r="GX103" s="1735"/>
      <c r="GY103" s="1735"/>
      <c r="GZ103" s="1735"/>
      <c r="HA103" s="1735"/>
      <c r="HB103" s="1735"/>
      <c r="HC103" s="1735"/>
      <c r="HD103" s="1735"/>
      <c r="HE103" s="1735"/>
      <c r="HF103" s="1735"/>
      <c r="HG103" s="1735"/>
      <c r="HH103" s="1735"/>
      <c r="HI103" s="1735"/>
      <c r="HJ103" s="1735"/>
      <c r="HK103" s="1735"/>
      <c r="HL103" s="1735"/>
      <c r="HM103" s="1735"/>
      <c r="HN103" s="1735"/>
      <c r="HO103" s="1735"/>
      <c r="HP103" s="1735"/>
      <c r="HQ103" s="1735"/>
      <c r="HR103" s="1735"/>
      <c r="HS103" s="1735"/>
      <c r="HT103" s="1735"/>
      <c r="HU103" s="1735"/>
      <c r="HV103" s="1735"/>
      <c r="HW103" s="1735"/>
      <c r="HX103" s="1735"/>
      <c r="HY103" s="1735"/>
      <c r="HZ103" s="1735"/>
      <c r="IA103" s="1735"/>
      <c r="IB103" s="1735"/>
      <c r="IC103" s="1735"/>
      <c r="ID103" s="1735"/>
      <c r="IE103" s="1735"/>
      <c r="IF103" s="1735"/>
      <c r="IG103" s="1735"/>
      <c r="IH103" s="1735"/>
      <c r="II103" s="1735"/>
      <c r="IJ103" s="1735"/>
      <c r="IK103" s="1735"/>
      <c r="IL103" s="1735"/>
      <c r="IM103" s="1735"/>
      <c r="IN103" s="1735"/>
      <c r="IO103" s="1735"/>
      <c r="IP103" s="1735"/>
      <c r="IQ103" s="1735"/>
      <c r="IR103" s="1735"/>
      <c r="IS103" s="1735"/>
      <c r="IT103" s="1735"/>
      <c r="IU103" s="1735"/>
      <c r="IV103" s="1735"/>
      <c r="IW103" s="1735"/>
    </row>
    <row r="104" spans="1:257">
      <c r="H104" s="1899" t="s">
        <v>435</v>
      </c>
      <c r="I104" s="1902">
        <v>11.84</v>
      </c>
      <c r="J104" s="1901">
        <v>10000</v>
      </c>
      <c r="K104" s="1902">
        <v>13.87</v>
      </c>
      <c r="L104" s="1901">
        <v>10000</v>
      </c>
      <c r="M104" s="1902">
        <v>15.62</v>
      </c>
      <c r="N104" s="1901">
        <v>10000</v>
      </c>
      <c r="O104" s="1902">
        <v>17.5</v>
      </c>
      <c r="P104" s="1901">
        <v>10000</v>
      </c>
      <c r="Q104" s="1902">
        <v>11.62</v>
      </c>
      <c r="R104" s="1901">
        <v>10000</v>
      </c>
      <c r="S104" s="1902">
        <v>13.94</v>
      </c>
      <c r="T104" s="1901">
        <v>10000</v>
      </c>
      <c r="U104" s="1902">
        <v>16.2</v>
      </c>
      <c r="V104" s="1901">
        <v>10000</v>
      </c>
      <c r="W104" s="1902">
        <v>18.399999999999999</v>
      </c>
      <c r="X104" s="1901">
        <v>10000</v>
      </c>
      <c r="Y104" s="1902">
        <v>11.16</v>
      </c>
      <c r="Z104" s="1901">
        <v>10000</v>
      </c>
      <c r="AA104" s="1903">
        <v>13.8</v>
      </c>
      <c r="AB104" s="1904">
        <v>10000</v>
      </c>
      <c r="AC104" s="1903">
        <v>16.2</v>
      </c>
      <c r="AD104" s="1904">
        <v>10000</v>
      </c>
      <c r="AE104" s="1903">
        <v>18.690000000000001</v>
      </c>
      <c r="AF104" s="1904">
        <v>10000</v>
      </c>
      <c r="AG104" s="1903">
        <v>12.24</v>
      </c>
      <c r="AH104" s="1904">
        <v>10000</v>
      </c>
      <c r="AI104" s="1903">
        <v>13.13</v>
      </c>
      <c r="AJ104" s="1904">
        <v>10000</v>
      </c>
      <c r="AK104" s="1903">
        <v>16</v>
      </c>
      <c r="AL104" s="1904">
        <v>10000</v>
      </c>
      <c r="AM104" s="1903">
        <v>18.809999999999999</v>
      </c>
      <c r="AN104" s="1904">
        <v>10000</v>
      </c>
      <c r="AO104" s="1903">
        <v>15.64</v>
      </c>
      <c r="AP104" s="1904">
        <v>10000</v>
      </c>
      <c r="AQ104" s="1903">
        <v>22.54</v>
      </c>
      <c r="AR104" s="1904">
        <v>10000</v>
      </c>
      <c r="AS104" s="1903">
        <v>22.22</v>
      </c>
      <c r="AT104" s="1904">
        <v>10000</v>
      </c>
      <c r="AU104" s="1903">
        <v>23.1</v>
      </c>
      <c r="AV104" s="1904">
        <v>10000</v>
      </c>
      <c r="AW104" s="1903">
        <v>15.84</v>
      </c>
      <c r="AX104" s="1904">
        <v>10000</v>
      </c>
      <c r="AY104" s="1903">
        <v>16.739999999999998</v>
      </c>
      <c r="AZ104" s="1904">
        <v>10000</v>
      </c>
      <c r="BA104" s="1903">
        <v>16.66</v>
      </c>
      <c r="BB104" s="1904">
        <v>10000</v>
      </c>
      <c r="BC104" s="1903">
        <v>24.15</v>
      </c>
      <c r="BD104" s="1904">
        <v>10000</v>
      </c>
      <c r="BE104" s="1903">
        <v>23.76</v>
      </c>
      <c r="BF104" s="1904">
        <v>10000</v>
      </c>
      <c r="BG104" s="1903">
        <v>24.42</v>
      </c>
      <c r="BH104" s="1904">
        <v>10000</v>
      </c>
      <c r="BI104" s="1903">
        <v>17.100000000000001</v>
      </c>
      <c r="BJ104" s="1904">
        <v>10000</v>
      </c>
      <c r="BK104" s="1903">
        <v>18</v>
      </c>
      <c r="BL104" s="1904">
        <v>10000</v>
      </c>
      <c r="BM104" s="1903">
        <v>18.899999999999999</v>
      </c>
      <c r="BN104" s="1904">
        <v>10000</v>
      </c>
      <c r="BO104" s="1903">
        <v>25.53</v>
      </c>
      <c r="BP104" s="1904">
        <v>10000</v>
      </c>
      <c r="BQ104" s="1903">
        <v>25.3</v>
      </c>
      <c r="BR104" s="1904">
        <v>10000</v>
      </c>
      <c r="BS104" s="1903">
        <v>25.96</v>
      </c>
      <c r="BT104" s="1904">
        <v>10000</v>
      </c>
      <c r="BU104" s="1903">
        <v>22.2</v>
      </c>
      <c r="BV104" s="1904">
        <v>10000</v>
      </c>
      <c r="BW104" s="1903">
        <v>21.09</v>
      </c>
      <c r="BX104" s="1904">
        <v>10000</v>
      </c>
      <c r="BY104" s="1903">
        <v>16.96</v>
      </c>
      <c r="BZ104" s="1904">
        <v>10000</v>
      </c>
      <c r="CA104" s="1903">
        <v>13.86</v>
      </c>
      <c r="CB104" s="1904">
        <v>10000</v>
      </c>
      <c r="CC104" s="1903">
        <v>12.35</v>
      </c>
      <c r="CD104" s="1904">
        <v>10000</v>
      </c>
      <c r="CE104" s="1903">
        <v>14.4</v>
      </c>
      <c r="CF104" s="1904">
        <v>10000</v>
      </c>
      <c r="CG104" s="1903">
        <v>23.6</v>
      </c>
      <c r="CH104" s="1904">
        <v>10000</v>
      </c>
      <c r="CI104" s="1903">
        <v>22.61</v>
      </c>
      <c r="CJ104" s="1904">
        <v>10000</v>
      </c>
      <c r="CK104" s="1903">
        <v>18.079999999999998</v>
      </c>
      <c r="CL104" s="1904">
        <v>10000</v>
      </c>
      <c r="CM104" s="1903">
        <v>14.84</v>
      </c>
      <c r="CN104" s="1904">
        <v>10000</v>
      </c>
      <c r="CO104" s="1903">
        <v>13.39</v>
      </c>
      <c r="CP104" s="1904">
        <v>10000</v>
      </c>
      <c r="CQ104" s="1903">
        <v>15.45</v>
      </c>
      <c r="CR104" s="1904">
        <v>10000</v>
      </c>
      <c r="CS104" s="1903">
        <v>25.2</v>
      </c>
      <c r="CT104" s="1904">
        <v>10000</v>
      </c>
      <c r="CU104" s="1903">
        <v>23.94</v>
      </c>
      <c r="CV104" s="1904">
        <v>10000</v>
      </c>
      <c r="CW104" s="1903">
        <v>19.36</v>
      </c>
      <c r="CX104" s="1904">
        <v>10000</v>
      </c>
      <c r="CY104" s="1903">
        <v>15.96</v>
      </c>
      <c r="CZ104" s="1904">
        <v>10000</v>
      </c>
      <c r="DA104" s="1903">
        <v>15.4</v>
      </c>
      <c r="DB104" s="1904">
        <v>10000</v>
      </c>
      <c r="DC104" s="1903">
        <v>16.649999999999999</v>
      </c>
      <c r="DD104" s="1904">
        <v>10000</v>
      </c>
      <c r="DE104" s="1903">
        <v>26.6</v>
      </c>
      <c r="DF104" s="1904">
        <v>10000</v>
      </c>
      <c r="DG104" s="1903">
        <v>25.27</v>
      </c>
      <c r="DH104" s="1904">
        <v>10000</v>
      </c>
      <c r="DI104" s="1903">
        <v>20.48</v>
      </c>
      <c r="DJ104" s="1904">
        <v>10000</v>
      </c>
      <c r="DK104" s="1903">
        <v>16.940000000000001</v>
      </c>
      <c r="DL104" s="1904">
        <v>10000</v>
      </c>
      <c r="DM104" s="1903">
        <v>16.38</v>
      </c>
      <c r="DN104" s="1904">
        <v>10000</v>
      </c>
      <c r="DO104" s="1903">
        <v>17.7</v>
      </c>
      <c r="DP104" s="1904">
        <v>10000</v>
      </c>
      <c r="DQ104" s="1915"/>
      <c r="DR104" s="1916"/>
      <c r="DS104" s="1915"/>
      <c r="DT104" s="1916"/>
      <c r="DU104" s="1915"/>
      <c r="DV104" s="1916"/>
      <c r="DW104" s="1915"/>
      <c r="DX104" s="1916"/>
    </row>
    <row r="105" spans="1:257">
      <c r="H105" s="1905" t="s">
        <v>903</v>
      </c>
      <c r="I105" s="1892">
        <f>0.11*I101*1000</f>
        <v>374.44000000000005</v>
      </c>
      <c r="J105" s="1906">
        <v>10000</v>
      </c>
      <c r="K105" s="1892">
        <f>0.11*K101*1000</f>
        <v>433.62</v>
      </c>
      <c r="L105" s="1906">
        <v>10000</v>
      </c>
      <c r="M105" s="1892">
        <f>0.11*M101*1000</f>
        <v>476.40999999999997</v>
      </c>
      <c r="N105" s="1906">
        <v>10000</v>
      </c>
      <c r="O105" s="1892">
        <f>0.11*O101*1000</f>
        <v>523.59999999999991</v>
      </c>
      <c r="P105" s="1906">
        <v>10000</v>
      </c>
      <c r="Q105" s="1892">
        <f>0.11*Q101*1000</f>
        <v>419.98000000000008</v>
      </c>
      <c r="R105" s="1906">
        <v>10000</v>
      </c>
      <c r="S105" s="1892">
        <f>0.11*S101*1000</f>
        <v>487.08000000000004</v>
      </c>
      <c r="T105" s="1906">
        <v>10000</v>
      </c>
      <c r="U105" s="1892">
        <f>0.11*U101*1000</f>
        <v>543.51</v>
      </c>
      <c r="V105" s="1906">
        <v>10000</v>
      </c>
      <c r="W105" s="1892">
        <f>0.11*W101*1000</f>
        <v>598.40000000000009</v>
      </c>
      <c r="X105" s="1906">
        <v>10000</v>
      </c>
      <c r="Y105" s="1892">
        <f>0.11*Y101*1000</f>
        <v>470.58000000000004</v>
      </c>
      <c r="Z105" s="1906">
        <v>10000</v>
      </c>
      <c r="AA105" s="1907">
        <f>0.11*AA101*1000</f>
        <v>546.48</v>
      </c>
      <c r="AB105" s="1908">
        <v>10000</v>
      </c>
      <c r="AC105" s="1907">
        <f>0.11*AC101*1000</f>
        <v>603.9</v>
      </c>
      <c r="AD105" s="1908">
        <v>10000</v>
      </c>
      <c r="AE105" s="1907">
        <f>0.11*AE101*1000</f>
        <v>665.72000000000014</v>
      </c>
      <c r="AF105" s="1908">
        <v>10000</v>
      </c>
      <c r="AG105" s="1907">
        <f>0.11*AG101*1000</f>
        <v>516.12</v>
      </c>
      <c r="AH105" s="1908">
        <v>10000</v>
      </c>
      <c r="AI105" s="1907">
        <f>0.11*AI101*1000</f>
        <v>599.94000000000005</v>
      </c>
      <c r="AJ105" s="1908">
        <v>10000</v>
      </c>
      <c r="AK105" s="1907">
        <f>0.11*AK101*1000</f>
        <v>670.99999999999989</v>
      </c>
      <c r="AL105" s="1908">
        <v>10000</v>
      </c>
      <c r="AM105" s="1907">
        <f>0.11*AM101*1000</f>
        <v>740.52000000000021</v>
      </c>
      <c r="AN105" s="1908">
        <v>10000</v>
      </c>
      <c r="AO105" s="1907">
        <f>0.11*AO101*1000</f>
        <v>516.11999999999989</v>
      </c>
      <c r="AP105" s="1908">
        <v>10000</v>
      </c>
      <c r="AQ105" s="1907">
        <f>0.11*AQ101*1000</f>
        <v>582.12000000000012</v>
      </c>
      <c r="AR105" s="1908">
        <v>10000</v>
      </c>
      <c r="AS105" s="1907">
        <f>0.11*AS101*1000</f>
        <v>633.27</v>
      </c>
      <c r="AT105" s="1908">
        <v>10000</v>
      </c>
      <c r="AU105" s="1907">
        <f>0.11*AU101*1000</f>
        <v>681.45</v>
      </c>
      <c r="AV105" s="1908">
        <v>10000</v>
      </c>
      <c r="AW105" s="1907">
        <f>0.11*AW101*1000</f>
        <v>493.68000000000006</v>
      </c>
      <c r="AX105" s="1908">
        <v>10000</v>
      </c>
      <c r="AY105" s="1907">
        <f>0.11*AY101*1000</f>
        <v>511.50000000000006</v>
      </c>
      <c r="AZ105" s="1908">
        <v>10000</v>
      </c>
      <c r="BA105" s="1907">
        <f>0.11*BA101*1000</f>
        <v>549.78000000000009</v>
      </c>
      <c r="BB105" s="1908">
        <v>10000</v>
      </c>
      <c r="BC105" s="1907">
        <f>0.11*BC101*1000</f>
        <v>623.70000000000005</v>
      </c>
      <c r="BD105" s="1908">
        <v>10000</v>
      </c>
      <c r="BE105" s="1907">
        <f>0.11*BE101*1000</f>
        <v>677.16</v>
      </c>
      <c r="BF105" s="1908">
        <v>10000</v>
      </c>
      <c r="BG105" s="1907">
        <f>0.11*BG101*1000</f>
        <v>720.39</v>
      </c>
      <c r="BH105" s="1908">
        <v>10000</v>
      </c>
      <c r="BI105" s="1907">
        <f>0.11*BI101*1000</f>
        <v>532.94999999999993</v>
      </c>
      <c r="BJ105" s="1908">
        <v>10000</v>
      </c>
      <c r="BK105" s="1907">
        <f>0.11*BK101*1000</f>
        <v>550</v>
      </c>
      <c r="BL105" s="1908">
        <v>10000</v>
      </c>
      <c r="BM105" s="1907">
        <f>0.11*BM101*1000</f>
        <v>589.05000000000007</v>
      </c>
      <c r="BN105" s="1908">
        <v>10000</v>
      </c>
      <c r="BO105" s="1907">
        <f>0.11*BO101*1000</f>
        <v>659.33999999999992</v>
      </c>
      <c r="BP105" s="1908">
        <v>10000</v>
      </c>
      <c r="BQ105" s="1907">
        <f>0.11*BQ101*1000</f>
        <v>721.05</v>
      </c>
      <c r="BR105" s="1908">
        <v>10000</v>
      </c>
      <c r="BS105" s="1907">
        <f>0.11*BS101*1000</f>
        <v>765.81999999999994</v>
      </c>
      <c r="BT105" s="1908">
        <v>10000</v>
      </c>
      <c r="BU105" s="1907">
        <f>0.11*BU101*1000</f>
        <v>670.99999999999989</v>
      </c>
      <c r="BV105" s="1908">
        <v>10000</v>
      </c>
      <c r="BW105" s="1907">
        <f>0.11*BW101*1000</f>
        <v>627</v>
      </c>
      <c r="BX105" s="1908">
        <v>10000</v>
      </c>
      <c r="BY105" s="1907">
        <f>0.11*BY101*1000</f>
        <v>583</v>
      </c>
      <c r="BZ105" s="1908">
        <v>10000</v>
      </c>
      <c r="CA105" s="1907">
        <f>0.11*CA101*1000</f>
        <v>539</v>
      </c>
      <c r="CB105" s="1908">
        <v>10000</v>
      </c>
      <c r="CC105" s="1907">
        <f>0.11*CC101*1000</f>
        <v>539</v>
      </c>
      <c r="CD105" s="1908">
        <v>10000</v>
      </c>
      <c r="CE105" s="1907">
        <f>0.11*CE101*1000</f>
        <v>572.00000000000011</v>
      </c>
      <c r="CF105" s="1908">
        <v>10000</v>
      </c>
      <c r="CG105" s="1907">
        <f>0.11*CG101*1000</f>
        <v>670.99999999999989</v>
      </c>
      <c r="CH105" s="1908">
        <v>10000</v>
      </c>
      <c r="CI105" s="1907">
        <f>0.11*CI101*1000</f>
        <v>627</v>
      </c>
      <c r="CJ105" s="1908">
        <v>10000</v>
      </c>
      <c r="CK105" s="1907">
        <f>0.11*CK101*1000</f>
        <v>583</v>
      </c>
      <c r="CL105" s="1908">
        <v>10000</v>
      </c>
      <c r="CM105" s="1907">
        <f>0.11*CM101*1000</f>
        <v>539</v>
      </c>
      <c r="CN105" s="1908">
        <v>10000</v>
      </c>
      <c r="CO105" s="1907">
        <f>0.11*CO101*1000</f>
        <v>539</v>
      </c>
      <c r="CP105" s="1908">
        <v>10000</v>
      </c>
      <c r="CQ105" s="1907">
        <f>0.11*CQ101*1000</f>
        <v>572.00000000000011</v>
      </c>
      <c r="CR105" s="1908">
        <v>10000</v>
      </c>
      <c r="CS105" s="1907">
        <f>0.11*CS101*1000</f>
        <v>670.99999999999989</v>
      </c>
      <c r="CT105" s="1908">
        <v>10000</v>
      </c>
      <c r="CU105" s="1907">
        <f>0.11*CU101*1000</f>
        <v>627</v>
      </c>
      <c r="CV105" s="1908">
        <v>10000</v>
      </c>
      <c r="CW105" s="1907">
        <f>0.11*CW101*1000</f>
        <v>583</v>
      </c>
      <c r="CX105" s="1908">
        <v>10000</v>
      </c>
      <c r="CY105" s="1907">
        <f>0.11*CY101*1000</f>
        <v>539</v>
      </c>
      <c r="CZ105" s="1908">
        <v>10000</v>
      </c>
      <c r="DA105" s="1907">
        <f>0.11*DA101*1000</f>
        <v>539</v>
      </c>
      <c r="DB105" s="1908">
        <v>10000</v>
      </c>
      <c r="DC105" s="1907">
        <f>0.11*DC101*1000</f>
        <v>572.00000000000011</v>
      </c>
      <c r="DD105" s="1908">
        <v>10000</v>
      </c>
      <c r="DE105" s="1907">
        <f>0.11*DE101*1000</f>
        <v>670.99999999999989</v>
      </c>
      <c r="DF105" s="1908">
        <v>10000</v>
      </c>
      <c r="DG105" s="1907">
        <f>0.11*DG101*1000</f>
        <v>627</v>
      </c>
      <c r="DH105" s="1908">
        <v>10000</v>
      </c>
      <c r="DI105" s="1907">
        <f>0.11*DI101*1000</f>
        <v>583</v>
      </c>
      <c r="DJ105" s="1908">
        <v>10000</v>
      </c>
      <c r="DK105" s="1907">
        <f>0.11*DK101*1000</f>
        <v>539</v>
      </c>
      <c r="DL105" s="1908">
        <v>10000</v>
      </c>
      <c r="DM105" s="1907">
        <f>0.11*DM101*1000</f>
        <v>539</v>
      </c>
      <c r="DN105" s="1908">
        <v>10000</v>
      </c>
      <c r="DO105" s="1907">
        <f>0.11*DO101*1000</f>
        <v>572.00000000000011</v>
      </c>
      <c r="DP105" s="1908">
        <v>10000</v>
      </c>
      <c r="DQ105" s="1917"/>
      <c r="DR105" s="1918"/>
      <c r="DS105" s="1917"/>
      <c r="DT105" s="1918"/>
      <c r="DU105" s="1917"/>
      <c r="DV105" s="1918"/>
      <c r="DW105" s="1917"/>
      <c r="DX105" s="1918"/>
      <c r="DY105" s="1735"/>
      <c r="DZ105" s="1735"/>
      <c r="EA105" s="1735"/>
      <c r="EB105" s="1735"/>
    </row>
    <row r="106" spans="1:257" s="1735" customFormat="1">
      <c r="A106" s="1729"/>
      <c r="B106" s="1734"/>
      <c r="C106" s="1734"/>
      <c r="D106" s="1729"/>
      <c r="E106" s="1729"/>
      <c r="F106" s="1729"/>
      <c r="G106" s="1729"/>
      <c r="H106" s="1905" t="s">
        <v>14</v>
      </c>
      <c r="I106" s="1892">
        <f>0.28*J100</f>
        <v>2.0720000000000005</v>
      </c>
      <c r="J106" s="1906">
        <v>10000</v>
      </c>
      <c r="K106" s="1892">
        <f>0.28*L100</f>
        <v>2.044</v>
      </c>
      <c r="L106" s="1906">
        <v>10000</v>
      </c>
      <c r="M106" s="1892">
        <f>0.28*N100</f>
        <v>1.988</v>
      </c>
      <c r="N106" s="1906">
        <v>10000</v>
      </c>
      <c r="O106" s="1892">
        <f>0.28*P100</f>
        <v>1.9600000000000002</v>
      </c>
      <c r="P106" s="1906">
        <v>10000</v>
      </c>
      <c r="Q106" s="1892">
        <f>0.28*R100</f>
        <v>2.3240000000000003</v>
      </c>
      <c r="R106" s="1906">
        <v>10000</v>
      </c>
      <c r="S106" s="1892">
        <f>0.28*T100</f>
        <v>2.2959999999999998</v>
      </c>
      <c r="T106" s="1906">
        <v>10000</v>
      </c>
      <c r="U106" s="1892">
        <f>0.28*V100</f>
        <v>2.2680000000000002</v>
      </c>
      <c r="V106" s="1906">
        <v>10000</v>
      </c>
      <c r="W106" s="1892">
        <f>0.28*X100</f>
        <v>2.2400000000000002</v>
      </c>
      <c r="X106" s="1906">
        <v>10000</v>
      </c>
      <c r="Y106" s="1892">
        <f>0.28*Z100</f>
        <v>2.6040000000000005</v>
      </c>
      <c r="Z106" s="1906">
        <v>10000</v>
      </c>
      <c r="AA106" s="1907">
        <f>0.28*AB100</f>
        <v>2.5760000000000001</v>
      </c>
      <c r="AB106" s="1908">
        <v>10000</v>
      </c>
      <c r="AC106" s="1907">
        <f>0.28*AD100</f>
        <v>2.5200000000000005</v>
      </c>
      <c r="AD106" s="1908">
        <v>10000</v>
      </c>
      <c r="AE106" s="1907">
        <f>0.28*AF100</f>
        <v>2.4920000000000004</v>
      </c>
      <c r="AF106" s="1908">
        <v>10000</v>
      </c>
      <c r="AG106" s="1907">
        <f>0.28*AH100</f>
        <v>2.8559999999999999</v>
      </c>
      <c r="AH106" s="1908">
        <v>10000</v>
      </c>
      <c r="AI106" s="1907">
        <f>0.28*AJ100</f>
        <v>2.8280000000000003</v>
      </c>
      <c r="AJ106" s="1908">
        <v>10000</v>
      </c>
      <c r="AK106" s="1907">
        <f>0.28*AL100</f>
        <v>2.8000000000000003</v>
      </c>
      <c r="AL106" s="1908">
        <v>10000</v>
      </c>
      <c r="AM106" s="1907">
        <f>0.28*AN100</f>
        <v>2.7720000000000002</v>
      </c>
      <c r="AN106" s="1908">
        <v>10000</v>
      </c>
      <c r="AO106" s="1907">
        <f>0.28*AP100</f>
        <v>2.5760000000000001</v>
      </c>
      <c r="AP106" s="1908">
        <v>10000</v>
      </c>
      <c r="AQ106" s="1907">
        <f>0.28*AR100</f>
        <v>2.7440000000000007</v>
      </c>
      <c r="AR106" s="1908">
        <v>10000</v>
      </c>
      <c r="AS106" s="1907">
        <f>0.28*AT100</f>
        <v>2.8280000000000003</v>
      </c>
      <c r="AT106" s="1908">
        <v>10000</v>
      </c>
      <c r="AU106" s="1907">
        <f>0.28*AV100</f>
        <v>2.9400000000000004</v>
      </c>
      <c r="AV106" s="1908">
        <v>10000</v>
      </c>
      <c r="AW106" s="1907">
        <f>0.28*AX100</f>
        <v>2.4640000000000004</v>
      </c>
      <c r="AX106" s="1908">
        <v>10000</v>
      </c>
      <c r="AY106" s="1907">
        <f>0.28*AZ100</f>
        <v>2.6040000000000005</v>
      </c>
      <c r="AZ106" s="1908">
        <v>10000</v>
      </c>
      <c r="BA106" s="1907">
        <f>0.28*BB100</f>
        <v>2.7440000000000007</v>
      </c>
      <c r="BB106" s="1908">
        <v>10000</v>
      </c>
      <c r="BC106" s="1907">
        <f>0.28*BD100</f>
        <v>2.9400000000000004</v>
      </c>
      <c r="BD106" s="1908">
        <v>10000</v>
      </c>
      <c r="BE106" s="1907">
        <f>0.28*BF100</f>
        <v>3.0240000000000005</v>
      </c>
      <c r="BF106" s="1908">
        <v>10000</v>
      </c>
      <c r="BG106" s="1907">
        <f>0.28*BH100</f>
        <v>3.1080000000000001</v>
      </c>
      <c r="BH106" s="1908">
        <v>10000</v>
      </c>
      <c r="BI106" s="1907">
        <f>0.28*BJ100</f>
        <v>2.66</v>
      </c>
      <c r="BJ106" s="1908">
        <v>10000</v>
      </c>
      <c r="BK106" s="1907">
        <f>0.28*BL100</f>
        <v>2.8000000000000003</v>
      </c>
      <c r="BL106" s="1908">
        <v>10000</v>
      </c>
      <c r="BM106" s="1907">
        <f>0.28*BN100</f>
        <v>2.9400000000000004</v>
      </c>
      <c r="BN106" s="1908">
        <v>10000</v>
      </c>
      <c r="BO106" s="1907">
        <f>0.28*BP100</f>
        <v>3.1080000000000001</v>
      </c>
      <c r="BP106" s="1908">
        <v>10000</v>
      </c>
      <c r="BQ106" s="1907">
        <f>0.28*BR100</f>
        <v>3.22</v>
      </c>
      <c r="BR106" s="1908">
        <v>10000</v>
      </c>
      <c r="BS106" s="1907">
        <f>0.28*BT100</f>
        <v>3.3040000000000007</v>
      </c>
      <c r="BT106" s="1908">
        <v>10000</v>
      </c>
      <c r="BU106" s="1907">
        <f>0.28*BV100</f>
        <v>3.1080000000000001</v>
      </c>
      <c r="BV106" s="1908">
        <v>10000</v>
      </c>
      <c r="BW106" s="1907">
        <f>0.28*BX100</f>
        <v>3.1080000000000001</v>
      </c>
      <c r="BX106" s="1908">
        <v>10000</v>
      </c>
      <c r="BY106" s="1907">
        <f>0.28*BZ100</f>
        <v>2.968</v>
      </c>
      <c r="BZ106" s="1908">
        <v>10000</v>
      </c>
      <c r="CA106" s="1907">
        <f>0.28*CB100</f>
        <v>2.7720000000000002</v>
      </c>
      <c r="CB106" s="1908">
        <v>10000</v>
      </c>
      <c r="CC106" s="1907">
        <f>0.28*CD100</f>
        <v>2.66</v>
      </c>
      <c r="CD106" s="1908">
        <v>10000</v>
      </c>
      <c r="CE106" s="1907">
        <f>0.28*CF100</f>
        <v>2.6880000000000002</v>
      </c>
      <c r="CF106" s="1908">
        <v>10000</v>
      </c>
      <c r="CG106" s="1907">
        <f>0.28*CH100</f>
        <v>3.3040000000000007</v>
      </c>
      <c r="CH106" s="1908">
        <v>10000</v>
      </c>
      <c r="CI106" s="1907">
        <f>0.28*CJ100</f>
        <v>3.3320000000000003</v>
      </c>
      <c r="CJ106" s="1908">
        <v>10000</v>
      </c>
      <c r="CK106" s="1907">
        <f>0.28*CL100</f>
        <v>3.1640000000000006</v>
      </c>
      <c r="CL106" s="1908">
        <v>10000</v>
      </c>
      <c r="CM106" s="1907">
        <f>0.28*CN100</f>
        <v>2.968</v>
      </c>
      <c r="CN106" s="1908">
        <v>10000</v>
      </c>
      <c r="CO106" s="1907">
        <f>0.28*CP100</f>
        <v>2.8840000000000003</v>
      </c>
      <c r="CP106" s="1908">
        <v>10000</v>
      </c>
      <c r="CQ106" s="1907">
        <f>0.28*CR100</f>
        <v>2.8840000000000003</v>
      </c>
      <c r="CR106" s="1908">
        <v>10000</v>
      </c>
      <c r="CS106" s="1907">
        <f>0.28*CT100</f>
        <v>3.528</v>
      </c>
      <c r="CT106" s="1908">
        <v>10000</v>
      </c>
      <c r="CU106" s="1907">
        <f>0.28*CV100</f>
        <v>3.528</v>
      </c>
      <c r="CV106" s="1908">
        <v>10000</v>
      </c>
      <c r="CW106" s="1907">
        <f>0.28*CX100</f>
        <v>3.3880000000000003</v>
      </c>
      <c r="CX106" s="1908">
        <v>10000</v>
      </c>
      <c r="CY106" s="1907">
        <f>0.28*CZ100</f>
        <v>3.1920000000000006</v>
      </c>
      <c r="CZ106" s="1908">
        <v>10000</v>
      </c>
      <c r="DA106" s="1907">
        <f>0.28*DB100</f>
        <v>3.08</v>
      </c>
      <c r="DB106" s="1908">
        <v>10000</v>
      </c>
      <c r="DC106" s="1907">
        <f>0.28*DD100</f>
        <v>3.1080000000000001</v>
      </c>
      <c r="DD106" s="1908">
        <v>10000</v>
      </c>
      <c r="DE106" s="1907">
        <f>0.28*DF100</f>
        <v>3.7240000000000006</v>
      </c>
      <c r="DF106" s="1908">
        <v>10000</v>
      </c>
      <c r="DG106" s="1907">
        <f>0.28*DH100</f>
        <v>3.7240000000000006</v>
      </c>
      <c r="DH106" s="1908">
        <v>10000</v>
      </c>
      <c r="DI106" s="1907">
        <f>0.28*DJ100</f>
        <v>3.5840000000000005</v>
      </c>
      <c r="DJ106" s="1908">
        <v>10000</v>
      </c>
      <c r="DK106" s="1907">
        <f>0.28*DL100</f>
        <v>3.3880000000000003</v>
      </c>
      <c r="DL106" s="1908">
        <v>10000</v>
      </c>
      <c r="DM106" s="1907">
        <f>0.28*DN100</f>
        <v>3.2760000000000002</v>
      </c>
      <c r="DN106" s="1908">
        <v>10000</v>
      </c>
      <c r="DO106" s="1907">
        <f>0.28*DP100</f>
        <v>3.3040000000000007</v>
      </c>
      <c r="DP106" s="1908">
        <v>10000</v>
      </c>
      <c r="DQ106" s="1917"/>
      <c r="DR106" s="1918"/>
      <c r="DS106" s="1917"/>
      <c r="DT106" s="1918"/>
      <c r="DU106" s="1917"/>
      <c r="DV106" s="1918"/>
      <c r="DW106" s="1917"/>
      <c r="DX106" s="1918"/>
      <c r="EC106" s="1729"/>
      <c r="ED106" s="1729"/>
      <c r="EE106" s="1729"/>
      <c r="EF106" s="1729"/>
      <c r="EG106" s="1729"/>
      <c r="EH106" s="1729"/>
      <c r="EI106" s="1729"/>
      <c r="EJ106" s="1729"/>
      <c r="EK106" s="1729"/>
      <c r="EL106" s="1729"/>
      <c r="EM106" s="1729"/>
      <c r="EN106" s="1729"/>
      <c r="EO106" s="1729"/>
      <c r="EP106" s="1729"/>
      <c r="EQ106" s="1729"/>
      <c r="ER106" s="1729"/>
      <c r="ES106" s="1729"/>
      <c r="ET106" s="1729"/>
      <c r="EU106" s="1729"/>
      <c r="EV106" s="1729"/>
      <c r="EW106" s="1729"/>
      <c r="EX106" s="1729"/>
      <c r="EY106" s="1729"/>
      <c r="EZ106" s="1729"/>
      <c r="FA106" s="1729"/>
      <c r="FB106" s="1729"/>
      <c r="FC106" s="1729"/>
      <c r="FD106" s="1729"/>
      <c r="FE106" s="1729"/>
      <c r="FF106" s="1729"/>
      <c r="FG106" s="1729"/>
      <c r="FH106" s="1729"/>
      <c r="FI106" s="1729"/>
      <c r="FJ106" s="1729"/>
      <c r="FK106" s="1729"/>
      <c r="FL106" s="1729"/>
      <c r="FM106" s="1729"/>
      <c r="FN106" s="1729"/>
      <c r="FO106" s="1729"/>
      <c r="FP106" s="1729"/>
      <c r="FQ106" s="1729"/>
      <c r="FR106" s="1729"/>
      <c r="FS106" s="1729"/>
      <c r="FT106" s="1729"/>
      <c r="FU106" s="1729"/>
      <c r="FV106" s="1729"/>
      <c r="FW106" s="1729"/>
      <c r="FX106" s="1729"/>
      <c r="FY106" s="1729"/>
      <c r="FZ106" s="1729"/>
      <c r="GA106" s="1729"/>
      <c r="GB106" s="1729"/>
      <c r="GC106" s="1729"/>
      <c r="GD106" s="1729"/>
      <c r="GE106" s="1729"/>
      <c r="GF106" s="1729"/>
      <c r="GG106" s="1729"/>
      <c r="GH106" s="1729"/>
      <c r="GI106" s="1729"/>
      <c r="GJ106" s="1729"/>
      <c r="GK106" s="1729"/>
      <c r="GL106" s="1729"/>
      <c r="GM106" s="1729"/>
      <c r="GN106" s="1729"/>
      <c r="GO106" s="1729"/>
      <c r="GP106" s="1729"/>
      <c r="GQ106" s="1729"/>
      <c r="GR106" s="1729"/>
      <c r="GS106" s="1729"/>
      <c r="GT106" s="1729"/>
      <c r="GU106" s="1729"/>
      <c r="GV106" s="1729"/>
      <c r="GW106" s="1729"/>
      <c r="GX106" s="1729"/>
      <c r="GY106" s="1729"/>
      <c r="GZ106" s="1729"/>
      <c r="HA106" s="1729"/>
      <c r="HB106" s="1729"/>
      <c r="HC106" s="1729"/>
      <c r="HD106" s="1729"/>
      <c r="HE106" s="1729"/>
      <c r="HF106" s="1729"/>
      <c r="HG106" s="1729"/>
      <c r="HH106" s="1729"/>
      <c r="HI106" s="1729"/>
      <c r="HJ106" s="1729"/>
      <c r="HK106" s="1729"/>
      <c r="HL106" s="1729"/>
      <c r="HM106" s="1729"/>
      <c r="HN106" s="1729"/>
      <c r="HO106" s="1729"/>
      <c r="HP106" s="1729"/>
      <c r="HQ106" s="1729"/>
      <c r="HR106" s="1729"/>
      <c r="HS106" s="1729"/>
      <c r="HT106" s="1729"/>
      <c r="HU106" s="1729"/>
      <c r="HV106" s="1729"/>
      <c r="HW106" s="1729"/>
      <c r="HX106" s="1729"/>
      <c r="HY106" s="1729"/>
      <c r="HZ106" s="1729"/>
      <c r="IA106" s="1729"/>
      <c r="IB106" s="1729"/>
      <c r="IC106" s="1729"/>
      <c r="ID106" s="1729"/>
      <c r="IE106" s="1729"/>
      <c r="IF106" s="1729"/>
      <c r="IG106" s="1729"/>
      <c r="IH106" s="1729"/>
      <c r="II106" s="1729"/>
      <c r="IJ106" s="1729"/>
      <c r="IK106" s="1729"/>
      <c r="IL106" s="1729"/>
      <c r="IM106" s="1729"/>
      <c r="IN106" s="1729"/>
      <c r="IO106" s="1729"/>
      <c r="IP106" s="1729"/>
      <c r="IQ106" s="1729"/>
      <c r="IR106" s="1729"/>
      <c r="IS106" s="1729"/>
      <c r="IT106" s="1729"/>
      <c r="IU106" s="1729"/>
      <c r="IV106" s="1729"/>
      <c r="IW106" s="1729"/>
    </row>
    <row r="107" spans="1:257" s="1735" customFormat="1">
      <c r="A107" s="1729"/>
      <c r="B107" s="1734"/>
      <c r="C107" s="1734"/>
      <c r="D107" s="1729"/>
      <c r="E107" s="1729"/>
      <c r="F107" s="1729"/>
      <c r="G107" s="1729"/>
      <c r="H107" s="1905" t="s">
        <v>433</v>
      </c>
      <c r="I107" s="1892">
        <v>0</v>
      </c>
      <c r="J107" s="1906">
        <f>0.05*J100*1000</f>
        <v>370.00000000000006</v>
      </c>
      <c r="K107" s="1892">
        <v>0</v>
      </c>
      <c r="L107" s="1906">
        <f>0.05*L100*1000</f>
        <v>365</v>
      </c>
      <c r="M107" s="1892">
        <v>0</v>
      </c>
      <c r="N107" s="1906">
        <f>0.05*N100*1000</f>
        <v>355</v>
      </c>
      <c r="O107" s="1892">
        <v>0</v>
      </c>
      <c r="P107" s="1906">
        <f>0.05*P100*1000</f>
        <v>350.00000000000006</v>
      </c>
      <c r="Q107" s="1892">
        <v>0</v>
      </c>
      <c r="R107" s="1906">
        <f>0.05*R100*1000</f>
        <v>415.00000000000006</v>
      </c>
      <c r="S107" s="1892">
        <v>0</v>
      </c>
      <c r="T107" s="1906">
        <f>0.05*T100*1000</f>
        <v>410</v>
      </c>
      <c r="U107" s="1892">
        <v>0</v>
      </c>
      <c r="V107" s="1906">
        <f>0.05*V100*1000</f>
        <v>405</v>
      </c>
      <c r="W107" s="1892">
        <v>0</v>
      </c>
      <c r="X107" s="1906">
        <f>0.05*X100*1000</f>
        <v>400</v>
      </c>
      <c r="Y107" s="1892">
        <v>0</v>
      </c>
      <c r="Z107" s="1906">
        <f>0.05*Z100*1000</f>
        <v>465.00000000000006</v>
      </c>
      <c r="AA107" s="1907">
        <v>0</v>
      </c>
      <c r="AB107" s="1908">
        <f>0.05*AB100*1000</f>
        <v>459.99999999999994</v>
      </c>
      <c r="AC107" s="1907">
        <v>0</v>
      </c>
      <c r="AD107" s="1908">
        <f>0.05*AD100*1000</f>
        <v>450</v>
      </c>
      <c r="AE107" s="1907">
        <v>0</v>
      </c>
      <c r="AF107" s="1908">
        <f>0.05*AF100*1000</f>
        <v>445.00000000000006</v>
      </c>
      <c r="AG107" s="1907">
        <v>0</v>
      </c>
      <c r="AH107" s="1908">
        <f>0.05*AH100*1000</f>
        <v>510</v>
      </c>
      <c r="AI107" s="1907">
        <v>0</v>
      </c>
      <c r="AJ107" s="1908">
        <f>0.05*AJ100*1000</f>
        <v>505</v>
      </c>
      <c r="AK107" s="1907">
        <v>0</v>
      </c>
      <c r="AL107" s="1908">
        <f>0.05*AL100*1000</f>
        <v>500</v>
      </c>
      <c r="AM107" s="1907">
        <v>0</v>
      </c>
      <c r="AN107" s="1908">
        <f>0.05*AN100*1000</f>
        <v>495.00000000000006</v>
      </c>
      <c r="AO107" s="1907">
        <v>0</v>
      </c>
      <c r="AP107" s="1908">
        <f>0.05*AP100*1000</f>
        <v>459.99999999999994</v>
      </c>
      <c r="AQ107" s="1907">
        <v>0</v>
      </c>
      <c r="AR107" s="1908">
        <f>0.05*AR100*1000</f>
        <v>490.00000000000006</v>
      </c>
      <c r="AS107" s="1907">
        <v>0</v>
      </c>
      <c r="AT107" s="1908">
        <f>0.05*AT100*1000</f>
        <v>505</v>
      </c>
      <c r="AU107" s="1907">
        <v>0</v>
      </c>
      <c r="AV107" s="1908">
        <f>0.05*AV100*1000</f>
        <v>525</v>
      </c>
      <c r="AW107" s="1907">
        <v>0</v>
      </c>
      <c r="AX107" s="1908">
        <f>0.05*AX100*1000</f>
        <v>440.00000000000006</v>
      </c>
      <c r="AY107" s="1907">
        <v>0</v>
      </c>
      <c r="AZ107" s="1908">
        <f>0.05*AZ100*1000</f>
        <v>465.00000000000006</v>
      </c>
      <c r="BA107" s="1907">
        <v>0</v>
      </c>
      <c r="BB107" s="1908">
        <f>0.05*BB100*1000</f>
        <v>490.00000000000006</v>
      </c>
      <c r="BC107" s="1907">
        <v>0</v>
      </c>
      <c r="BD107" s="1908">
        <f>0.05*BD100*1000</f>
        <v>525</v>
      </c>
      <c r="BE107" s="1907">
        <v>0</v>
      </c>
      <c r="BF107" s="1908">
        <f>0.05*BF100*1000</f>
        <v>540</v>
      </c>
      <c r="BG107" s="1907">
        <v>0</v>
      </c>
      <c r="BH107" s="1908">
        <f>0.05*BH100*1000</f>
        <v>555</v>
      </c>
      <c r="BI107" s="1907">
        <v>0</v>
      </c>
      <c r="BJ107" s="1908">
        <f>0.05*BJ100*1000</f>
        <v>475.00000000000006</v>
      </c>
      <c r="BK107" s="1907">
        <v>0</v>
      </c>
      <c r="BL107" s="1908">
        <f>0.05*BL100*1000</f>
        <v>500</v>
      </c>
      <c r="BM107" s="1907">
        <v>0</v>
      </c>
      <c r="BN107" s="1908">
        <f>0.05*BN100*1000</f>
        <v>525</v>
      </c>
      <c r="BO107" s="1907">
        <v>0</v>
      </c>
      <c r="BP107" s="1908">
        <f>0.05*BP100*1000</f>
        <v>555</v>
      </c>
      <c r="BQ107" s="1907">
        <v>0</v>
      </c>
      <c r="BR107" s="1908">
        <f>0.05*BR100*1000</f>
        <v>575.00000000000011</v>
      </c>
      <c r="BS107" s="1907">
        <v>0</v>
      </c>
      <c r="BT107" s="1908">
        <f>0.05*BT100*1000</f>
        <v>590.00000000000011</v>
      </c>
      <c r="BU107" s="1907">
        <v>0</v>
      </c>
      <c r="BV107" s="1908">
        <f>0.05*BV100*1000</f>
        <v>555</v>
      </c>
      <c r="BW107" s="1907">
        <v>0</v>
      </c>
      <c r="BX107" s="1908">
        <f>0.05*BX100*1000</f>
        <v>555</v>
      </c>
      <c r="BY107" s="1907">
        <v>0</v>
      </c>
      <c r="BZ107" s="1908">
        <f>0.05*BZ100*1000</f>
        <v>530</v>
      </c>
      <c r="CA107" s="1907">
        <v>0</v>
      </c>
      <c r="CB107" s="1908">
        <f>0.05*CB100*1000</f>
        <v>495.00000000000006</v>
      </c>
      <c r="CC107" s="1907">
        <v>0</v>
      </c>
      <c r="CD107" s="1908">
        <f>0.05*CD100*1000</f>
        <v>475.00000000000006</v>
      </c>
      <c r="CE107" s="1907">
        <v>0</v>
      </c>
      <c r="CF107" s="1908">
        <f>0.05*CF100*1000</f>
        <v>480</v>
      </c>
      <c r="CG107" s="1907">
        <v>0</v>
      </c>
      <c r="CH107" s="1908">
        <f>0.05*CH100*1000</f>
        <v>590.00000000000011</v>
      </c>
      <c r="CI107" s="1907">
        <v>0</v>
      </c>
      <c r="CJ107" s="1908">
        <f>0.05*CJ100*1000</f>
        <v>595.00000000000011</v>
      </c>
      <c r="CK107" s="1907">
        <v>0</v>
      </c>
      <c r="CL107" s="1908">
        <f>0.05*CL100*1000</f>
        <v>565.00000000000011</v>
      </c>
      <c r="CM107" s="1907">
        <v>0</v>
      </c>
      <c r="CN107" s="1908">
        <f>0.05*CN100*1000</f>
        <v>530</v>
      </c>
      <c r="CO107" s="1907">
        <v>0</v>
      </c>
      <c r="CP107" s="1908">
        <f>0.05*CP100*1000</f>
        <v>515</v>
      </c>
      <c r="CQ107" s="1907">
        <v>0</v>
      </c>
      <c r="CR107" s="1908">
        <f>0.05*CR100*1000</f>
        <v>515</v>
      </c>
      <c r="CS107" s="1907">
        <v>0</v>
      </c>
      <c r="CT107" s="1908">
        <f>0.05*CT100*1000</f>
        <v>630</v>
      </c>
      <c r="CU107" s="1907">
        <v>0</v>
      </c>
      <c r="CV107" s="1908">
        <f>0.05*CV100*1000</f>
        <v>630</v>
      </c>
      <c r="CW107" s="1907">
        <v>0</v>
      </c>
      <c r="CX107" s="1908">
        <f>0.05*CX100*1000</f>
        <v>605</v>
      </c>
      <c r="CY107" s="1907">
        <v>0</v>
      </c>
      <c r="CZ107" s="1908">
        <f>0.05*CZ100*1000</f>
        <v>570.00000000000011</v>
      </c>
      <c r="DA107" s="1907">
        <v>0</v>
      </c>
      <c r="DB107" s="1908">
        <f>0.05*DB100*1000</f>
        <v>550</v>
      </c>
      <c r="DC107" s="1907">
        <v>0</v>
      </c>
      <c r="DD107" s="1908">
        <f>0.05*DD100*1000</f>
        <v>555</v>
      </c>
      <c r="DE107" s="1907">
        <v>0</v>
      </c>
      <c r="DF107" s="1908">
        <f>0.05*DF100*1000</f>
        <v>665</v>
      </c>
      <c r="DG107" s="1907">
        <v>0</v>
      </c>
      <c r="DH107" s="1908">
        <f>0.05*DH100*1000</f>
        <v>665</v>
      </c>
      <c r="DI107" s="1907">
        <v>0</v>
      </c>
      <c r="DJ107" s="1908">
        <f>0.05*DJ100*1000</f>
        <v>640.00000000000011</v>
      </c>
      <c r="DK107" s="1907">
        <v>0</v>
      </c>
      <c r="DL107" s="1908">
        <f>0.05*DL100*1000</f>
        <v>605</v>
      </c>
      <c r="DM107" s="1907">
        <v>0</v>
      </c>
      <c r="DN107" s="1908">
        <f>0.05*DN100*1000</f>
        <v>585</v>
      </c>
      <c r="DO107" s="1907">
        <v>0</v>
      </c>
      <c r="DP107" s="1908">
        <f>0.05*DP100*1000</f>
        <v>590.00000000000011</v>
      </c>
      <c r="DQ107" s="1917"/>
      <c r="DR107" s="1918"/>
      <c r="DS107" s="1917"/>
      <c r="DT107" s="1918"/>
      <c r="DU107" s="1917"/>
      <c r="DV107" s="1918"/>
      <c r="DW107" s="1917"/>
      <c r="DX107" s="1918"/>
      <c r="EC107" s="1729"/>
      <c r="ED107" s="1729"/>
      <c r="EE107" s="1729"/>
      <c r="EF107" s="1729"/>
      <c r="EG107" s="1729"/>
      <c r="EH107" s="1729"/>
      <c r="EI107" s="1729"/>
      <c r="EJ107" s="1729"/>
      <c r="EK107" s="1729"/>
      <c r="EL107" s="1729"/>
      <c r="EM107" s="1729"/>
      <c r="EN107" s="1729"/>
      <c r="EO107" s="1729"/>
      <c r="EP107" s="1729"/>
      <c r="EQ107" s="1729"/>
      <c r="ER107" s="1729"/>
      <c r="ES107" s="1729"/>
      <c r="ET107" s="1729"/>
      <c r="EU107" s="1729"/>
      <c r="EV107" s="1729"/>
      <c r="EW107" s="1729"/>
      <c r="EX107" s="1729"/>
      <c r="EY107" s="1729"/>
      <c r="EZ107" s="1729"/>
      <c r="FA107" s="1729"/>
      <c r="FB107" s="1729"/>
      <c r="FC107" s="1729"/>
      <c r="FD107" s="1729"/>
      <c r="FE107" s="1729"/>
      <c r="FF107" s="1729"/>
      <c r="FG107" s="1729"/>
      <c r="FH107" s="1729"/>
      <c r="FI107" s="1729"/>
      <c r="FJ107" s="1729"/>
      <c r="FK107" s="1729"/>
      <c r="FL107" s="1729"/>
      <c r="FM107" s="1729"/>
      <c r="FN107" s="1729"/>
      <c r="FO107" s="1729"/>
      <c r="FP107" s="1729"/>
      <c r="FQ107" s="1729"/>
      <c r="FR107" s="1729"/>
      <c r="FS107" s="1729"/>
      <c r="FT107" s="1729"/>
      <c r="FU107" s="1729"/>
      <c r="FV107" s="1729"/>
      <c r="FW107" s="1729"/>
      <c r="FX107" s="1729"/>
      <c r="FY107" s="1729"/>
      <c r="FZ107" s="1729"/>
      <c r="GA107" s="1729"/>
      <c r="GB107" s="1729"/>
      <c r="GC107" s="1729"/>
      <c r="GD107" s="1729"/>
      <c r="GE107" s="1729"/>
      <c r="GF107" s="1729"/>
      <c r="GG107" s="1729"/>
      <c r="GH107" s="1729"/>
      <c r="GI107" s="1729"/>
      <c r="GJ107" s="1729"/>
      <c r="GK107" s="1729"/>
      <c r="GL107" s="1729"/>
      <c r="GM107" s="1729"/>
      <c r="GN107" s="1729"/>
      <c r="GO107" s="1729"/>
      <c r="GP107" s="1729"/>
      <c r="GQ107" s="1729"/>
      <c r="GR107" s="1729"/>
      <c r="GS107" s="1729"/>
      <c r="GT107" s="1729"/>
      <c r="GU107" s="1729"/>
      <c r="GV107" s="1729"/>
      <c r="GW107" s="1729"/>
      <c r="GX107" s="1729"/>
      <c r="GY107" s="1729"/>
      <c r="GZ107" s="1729"/>
      <c r="HA107" s="1729"/>
      <c r="HB107" s="1729"/>
      <c r="HC107" s="1729"/>
      <c r="HD107" s="1729"/>
      <c r="HE107" s="1729"/>
      <c r="HF107" s="1729"/>
      <c r="HG107" s="1729"/>
      <c r="HH107" s="1729"/>
      <c r="HI107" s="1729"/>
      <c r="HJ107" s="1729"/>
      <c r="HK107" s="1729"/>
      <c r="HL107" s="1729"/>
      <c r="HM107" s="1729"/>
      <c r="HN107" s="1729"/>
      <c r="HO107" s="1729"/>
      <c r="HP107" s="1729"/>
      <c r="HQ107" s="1729"/>
      <c r="HR107" s="1729"/>
      <c r="HS107" s="1729"/>
      <c r="HT107" s="1729"/>
      <c r="HU107" s="1729"/>
      <c r="HV107" s="1729"/>
      <c r="HW107" s="1729"/>
      <c r="HX107" s="1729"/>
      <c r="HY107" s="1729"/>
      <c r="HZ107" s="1729"/>
      <c r="IA107" s="1729"/>
      <c r="IB107" s="1729"/>
      <c r="IC107" s="1729"/>
      <c r="ID107" s="1729"/>
      <c r="IE107" s="1729"/>
      <c r="IF107" s="1729"/>
      <c r="IG107" s="1729"/>
      <c r="IH107" s="1729"/>
      <c r="II107" s="1729"/>
      <c r="IJ107" s="1729"/>
      <c r="IK107" s="1729"/>
      <c r="IL107" s="1729"/>
      <c r="IM107" s="1729"/>
      <c r="IN107" s="1729"/>
      <c r="IO107" s="1729"/>
      <c r="IP107" s="1729"/>
      <c r="IQ107" s="1729"/>
      <c r="IR107" s="1729"/>
      <c r="IS107" s="1729"/>
      <c r="IT107" s="1729"/>
      <c r="IU107" s="1729"/>
      <c r="IV107" s="1729"/>
      <c r="IW107" s="1729"/>
    </row>
    <row r="108" spans="1:257" s="1735" customFormat="1">
      <c r="A108" s="1729"/>
      <c r="B108" s="1734"/>
      <c r="C108" s="1734"/>
      <c r="D108" s="1729"/>
      <c r="E108" s="1729"/>
      <c r="F108" s="1729"/>
      <c r="G108" s="1729"/>
      <c r="H108" s="1905" t="s">
        <v>16</v>
      </c>
      <c r="I108" s="1892">
        <f>0.1/100*J100*1000</f>
        <v>7.4</v>
      </c>
      <c r="J108" s="1906">
        <f>(J100*(0.4/100))*1000</f>
        <v>29.6</v>
      </c>
      <c r="K108" s="1892">
        <f>0.1/100*L100*1000</f>
        <v>7.3</v>
      </c>
      <c r="L108" s="1906">
        <f>(L100*(0.4/100))*1000</f>
        <v>29.2</v>
      </c>
      <c r="M108" s="1892">
        <f>0.1/100*N100*1000</f>
        <v>7.1</v>
      </c>
      <c r="N108" s="1906">
        <f>(N100*(0.4/100))*1000</f>
        <v>28.4</v>
      </c>
      <c r="O108" s="1892">
        <f>0.1/100*P100*1000</f>
        <v>7</v>
      </c>
      <c r="P108" s="1906">
        <f>(P100*(0.4/100))*1000</f>
        <v>28</v>
      </c>
      <c r="Q108" s="1892">
        <f>0.1/100*R100*1000</f>
        <v>8.3000000000000007</v>
      </c>
      <c r="R108" s="1906">
        <f>(R100*(0.4/100))*1000</f>
        <v>33.200000000000003</v>
      </c>
      <c r="S108" s="1892">
        <f>0.1/100*T100*1000</f>
        <v>8.1999999999999993</v>
      </c>
      <c r="T108" s="1906">
        <f>(T100*(0.4/100))*1000</f>
        <v>32.799999999999997</v>
      </c>
      <c r="U108" s="1892">
        <f>0.1/100*V100*1000</f>
        <v>8.1</v>
      </c>
      <c r="V108" s="1906">
        <f>(V100*(0.4/100))*1000</f>
        <v>32.4</v>
      </c>
      <c r="W108" s="1892">
        <f>0.1/100*X100*1000</f>
        <v>8</v>
      </c>
      <c r="X108" s="1906">
        <f>(X100*(0.4/100))*1000</f>
        <v>32</v>
      </c>
      <c r="Y108" s="1892">
        <f>0.1/100*Z100*1000</f>
        <v>9.3000000000000007</v>
      </c>
      <c r="Z108" s="1906">
        <f>(Z100*(0.4/100))*1000</f>
        <v>37.200000000000003</v>
      </c>
      <c r="AA108" s="1907">
        <f>0.1/100*AB100*1000</f>
        <v>9.1999999999999993</v>
      </c>
      <c r="AB108" s="1908">
        <f>(AB100*(0.4/100))*1000</f>
        <v>36.799999999999997</v>
      </c>
      <c r="AC108" s="1907">
        <f>0.1/100*AD100*1000</f>
        <v>9.0000000000000018</v>
      </c>
      <c r="AD108" s="1908">
        <f>(AD100*(0.4/100))*1000</f>
        <v>36.000000000000007</v>
      </c>
      <c r="AE108" s="1907">
        <f>0.1/100*AF100*1000</f>
        <v>8.9</v>
      </c>
      <c r="AF108" s="1908">
        <f>(AF100*(0.4/100))*1000</f>
        <v>35.6</v>
      </c>
      <c r="AG108" s="1907">
        <f>0.1/100*AH100*1000</f>
        <v>10.199999999999999</v>
      </c>
      <c r="AH108" s="1908">
        <f>(AH100*(0.4/100))*1000</f>
        <v>40.799999999999997</v>
      </c>
      <c r="AI108" s="1907">
        <f>0.1/100*AJ100*1000</f>
        <v>10.1</v>
      </c>
      <c r="AJ108" s="1908">
        <f>(AJ100*(0.4/100))*1000</f>
        <v>40.4</v>
      </c>
      <c r="AK108" s="1907">
        <f>0.1/100*AL100*1000</f>
        <v>10</v>
      </c>
      <c r="AL108" s="1908">
        <f>(AL100*(0.4/100))*1000</f>
        <v>40</v>
      </c>
      <c r="AM108" s="1907">
        <f>0.1/100*AN100*1000</f>
        <v>9.9</v>
      </c>
      <c r="AN108" s="1908">
        <f>(AN100*(0.4/100))*1000</f>
        <v>39.6</v>
      </c>
      <c r="AO108" s="1907">
        <f>0.1/100*AP100*1000</f>
        <v>9.1999999999999993</v>
      </c>
      <c r="AP108" s="1908">
        <f>(AP100*(0.4/100))*1000</f>
        <v>36.799999999999997</v>
      </c>
      <c r="AQ108" s="1907">
        <f>0.1/100*AR100*1000</f>
        <v>9.8000000000000007</v>
      </c>
      <c r="AR108" s="1908">
        <f>(AR100*(0.4/100))*1000</f>
        <v>39.200000000000003</v>
      </c>
      <c r="AS108" s="1907">
        <f>0.1/100*AT100*1000</f>
        <v>10.1</v>
      </c>
      <c r="AT108" s="1908">
        <f>(AT100*(0.4/100))*1000</f>
        <v>40.4</v>
      </c>
      <c r="AU108" s="1907">
        <f>0.1/100*AV100*1000</f>
        <v>10.5</v>
      </c>
      <c r="AV108" s="1908">
        <f>(AV100*(0.4/100))*1000</f>
        <v>42</v>
      </c>
      <c r="AW108" s="1907">
        <f>0.1/100*AX100*1000</f>
        <v>8.8000000000000007</v>
      </c>
      <c r="AX108" s="1908">
        <f>(AX100*(0.4/100))*1000</f>
        <v>35.200000000000003</v>
      </c>
      <c r="AY108" s="1907">
        <f>0.1/100*AZ100*1000</f>
        <v>9.3000000000000007</v>
      </c>
      <c r="AZ108" s="1908">
        <f>(AZ100*(0.4/100))*1000</f>
        <v>37.200000000000003</v>
      </c>
      <c r="BA108" s="1907">
        <f>0.1/100*BB100*1000</f>
        <v>9.8000000000000007</v>
      </c>
      <c r="BB108" s="1908">
        <f>(BB100*(0.4/100))*1000</f>
        <v>39.200000000000003</v>
      </c>
      <c r="BC108" s="1907">
        <f>0.1/100*BD100*1000</f>
        <v>10.5</v>
      </c>
      <c r="BD108" s="1908">
        <f>(BD100*(0.4/100))*1000</f>
        <v>42</v>
      </c>
      <c r="BE108" s="1907">
        <f>0.1/100*BF100*1000</f>
        <v>10.8</v>
      </c>
      <c r="BF108" s="1908">
        <f>(BF100*(0.4/100))*1000</f>
        <v>43.2</v>
      </c>
      <c r="BG108" s="1907">
        <f>0.1/100*BH100*1000</f>
        <v>11.1</v>
      </c>
      <c r="BH108" s="1908">
        <f>(BH100*(0.4/100))*1000</f>
        <v>44.4</v>
      </c>
      <c r="BI108" s="1907">
        <f>0.1/100*BJ100*1000</f>
        <v>9.5</v>
      </c>
      <c r="BJ108" s="1908">
        <f>(BJ100*(0.4/100))*1000</f>
        <v>38</v>
      </c>
      <c r="BK108" s="1907">
        <f>0.1/100*BL100*1000</f>
        <v>10</v>
      </c>
      <c r="BL108" s="1908">
        <f>(BL100*(0.4/100))*1000</f>
        <v>40</v>
      </c>
      <c r="BM108" s="1907">
        <f>0.1/100*BN100*1000</f>
        <v>10.5</v>
      </c>
      <c r="BN108" s="1908">
        <f>(BN100*(0.4/100))*1000</f>
        <v>42</v>
      </c>
      <c r="BO108" s="1907">
        <f>0.1/100*BP100*1000</f>
        <v>11.1</v>
      </c>
      <c r="BP108" s="1908">
        <f>(BP100*(0.4/100))*1000</f>
        <v>44.4</v>
      </c>
      <c r="BQ108" s="1907">
        <f>0.1/100*BR100*1000</f>
        <v>11.5</v>
      </c>
      <c r="BR108" s="1908">
        <f>(BR100*(0.4/100))*1000</f>
        <v>46</v>
      </c>
      <c r="BS108" s="1907">
        <f>0.1/100*BT100*1000</f>
        <v>11.8</v>
      </c>
      <c r="BT108" s="1908">
        <f>(BT100*(0.4/100))*1000</f>
        <v>47.2</v>
      </c>
      <c r="BU108" s="1907">
        <f>0.1/100*BV100*1000</f>
        <v>11.1</v>
      </c>
      <c r="BV108" s="1908">
        <f>(BV100*(0.4/100))*1000</f>
        <v>44.4</v>
      </c>
      <c r="BW108" s="1907">
        <f>0.1/100*BX100*1000</f>
        <v>11.1</v>
      </c>
      <c r="BX108" s="1908">
        <f>(BX100*(0.4/100))*1000</f>
        <v>44.4</v>
      </c>
      <c r="BY108" s="1907">
        <f>0.1/100*BZ100*1000</f>
        <v>10.6</v>
      </c>
      <c r="BZ108" s="1908">
        <f>(BZ100*(0.4/100))*1000</f>
        <v>42.4</v>
      </c>
      <c r="CA108" s="1907">
        <f>0.1/100*CB100*1000</f>
        <v>9.9</v>
      </c>
      <c r="CB108" s="1908">
        <f>(CB100*(0.4/100))*1000</f>
        <v>39.6</v>
      </c>
      <c r="CC108" s="1907">
        <f>0.1/100*CD100*1000</f>
        <v>9.5</v>
      </c>
      <c r="CD108" s="1908">
        <f>(CD100*(0.4/100))*1000</f>
        <v>38</v>
      </c>
      <c r="CE108" s="1907">
        <f>0.1/100*CF100*1000</f>
        <v>9.6</v>
      </c>
      <c r="CF108" s="1908">
        <f>(CF100*(0.4/100))*1000</f>
        <v>38.4</v>
      </c>
      <c r="CG108" s="1907">
        <f>0.1/100*CH100*1000</f>
        <v>11.8</v>
      </c>
      <c r="CH108" s="1908">
        <f>(CH100*(0.4/100))*1000</f>
        <v>47.2</v>
      </c>
      <c r="CI108" s="1907">
        <f>0.1/100*CJ100*1000</f>
        <v>11.9</v>
      </c>
      <c r="CJ108" s="1908">
        <f>(CJ100*(0.4/100))*1000</f>
        <v>47.6</v>
      </c>
      <c r="CK108" s="1907">
        <f>0.1/100*CL100*1000</f>
        <v>11.3</v>
      </c>
      <c r="CL108" s="1908">
        <f>(CL100*(0.4/100))*1000</f>
        <v>45.2</v>
      </c>
      <c r="CM108" s="1907">
        <f>0.1/100*CN100*1000</f>
        <v>10.6</v>
      </c>
      <c r="CN108" s="1908">
        <f>(CN100*(0.4/100))*1000</f>
        <v>42.4</v>
      </c>
      <c r="CO108" s="1907">
        <f>0.1/100*CP100*1000</f>
        <v>10.3</v>
      </c>
      <c r="CP108" s="1908">
        <f>(CP100*(0.4/100))*1000</f>
        <v>41.2</v>
      </c>
      <c r="CQ108" s="1907">
        <f>0.1/100*CR100*1000</f>
        <v>10.3</v>
      </c>
      <c r="CR108" s="1908">
        <f>(CR100*(0.4/100))*1000</f>
        <v>41.2</v>
      </c>
      <c r="CS108" s="1907">
        <f>0.1/100*CT100*1000</f>
        <v>12.6</v>
      </c>
      <c r="CT108" s="1908">
        <f>(CT100*(0.4/100))*1000</f>
        <v>50.4</v>
      </c>
      <c r="CU108" s="1907">
        <f>0.1/100*CV100*1000</f>
        <v>12.6</v>
      </c>
      <c r="CV108" s="1908">
        <f>(CV100*(0.4/100))*1000</f>
        <v>50.4</v>
      </c>
      <c r="CW108" s="1907">
        <f>0.1/100*CX100*1000</f>
        <v>12.1</v>
      </c>
      <c r="CX108" s="1908">
        <f>(CX100*(0.4/100))*1000</f>
        <v>48.4</v>
      </c>
      <c r="CY108" s="1907">
        <f>0.1/100*CZ100*1000</f>
        <v>11.4</v>
      </c>
      <c r="CZ108" s="1908">
        <f>(CZ100*(0.4/100))*1000</f>
        <v>45.6</v>
      </c>
      <c r="DA108" s="1907">
        <f>0.1/100*DB100*1000</f>
        <v>11</v>
      </c>
      <c r="DB108" s="1908">
        <f>(DB100*(0.4/100))*1000</f>
        <v>44</v>
      </c>
      <c r="DC108" s="1907">
        <f>0.1/100*DD100*1000</f>
        <v>11.1</v>
      </c>
      <c r="DD108" s="1908">
        <f>(DD100*(0.4/100))*1000</f>
        <v>44.4</v>
      </c>
      <c r="DE108" s="1907">
        <f>0.1/100*DF100*1000</f>
        <v>13.3</v>
      </c>
      <c r="DF108" s="1908">
        <f>(DF100*(0.4/100))*1000</f>
        <v>53.2</v>
      </c>
      <c r="DG108" s="1907">
        <f>0.1/100*DH100*1000</f>
        <v>13.3</v>
      </c>
      <c r="DH108" s="1908">
        <f>(DH100*(0.4/100))*1000</f>
        <v>53.2</v>
      </c>
      <c r="DI108" s="1907">
        <f>0.1/100*DJ100*1000</f>
        <v>12.8</v>
      </c>
      <c r="DJ108" s="1908">
        <f>(DJ100*(0.4/100))*1000</f>
        <v>51.2</v>
      </c>
      <c r="DK108" s="1907">
        <f>0.1/100*DL100*1000</f>
        <v>12.1</v>
      </c>
      <c r="DL108" s="1908">
        <f>(DL100*(0.4/100))*1000</f>
        <v>48.4</v>
      </c>
      <c r="DM108" s="1907">
        <f>0.1/100*DN100*1000</f>
        <v>11.700000000000001</v>
      </c>
      <c r="DN108" s="1908">
        <f>(DN100*(0.4/100))*1000</f>
        <v>46.800000000000004</v>
      </c>
      <c r="DO108" s="1907">
        <f>0.1/100*DP100*1000</f>
        <v>11.8</v>
      </c>
      <c r="DP108" s="1908">
        <f>(DP100*(0.4/100))*1000</f>
        <v>47.2</v>
      </c>
      <c r="DQ108" s="1917"/>
      <c r="DR108" s="1918"/>
      <c r="DS108" s="1917"/>
      <c r="DT108" s="1918"/>
      <c r="DU108" s="1917"/>
      <c r="DV108" s="1918"/>
      <c r="DW108" s="1917"/>
      <c r="DX108" s="1918"/>
      <c r="EC108" s="1729"/>
      <c r="ED108" s="1729"/>
      <c r="EE108" s="1729"/>
      <c r="EF108" s="1729"/>
      <c r="EG108" s="1729"/>
      <c r="EH108" s="1729"/>
      <c r="EI108" s="1729"/>
      <c r="EJ108" s="1729"/>
      <c r="EK108" s="1729"/>
      <c r="EL108" s="1729"/>
      <c r="EM108" s="1729"/>
      <c r="EN108" s="1729"/>
      <c r="EO108" s="1729"/>
      <c r="EP108" s="1729"/>
      <c r="EQ108" s="1729"/>
      <c r="ER108" s="1729"/>
      <c r="ES108" s="1729"/>
      <c r="ET108" s="1729"/>
      <c r="EU108" s="1729"/>
      <c r="EV108" s="1729"/>
      <c r="EW108" s="1729"/>
      <c r="EX108" s="1729"/>
      <c r="EY108" s="1729"/>
      <c r="EZ108" s="1729"/>
      <c r="FA108" s="1729"/>
      <c r="FB108" s="1729"/>
      <c r="FC108" s="1729"/>
      <c r="FD108" s="1729"/>
      <c r="FE108" s="1729"/>
      <c r="FF108" s="1729"/>
      <c r="FG108" s="1729"/>
      <c r="FH108" s="1729"/>
      <c r="FI108" s="1729"/>
      <c r="FJ108" s="1729"/>
      <c r="FK108" s="1729"/>
      <c r="FL108" s="1729"/>
      <c r="FM108" s="1729"/>
      <c r="FN108" s="1729"/>
      <c r="FO108" s="1729"/>
      <c r="FP108" s="1729"/>
      <c r="FQ108" s="1729"/>
      <c r="FR108" s="1729"/>
      <c r="FS108" s="1729"/>
      <c r="FT108" s="1729"/>
      <c r="FU108" s="1729"/>
      <c r="FV108" s="1729"/>
      <c r="FW108" s="1729"/>
      <c r="FX108" s="1729"/>
      <c r="FY108" s="1729"/>
      <c r="FZ108" s="1729"/>
      <c r="GA108" s="1729"/>
      <c r="GB108" s="1729"/>
      <c r="GC108" s="1729"/>
      <c r="GD108" s="1729"/>
      <c r="GE108" s="1729"/>
      <c r="GF108" s="1729"/>
      <c r="GG108" s="1729"/>
      <c r="GH108" s="1729"/>
      <c r="GI108" s="1729"/>
      <c r="GJ108" s="1729"/>
      <c r="GK108" s="1729"/>
      <c r="GL108" s="1729"/>
      <c r="GM108" s="1729"/>
      <c r="GN108" s="1729"/>
      <c r="GO108" s="1729"/>
      <c r="GP108" s="1729"/>
      <c r="GQ108" s="1729"/>
      <c r="GR108" s="1729"/>
      <c r="GS108" s="1729"/>
      <c r="GT108" s="1729"/>
      <c r="GU108" s="1729"/>
      <c r="GV108" s="1729"/>
      <c r="GW108" s="1729"/>
      <c r="GX108" s="1729"/>
      <c r="GY108" s="1729"/>
      <c r="GZ108" s="1729"/>
      <c r="HA108" s="1729"/>
      <c r="HB108" s="1729"/>
      <c r="HC108" s="1729"/>
      <c r="HD108" s="1729"/>
      <c r="HE108" s="1729"/>
      <c r="HF108" s="1729"/>
      <c r="HG108" s="1729"/>
      <c r="HH108" s="1729"/>
      <c r="HI108" s="1729"/>
      <c r="HJ108" s="1729"/>
      <c r="HK108" s="1729"/>
      <c r="HL108" s="1729"/>
      <c r="HM108" s="1729"/>
      <c r="HN108" s="1729"/>
      <c r="HO108" s="1729"/>
      <c r="HP108" s="1729"/>
      <c r="HQ108" s="1729"/>
      <c r="HR108" s="1729"/>
      <c r="HS108" s="1729"/>
      <c r="HT108" s="1729"/>
      <c r="HU108" s="1729"/>
      <c r="HV108" s="1729"/>
      <c r="HW108" s="1729"/>
      <c r="HX108" s="1729"/>
      <c r="HY108" s="1729"/>
      <c r="HZ108" s="1729"/>
      <c r="IA108" s="1729"/>
      <c r="IB108" s="1729"/>
      <c r="IC108" s="1729"/>
      <c r="ID108" s="1729"/>
      <c r="IE108" s="1729"/>
      <c r="IF108" s="1729"/>
      <c r="IG108" s="1729"/>
      <c r="IH108" s="1729"/>
      <c r="II108" s="1729"/>
      <c r="IJ108" s="1729"/>
      <c r="IK108" s="1729"/>
      <c r="IL108" s="1729"/>
      <c r="IM108" s="1729"/>
      <c r="IN108" s="1729"/>
      <c r="IO108" s="1729"/>
      <c r="IP108" s="1729"/>
      <c r="IQ108" s="1729"/>
      <c r="IR108" s="1729"/>
      <c r="IS108" s="1729"/>
      <c r="IT108" s="1729"/>
      <c r="IU108" s="1729"/>
      <c r="IV108" s="1729"/>
      <c r="IW108" s="1729"/>
    </row>
    <row r="109" spans="1:257" s="1735" customFormat="1">
      <c r="A109" s="1729"/>
      <c r="B109" s="1734"/>
      <c r="C109" s="1734"/>
      <c r="D109" s="1729"/>
      <c r="E109" s="1729"/>
      <c r="F109" s="1729"/>
      <c r="G109" s="1729"/>
      <c r="H109" s="1905" t="s">
        <v>436</v>
      </c>
      <c r="I109" s="1892">
        <f>0.1/100*J100*1000</f>
        <v>7.4</v>
      </c>
      <c r="J109" s="1906">
        <f>6.5/100*J100*1000</f>
        <v>481.00000000000006</v>
      </c>
      <c r="K109" s="1892">
        <f>0.1/100*L100*1000</f>
        <v>7.3</v>
      </c>
      <c r="L109" s="1906">
        <f>6.5/100*L100*1000</f>
        <v>474.5</v>
      </c>
      <c r="M109" s="1892">
        <f>0.1/100*N100*1000</f>
        <v>7.1</v>
      </c>
      <c r="N109" s="1906">
        <f>6.5/100*N100*1000</f>
        <v>461.49999999999994</v>
      </c>
      <c r="O109" s="1892">
        <f>0.1/100*P100*1000</f>
        <v>7</v>
      </c>
      <c r="P109" s="1906">
        <f>6.5/100*P100*1000</f>
        <v>455</v>
      </c>
      <c r="Q109" s="1892">
        <f>0.1/100*R100*1000</f>
        <v>8.3000000000000007</v>
      </c>
      <c r="R109" s="1906">
        <f>6.5/100*R100*1000</f>
        <v>539.50000000000011</v>
      </c>
      <c r="S109" s="1892">
        <f>0.1/100*T100*1000</f>
        <v>8.1999999999999993</v>
      </c>
      <c r="T109" s="1906">
        <f>6.5/100*T100*1000</f>
        <v>532.99999999999989</v>
      </c>
      <c r="U109" s="1892">
        <f>0.1/100*V100*1000</f>
        <v>8.1</v>
      </c>
      <c r="V109" s="1906">
        <f>6.5/100*V100*1000</f>
        <v>526.5</v>
      </c>
      <c r="W109" s="1892">
        <f>0.1/100*X100*1000</f>
        <v>8</v>
      </c>
      <c r="X109" s="1906">
        <f>6.5/100*X100*1000</f>
        <v>520</v>
      </c>
      <c r="Y109" s="1892">
        <f>0.1/100*Z100*1000</f>
        <v>9.3000000000000007</v>
      </c>
      <c r="Z109" s="1906">
        <f>6.5/100*Z100*1000</f>
        <v>604.5</v>
      </c>
      <c r="AA109" s="1907">
        <f>0.1/100*AB100*1000</f>
        <v>9.1999999999999993</v>
      </c>
      <c r="AB109" s="1908">
        <f>6.5/100*AB100*1000</f>
        <v>598</v>
      </c>
      <c r="AC109" s="1907">
        <f>0.1/100*AD100*1000</f>
        <v>9.0000000000000018</v>
      </c>
      <c r="AD109" s="1908">
        <f>6.5/100*AD100*1000</f>
        <v>585</v>
      </c>
      <c r="AE109" s="1907">
        <f>0.1/100*AF100*1000</f>
        <v>8.9</v>
      </c>
      <c r="AF109" s="1908">
        <f>6.5/100*AF100*1000</f>
        <v>578.5</v>
      </c>
      <c r="AG109" s="1907">
        <f>0.1/100*AH100*1000</f>
        <v>10.199999999999999</v>
      </c>
      <c r="AH109" s="1908">
        <f>6.5/100*AH100*1000</f>
        <v>662.99999999999989</v>
      </c>
      <c r="AI109" s="1907">
        <f>0.1/100*AJ100*1000</f>
        <v>10.1</v>
      </c>
      <c r="AJ109" s="1908">
        <f>6.5/100*AJ100*1000</f>
        <v>656.5</v>
      </c>
      <c r="AK109" s="1907">
        <f>0.1/100*AL100*1000</f>
        <v>10</v>
      </c>
      <c r="AL109" s="1908">
        <f>6.5/100*AL100*1000</f>
        <v>650</v>
      </c>
      <c r="AM109" s="1907">
        <f>0.1/100*AN100*1000</f>
        <v>9.9</v>
      </c>
      <c r="AN109" s="1908">
        <f>6.5/100*AN100*1000</f>
        <v>643.50000000000011</v>
      </c>
      <c r="AO109" s="1907">
        <f>0.1/100*AP100*1000</f>
        <v>9.1999999999999993</v>
      </c>
      <c r="AP109" s="1908">
        <f>6.5/100*AP100*1000</f>
        <v>598</v>
      </c>
      <c r="AQ109" s="1907">
        <f>0.1/100*AR100*1000</f>
        <v>9.8000000000000007</v>
      </c>
      <c r="AR109" s="1908">
        <f>6.5/100*AR100*1000</f>
        <v>637.00000000000011</v>
      </c>
      <c r="AS109" s="1907">
        <f>0.1/100*AT100*1000</f>
        <v>10.1</v>
      </c>
      <c r="AT109" s="1908">
        <f>6.5/100*AT100*1000</f>
        <v>656.5</v>
      </c>
      <c r="AU109" s="1907">
        <f>0.1/100*AV100*1000</f>
        <v>10.5</v>
      </c>
      <c r="AV109" s="1908">
        <f>6.5/100*AV100*1000</f>
        <v>682.5</v>
      </c>
      <c r="AW109" s="1907">
        <f>0.1/100*AX100*1000</f>
        <v>8.8000000000000007</v>
      </c>
      <c r="AX109" s="1908">
        <f>6.5/100*AX100*1000</f>
        <v>572.00000000000011</v>
      </c>
      <c r="AY109" s="1907">
        <f>0.1/100*AZ100*1000</f>
        <v>9.3000000000000007</v>
      </c>
      <c r="AZ109" s="1908">
        <f>6.5/100*AZ100*1000</f>
        <v>604.5</v>
      </c>
      <c r="BA109" s="1907">
        <f>0.1/100*BB100*1000</f>
        <v>9.8000000000000007</v>
      </c>
      <c r="BB109" s="1908">
        <f>6.5/100*BB100*1000</f>
        <v>637.00000000000011</v>
      </c>
      <c r="BC109" s="1907">
        <f>0.1/100*BD100*1000</f>
        <v>10.5</v>
      </c>
      <c r="BD109" s="1908">
        <f>6.5/100*BD100*1000</f>
        <v>682.5</v>
      </c>
      <c r="BE109" s="1907">
        <f>0.1/100*BF100*1000</f>
        <v>10.8</v>
      </c>
      <c r="BF109" s="1908">
        <f>6.5/100*BF100*1000</f>
        <v>702.00000000000011</v>
      </c>
      <c r="BG109" s="1907">
        <f>0.1/100*BH100*1000</f>
        <v>11.1</v>
      </c>
      <c r="BH109" s="1908">
        <f>6.5/100*BH100*1000</f>
        <v>721.5</v>
      </c>
      <c r="BI109" s="1907">
        <f>0.1/100*BJ100*1000</f>
        <v>9.5</v>
      </c>
      <c r="BJ109" s="1908">
        <f>6.5/100*BJ100*1000</f>
        <v>617.5</v>
      </c>
      <c r="BK109" s="1907">
        <f>0.1/100*BL100*1000</f>
        <v>10</v>
      </c>
      <c r="BL109" s="1908">
        <f>6.5/100*BL100*1000</f>
        <v>650</v>
      </c>
      <c r="BM109" s="1907">
        <f>0.1/100*BN100*1000</f>
        <v>10.5</v>
      </c>
      <c r="BN109" s="1908">
        <f>6.5/100*BN100*1000</f>
        <v>682.5</v>
      </c>
      <c r="BO109" s="1907">
        <f>0.1/100*BP100*1000</f>
        <v>11.1</v>
      </c>
      <c r="BP109" s="1908">
        <f>6.5/100*BP100*1000</f>
        <v>721.5</v>
      </c>
      <c r="BQ109" s="1907">
        <f>0.1/100*BR100*1000</f>
        <v>11.5</v>
      </c>
      <c r="BR109" s="1908">
        <f>6.5/100*BR100*1000</f>
        <v>747.5</v>
      </c>
      <c r="BS109" s="1907">
        <f>0.1/100*BT100*1000</f>
        <v>11.8</v>
      </c>
      <c r="BT109" s="1908">
        <f>6.5/100*BT100*1000</f>
        <v>767.00000000000011</v>
      </c>
      <c r="BU109" s="1907">
        <f>0.1/100*BV100*1000</f>
        <v>11.1</v>
      </c>
      <c r="BV109" s="1908">
        <f>6.5/100*BV100*1000</f>
        <v>721.5</v>
      </c>
      <c r="BW109" s="1907">
        <f>0.1/100*BX100*1000</f>
        <v>11.1</v>
      </c>
      <c r="BX109" s="1908">
        <f>6.5/100*BX100*1000</f>
        <v>721.5</v>
      </c>
      <c r="BY109" s="1907">
        <f>0.1/100*BZ100*1000</f>
        <v>10.6</v>
      </c>
      <c r="BZ109" s="1908">
        <f>6.5/100*BZ100*1000</f>
        <v>689</v>
      </c>
      <c r="CA109" s="1907">
        <f>0.1/100*CB100*1000</f>
        <v>9.9</v>
      </c>
      <c r="CB109" s="1908">
        <f>6.5/100*CB100*1000</f>
        <v>643.50000000000011</v>
      </c>
      <c r="CC109" s="1907">
        <f>0.1/100*CD100*1000</f>
        <v>9.5</v>
      </c>
      <c r="CD109" s="1908">
        <f>6.5/100*CD100*1000</f>
        <v>617.5</v>
      </c>
      <c r="CE109" s="1907">
        <f>0.1/100*CF100*1000</f>
        <v>9.6</v>
      </c>
      <c r="CF109" s="1908">
        <f>6.5/100*CF100*1000</f>
        <v>624</v>
      </c>
      <c r="CG109" s="1907">
        <f>0.1/100*CH100*1000</f>
        <v>11.8</v>
      </c>
      <c r="CH109" s="1908">
        <f>6.5/100*CH100*1000</f>
        <v>767.00000000000011</v>
      </c>
      <c r="CI109" s="1907">
        <f>0.1/100*CJ100*1000</f>
        <v>11.9</v>
      </c>
      <c r="CJ109" s="1908">
        <f>6.5/100*CJ100*1000</f>
        <v>773.50000000000011</v>
      </c>
      <c r="CK109" s="1907">
        <f>0.1/100*CL100*1000</f>
        <v>11.3</v>
      </c>
      <c r="CL109" s="1908">
        <f>6.5/100*CL100*1000</f>
        <v>734.5</v>
      </c>
      <c r="CM109" s="1907">
        <f>0.1/100*CN100*1000</f>
        <v>10.6</v>
      </c>
      <c r="CN109" s="1908">
        <f>6.5/100*CN100*1000</f>
        <v>689</v>
      </c>
      <c r="CO109" s="1907">
        <f>0.1/100*CP100*1000</f>
        <v>10.3</v>
      </c>
      <c r="CP109" s="1908">
        <f>6.5/100*CP100*1000</f>
        <v>669.50000000000011</v>
      </c>
      <c r="CQ109" s="1907">
        <f>0.1/100*CR100*1000</f>
        <v>10.3</v>
      </c>
      <c r="CR109" s="1908">
        <f>6.5/100*CR100*1000</f>
        <v>669.50000000000011</v>
      </c>
      <c r="CS109" s="1907">
        <f>0.1/100*CT100*1000</f>
        <v>12.6</v>
      </c>
      <c r="CT109" s="1908">
        <f>6.5/100*CT100*1000</f>
        <v>819</v>
      </c>
      <c r="CU109" s="1907">
        <f>0.1/100*CV100*1000</f>
        <v>12.6</v>
      </c>
      <c r="CV109" s="1908">
        <f>6.5/100*CV100*1000</f>
        <v>819</v>
      </c>
      <c r="CW109" s="1907">
        <f>0.1/100*CX100*1000</f>
        <v>12.1</v>
      </c>
      <c r="CX109" s="1908">
        <f>6.5/100*CX100*1000</f>
        <v>786.5</v>
      </c>
      <c r="CY109" s="1907">
        <f>0.1/100*CZ100*1000</f>
        <v>11.4</v>
      </c>
      <c r="CZ109" s="1908">
        <f>6.5/100*CZ100*1000</f>
        <v>741.00000000000011</v>
      </c>
      <c r="DA109" s="1907">
        <f>0.1/100*DB100*1000</f>
        <v>11</v>
      </c>
      <c r="DB109" s="1908">
        <f>6.5/100*DB100*1000</f>
        <v>715.00000000000011</v>
      </c>
      <c r="DC109" s="1907">
        <f>0.1/100*DD100*1000</f>
        <v>11.1</v>
      </c>
      <c r="DD109" s="1908">
        <f>6.5/100*DD100*1000</f>
        <v>721.5</v>
      </c>
      <c r="DE109" s="1907">
        <f>0.1/100*DF100*1000</f>
        <v>13.3</v>
      </c>
      <c r="DF109" s="1908">
        <f>6.5/100*DF100*1000</f>
        <v>864.5</v>
      </c>
      <c r="DG109" s="1907">
        <f>0.1/100*DH100*1000</f>
        <v>13.3</v>
      </c>
      <c r="DH109" s="1908">
        <f>6.5/100*DH100*1000</f>
        <v>864.5</v>
      </c>
      <c r="DI109" s="1907">
        <f>0.1/100*DJ100*1000</f>
        <v>12.8</v>
      </c>
      <c r="DJ109" s="1908">
        <f>6.5/100*DJ100*1000</f>
        <v>832.00000000000011</v>
      </c>
      <c r="DK109" s="1907">
        <f>0.1/100*DL100*1000</f>
        <v>12.1</v>
      </c>
      <c r="DL109" s="1908">
        <f>6.5/100*DL100*1000</f>
        <v>786.5</v>
      </c>
      <c r="DM109" s="1907">
        <f>0.1/100*DN100*1000</f>
        <v>11.700000000000001</v>
      </c>
      <c r="DN109" s="1908">
        <f>6.5/100*DN100*1000</f>
        <v>760.5</v>
      </c>
      <c r="DO109" s="1907">
        <f>0.1/100*DP100*1000</f>
        <v>11.8</v>
      </c>
      <c r="DP109" s="1908">
        <f>6.5/100*DP100*1000</f>
        <v>767.00000000000011</v>
      </c>
      <c r="DQ109" s="1917"/>
      <c r="DR109" s="1918"/>
      <c r="DS109" s="1917"/>
      <c r="DT109" s="1918"/>
      <c r="DU109" s="1917"/>
      <c r="DV109" s="1918"/>
      <c r="DW109" s="1917"/>
      <c r="DX109" s="1918"/>
      <c r="EC109" s="1729"/>
      <c r="ED109" s="1729"/>
      <c r="EE109" s="1729"/>
      <c r="EF109" s="1729"/>
      <c r="EG109" s="1729"/>
      <c r="EH109" s="1729"/>
      <c r="EI109" s="1729"/>
      <c r="EJ109" s="1729"/>
      <c r="EK109" s="1729"/>
      <c r="EL109" s="1729"/>
      <c r="EM109" s="1729"/>
      <c r="EN109" s="1729"/>
      <c r="EO109" s="1729"/>
      <c r="EP109" s="1729"/>
      <c r="EQ109" s="1729"/>
      <c r="ER109" s="1729"/>
      <c r="ES109" s="1729"/>
      <c r="ET109" s="1729"/>
      <c r="EU109" s="1729"/>
      <c r="EV109" s="1729"/>
      <c r="EW109" s="1729"/>
      <c r="EX109" s="1729"/>
      <c r="EY109" s="1729"/>
      <c r="EZ109" s="1729"/>
      <c r="FA109" s="1729"/>
      <c r="FB109" s="1729"/>
      <c r="FC109" s="1729"/>
      <c r="FD109" s="1729"/>
      <c r="FE109" s="1729"/>
      <c r="FF109" s="1729"/>
      <c r="FG109" s="1729"/>
      <c r="FH109" s="1729"/>
      <c r="FI109" s="1729"/>
      <c r="FJ109" s="1729"/>
      <c r="FK109" s="1729"/>
      <c r="FL109" s="1729"/>
      <c r="FM109" s="1729"/>
      <c r="FN109" s="1729"/>
      <c r="FO109" s="1729"/>
      <c r="FP109" s="1729"/>
      <c r="FQ109" s="1729"/>
      <c r="FR109" s="1729"/>
      <c r="FS109" s="1729"/>
      <c r="FT109" s="1729"/>
      <c r="FU109" s="1729"/>
      <c r="FV109" s="1729"/>
      <c r="FW109" s="1729"/>
      <c r="FX109" s="1729"/>
      <c r="FY109" s="1729"/>
      <c r="FZ109" s="1729"/>
      <c r="GA109" s="1729"/>
      <c r="GB109" s="1729"/>
      <c r="GC109" s="1729"/>
      <c r="GD109" s="1729"/>
      <c r="GE109" s="1729"/>
      <c r="GF109" s="1729"/>
      <c r="GG109" s="1729"/>
      <c r="GH109" s="1729"/>
      <c r="GI109" s="1729"/>
      <c r="GJ109" s="1729"/>
      <c r="GK109" s="1729"/>
      <c r="GL109" s="1729"/>
      <c r="GM109" s="1729"/>
      <c r="GN109" s="1729"/>
      <c r="GO109" s="1729"/>
      <c r="GP109" s="1729"/>
      <c r="GQ109" s="1729"/>
      <c r="GR109" s="1729"/>
      <c r="GS109" s="1729"/>
      <c r="GT109" s="1729"/>
      <c r="GU109" s="1729"/>
      <c r="GV109" s="1729"/>
      <c r="GW109" s="1729"/>
      <c r="GX109" s="1729"/>
      <c r="GY109" s="1729"/>
      <c r="GZ109" s="1729"/>
      <c r="HA109" s="1729"/>
      <c r="HB109" s="1729"/>
      <c r="HC109" s="1729"/>
      <c r="HD109" s="1729"/>
      <c r="HE109" s="1729"/>
      <c r="HF109" s="1729"/>
      <c r="HG109" s="1729"/>
      <c r="HH109" s="1729"/>
      <c r="HI109" s="1729"/>
      <c r="HJ109" s="1729"/>
      <c r="HK109" s="1729"/>
      <c r="HL109" s="1729"/>
      <c r="HM109" s="1729"/>
      <c r="HN109" s="1729"/>
      <c r="HO109" s="1729"/>
      <c r="HP109" s="1729"/>
      <c r="HQ109" s="1729"/>
      <c r="HR109" s="1729"/>
      <c r="HS109" s="1729"/>
      <c r="HT109" s="1729"/>
      <c r="HU109" s="1729"/>
      <c r="HV109" s="1729"/>
      <c r="HW109" s="1729"/>
      <c r="HX109" s="1729"/>
      <c r="HY109" s="1729"/>
      <c r="HZ109" s="1729"/>
      <c r="IA109" s="1729"/>
      <c r="IB109" s="1729"/>
      <c r="IC109" s="1729"/>
      <c r="ID109" s="1729"/>
      <c r="IE109" s="1729"/>
      <c r="IF109" s="1729"/>
      <c r="IG109" s="1729"/>
      <c r="IH109" s="1729"/>
      <c r="II109" s="1729"/>
      <c r="IJ109" s="1729"/>
      <c r="IK109" s="1729"/>
      <c r="IL109" s="1729"/>
      <c r="IM109" s="1729"/>
      <c r="IN109" s="1729"/>
      <c r="IO109" s="1729"/>
      <c r="IP109" s="1729"/>
      <c r="IQ109" s="1729"/>
      <c r="IR109" s="1729"/>
      <c r="IS109" s="1729"/>
      <c r="IT109" s="1729"/>
      <c r="IU109" s="1729"/>
      <c r="IV109" s="1729"/>
      <c r="IW109" s="1729"/>
    </row>
    <row r="110" spans="1:257" s="1735" customFormat="1">
      <c r="A110" s="1729"/>
      <c r="B110" s="1734"/>
      <c r="C110" s="1734"/>
      <c r="D110" s="1729"/>
      <c r="E110" s="1729"/>
      <c r="F110" s="1729"/>
      <c r="G110" s="1729"/>
      <c r="H110" s="1905" t="s">
        <v>18</v>
      </c>
      <c r="I110" s="1892">
        <f>0.6/100*J100*1000</f>
        <v>44.4</v>
      </c>
      <c r="J110" s="1906">
        <f>(J100*(3/100))*1000</f>
        <v>222</v>
      </c>
      <c r="K110" s="1892">
        <f>0.6/100*L100*1000</f>
        <v>43.8</v>
      </c>
      <c r="L110" s="1906">
        <f>(L100*(3/100))*1000</f>
        <v>219</v>
      </c>
      <c r="M110" s="1892">
        <f>0.6/100*N100*1000</f>
        <v>42.6</v>
      </c>
      <c r="N110" s="1906">
        <f>(N100*(3/100))*1000</f>
        <v>213</v>
      </c>
      <c r="O110" s="1892">
        <f>0.6/100*P100*1000</f>
        <v>42</v>
      </c>
      <c r="P110" s="1906">
        <f>(P100*(3/100))*1000</f>
        <v>210</v>
      </c>
      <c r="Q110" s="1892">
        <f>0.6/100*R100*1000</f>
        <v>49.800000000000004</v>
      </c>
      <c r="R110" s="1906">
        <f>(R100*(3/100))*1000</f>
        <v>249</v>
      </c>
      <c r="S110" s="1892">
        <f>0.6/100*T100*1000</f>
        <v>49.199999999999996</v>
      </c>
      <c r="T110" s="1906">
        <f>(T100*(3/100))*1000</f>
        <v>245.99999999999997</v>
      </c>
      <c r="U110" s="1892">
        <f>0.6/100*V100*1000</f>
        <v>48.599999999999994</v>
      </c>
      <c r="V110" s="1906">
        <f>(V100*(3/100))*1000</f>
        <v>243</v>
      </c>
      <c r="W110" s="1892">
        <f>0.6/100*X100*1000</f>
        <v>48</v>
      </c>
      <c r="X110" s="1906">
        <f>(X100*(3/100))*1000</f>
        <v>240</v>
      </c>
      <c r="Y110" s="1892">
        <f>0.6/100*Z100*1000</f>
        <v>55.800000000000004</v>
      </c>
      <c r="Z110" s="1906">
        <f>(Z100*(3/100))*1000</f>
        <v>279</v>
      </c>
      <c r="AA110" s="1907">
        <f>0.6/100*AB100*1000</f>
        <v>55.199999999999996</v>
      </c>
      <c r="AB110" s="1908">
        <f>(AB100*(3/100))*1000</f>
        <v>275.99999999999994</v>
      </c>
      <c r="AC110" s="1907">
        <f>0.6/100*AD100*1000</f>
        <v>54</v>
      </c>
      <c r="AD110" s="1908">
        <f>(AD100*(3/100))*1000</f>
        <v>270</v>
      </c>
      <c r="AE110" s="1907">
        <f>0.6/100*AF100*1000</f>
        <v>53.400000000000006</v>
      </c>
      <c r="AF110" s="1908">
        <f>(AF100*(3/100))*1000</f>
        <v>267</v>
      </c>
      <c r="AG110" s="1907">
        <f>0.6/100*AH100*1000</f>
        <v>61.199999999999996</v>
      </c>
      <c r="AH110" s="1908">
        <f>(AH100*(3/100))*1000</f>
        <v>306</v>
      </c>
      <c r="AI110" s="1907">
        <f>0.6/100*AJ100*1000</f>
        <v>60.6</v>
      </c>
      <c r="AJ110" s="1908">
        <f>(AJ100*(3/100))*1000</f>
        <v>303</v>
      </c>
      <c r="AK110" s="1907">
        <f>0.6/100*AL100*1000</f>
        <v>60</v>
      </c>
      <c r="AL110" s="1908">
        <f>(AL100*(3/100))*1000</f>
        <v>300</v>
      </c>
      <c r="AM110" s="1907">
        <f>0.6/100*AN100*1000</f>
        <v>59.4</v>
      </c>
      <c r="AN110" s="1908">
        <f>(AN100*(3/100))*1000</f>
        <v>297</v>
      </c>
      <c r="AO110" s="1907">
        <f>0.6/100*AP100*1000</f>
        <v>55.199999999999996</v>
      </c>
      <c r="AP110" s="1908">
        <f>(AP100*(3/100))*1000</f>
        <v>275.99999999999994</v>
      </c>
      <c r="AQ110" s="1907">
        <f>0.6/100*AR100*1000</f>
        <v>58.800000000000004</v>
      </c>
      <c r="AR110" s="1908">
        <f>(AR100*(3/100))*1000</f>
        <v>294</v>
      </c>
      <c r="AS110" s="1907">
        <f>0.6/100*AT100*1000</f>
        <v>60.6</v>
      </c>
      <c r="AT110" s="1908">
        <f>(AT100*(3/100))*1000</f>
        <v>303</v>
      </c>
      <c r="AU110" s="1907">
        <f>0.6/100*AV100*1000</f>
        <v>63</v>
      </c>
      <c r="AV110" s="1908">
        <f>(AV100*(3/100))*1000</f>
        <v>315</v>
      </c>
      <c r="AW110" s="1907">
        <f>0.6/100*AX100*1000</f>
        <v>52.800000000000004</v>
      </c>
      <c r="AX110" s="1908">
        <f>(AX100*(3/100))*1000</f>
        <v>264</v>
      </c>
      <c r="AY110" s="1907">
        <f>0.6/100*AZ100*1000</f>
        <v>55.800000000000004</v>
      </c>
      <c r="AZ110" s="1908">
        <f>(AZ100*(3/100))*1000</f>
        <v>279</v>
      </c>
      <c r="BA110" s="1907">
        <f>0.6/100*BB100*1000</f>
        <v>58.800000000000004</v>
      </c>
      <c r="BB110" s="1908">
        <f>(BB100*(3/100))*1000</f>
        <v>294</v>
      </c>
      <c r="BC110" s="1907">
        <f>0.6/100*BD100*1000</f>
        <v>63</v>
      </c>
      <c r="BD110" s="1908">
        <f>(BD100*(3/100))*1000</f>
        <v>315</v>
      </c>
      <c r="BE110" s="1907">
        <f>0.6/100*BF100*1000</f>
        <v>64.800000000000011</v>
      </c>
      <c r="BF110" s="1908">
        <f>(BF100*(3/100))*1000</f>
        <v>324</v>
      </c>
      <c r="BG110" s="1907">
        <f>0.6/100*BH100*1000</f>
        <v>66.599999999999994</v>
      </c>
      <c r="BH110" s="1908">
        <f>(BH100*(3/100))*1000</f>
        <v>332.99999999999994</v>
      </c>
      <c r="BI110" s="1907">
        <f>0.6/100*BJ100*1000</f>
        <v>57</v>
      </c>
      <c r="BJ110" s="1908">
        <f>(BJ100*(3/100))*1000</f>
        <v>285</v>
      </c>
      <c r="BK110" s="1907">
        <f>0.6/100*BL100*1000</f>
        <v>60</v>
      </c>
      <c r="BL110" s="1908">
        <f>(BL100*(3/100))*1000</f>
        <v>300</v>
      </c>
      <c r="BM110" s="1907">
        <f>0.6/100*BN100*1000</f>
        <v>63</v>
      </c>
      <c r="BN110" s="1908">
        <f>(BN100*(3/100))*1000</f>
        <v>315</v>
      </c>
      <c r="BO110" s="1907">
        <f>0.6/100*BP100*1000</f>
        <v>66.599999999999994</v>
      </c>
      <c r="BP110" s="1908">
        <f>(BP100*(3/100))*1000</f>
        <v>332.99999999999994</v>
      </c>
      <c r="BQ110" s="1907">
        <f>0.6/100*BR100*1000</f>
        <v>69</v>
      </c>
      <c r="BR110" s="1908">
        <f>(BR100*(3/100))*1000</f>
        <v>345</v>
      </c>
      <c r="BS110" s="1907">
        <f>0.6/100*BT100*1000</f>
        <v>70.8</v>
      </c>
      <c r="BT110" s="1908">
        <f>(BT100*(3/100))*1000</f>
        <v>354</v>
      </c>
      <c r="BU110" s="1907">
        <f>0.6/100*BV100*1000</f>
        <v>66.599999999999994</v>
      </c>
      <c r="BV110" s="1908">
        <f>(BV100*(3/100))*1000</f>
        <v>332.99999999999994</v>
      </c>
      <c r="BW110" s="1907">
        <f>0.6/100*BX100*1000</f>
        <v>66.599999999999994</v>
      </c>
      <c r="BX110" s="1908">
        <f>(BX100*(3/100))*1000</f>
        <v>332.99999999999994</v>
      </c>
      <c r="BY110" s="1907">
        <f>0.6/100*BZ100*1000</f>
        <v>63.6</v>
      </c>
      <c r="BZ110" s="1908">
        <f>(BZ100*(3/100))*1000</f>
        <v>318</v>
      </c>
      <c r="CA110" s="1907">
        <f>0.6/100*CB100*1000</f>
        <v>59.4</v>
      </c>
      <c r="CB110" s="1908">
        <f>(CB100*(3/100))*1000</f>
        <v>297</v>
      </c>
      <c r="CC110" s="1907">
        <f>0.6/100*CD100*1000</f>
        <v>57</v>
      </c>
      <c r="CD110" s="1908">
        <f>(CD100*(3/100))*1000</f>
        <v>285</v>
      </c>
      <c r="CE110" s="1907">
        <f>0.6/100*CF100*1000</f>
        <v>57.6</v>
      </c>
      <c r="CF110" s="1908">
        <f>(CF100*(3/100))*1000</f>
        <v>288</v>
      </c>
      <c r="CG110" s="1907">
        <f>0.6/100*CH100*1000</f>
        <v>70.8</v>
      </c>
      <c r="CH110" s="1908">
        <f>(CH100*(3/100))*1000</f>
        <v>354</v>
      </c>
      <c r="CI110" s="1907">
        <f>0.6/100*CJ100*1000</f>
        <v>71.400000000000006</v>
      </c>
      <c r="CJ110" s="1908">
        <f>(CJ100*(3/100))*1000</f>
        <v>357</v>
      </c>
      <c r="CK110" s="1907">
        <f>0.6/100*CL100*1000</f>
        <v>67.8</v>
      </c>
      <c r="CL110" s="1908">
        <f>(CL100*(3/100))*1000</f>
        <v>339</v>
      </c>
      <c r="CM110" s="1907">
        <f>0.6/100*CN100*1000</f>
        <v>63.6</v>
      </c>
      <c r="CN110" s="1908">
        <f>(CN100*(3/100))*1000</f>
        <v>318</v>
      </c>
      <c r="CO110" s="1907">
        <f>0.6/100*CP100*1000</f>
        <v>61.800000000000004</v>
      </c>
      <c r="CP110" s="1908">
        <f>(CP100*(3/100))*1000</f>
        <v>309</v>
      </c>
      <c r="CQ110" s="1907">
        <f>0.6/100*CR100*1000</f>
        <v>61.800000000000004</v>
      </c>
      <c r="CR110" s="1908">
        <f>(CR100*(3/100))*1000</f>
        <v>309</v>
      </c>
      <c r="CS110" s="1907">
        <f>0.6/100*CT100*1000</f>
        <v>75.599999999999994</v>
      </c>
      <c r="CT110" s="1908">
        <f>(CT100*(3/100))*1000</f>
        <v>378</v>
      </c>
      <c r="CU110" s="1907">
        <f>0.6/100*CV100*1000</f>
        <v>75.599999999999994</v>
      </c>
      <c r="CV110" s="1908">
        <f>(CV100*(3/100))*1000</f>
        <v>378</v>
      </c>
      <c r="CW110" s="1907">
        <f>0.6/100*CX100*1000</f>
        <v>72.599999999999994</v>
      </c>
      <c r="CX110" s="1908">
        <f>(CX100*(3/100))*1000</f>
        <v>363</v>
      </c>
      <c r="CY110" s="1907">
        <f>0.6/100*CZ100*1000</f>
        <v>68.400000000000006</v>
      </c>
      <c r="CZ110" s="1908">
        <f>(CZ100*(3/100))*1000</f>
        <v>341.99999999999994</v>
      </c>
      <c r="DA110" s="1907">
        <f>0.6/100*DB100*1000</f>
        <v>66</v>
      </c>
      <c r="DB110" s="1908">
        <f>(DB100*(3/100))*1000</f>
        <v>329.99999999999994</v>
      </c>
      <c r="DC110" s="1907">
        <f>0.6/100*DD100*1000</f>
        <v>66.599999999999994</v>
      </c>
      <c r="DD110" s="1908">
        <f>(DD100*(3/100))*1000</f>
        <v>332.99999999999994</v>
      </c>
      <c r="DE110" s="1907">
        <f>0.6/100*DF100*1000</f>
        <v>79.800000000000011</v>
      </c>
      <c r="DF110" s="1908">
        <f>(DF100*(3/100))*1000</f>
        <v>399</v>
      </c>
      <c r="DG110" s="1907">
        <f>0.6/100*DH100*1000</f>
        <v>79.800000000000011</v>
      </c>
      <c r="DH110" s="1908">
        <f>(DH100*(3/100))*1000</f>
        <v>399</v>
      </c>
      <c r="DI110" s="1907">
        <f>0.6/100*DJ100*1000</f>
        <v>76.800000000000011</v>
      </c>
      <c r="DJ110" s="1908">
        <f>(DJ100*(3/100))*1000</f>
        <v>384</v>
      </c>
      <c r="DK110" s="1907">
        <f>0.6/100*DL100*1000</f>
        <v>72.599999999999994</v>
      </c>
      <c r="DL110" s="1908">
        <f>(DL100*(3/100))*1000</f>
        <v>363</v>
      </c>
      <c r="DM110" s="1907">
        <f>0.6/100*DN100*1000</f>
        <v>70.2</v>
      </c>
      <c r="DN110" s="1908">
        <f>(DN100*(3/100))*1000</f>
        <v>351</v>
      </c>
      <c r="DO110" s="1907">
        <f>0.6/100*DP100*1000</f>
        <v>70.8</v>
      </c>
      <c r="DP110" s="1908">
        <f>(DP100*(3/100))*1000</f>
        <v>354</v>
      </c>
      <c r="DQ110" s="1917"/>
      <c r="DR110" s="1918"/>
      <c r="DS110" s="1917"/>
      <c r="DT110" s="1918"/>
      <c r="DU110" s="1917"/>
      <c r="DV110" s="1918"/>
      <c r="DW110" s="1917"/>
      <c r="DX110" s="1918"/>
      <c r="EC110" s="1729"/>
      <c r="ED110" s="1729"/>
      <c r="EE110" s="1729"/>
      <c r="EF110" s="1729"/>
      <c r="EG110" s="1729"/>
      <c r="EH110" s="1729"/>
      <c r="EI110" s="1729"/>
      <c r="EJ110" s="1729"/>
      <c r="EK110" s="1729"/>
      <c r="EL110" s="1729"/>
      <c r="EM110" s="1729"/>
      <c r="EN110" s="1729"/>
      <c r="EO110" s="1729"/>
      <c r="EP110" s="1729"/>
      <c r="EQ110" s="1729"/>
      <c r="ER110" s="1729"/>
      <c r="ES110" s="1729"/>
      <c r="ET110" s="1729"/>
      <c r="EU110" s="1729"/>
      <c r="EV110" s="1729"/>
      <c r="EW110" s="1729"/>
      <c r="EX110" s="1729"/>
      <c r="EY110" s="1729"/>
      <c r="EZ110" s="1729"/>
      <c r="FA110" s="1729"/>
      <c r="FB110" s="1729"/>
      <c r="FC110" s="1729"/>
      <c r="FD110" s="1729"/>
      <c r="FE110" s="1729"/>
      <c r="FF110" s="1729"/>
      <c r="FG110" s="1729"/>
      <c r="FH110" s="1729"/>
      <c r="FI110" s="1729"/>
      <c r="FJ110" s="1729"/>
      <c r="FK110" s="1729"/>
      <c r="FL110" s="1729"/>
      <c r="FM110" s="1729"/>
      <c r="FN110" s="1729"/>
      <c r="FO110" s="1729"/>
      <c r="FP110" s="1729"/>
      <c r="FQ110" s="1729"/>
      <c r="FR110" s="1729"/>
      <c r="FS110" s="1729"/>
      <c r="FT110" s="1729"/>
      <c r="FU110" s="1729"/>
      <c r="FV110" s="1729"/>
      <c r="FW110" s="1729"/>
      <c r="FX110" s="1729"/>
      <c r="FY110" s="1729"/>
      <c r="FZ110" s="1729"/>
      <c r="GA110" s="1729"/>
      <c r="GB110" s="1729"/>
      <c r="GC110" s="1729"/>
      <c r="GD110" s="1729"/>
      <c r="GE110" s="1729"/>
      <c r="GF110" s="1729"/>
      <c r="GG110" s="1729"/>
      <c r="GH110" s="1729"/>
      <c r="GI110" s="1729"/>
      <c r="GJ110" s="1729"/>
      <c r="GK110" s="1729"/>
      <c r="GL110" s="1729"/>
      <c r="GM110" s="1729"/>
      <c r="GN110" s="1729"/>
      <c r="GO110" s="1729"/>
      <c r="GP110" s="1729"/>
      <c r="GQ110" s="1729"/>
      <c r="GR110" s="1729"/>
      <c r="GS110" s="1729"/>
      <c r="GT110" s="1729"/>
      <c r="GU110" s="1729"/>
      <c r="GV110" s="1729"/>
      <c r="GW110" s="1729"/>
      <c r="GX110" s="1729"/>
      <c r="GY110" s="1729"/>
      <c r="GZ110" s="1729"/>
      <c r="HA110" s="1729"/>
      <c r="HB110" s="1729"/>
      <c r="HC110" s="1729"/>
      <c r="HD110" s="1729"/>
      <c r="HE110" s="1729"/>
      <c r="HF110" s="1729"/>
      <c r="HG110" s="1729"/>
      <c r="HH110" s="1729"/>
      <c r="HI110" s="1729"/>
      <c r="HJ110" s="1729"/>
      <c r="HK110" s="1729"/>
      <c r="HL110" s="1729"/>
      <c r="HM110" s="1729"/>
      <c r="HN110" s="1729"/>
      <c r="HO110" s="1729"/>
      <c r="HP110" s="1729"/>
      <c r="HQ110" s="1729"/>
      <c r="HR110" s="1729"/>
      <c r="HS110" s="1729"/>
      <c r="HT110" s="1729"/>
      <c r="HU110" s="1729"/>
      <c r="HV110" s="1729"/>
      <c r="HW110" s="1729"/>
      <c r="HX110" s="1729"/>
      <c r="HY110" s="1729"/>
      <c r="HZ110" s="1729"/>
      <c r="IA110" s="1729"/>
      <c r="IB110" s="1729"/>
      <c r="IC110" s="1729"/>
      <c r="ID110" s="1729"/>
      <c r="IE110" s="1729"/>
      <c r="IF110" s="1729"/>
      <c r="IG110" s="1729"/>
      <c r="IH110" s="1729"/>
      <c r="II110" s="1729"/>
      <c r="IJ110" s="1729"/>
      <c r="IK110" s="1729"/>
      <c r="IL110" s="1729"/>
      <c r="IM110" s="1729"/>
      <c r="IN110" s="1729"/>
      <c r="IO110" s="1729"/>
      <c r="IP110" s="1729"/>
      <c r="IQ110" s="1729"/>
      <c r="IR110" s="1729"/>
      <c r="IS110" s="1729"/>
      <c r="IT110" s="1729"/>
      <c r="IU110" s="1729"/>
      <c r="IV110" s="1729"/>
      <c r="IW110" s="1729"/>
    </row>
    <row r="111" spans="1:257">
      <c r="H111" s="1905" t="s">
        <v>19</v>
      </c>
      <c r="I111" s="1892">
        <f>0.15/100*J100*1000</f>
        <v>11.1</v>
      </c>
      <c r="J111" s="1906">
        <f>(J100*(0.4/100))*1000</f>
        <v>29.6</v>
      </c>
      <c r="K111" s="1892">
        <f>0.15/100*L100*1000</f>
        <v>10.95</v>
      </c>
      <c r="L111" s="1906">
        <f>(L100*(0.4/100))*1000</f>
        <v>29.2</v>
      </c>
      <c r="M111" s="1892">
        <f>0.15/100*N100*1000</f>
        <v>10.65</v>
      </c>
      <c r="N111" s="1906">
        <f>(N100*(0.4/100))*1000</f>
        <v>28.4</v>
      </c>
      <c r="O111" s="1892">
        <f>0.15/100*P100*1000</f>
        <v>10.5</v>
      </c>
      <c r="P111" s="1906">
        <f>(P100*(0.4/100))*1000</f>
        <v>28</v>
      </c>
      <c r="Q111" s="1892">
        <f>0.15/100*R100*1000</f>
        <v>12.450000000000001</v>
      </c>
      <c r="R111" s="1906">
        <f>(R100*(0.4/100))*1000</f>
        <v>33.200000000000003</v>
      </c>
      <c r="S111" s="1892">
        <f>0.15/100*T100*1000</f>
        <v>12.299999999999999</v>
      </c>
      <c r="T111" s="1906">
        <f>(T100*(0.4/100))*1000</f>
        <v>32.799999999999997</v>
      </c>
      <c r="U111" s="1892">
        <f>0.15/100*V100*1000</f>
        <v>12.149999999999999</v>
      </c>
      <c r="V111" s="1906">
        <f>(V100*(0.4/100))*1000</f>
        <v>32.4</v>
      </c>
      <c r="W111" s="1892">
        <f>0.15/100*X100*1000</f>
        <v>12</v>
      </c>
      <c r="X111" s="1906">
        <f>(X100*(0.4/100))*1000</f>
        <v>32</v>
      </c>
      <c r="Y111" s="1892">
        <f>0.15/100*Z100*1000</f>
        <v>13.950000000000001</v>
      </c>
      <c r="Z111" s="1906">
        <f>(Z100*(0.4/100))*1000</f>
        <v>37.200000000000003</v>
      </c>
      <c r="AA111" s="1907">
        <f>0.15/100*AB100*1000</f>
        <v>13.799999999999999</v>
      </c>
      <c r="AB111" s="1908">
        <f>(AB100*(0.4/100))*1000</f>
        <v>36.799999999999997</v>
      </c>
      <c r="AC111" s="1907">
        <f>0.15/100*AD100*1000</f>
        <v>13.5</v>
      </c>
      <c r="AD111" s="1908">
        <f>(AD100*(0.4/100))*1000</f>
        <v>36.000000000000007</v>
      </c>
      <c r="AE111" s="1907">
        <f>0.15/100*AF100*1000</f>
        <v>13.350000000000001</v>
      </c>
      <c r="AF111" s="1908">
        <f>(AF100*(0.4/100))*1000</f>
        <v>35.6</v>
      </c>
      <c r="AG111" s="1907">
        <f>0.15/100*AH100*1000</f>
        <v>15.299999999999999</v>
      </c>
      <c r="AH111" s="1908">
        <f>(AH100*(0.4/100))*1000</f>
        <v>40.799999999999997</v>
      </c>
      <c r="AI111" s="1907">
        <f>0.15/100*AJ100*1000</f>
        <v>15.15</v>
      </c>
      <c r="AJ111" s="1908">
        <f>(AJ100*(0.4/100))*1000</f>
        <v>40.4</v>
      </c>
      <c r="AK111" s="1907">
        <f>0.15/100*AL100*1000</f>
        <v>15</v>
      </c>
      <c r="AL111" s="1908">
        <f>(AL100*(0.4/100))*1000</f>
        <v>40</v>
      </c>
      <c r="AM111" s="1907">
        <f>0.15/100*AN100*1000</f>
        <v>14.85</v>
      </c>
      <c r="AN111" s="1908">
        <f>(AN100*(0.4/100))*1000</f>
        <v>39.6</v>
      </c>
      <c r="AO111" s="1907">
        <f>0.15/100*AP100*1000</f>
        <v>13.799999999999999</v>
      </c>
      <c r="AP111" s="1908">
        <f>(AP100*(0.4/100))*1000</f>
        <v>36.799999999999997</v>
      </c>
      <c r="AQ111" s="1907">
        <f>0.15/100*AR100*1000</f>
        <v>14.700000000000001</v>
      </c>
      <c r="AR111" s="1908">
        <f>(AR100*(0.4/100))*1000</f>
        <v>39.200000000000003</v>
      </c>
      <c r="AS111" s="1907">
        <f>0.15/100*AT100*1000</f>
        <v>15.15</v>
      </c>
      <c r="AT111" s="1908">
        <f>(AT100*(0.4/100))*1000</f>
        <v>40.4</v>
      </c>
      <c r="AU111" s="1907">
        <f>0.15/100*AV100*1000</f>
        <v>15.75</v>
      </c>
      <c r="AV111" s="1908">
        <f>(AV100*(0.4/100))*1000</f>
        <v>42</v>
      </c>
      <c r="AW111" s="1907">
        <f>0.15/100*AX100*1000</f>
        <v>13.200000000000001</v>
      </c>
      <c r="AX111" s="1908">
        <f>(AX100*(0.4/100))*1000</f>
        <v>35.200000000000003</v>
      </c>
      <c r="AY111" s="1907">
        <f>0.15/100*AZ100*1000</f>
        <v>13.950000000000001</v>
      </c>
      <c r="AZ111" s="1908">
        <f>(AZ100*(0.4/100))*1000</f>
        <v>37.200000000000003</v>
      </c>
      <c r="BA111" s="1907">
        <f>0.15/100*BB100*1000</f>
        <v>14.700000000000001</v>
      </c>
      <c r="BB111" s="1908">
        <f>(BB100*(0.4/100))*1000</f>
        <v>39.200000000000003</v>
      </c>
      <c r="BC111" s="1907">
        <f>0.15/100*BD100*1000</f>
        <v>15.75</v>
      </c>
      <c r="BD111" s="1908">
        <f>(BD100*(0.4/100))*1000</f>
        <v>42</v>
      </c>
      <c r="BE111" s="1907">
        <f>0.15/100*BF100*1000</f>
        <v>16.200000000000003</v>
      </c>
      <c r="BF111" s="1908">
        <f>(BF100*(0.4/100))*1000</f>
        <v>43.2</v>
      </c>
      <c r="BG111" s="1907">
        <f>0.15/100*BH100*1000</f>
        <v>16.649999999999999</v>
      </c>
      <c r="BH111" s="1908">
        <f>(BH100*(0.4/100))*1000</f>
        <v>44.4</v>
      </c>
      <c r="BI111" s="1907">
        <f>0.15/100*BJ100*1000</f>
        <v>14.25</v>
      </c>
      <c r="BJ111" s="1908">
        <f>(BJ100*(0.4/100))*1000</f>
        <v>38</v>
      </c>
      <c r="BK111" s="1907">
        <f>0.15/100*BL100*1000</f>
        <v>15</v>
      </c>
      <c r="BL111" s="1908">
        <f>(BL100*(0.4/100))*1000</f>
        <v>40</v>
      </c>
      <c r="BM111" s="1907">
        <f>0.15/100*BN100*1000</f>
        <v>15.75</v>
      </c>
      <c r="BN111" s="1908">
        <f>(BN100*(0.4/100))*1000</f>
        <v>42</v>
      </c>
      <c r="BO111" s="1907">
        <f>0.15/100*BP100*1000</f>
        <v>16.649999999999999</v>
      </c>
      <c r="BP111" s="1908">
        <f>(BP100*(0.4/100))*1000</f>
        <v>44.4</v>
      </c>
      <c r="BQ111" s="1907">
        <f>0.15/100*BR100*1000</f>
        <v>17.25</v>
      </c>
      <c r="BR111" s="1908">
        <f>(BR100*(0.4/100))*1000</f>
        <v>46</v>
      </c>
      <c r="BS111" s="1907">
        <f>0.15/100*BT100*1000</f>
        <v>17.7</v>
      </c>
      <c r="BT111" s="1908">
        <f>(BT100*(0.4/100))*1000</f>
        <v>47.2</v>
      </c>
      <c r="BU111" s="1907">
        <f>0.15/100*BV100*1000</f>
        <v>16.649999999999999</v>
      </c>
      <c r="BV111" s="1908">
        <f>(BV100*(0.4/100))*1000</f>
        <v>44.4</v>
      </c>
      <c r="BW111" s="1907">
        <f>0.15/100*BX100*1000</f>
        <v>16.649999999999999</v>
      </c>
      <c r="BX111" s="1908">
        <f>(BX100*(0.4/100))*1000</f>
        <v>44.4</v>
      </c>
      <c r="BY111" s="1907">
        <f>0.15/100*BZ100*1000</f>
        <v>15.9</v>
      </c>
      <c r="BZ111" s="1908">
        <f>(BZ100*(0.4/100))*1000</f>
        <v>42.4</v>
      </c>
      <c r="CA111" s="1907">
        <f>0.15/100*CB100*1000</f>
        <v>14.85</v>
      </c>
      <c r="CB111" s="1908">
        <f>(CB100*(0.4/100))*1000</f>
        <v>39.6</v>
      </c>
      <c r="CC111" s="1907">
        <f>0.15/100*CD100*1000</f>
        <v>14.25</v>
      </c>
      <c r="CD111" s="1908">
        <f>(CD100*(0.4/100))*1000</f>
        <v>38</v>
      </c>
      <c r="CE111" s="1907">
        <f>0.15/100*CF100*1000</f>
        <v>14.4</v>
      </c>
      <c r="CF111" s="1908">
        <f>(CF100*(0.4/100))*1000</f>
        <v>38.4</v>
      </c>
      <c r="CG111" s="1907">
        <f>0.15/100*CH100*1000</f>
        <v>17.7</v>
      </c>
      <c r="CH111" s="1908">
        <f>(CH100*(0.4/100))*1000</f>
        <v>47.2</v>
      </c>
      <c r="CI111" s="1907">
        <f>0.15/100*CJ100*1000</f>
        <v>17.850000000000001</v>
      </c>
      <c r="CJ111" s="1908">
        <f>(CJ100*(0.4/100))*1000</f>
        <v>47.6</v>
      </c>
      <c r="CK111" s="1907">
        <f>0.15/100*CL100*1000</f>
        <v>16.95</v>
      </c>
      <c r="CL111" s="1908">
        <f>(CL100*(0.4/100))*1000</f>
        <v>45.2</v>
      </c>
      <c r="CM111" s="1907">
        <f>0.15/100*CN100*1000</f>
        <v>15.9</v>
      </c>
      <c r="CN111" s="1908">
        <f>(CN100*(0.4/100))*1000</f>
        <v>42.4</v>
      </c>
      <c r="CO111" s="1907">
        <f>0.15/100*CP100*1000</f>
        <v>15.450000000000001</v>
      </c>
      <c r="CP111" s="1908">
        <f>(CP100*(0.4/100))*1000</f>
        <v>41.2</v>
      </c>
      <c r="CQ111" s="1907">
        <f>0.15/100*CR100*1000</f>
        <v>15.450000000000001</v>
      </c>
      <c r="CR111" s="1908">
        <f>(CR100*(0.4/100))*1000</f>
        <v>41.2</v>
      </c>
      <c r="CS111" s="1907">
        <f>0.15/100*CT100*1000</f>
        <v>18.899999999999999</v>
      </c>
      <c r="CT111" s="1908">
        <f>(CT100*(0.4/100))*1000</f>
        <v>50.4</v>
      </c>
      <c r="CU111" s="1907">
        <f>0.15/100*CV100*1000</f>
        <v>18.899999999999999</v>
      </c>
      <c r="CV111" s="1908">
        <f>(CV100*(0.4/100))*1000</f>
        <v>50.4</v>
      </c>
      <c r="CW111" s="1907">
        <f>0.15/100*CX100*1000</f>
        <v>18.149999999999999</v>
      </c>
      <c r="CX111" s="1908">
        <f>(CX100*(0.4/100))*1000</f>
        <v>48.4</v>
      </c>
      <c r="CY111" s="1907">
        <f>0.15/100*CZ100*1000</f>
        <v>17.100000000000001</v>
      </c>
      <c r="CZ111" s="1908">
        <f>(CZ100*(0.4/100))*1000</f>
        <v>45.6</v>
      </c>
      <c r="DA111" s="1907">
        <f>0.15/100*DB100*1000</f>
        <v>16.5</v>
      </c>
      <c r="DB111" s="1908">
        <f>(DB100*(0.4/100))*1000</f>
        <v>44</v>
      </c>
      <c r="DC111" s="1907">
        <f>0.15/100*DD100*1000</f>
        <v>16.649999999999999</v>
      </c>
      <c r="DD111" s="1908">
        <f>(DD100*(0.4/100))*1000</f>
        <v>44.4</v>
      </c>
      <c r="DE111" s="1907">
        <f>0.15/100*DF100*1000</f>
        <v>19.950000000000003</v>
      </c>
      <c r="DF111" s="1908">
        <f>(DF100*(0.4/100))*1000</f>
        <v>53.2</v>
      </c>
      <c r="DG111" s="1907">
        <f>0.15/100*DH100*1000</f>
        <v>19.950000000000003</v>
      </c>
      <c r="DH111" s="1908">
        <f>(DH100*(0.4/100))*1000</f>
        <v>53.2</v>
      </c>
      <c r="DI111" s="1907">
        <f>0.15/100*DJ100*1000</f>
        <v>19.200000000000003</v>
      </c>
      <c r="DJ111" s="1908">
        <f>(DJ100*(0.4/100))*1000</f>
        <v>51.2</v>
      </c>
      <c r="DK111" s="1907">
        <f>0.15/100*DL100*1000</f>
        <v>18.149999999999999</v>
      </c>
      <c r="DL111" s="1908">
        <f>(DL100*(0.4/100))*1000</f>
        <v>48.4</v>
      </c>
      <c r="DM111" s="1907">
        <f>0.15/100*DN100*1000</f>
        <v>17.55</v>
      </c>
      <c r="DN111" s="1908">
        <f>(DN100*(0.4/100))*1000</f>
        <v>46.800000000000004</v>
      </c>
      <c r="DO111" s="1907">
        <f>0.15/100*DP100*1000</f>
        <v>17.7</v>
      </c>
      <c r="DP111" s="1908">
        <f>(DP100*(0.4/100))*1000</f>
        <v>47.2</v>
      </c>
      <c r="DQ111" s="1917"/>
      <c r="DR111" s="1918"/>
      <c r="DS111" s="1917"/>
      <c r="DT111" s="1918"/>
      <c r="DU111" s="1917"/>
      <c r="DV111" s="1918"/>
      <c r="DW111" s="1917"/>
      <c r="DX111" s="1918"/>
    </row>
    <row r="112" spans="1:257">
      <c r="H112" s="1905" t="s">
        <v>20</v>
      </c>
      <c r="I112" s="1892">
        <f>10*J100</f>
        <v>74</v>
      </c>
      <c r="J112" s="1906">
        <f>J100*100</f>
        <v>740</v>
      </c>
      <c r="K112" s="1892">
        <f>10*L100</f>
        <v>73</v>
      </c>
      <c r="L112" s="1906">
        <f>L100*100</f>
        <v>730</v>
      </c>
      <c r="M112" s="1892">
        <f>10*N100</f>
        <v>71</v>
      </c>
      <c r="N112" s="1906">
        <f>N100*100</f>
        <v>710</v>
      </c>
      <c r="O112" s="1892">
        <f>10*P100</f>
        <v>70</v>
      </c>
      <c r="P112" s="1906">
        <f>P100*100</f>
        <v>700</v>
      </c>
      <c r="Q112" s="1892">
        <f>10*R100</f>
        <v>83</v>
      </c>
      <c r="R112" s="1906">
        <f>R100*100</f>
        <v>830.00000000000011</v>
      </c>
      <c r="S112" s="1892">
        <f>10*T100</f>
        <v>82</v>
      </c>
      <c r="T112" s="1906">
        <f>T100*100</f>
        <v>819.99999999999989</v>
      </c>
      <c r="U112" s="1892">
        <f>10*V100</f>
        <v>81</v>
      </c>
      <c r="V112" s="1906">
        <f>V100*100</f>
        <v>810</v>
      </c>
      <c r="W112" s="1892">
        <f>10*X100</f>
        <v>80</v>
      </c>
      <c r="X112" s="1906">
        <f>X100*100</f>
        <v>800</v>
      </c>
      <c r="Y112" s="1892">
        <f>10*Z100</f>
        <v>93</v>
      </c>
      <c r="Z112" s="1906">
        <f>Z100*100</f>
        <v>930.00000000000011</v>
      </c>
      <c r="AA112" s="1907">
        <f>10*AB100</f>
        <v>92</v>
      </c>
      <c r="AB112" s="1908">
        <f>AB100*100</f>
        <v>919.99999999999989</v>
      </c>
      <c r="AC112" s="1907">
        <f>10*AD100</f>
        <v>90</v>
      </c>
      <c r="AD112" s="1908">
        <f>AD100*100</f>
        <v>900</v>
      </c>
      <c r="AE112" s="1907">
        <f>10*AF100</f>
        <v>89</v>
      </c>
      <c r="AF112" s="1908">
        <f>AF100*100</f>
        <v>890</v>
      </c>
      <c r="AG112" s="1907">
        <f>10*AH100</f>
        <v>102</v>
      </c>
      <c r="AH112" s="1908">
        <f>AH100*100</f>
        <v>1019.9999999999999</v>
      </c>
      <c r="AI112" s="1907">
        <f>10*AJ100</f>
        <v>101</v>
      </c>
      <c r="AJ112" s="1908">
        <f>AJ100*100</f>
        <v>1010</v>
      </c>
      <c r="AK112" s="1907">
        <f>10*AL100</f>
        <v>100</v>
      </c>
      <c r="AL112" s="1908">
        <f>AL100*100</f>
        <v>1000</v>
      </c>
      <c r="AM112" s="1907">
        <f>10*AN100</f>
        <v>99</v>
      </c>
      <c r="AN112" s="1908">
        <f>AN100*100</f>
        <v>990</v>
      </c>
      <c r="AO112" s="1907">
        <f>10*AP100</f>
        <v>92</v>
      </c>
      <c r="AP112" s="1908">
        <f>AP100*100</f>
        <v>919.99999999999989</v>
      </c>
      <c r="AQ112" s="1907">
        <f>10*AR100</f>
        <v>98</v>
      </c>
      <c r="AR112" s="1908">
        <f>AR100*100</f>
        <v>980.00000000000011</v>
      </c>
      <c r="AS112" s="1907">
        <f>10*AT100</f>
        <v>101</v>
      </c>
      <c r="AT112" s="1908">
        <f>AT100*100</f>
        <v>1010</v>
      </c>
      <c r="AU112" s="1907">
        <f>10*AV100</f>
        <v>105</v>
      </c>
      <c r="AV112" s="1908">
        <f>AV100*100</f>
        <v>1050</v>
      </c>
      <c r="AW112" s="1907">
        <f>10*AX100</f>
        <v>88</v>
      </c>
      <c r="AX112" s="1908">
        <f>AX100*100</f>
        <v>880.00000000000011</v>
      </c>
      <c r="AY112" s="1907">
        <f>10*AZ100</f>
        <v>93</v>
      </c>
      <c r="AZ112" s="1908">
        <f>AZ100*100</f>
        <v>930.00000000000011</v>
      </c>
      <c r="BA112" s="1907">
        <f>10*BB100</f>
        <v>98</v>
      </c>
      <c r="BB112" s="1908">
        <f>BB100*100</f>
        <v>980.00000000000011</v>
      </c>
      <c r="BC112" s="1907">
        <f>10*BD100</f>
        <v>105</v>
      </c>
      <c r="BD112" s="1908">
        <f>BD100*100</f>
        <v>1050</v>
      </c>
      <c r="BE112" s="1907">
        <f>10*BF100</f>
        <v>108</v>
      </c>
      <c r="BF112" s="1908">
        <f>BF100*100</f>
        <v>1080</v>
      </c>
      <c r="BG112" s="1907">
        <f>10*BH100</f>
        <v>111</v>
      </c>
      <c r="BH112" s="1908">
        <f>BH100*100</f>
        <v>1110</v>
      </c>
      <c r="BI112" s="1907">
        <f>10*BJ100</f>
        <v>95</v>
      </c>
      <c r="BJ112" s="1908">
        <f>BJ100*100</f>
        <v>950</v>
      </c>
      <c r="BK112" s="1907">
        <f>10*BL100</f>
        <v>100</v>
      </c>
      <c r="BL112" s="1908">
        <f>BL100*100</f>
        <v>1000</v>
      </c>
      <c r="BM112" s="1907">
        <f>10*BN100</f>
        <v>105</v>
      </c>
      <c r="BN112" s="1908">
        <f>BN100*100</f>
        <v>1050</v>
      </c>
      <c r="BO112" s="1907">
        <f>10*BP100</f>
        <v>111</v>
      </c>
      <c r="BP112" s="1908">
        <f>BP100*100</f>
        <v>1110</v>
      </c>
      <c r="BQ112" s="1907">
        <f>10*BR100</f>
        <v>115</v>
      </c>
      <c r="BR112" s="1908">
        <f>BR100*100</f>
        <v>1150</v>
      </c>
      <c r="BS112" s="1907">
        <f>10*BT100</f>
        <v>118</v>
      </c>
      <c r="BT112" s="1908">
        <f>BT100*100</f>
        <v>1180</v>
      </c>
      <c r="BU112" s="1907">
        <f>10*BV100</f>
        <v>111</v>
      </c>
      <c r="BV112" s="1908">
        <f>BV100*100</f>
        <v>1110</v>
      </c>
      <c r="BW112" s="1907">
        <f>10*BX100</f>
        <v>111</v>
      </c>
      <c r="BX112" s="1908">
        <f>BX100*100</f>
        <v>1110</v>
      </c>
      <c r="BY112" s="1907">
        <f>10*BZ100</f>
        <v>106</v>
      </c>
      <c r="BZ112" s="1908">
        <f>BZ100*100</f>
        <v>1060</v>
      </c>
      <c r="CA112" s="1907">
        <f>10*CB100</f>
        <v>99</v>
      </c>
      <c r="CB112" s="1908">
        <f>CB100*100</f>
        <v>990</v>
      </c>
      <c r="CC112" s="1907">
        <f>10*CD100</f>
        <v>95</v>
      </c>
      <c r="CD112" s="1908">
        <f>CD100*100</f>
        <v>950</v>
      </c>
      <c r="CE112" s="1907">
        <f>10*CF100</f>
        <v>96</v>
      </c>
      <c r="CF112" s="1908">
        <f>CF100*100</f>
        <v>960</v>
      </c>
      <c r="CG112" s="1907">
        <f>10*CH100</f>
        <v>118</v>
      </c>
      <c r="CH112" s="1908">
        <f>CH100*100</f>
        <v>1180</v>
      </c>
      <c r="CI112" s="1907">
        <f>10*CJ100</f>
        <v>119</v>
      </c>
      <c r="CJ112" s="1908">
        <f>CJ100*100</f>
        <v>1190</v>
      </c>
      <c r="CK112" s="1907">
        <f>10*CL100</f>
        <v>113</v>
      </c>
      <c r="CL112" s="1908">
        <f>CL100*100</f>
        <v>1130</v>
      </c>
      <c r="CM112" s="1907">
        <f>10*CN100</f>
        <v>106</v>
      </c>
      <c r="CN112" s="1908">
        <f>CN100*100</f>
        <v>1060</v>
      </c>
      <c r="CO112" s="1907">
        <f>10*CP100</f>
        <v>103</v>
      </c>
      <c r="CP112" s="1908">
        <f>CP100*100</f>
        <v>1030</v>
      </c>
      <c r="CQ112" s="1907">
        <f>10*CR100</f>
        <v>103</v>
      </c>
      <c r="CR112" s="1908">
        <f>CR100*100</f>
        <v>1030</v>
      </c>
      <c r="CS112" s="1907">
        <f>10*CT100</f>
        <v>126</v>
      </c>
      <c r="CT112" s="1908">
        <f>CT100*100</f>
        <v>1260</v>
      </c>
      <c r="CU112" s="1907">
        <f>10*CV100</f>
        <v>126</v>
      </c>
      <c r="CV112" s="1908">
        <f>CV100*100</f>
        <v>1260</v>
      </c>
      <c r="CW112" s="1907">
        <f>10*CX100</f>
        <v>121</v>
      </c>
      <c r="CX112" s="1908">
        <f>CX100*100</f>
        <v>1210</v>
      </c>
      <c r="CY112" s="1907">
        <f>10*CZ100</f>
        <v>114</v>
      </c>
      <c r="CZ112" s="1908">
        <f>CZ100*100</f>
        <v>1140</v>
      </c>
      <c r="DA112" s="1907">
        <f>10*DB100</f>
        <v>110</v>
      </c>
      <c r="DB112" s="1908">
        <f>DB100*100</f>
        <v>1100</v>
      </c>
      <c r="DC112" s="1907">
        <f>10*DD100</f>
        <v>111</v>
      </c>
      <c r="DD112" s="1908">
        <f>DD100*100</f>
        <v>1110</v>
      </c>
      <c r="DE112" s="1907">
        <f>10*DF100</f>
        <v>133</v>
      </c>
      <c r="DF112" s="1908">
        <f>DF100*100</f>
        <v>1330</v>
      </c>
      <c r="DG112" s="1907">
        <f>10*DH100</f>
        <v>133</v>
      </c>
      <c r="DH112" s="1908">
        <f>DH100*100</f>
        <v>1330</v>
      </c>
      <c r="DI112" s="1907">
        <f>10*DJ100</f>
        <v>128</v>
      </c>
      <c r="DJ112" s="1908">
        <f>DJ100*100</f>
        <v>1280</v>
      </c>
      <c r="DK112" s="1907">
        <f>10*DL100</f>
        <v>121</v>
      </c>
      <c r="DL112" s="1908">
        <f>DL100*100</f>
        <v>1210</v>
      </c>
      <c r="DM112" s="1907">
        <f>10*DN100</f>
        <v>117</v>
      </c>
      <c r="DN112" s="1908">
        <f>DN100*100</f>
        <v>1170</v>
      </c>
      <c r="DO112" s="1907">
        <f>10*DP100</f>
        <v>118</v>
      </c>
      <c r="DP112" s="1908">
        <f>DP100*100</f>
        <v>1180</v>
      </c>
      <c r="DQ112" s="1917"/>
      <c r="DR112" s="1918"/>
      <c r="DS112" s="1917"/>
      <c r="DT112" s="1918"/>
      <c r="DU112" s="1917"/>
      <c r="DV112" s="1918"/>
      <c r="DW112" s="1917"/>
      <c r="DX112" s="1918"/>
    </row>
    <row r="113" spans="8:128">
      <c r="H113" s="1905" t="s">
        <v>22</v>
      </c>
      <c r="I113" s="1892">
        <f>30*J100</f>
        <v>222</v>
      </c>
      <c r="J113" s="1906">
        <f>J100*500</f>
        <v>3700</v>
      </c>
      <c r="K113" s="1892">
        <f>30*L100</f>
        <v>219</v>
      </c>
      <c r="L113" s="1906">
        <f>L100*500</f>
        <v>3650</v>
      </c>
      <c r="M113" s="1892">
        <f>30*N100</f>
        <v>213</v>
      </c>
      <c r="N113" s="1906">
        <f>N100*500</f>
        <v>3550</v>
      </c>
      <c r="O113" s="1892">
        <f>30*P100</f>
        <v>210</v>
      </c>
      <c r="P113" s="1906">
        <f>P100*500</f>
        <v>3500</v>
      </c>
      <c r="Q113" s="1892">
        <f>30*R100</f>
        <v>249.00000000000003</v>
      </c>
      <c r="R113" s="1906">
        <f>R100*500</f>
        <v>4150</v>
      </c>
      <c r="S113" s="1892">
        <f>30*T100</f>
        <v>245.99999999999997</v>
      </c>
      <c r="T113" s="1906">
        <f>T100*500</f>
        <v>4100</v>
      </c>
      <c r="U113" s="1892">
        <f>30*V100</f>
        <v>243</v>
      </c>
      <c r="V113" s="1906">
        <f>V100*500</f>
        <v>4050</v>
      </c>
      <c r="W113" s="1892">
        <f>30*X100</f>
        <v>240</v>
      </c>
      <c r="X113" s="1906">
        <f>X100*500</f>
        <v>4000</v>
      </c>
      <c r="Y113" s="1892">
        <f>30*Z100</f>
        <v>279</v>
      </c>
      <c r="Z113" s="1906">
        <f>Z100*500</f>
        <v>4650</v>
      </c>
      <c r="AA113" s="1907">
        <f>30*AB100</f>
        <v>276</v>
      </c>
      <c r="AB113" s="1908">
        <f>AB100*500</f>
        <v>4600</v>
      </c>
      <c r="AC113" s="1907">
        <f>30*AD100</f>
        <v>270</v>
      </c>
      <c r="AD113" s="1908">
        <f>AD100*500</f>
        <v>4500</v>
      </c>
      <c r="AE113" s="1907">
        <f>30*AF100</f>
        <v>267</v>
      </c>
      <c r="AF113" s="1908">
        <f>AF100*500</f>
        <v>4450</v>
      </c>
      <c r="AG113" s="1907">
        <f>30*AH100</f>
        <v>306</v>
      </c>
      <c r="AH113" s="1908">
        <f>AH100*500</f>
        <v>5100</v>
      </c>
      <c r="AI113" s="1907">
        <f>30*AJ100</f>
        <v>303</v>
      </c>
      <c r="AJ113" s="1908">
        <f>AJ100*500</f>
        <v>5050</v>
      </c>
      <c r="AK113" s="1907">
        <f>30*AL100</f>
        <v>300</v>
      </c>
      <c r="AL113" s="1908">
        <f>AL100*500</f>
        <v>5000</v>
      </c>
      <c r="AM113" s="1907">
        <f>30*AN100</f>
        <v>297</v>
      </c>
      <c r="AN113" s="1908">
        <f>AN100*500</f>
        <v>4950</v>
      </c>
      <c r="AO113" s="1907">
        <f>30*AP100</f>
        <v>276</v>
      </c>
      <c r="AP113" s="1908">
        <f>AP100*500</f>
        <v>4600</v>
      </c>
      <c r="AQ113" s="1907">
        <f>30*AR100</f>
        <v>294</v>
      </c>
      <c r="AR113" s="1908">
        <f>AR100*500</f>
        <v>4900</v>
      </c>
      <c r="AS113" s="1907">
        <f>30*AT100</f>
        <v>303</v>
      </c>
      <c r="AT113" s="1908">
        <f>AT100*500</f>
        <v>5050</v>
      </c>
      <c r="AU113" s="1907">
        <f>30*AV100</f>
        <v>315</v>
      </c>
      <c r="AV113" s="1908">
        <f>AV100*500</f>
        <v>5250</v>
      </c>
      <c r="AW113" s="1907">
        <f>30*AX100</f>
        <v>264</v>
      </c>
      <c r="AX113" s="1908">
        <f>AX100*500</f>
        <v>4400</v>
      </c>
      <c r="AY113" s="1907">
        <f>30*AZ100</f>
        <v>279</v>
      </c>
      <c r="AZ113" s="1908">
        <f>AZ100*500</f>
        <v>4650</v>
      </c>
      <c r="BA113" s="1907">
        <f>30*BB100</f>
        <v>294</v>
      </c>
      <c r="BB113" s="1908">
        <f>BB100*500</f>
        <v>4900</v>
      </c>
      <c r="BC113" s="1907">
        <f>30*BD100</f>
        <v>315</v>
      </c>
      <c r="BD113" s="1908">
        <f>BD100*500</f>
        <v>5250</v>
      </c>
      <c r="BE113" s="1907">
        <f>30*BF100</f>
        <v>324</v>
      </c>
      <c r="BF113" s="1908">
        <f>BF100*500</f>
        <v>5400</v>
      </c>
      <c r="BG113" s="1907">
        <f>30*BH100</f>
        <v>333</v>
      </c>
      <c r="BH113" s="1908">
        <f>BH100*500</f>
        <v>5550</v>
      </c>
      <c r="BI113" s="1907">
        <f>30*BJ100</f>
        <v>285</v>
      </c>
      <c r="BJ113" s="1908">
        <f>BJ100*500</f>
        <v>4750</v>
      </c>
      <c r="BK113" s="1907">
        <f>30*BL100</f>
        <v>300</v>
      </c>
      <c r="BL113" s="1908">
        <f>BL100*500</f>
        <v>5000</v>
      </c>
      <c r="BM113" s="1907">
        <f>30*BN100</f>
        <v>315</v>
      </c>
      <c r="BN113" s="1908">
        <f>BN100*500</f>
        <v>5250</v>
      </c>
      <c r="BO113" s="1907">
        <f>30*BP100</f>
        <v>333</v>
      </c>
      <c r="BP113" s="1908">
        <f>BP100*500</f>
        <v>5550</v>
      </c>
      <c r="BQ113" s="1907">
        <f>30*BR100</f>
        <v>345</v>
      </c>
      <c r="BR113" s="1908">
        <f>BR100*500</f>
        <v>5750</v>
      </c>
      <c r="BS113" s="1907">
        <f>30*BT100</f>
        <v>354</v>
      </c>
      <c r="BT113" s="1908">
        <f>BT100*500</f>
        <v>5900</v>
      </c>
      <c r="BU113" s="1907">
        <f>30*BV100</f>
        <v>333</v>
      </c>
      <c r="BV113" s="1908">
        <f>BV100*500</f>
        <v>5550</v>
      </c>
      <c r="BW113" s="1907">
        <f>30*BX100</f>
        <v>333</v>
      </c>
      <c r="BX113" s="1908">
        <f>BX100*500</f>
        <v>5550</v>
      </c>
      <c r="BY113" s="1907">
        <f>30*BZ100</f>
        <v>318</v>
      </c>
      <c r="BZ113" s="1908">
        <f>BZ100*500</f>
        <v>5300</v>
      </c>
      <c r="CA113" s="1907">
        <f>30*CB100</f>
        <v>297</v>
      </c>
      <c r="CB113" s="1908">
        <f>CB100*500</f>
        <v>4950</v>
      </c>
      <c r="CC113" s="1907">
        <f>30*CD100</f>
        <v>285</v>
      </c>
      <c r="CD113" s="1908">
        <f>CD100*500</f>
        <v>4750</v>
      </c>
      <c r="CE113" s="1907">
        <f>30*CF100</f>
        <v>288</v>
      </c>
      <c r="CF113" s="1908">
        <f>CF100*500</f>
        <v>4800</v>
      </c>
      <c r="CG113" s="1907">
        <f>30*CH100</f>
        <v>354</v>
      </c>
      <c r="CH113" s="1908">
        <f>CH100*500</f>
        <v>5900</v>
      </c>
      <c r="CI113" s="1907">
        <f>30*CJ100</f>
        <v>357</v>
      </c>
      <c r="CJ113" s="1908">
        <f>CJ100*500</f>
        <v>5950</v>
      </c>
      <c r="CK113" s="1907">
        <f>30*CL100</f>
        <v>339</v>
      </c>
      <c r="CL113" s="1908">
        <f>CL100*500</f>
        <v>5650</v>
      </c>
      <c r="CM113" s="1907">
        <f>30*CN100</f>
        <v>318</v>
      </c>
      <c r="CN113" s="1908">
        <f>CN100*500</f>
        <v>5300</v>
      </c>
      <c r="CO113" s="1907">
        <f>30*CP100</f>
        <v>309</v>
      </c>
      <c r="CP113" s="1908">
        <f>CP100*500</f>
        <v>5150</v>
      </c>
      <c r="CQ113" s="1907">
        <f>30*CR100</f>
        <v>309</v>
      </c>
      <c r="CR113" s="1908">
        <f>CR100*500</f>
        <v>5150</v>
      </c>
      <c r="CS113" s="1907">
        <f>30*CT100</f>
        <v>378</v>
      </c>
      <c r="CT113" s="1908">
        <f>CT100*500</f>
        <v>6300</v>
      </c>
      <c r="CU113" s="1907">
        <f>30*CV100</f>
        <v>378</v>
      </c>
      <c r="CV113" s="1908">
        <f>CV100*500</f>
        <v>6300</v>
      </c>
      <c r="CW113" s="1907">
        <f>30*CX100</f>
        <v>363</v>
      </c>
      <c r="CX113" s="1908">
        <f>CX100*500</f>
        <v>6050</v>
      </c>
      <c r="CY113" s="1907">
        <f>30*CZ100</f>
        <v>342</v>
      </c>
      <c r="CZ113" s="1908">
        <f>CZ100*500</f>
        <v>5700</v>
      </c>
      <c r="DA113" s="1907">
        <f>30*DB100</f>
        <v>330</v>
      </c>
      <c r="DB113" s="1908">
        <f>DB100*500</f>
        <v>5500</v>
      </c>
      <c r="DC113" s="1907">
        <f>30*DD100</f>
        <v>333</v>
      </c>
      <c r="DD113" s="1908">
        <f>DD100*500</f>
        <v>5550</v>
      </c>
      <c r="DE113" s="1907">
        <f>30*DF100</f>
        <v>399</v>
      </c>
      <c r="DF113" s="1908">
        <f>DF100*500</f>
        <v>6650</v>
      </c>
      <c r="DG113" s="1907">
        <f>30*DH100</f>
        <v>399</v>
      </c>
      <c r="DH113" s="1908">
        <f>DH100*500</f>
        <v>6650</v>
      </c>
      <c r="DI113" s="1907">
        <f>30*DJ100</f>
        <v>384</v>
      </c>
      <c r="DJ113" s="1908">
        <f>DJ100*500</f>
        <v>6400</v>
      </c>
      <c r="DK113" s="1907">
        <f>30*DL100</f>
        <v>363</v>
      </c>
      <c r="DL113" s="1908">
        <f>DL100*500</f>
        <v>6050</v>
      </c>
      <c r="DM113" s="1907">
        <f>30*DN100</f>
        <v>351</v>
      </c>
      <c r="DN113" s="1908">
        <f>DN100*500</f>
        <v>5850</v>
      </c>
      <c r="DO113" s="1907">
        <f>30*DP100</f>
        <v>354</v>
      </c>
      <c r="DP113" s="1908">
        <f>DP100*500</f>
        <v>5900</v>
      </c>
      <c r="DQ113" s="1917"/>
      <c r="DR113" s="1918"/>
      <c r="DS113" s="1917"/>
      <c r="DT113" s="1918"/>
      <c r="DU113" s="1917"/>
      <c r="DV113" s="1918"/>
      <c r="DW113" s="1917"/>
      <c r="DX113" s="1918"/>
    </row>
    <row r="114" spans="8:128">
      <c r="H114" s="1905" t="s">
        <v>23</v>
      </c>
      <c r="I114" s="1892">
        <f>50*J100</f>
        <v>370</v>
      </c>
      <c r="J114" s="1906">
        <f>J100*1000</f>
        <v>7400</v>
      </c>
      <c r="K114" s="1892">
        <f>50*L100</f>
        <v>365</v>
      </c>
      <c r="L114" s="1906">
        <f>L100*1000</f>
        <v>7300</v>
      </c>
      <c r="M114" s="1892">
        <f>50*N100</f>
        <v>355</v>
      </c>
      <c r="N114" s="1906">
        <f>N100*1000</f>
        <v>7100</v>
      </c>
      <c r="O114" s="1892">
        <f>50*P100</f>
        <v>350</v>
      </c>
      <c r="P114" s="1906">
        <f>P100*1000</f>
        <v>7000</v>
      </c>
      <c r="Q114" s="1892">
        <f>50*R100</f>
        <v>415.00000000000006</v>
      </c>
      <c r="R114" s="1906">
        <f>R100*1000</f>
        <v>8300</v>
      </c>
      <c r="S114" s="1892">
        <f>50*T100</f>
        <v>409.99999999999994</v>
      </c>
      <c r="T114" s="1906">
        <f>T100*1000</f>
        <v>8200</v>
      </c>
      <c r="U114" s="1892">
        <f>50*V100</f>
        <v>405</v>
      </c>
      <c r="V114" s="1906">
        <f>V100*1000</f>
        <v>8100</v>
      </c>
      <c r="W114" s="1892">
        <f>50*X100</f>
        <v>400</v>
      </c>
      <c r="X114" s="1906">
        <f>X100*1000</f>
        <v>8000</v>
      </c>
      <c r="Y114" s="1892">
        <f>50*Z100</f>
        <v>465.00000000000006</v>
      </c>
      <c r="Z114" s="1906">
        <f>Z100*1000</f>
        <v>9300</v>
      </c>
      <c r="AA114" s="1907">
        <f>50*AB100</f>
        <v>459.99999999999994</v>
      </c>
      <c r="AB114" s="1908">
        <f>AB100*1000</f>
        <v>9200</v>
      </c>
      <c r="AC114" s="1907">
        <f>50*AD100</f>
        <v>450</v>
      </c>
      <c r="AD114" s="1908">
        <f>AD100*1000</f>
        <v>9000</v>
      </c>
      <c r="AE114" s="1907">
        <f>50*AF100</f>
        <v>445</v>
      </c>
      <c r="AF114" s="1908">
        <f>AF100*1000</f>
        <v>8900</v>
      </c>
      <c r="AG114" s="1907">
        <f>50*AH100</f>
        <v>509.99999999999994</v>
      </c>
      <c r="AH114" s="1908">
        <f>AH100*1000</f>
        <v>10200</v>
      </c>
      <c r="AI114" s="1907">
        <f>50*AJ100</f>
        <v>505</v>
      </c>
      <c r="AJ114" s="1908">
        <f>AJ100*1000</f>
        <v>10100</v>
      </c>
      <c r="AK114" s="1907">
        <f>50*AL100</f>
        <v>500</v>
      </c>
      <c r="AL114" s="1908">
        <f>AL100*1000</f>
        <v>10000</v>
      </c>
      <c r="AM114" s="1907">
        <f>50*AN100</f>
        <v>495</v>
      </c>
      <c r="AN114" s="1908">
        <f>AN100*1000</f>
        <v>9900</v>
      </c>
      <c r="AO114" s="1907">
        <f>50*AP100</f>
        <v>459.99999999999994</v>
      </c>
      <c r="AP114" s="1908">
        <f>AP100*1000</f>
        <v>9200</v>
      </c>
      <c r="AQ114" s="1907">
        <f>50*AR100</f>
        <v>490.00000000000006</v>
      </c>
      <c r="AR114" s="1908">
        <f>AR100*1000</f>
        <v>9800</v>
      </c>
      <c r="AS114" s="1907">
        <f>50*AT100</f>
        <v>505</v>
      </c>
      <c r="AT114" s="1908">
        <f>AT100*1000</f>
        <v>10100</v>
      </c>
      <c r="AU114" s="1907">
        <f>50*AV100</f>
        <v>525</v>
      </c>
      <c r="AV114" s="1908">
        <f>AV100*1000</f>
        <v>10500</v>
      </c>
      <c r="AW114" s="1907">
        <f>50*AX100</f>
        <v>440.00000000000006</v>
      </c>
      <c r="AX114" s="1908">
        <f>AX100*1000</f>
        <v>8800</v>
      </c>
      <c r="AY114" s="1907">
        <f>50*AZ100</f>
        <v>465.00000000000006</v>
      </c>
      <c r="AZ114" s="1908">
        <f>AZ100*1000</f>
        <v>9300</v>
      </c>
      <c r="BA114" s="1907">
        <f>50*BB100</f>
        <v>490.00000000000006</v>
      </c>
      <c r="BB114" s="1908">
        <f>BB100*1000</f>
        <v>9800</v>
      </c>
      <c r="BC114" s="1907">
        <f>50*BD100</f>
        <v>525</v>
      </c>
      <c r="BD114" s="1908">
        <f>BD100*1000</f>
        <v>10500</v>
      </c>
      <c r="BE114" s="1907">
        <f>50*BF100</f>
        <v>540</v>
      </c>
      <c r="BF114" s="1908">
        <f>BF100*1000</f>
        <v>10800</v>
      </c>
      <c r="BG114" s="1907">
        <f>50*BH100</f>
        <v>555</v>
      </c>
      <c r="BH114" s="1908">
        <f>BH100*1000</f>
        <v>11100</v>
      </c>
      <c r="BI114" s="1907">
        <f>50*BJ100</f>
        <v>475</v>
      </c>
      <c r="BJ114" s="1908">
        <f>BJ100*1000</f>
        <v>9500</v>
      </c>
      <c r="BK114" s="1907">
        <f>50*BL100</f>
        <v>500</v>
      </c>
      <c r="BL114" s="1908">
        <f>BL100*1000</f>
        <v>10000</v>
      </c>
      <c r="BM114" s="1907">
        <f>50*BN100</f>
        <v>525</v>
      </c>
      <c r="BN114" s="1908">
        <f>BN100*1000</f>
        <v>10500</v>
      </c>
      <c r="BO114" s="1907">
        <f>50*BP100</f>
        <v>555</v>
      </c>
      <c r="BP114" s="1908">
        <f>BP100*1000</f>
        <v>11100</v>
      </c>
      <c r="BQ114" s="1907">
        <f>50*BR100</f>
        <v>575</v>
      </c>
      <c r="BR114" s="1908">
        <f>BR100*1000</f>
        <v>11500</v>
      </c>
      <c r="BS114" s="1907">
        <f>50*BT100</f>
        <v>590</v>
      </c>
      <c r="BT114" s="1908">
        <f>BT100*1000</f>
        <v>11800</v>
      </c>
      <c r="BU114" s="1907">
        <f>50*BV100</f>
        <v>555</v>
      </c>
      <c r="BV114" s="1908">
        <f>BV100*1000</f>
        <v>11100</v>
      </c>
      <c r="BW114" s="1907">
        <f>50*BX100</f>
        <v>555</v>
      </c>
      <c r="BX114" s="1908">
        <f>BX100*1000</f>
        <v>11100</v>
      </c>
      <c r="BY114" s="1907">
        <f>50*BZ100</f>
        <v>530</v>
      </c>
      <c r="BZ114" s="1908">
        <f>BZ100*1000</f>
        <v>10600</v>
      </c>
      <c r="CA114" s="1907">
        <f>50*CB100</f>
        <v>495</v>
      </c>
      <c r="CB114" s="1908">
        <f>CB100*1000</f>
        <v>9900</v>
      </c>
      <c r="CC114" s="1907">
        <f>50*CD100</f>
        <v>475</v>
      </c>
      <c r="CD114" s="1908">
        <f>CD100*1000</f>
        <v>9500</v>
      </c>
      <c r="CE114" s="1907">
        <f>50*CF100</f>
        <v>480</v>
      </c>
      <c r="CF114" s="1908">
        <f>CF100*1000</f>
        <v>9600</v>
      </c>
      <c r="CG114" s="1907">
        <f>50*CH100</f>
        <v>590</v>
      </c>
      <c r="CH114" s="1908">
        <f>CH100*1000</f>
        <v>11800</v>
      </c>
      <c r="CI114" s="1907">
        <f>50*CJ100</f>
        <v>595</v>
      </c>
      <c r="CJ114" s="1908">
        <f>CJ100*1000</f>
        <v>11900</v>
      </c>
      <c r="CK114" s="1907">
        <f>50*CL100</f>
        <v>565</v>
      </c>
      <c r="CL114" s="1908">
        <f>CL100*1000</f>
        <v>11300</v>
      </c>
      <c r="CM114" s="1907">
        <f>50*CN100</f>
        <v>530</v>
      </c>
      <c r="CN114" s="1908">
        <f>CN100*1000</f>
        <v>10600</v>
      </c>
      <c r="CO114" s="1907">
        <f>50*CP100</f>
        <v>515</v>
      </c>
      <c r="CP114" s="1908">
        <f>CP100*1000</f>
        <v>10300</v>
      </c>
      <c r="CQ114" s="1907">
        <f>50*CR100</f>
        <v>515</v>
      </c>
      <c r="CR114" s="1908">
        <f>CR100*1000</f>
        <v>10300</v>
      </c>
      <c r="CS114" s="1907">
        <f>50*CT100</f>
        <v>630</v>
      </c>
      <c r="CT114" s="1908">
        <f>CT100*1000</f>
        <v>12600</v>
      </c>
      <c r="CU114" s="1907">
        <f>50*CV100</f>
        <v>630</v>
      </c>
      <c r="CV114" s="1908">
        <f>CV100*1000</f>
        <v>12600</v>
      </c>
      <c r="CW114" s="1907">
        <f>50*CX100</f>
        <v>605</v>
      </c>
      <c r="CX114" s="1908">
        <f>CX100*1000</f>
        <v>12100</v>
      </c>
      <c r="CY114" s="1907">
        <f>50*CZ100</f>
        <v>570</v>
      </c>
      <c r="CZ114" s="1908">
        <f>CZ100*1000</f>
        <v>11400</v>
      </c>
      <c r="DA114" s="1907">
        <f>50*DB100</f>
        <v>550</v>
      </c>
      <c r="DB114" s="1908">
        <f>DB100*1000</f>
        <v>11000</v>
      </c>
      <c r="DC114" s="1907">
        <f>50*DD100</f>
        <v>555</v>
      </c>
      <c r="DD114" s="1908">
        <f>DD100*1000</f>
        <v>11100</v>
      </c>
      <c r="DE114" s="1907">
        <f>50*DF100</f>
        <v>665</v>
      </c>
      <c r="DF114" s="1908">
        <f>DF100*1000</f>
        <v>13300</v>
      </c>
      <c r="DG114" s="1907">
        <f>50*DH100</f>
        <v>665</v>
      </c>
      <c r="DH114" s="1908">
        <f>DH100*1000</f>
        <v>13300</v>
      </c>
      <c r="DI114" s="1907">
        <f>50*DJ100</f>
        <v>640</v>
      </c>
      <c r="DJ114" s="1908">
        <f>DJ100*1000</f>
        <v>12800</v>
      </c>
      <c r="DK114" s="1907">
        <f>50*DL100</f>
        <v>605</v>
      </c>
      <c r="DL114" s="1908">
        <f>DL100*1000</f>
        <v>12100</v>
      </c>
      <c r="DM114" s="1907">
        <f>50*DN100</f>
        <v>585</v>
      </c>
      <c r="DN114" s="1908">
        <f>DN100*1000</f>
        <v>11700</v>
      </c>
      <c r="DO114" s="1907">
        <f>50*DP100</f>
        <v>590</v>
      </c>
      <c r="DP114" s="1908">
        <f>DP100*1000</f>
        <v>11800</v>
      </c>
      <c r="DQ114" s="1917"/>
      <c r="DR114" s="1918"/>
      <c r="DS114" s="1917"/>
      <c r="DT114" s="1918"/>
      <c r="DU114" s="1917"/>
      <c r="DV114" s="1918"/>
      <c r="DW114" s="1917"/>
      <c r="DX114" s="1918"/>
    </row>
    <row r="115" spans="8:128">
      <c r="H115" s="1905" t="s">
        <v>24</v>
      </c>
      <c r="I115" s="1892">
        <f>20*J100</f>
        <v>148</v>
      </c>
      <c r="J115" s="1906">
        <f>J100*1000</f>
        <v>7400</v>
      </c>
      <c r="K115" s="1892">
        <f>20*L100</f>
        <v>146</v>
      </c>
      <c r="L115" s="1906">
        <f>L100*1000</f>
        <v>7300</v>
      </c>
      <c r="M115" s="1892">
        <f>20*N100</f>
        <v>142</v>
      </c>
      <c r="N115" s="1906">
        <f>N100*1000</f>
        <v>7100</v>
      </c>
      <c r="O115" s="1892">
        <f>20*P100</f>
        <v>140</v>
      </c>
      <c r="P115" s="1906">
        <f>P100*1000</f>
        <v>7000</v>
      </c>
      <c r="Q115" s="1892">
        <f>20*R100</f>
        <v>166</v>
      </c>
      <c r="R115" s="1906">
        <f>R100*1000</f>
        <v>8300</v>
      </c>
      <c r="S115" s="1892">
        <f>20*T100</f>
        <v>164</v>
      </c>
      <c r="T115" s="1906">
        <f>T100*1000</f>
        <v>8200</v>
      </c>
      <c r="U115" s="1892">
        <f>20*V100</f>
        <v>162</v>
      </c>
      <c r="V115" s="1906">
        <f>V100*1000</f>
        <v>8100</v>
      </c>
      <c r="W115" s="1892">
        <f>20*X100</f>
        <v>160</v>
      </c>
      <c r="X115" s="1906">
        <f>X100*1000</f>
        <v>8000</v>
      </c>
      <c r="Y115" s="1892">
        <f>20*Z100</f>
        <v>186</v>
      </c>
      <c r="Z115" s="1906">
        <f>Z100*1000</f>
        <v>9300</v>
      </c>
      <c r="AA115" s="1907">
        <f>20*AB100</f>
        <v>184</v>
      </c>
      <c r="AB115" s="1908">
        <f>AB100*1000</f>
        <v>9200</v>
      </c>
      <c r="AC115" s="1907">
        <f>20*AD100</f>
        <v>180</v>
      </c>
      <c r="AD115" s="1908">
        <f>AD100*1000</f>
        <v>9000</v>
      </c>
      <c r="AE115" s="1907">
        <f>20*AF100</f>
        <v>178</v>
      </c>
      <c r="AF115" s="1908">
        <f>AF100*1000</f>
        <v>8900</v>
      </c>
      <c r="AG115" s="1907">
        <f>20*AH100</f>
        <v>204</v>
      </c>
      <c r="AH115" s="1908">
        <f>AH100*1000</f>
        <v>10200</v>
      </c>
      <c r="AI115" s="1907">
        <f>20*AJ100</f>
        <v>202</v>
      </c>
      <c r="AJ115" s="1908">
        <f>AJ100*1000</f>
        <v>10100</v>
      </c>
      <c r="AK115" s="1907">
        <f>20*AL100</f>
        <v>200</v>
      </c>
      <c r="AL115" s="1908">
        <f>AL100*1000</f>
        <v>10000</v>
      </c>
      <c r="AM115" s="1907">
        <f>20*AN100</f>
        <v>198</v>
      </c>
      <c r="AN115" s="1908">
        <f>AN100*1000</f>
        <v>9900</v>
      </c>
      <c r="AO115" s="1907">
        <f>20*AP100</f>
        <v>184</v>
      </c>
      <c r="AP115" s="1908">
        <f>AP100*1000</f>
        <v>9200</v>
      </c>
      <c r="AQ115" s="1907">
        <f>20*AR100</f>
        <v>196</v>
      </c>
      <c r="AR115" s="1908">
        <f>AR100*1000</f>
        <v>9800</v>
      </c>
      <c r="AS115" s="1907">
        <f>20*AT100</f>
        <v>202</v>
      </c>
      <c r="AT115" s="1908">
        <f>AT100*1000</f>
        <v>10100</v>
      </c>
      <c r="AU115" s="1907">
        <f>20*AV100</f>
        <v>210</v>
      </c>
      <c r="AV115" s="1908">
        <f>AV100*1000</f>
        <v>10500</v>
      </c>
      <c r="AW115" s="1907">
        <f>20*AX100</f>
        <v>176</v>
      </c>
      <c r="AX115" s="1908">
        <f>AX100*1000</f>
        <v>8800</v>
      </c>
      <c r="AY115" s="1907">
        <f>20*AZ100</f>
        <v>186</v>
      </c>
      <c r="AZ115" s="1908">
        <f>AZ100*1000</f>
        <v>9300</v>
      </c>
      <c r="BA115" s="1907">
        <f>20*BB100</f>
        <v>196</v>
      </c>
      <c r="BB115" s="1908">
        <f>BB100*1000</f>
        <v>9800</v>
      </c>
      <c r="BC115" s="1907">
        <f>20*BD100</f>
        <v>210</v>
      </c>
      <c r="BD115" s="1908">
        <f>BD100*1000</f>
        <v>10500</v>
      </c>
      <c r="BE115" s="1907">
        <f>20*BF100</f>
        <v>216</v>
      </c>
      <c r="BF115" s="1908">
        <f>BF100*1000</f>
        <v>10800</v>
      </c>
      <c r="BG115" s="1907">
        <f>20*BH100</f>
        <v>222</v>
      </c>
      <c r="BH115" s="1908">
        <f>BH100*1000</f>
        <v>11100</v>
      </c>
      <c r="BI115" s="1907">
        <f>20*BJ100</f>
        <v>190</v>
      </c>
      <c r="BJ115" s="1908">
        <f>BJ100*1000</f>
        <v>9500</v>
      </c>
      <c r="BK115" s="1907">
        <f>20*BL100</f>
        <v>200</v>
      </c>
      <c r="BL115" s="1908">
        <f>BL100*1000</f>
        <v>10000</v>
      </c>
      <c r="BM115" s="1907">
        <f>20*BN100</f>
        <v>210</v>
      </c>
      <c r="BN115" s="1908">
        <f>BN100*1000</f>
        <v>10500</v>
      </c>
      <c r="BO115" s="1907">
        <f>20*BP100</f>
        <v>222</v>
      </c>
      <c r="BP115" s="1908">
        <f>BP100*1000</f>
        <v>11100</v>
      </c>
      <c r="BQ115" s="1907">
        <f>20*BR100</f>
        <v>230</v>
      </c>
      <c r="BR115" s="1908">
        <f>BR100*1000</f>
        <v>11500</v>
      </c>
      <c r="BS115" s="1907">
        <f>20*BT100</f>
        <v>236</v>
      </c>
      <c r="BT115" s="1908">
        <f>BT100*1000</f>
        <v>11800</v>
      </c>
      <c r="BU115" s="1907">
        <f>20*BV100</f>
        <v>222</v>
      </c>
      <c r="BV115" s="1908">
        <f>BV100*1000</f>
        <v>11100</v>
      </c>
      <c r="BW115" s="1907">
        <f>20*BX100</f>
        <v>222</v>
      </c>
      <c r="BX115" s="1908">
        <f>BX100*1000</f>
        <v>11100</v>
      </c>
      <c r="BY115" s="1907">
        <f>20*BZ100</f>
        <v>212</v>
      </c>
      <c r="BZ115" s="1908">
        <f>BZ100*1000</f>
        <v>10600</v>
      </c>
      <c r="CA115" s="1907">
        <f>20*CB100</f>
        <v>198</v>
      </c>
      <c r="CB115" s="1908">
        <f>CB100*1000</f>
        <v>9900</v>
      </c>
      <c r="CC115" s="1907">
        <f>20*CD100</f>
        <v>190</v>
      </c>
      <c r="CD115" s="1908">
        <f>CD100*1000</f>
        <v>9500</v>
      </c>
      <c r="CE115" s="1907">
        <f>20*CF100</f>
        <v>192</v>
      </c>
      <c r="CF115" s="1908">
        <f>CF100*1000</f>
        <v>9600</v>
      </c>
      <c r="CG115" s="1907">
        <f>20*CH100</f>
        <v>236</v>
      </c>
      <c r="CH115" s="1908">
        <f>CH100*1000</f>
        <v>11800</v>
      </c>
      <c r="CI115" s="1907">
        <f>20*CJ100</f>
        <v>238</v>
      </c>
      <c r="CJ115" s="1908">
        <f>CJ100*1000</f>
        <v>11900</v>
      </c>
      <c r="CK115" s="1907">
        <f>20*CL100</f>
        <v>226</v>
      </c>
      <c r="CL115" s="1908">
        <f>CL100*1000</f>
        <v>11300</v>
      </c>
      <c r="CM115" s="1907">
        <f>20*CN100</f>
        <v>212</v>
      </c>
      <c r="CN115" s="1908">
        <f>CN100*1000</f>
        <v>10600</v>
      </c>
      <c r="CO115" s="1907">
        <f>20*CP100</f>
        <v>206</v>
      </c>
      <c r="CP115" s="1908">
        <f>CP100*1000</f>
        <v>10300</v>
      </c>
      <c r="CQ115" s="1907">
        <f>20*CR100</f>
        <v>206</v>
      </c>
      <c r="CR115" s="1908">
        <f>CR100*1000</f>
        <v>10300</v>
      </c>
      <c r="CS115" s="1907">
        <f>20*CT100</f>
        <v>252</v>
      </c>
      <c r="CT115" s="1908">
        <f>CT100*1000</f>
        <v>12600</v>
      </c>
      <c r="CU115" s="1907">
        <f>20*CV100</f>
        <v>252</v>
      </c>
      <c r="CV115" s="1908">
        <f>CV100*1000</f>
        <v>12600</v>
      </c>
      <c r="CW115" s="1907">
        <f>20*CX100</f>
        <v>242</v>
      </c>
      <c r="CX115" s="1908">
        <f>CX100*1000</f>
        <v>12100</v>
      </c>
      <c r="CY115" s="1907">
        <f>20*CZ100</f>
        <v>228</v>
      </c>
      <c r="CZ115" s="1908">
        <f>CZ100*1000</f>
        <v>11400</v>
      </c>
      <c r="DA115" s="1907">
        <f>20*DB100</f>
        <v>220</v>
      </c>
      <c r="DB115" s="1908">
        <f>DB100*1000</f>
        <v>11000</v>
      </c>
      <c r="DC115" s="1907">
        <f>20*DD100</f>
        <v>222</v>
      </c>
      <c r="DD115" s="1908">
        <f>DD100*1000</f>
        <v>11100</v>
      </c>
      <c r="DE115" s="1907">
        <f>20*DF100</f>
        <v>266</v>
      </c>
      <c r="DF115" s="1908">
        <f>DF100*1000</f>
        <v>13300</v>
      </c>
      <c r="DG115" s="1907">
        <f>20*DH100</f>
        <v>266</v>
      </c>
      <c r="DH115" s="1908">
        <f>DH100*1000</f>
        <v>13300</v>
      </c>
      <c r="DI115" s="1907">
        <f>20*DJ100</f>
        <v>256</v>
      </c>
      <c r="DJ115" s="1908">
        <f>DJ100*1000</f>
        <v>12800</v>
      </c>
      <c r="DK115" s="1907">
        <f>20*DL100</f>
        <v>242</v>
      </c>
      <c r="DL115" s="1908">
        <f>DL100*1000</f>
        <v>12100</v>
      </c>
      <c r="DM115" s="1907">
        <f>20*DN100</f>
        <v>234</v>
      </c>
      <c r="DN115" s="1908">
        <f>DN100*1000</f>
        <v>11700</v>
      </c>
      <c r="DO115" s="1907">
        <f>20*DP100</f>
        <v>236</v>
      </c>
      <c r="DP115" s="1908">
        <f>DP100*1000</f>
        <v>11800</v>
      </c>
      <c r="DQ115" s="1917"/>
      <c r="DR115" s="1918"/>
      <c r="DS115" s="1917"/>
      <c r="DT115" s="1918"/>
      <c r="DU115" s="1917"/>
      <c r="DV115" s="1918"/>
      <c r="DW115" s="1917"/>
      <c r="DX115" s="1918"/>
    </row>
    <row r="116" spans="8:128">
      <c r="H116" s="1905" t="s">
        <v>25</v>
      </c>
      <c r="I116" s="1892">
        <f>0.5*J100</f>
        <v>3.7</v>
      </c>
      <c r="J116" s="1906">
        <f>J100*50</f>
        <v>370</v>
      </c>
      <c r="K116" s="1892">
        <f>0.5*L100</f>
        <v>3.65</v>
      </c>
      <c r="L116" s="1906">
        <f>L100*50</f>
        <v>365</v>
      </c>
      <c r="M116" s="1892">
        <f>0.5*N100</f>
        <v>3.55</v>
      </c>
      <c r="N116" s="1906">
        <f>N100*50</f>
        <v>355</v>
      </c>
      <c r="O116" s="1892">
        <f>0.5*P100</f>
        <v>3.5</v>
      </c>
      <c r="P116" s="1906">
        <f>P100*50</f>
        <v>350</v>
      </c>
      <c r="Q116" s="1892">
        <f>0.5*R100</f>
        <v>4.1500000000000004</v>
      </c>
      <c r="R116" s="1906">
        <f>R100*50</f>
        <v>415.00000000000006</v>
      </c>
      <c r="S116" s="1892">
        <f>0.5*T100</f>
        <v>4.0999999999999996</v>
      </c>
      <c r="T116" s="1906">
        <f>T100*50</f>
        <v>409.99999999999994</v>
      </c>
      <c r="U116" s="1892">
        <f>0.5*V100</f>
        <v>4.05</v>
      </c>
      <c r="V116" s="1906">
        <f>V100*50</f>
        <v>405</v>
      </c>
      <c r="W116" s="1892">
        <f>0.5*X100</f>
        <v>4</v>
      </c>
      <c r="X116" s="1906">
        <f>X100*50</f>
        <v>400</v>
      </c>
      <c r="Y116" s="1892">
        <f>0.5*Z100</f>
        <v>4.6500000000000004</v>
      </c>
      <c r="Z116" s="1906">
        <f>Z100*50</f>
        <v>465.00000000000006</v>
      </c>
      <c r="AA116" s="1907">
        <f>0.5*AB100</f>
        <v>4.5999999999999996</v>
      </c>
      <c r="AB116" s="1908">
        <f>AB100*50</f>
        <v>459.99999999999994</v>
      </c>
      <c r="AC116" s="1907">
        <f>0.5*AD100</f>
        <v>4.5</v>
      </c>
      <c r="AD116" s="1908">
        <f>AD100*50</f>
        <v>450</v>
      </c>
      <c r="AE116" s="1907">
        <f>0.5*AF100</f>
        <v>4.45</v>
      </c>
      <c r="AF116" s="1908">
        <f>AF100*50</f>
        <v>445</v>
      </c>
      <c r="AG116" s="1907">
        <f>0.5*AH100</f>
        <v>5.0999999999999996</v>
      </c>
      <c r="AH116" s="1908">
        <f>AH100*50</f>
        <v>509.99999999999994</v>
      </c>
      <c r="AI116" s="1907">
        <f>0.5*AJ100</f>
        <v>5.05</v>
      </c>
      <c r="AJ116" s="1908">
        <f>AJ100*50</f>
        <v>505</v>
      </c>
      <c r="AK116" s="1907">
        <f>0.5*AL100</f>
        <v>5</v>
      </c>
      <c r="AL116" s="1908">
        <f>AL100*50</f>
        <v>500</v>
      </c>
      <c r="AM116" s="1907">
        <f>0.5*AN100</f>
        <v>4.95</v>
      </c>
      <c r="AN116" s="1908">
        <f>AN100*50</f>
        <v>495</v>
      </c>
      <c r="AO116" s="1907">
        <f>0.5*AP100</f>
        <v>4.5999999999999996</v>
      </c>
      <c r="AP116" s="1908">
        <f>AP100*50</f>
        <v>459.99999999999994</v>
      </c>
      <c r="AQ116" s="1907">
        <f>0.5*AR100</f>
        <v>4.9000000000000004</v>
      </c>
      <c r="AR116" s="1908">
        <f>AR100*50</f>
        <v>490.00000000000006</v>
      </c>
      <c r="AS116" s="1907">
        <f>0.5*AT100</f>
        <v>5.05</v>
      </c>
      <c r="AT116" s="1908">
        <f>AT100*50</f>
        <v>505</v>
      </c>
      <c r="AU116" s="1907">
        <f>0.5*AV100</f>
        <v>5.25</v>
      </c>
      <c r="AV116" s="1908">
        <f>AV100*50</f>
        <v>525</v>
      </c>
      <c r="AW116" s="1907">
        <f>0.5*AX100</f>
        <v>4.4000000000000004</v>
      </c>
      <c r="AX116" s="1908">
        <f>AX100*50</f>
        <v>440.00000000000006</v>
      </c>
      <c r="AY116" s="1907">
        <f>0.5*AZ100</f>
        <v>4.6500000000000004</v>
      </c>
      <c r="AZ116" s="1908">
        <f>AZ100*50</f>
        <v>465.00000000000006</v>
      </c>
      <c r="BA116" s="1907">
        <f>0.5*BB100</f>
        <v>4.9000000000000004</v>
      </c>
      <c r="BB116" s="1908">
        <f>BB100*50</f>
        <v>490.00000000000006</v>
      </c>
      <c r="BC116" s="1907">
        <f>0.5*BD100</f>
        <v>5.25</v>
      </c>
      <c r="BD116" s="1908">
        <f>BD100*50</f>
        <v>525</v>
      </c>
      <c r="BE116" s="1907">
        <f>0.5*BF100</f>
        <v>5.4</v>
      </c>
      <c r="BF116" s="1908">
        <f>BF100*50</f>
        <v>540</v>
      </c>
      <c r="BG116" s="1907">
        <f>0.5*BH100</f>
        <v>5.55</v>
      </c>
      <c r="BH116" s="1908">
        <f>BH100*50</f>
        <v>555</v>
      </c>
      <c r="BI116" s="1907">
        <f>0.5*BJ100</f>
        <v>4.75</v>
      </c>
      <c r="BJ116" s="1908">
        <f>BJ100*50</f>
        <v>475</v>
      </c>
      <c r="BK116" s="1907">
        <f>0.5*BL100</f>
        <v>5</v>
      </c>
      <c r="BL116" s="1908">
        <f>BL100*50</f>
        <v>500</v>
      </c>
      <c r="BM116" s="1907">
        <f>0.5*BN100</f>
        <v>5.25</v>
      </c>
      <c r="BN116" s="1908">
        <f>BN100*50</f>
        <v>525</v>
      </c>
      <c r="BO116" s="1907">
        <f>0.5*BP100</f>
        <v>5.55</v>
      </c>
      <c r="BP116" s="1908">
        <f>BP100*50</f>
        <v>555</v>
      </c>
      <c r="BQ116" s="1907">
        <f>0.5*BR100</f>
        <v>5.75</v>
      </c>
      <c r="BR116" s="1908">
        <f>BR100*50</f>
        <v>575</v>
      </c>
      <c r="BS116" s="1907">
        <f>0.5*BT100</f>
        <v>5.9</v>
      </c>
      <c r="BT116" s="1908">
        <f>BT100*50</f>
        <v>590</v>
      </c>
      <c r="BU116" s="1907">
        <f>0.5*BV100</f>
        <v>5.55</v>
      </c>
      <c r="BV116" s="1908">
        <f>BV100*50</f>
        <v>555</v>
      </c>
      <c r="BW116" s="1907">
        <f>0.5*BX100</f>
        <v>5.55</v>
      </c>
      <c r="BX116" s="1908">
        <f>BX100*50</f>
        <v>555</v>
      </c>
      <c r="BY116" s="1907">
        <f>0.5*BZ100</f>
        <v>5.3</v>
      </c>
      <c r="BZ116" s="1908">
        <f>BZ100*50</f>
        <v>530</v>
      </c>
      <c r="CA116" s="1907">
        <f>0.5*CB100</f>
        <v>4.95</v>
      </c>
      <c r="CB116" s="1908">
        <f>CB100*50</f>
        <v>495</v>
      </c>
      <c r="CC116" s="1907">
        <f>0.5*CD100</f>
        <v>4.75</v>
      </c>
      <c r="CD116" s="1908">
        <f>CD100*50</f>
        <v>475</v>
      </c>
      <c r="CE116" s="1907">
        <f>0.5*CF100</f>
        <v>4.8</v>
      </c>
      <c r="CF116" s="1908">
        <f>CF100*50</f>
        <v>480</v>
      </c>
      <c r="CG116" s="1907">
        <f>0.5*CH100</f>
        <v>5.9</v>
      </c>
      <c r="CH116" s="1908">
        <f>CH100*50</f>
        <v>590</v>
      </c>
      <c r="CI116" s="1907">
        <f>0.5*CJ100</f>
        <v>5.95</v>
      </c>
      <c r="CJ116" s="1908">
        <f>CJ100*50</f>
        <v>595</v>
      </c>
      <c r="CK116" s="1907">
        <f>0.5*CL100</f>
        <v>5.65</v>
      </c>
      <c r="CL116" s="1908">
        <f>CL100*50</f>
        <v>565</v>
      </c>
      <c r="CM116" s="1907">
        <f>0.5*CN100</f>
        <v>5.3</v>
      </c>
      <c r="CN116" s="1908">
        <f>CN100*50</f>
        <v>530</v>
      </c>
      <c r="CO116" s="1907">
        <f>0.5*CP100</f>
        <v>5.15</v>
      </c>
      <c r="CP116" s="1908">
        <f>CP100*50</f>
        <v>515</v>
      </c>
      <c r="CQ116" s="1907">
        <f>0.5*CR100</f>
        <v>5.15</v>
      </c>
      <c r="CR116" s="1908">
        <f>CR100*50</f>
        <v>515</v>
      </c>
      <c r="CS116" s="1907">
        <f>0.5*CT100</f>
        <v>6.3</v>
      </c>
      <c r="CT116" s="1908">
        <f>CT100*50</f>
        <v>630</v>
      </c>
      <c r="CU116" s="1907">
        <f>0.5*CV100</f>
        <v>6.3</v>
      </c>
      <c r="CV116" s="1908">
        <f>CV100*50</f>
        <v>630</v>
      </c>
      <c r="CW116" s="1907">
        <f>0.5*CX100</f>
        <v>6.05</v>
      </c>
      <c r="CX116" s="1908">
        <f>CX100*50</f>
        <v>605</v>
      </c>
      <c r="CY116" s="1907">
        <f>0.5*CZ100</f>
        <v>5.7</v>
      </c>
      <c r="CZ116" s="1908">
        <f>CZ100*50</f>
        <v>570</v>
      </c>
      <c r="DA116" s="1907">
        <f>0.5*DB100</f>
        <v>5.5</v>
      </c>
      <c r="DB116" s="1908">
        <f>DB100*50</f>
        <v>550</v>
      </c>
      <c r="DC116" s="1907">
        <f>0.5*DD100</f>
        <v>5.55</v>
      </c>
      <c r="DD116" s="1908">
        <f>DD100*50</f>
        <v>555</v>
      </c>
      <c r="DE116" s="1907">
        <f>0.5*DF100</f>
        <v>6.65</v>
      </c>
      <c r="DF116" s="1908">
        <f>DF100*50</f>
        <v>665</v>
      </c>
      <c r="DG116" s="1907">
        <f>0.5*DH100</f>
        <v>6.65</v>
      </c>
      <c r="DH116" s="1908">
        <f>DH100*50</f>
        <v>665</v>
      </c>
      <c r="DI116" s="1907">
        <f>0.5*DJ100</f>
        <v>6.4</v>
      </c>
      <c r="DJ116" s="1908">
        <f>DJ100*50</f>
        <v>640</v>
      </c>
      <c r="DK116" s="1907">
        <f>0.5*DL100</f>
        <v>6.05</v>
      </c>
      <c r="DL116" s="1908">
        <f>DL100*50</f>
        <v>605</v>
      </c>
      <c r="DM116" s="1907">
        <f>0.5*DN100</f>
        <v>5.85</v>
      </c>
      <c r="DN116" s="1908">
        <f>DN100*50</f>
        <v>585</v>
      </c>
      <c r="DO116" s="1907">
        <f>0.5*DP100</f>
        <v>5.9</v>
      </c>
      <c r="DP116" s="1908">
        <f>DP100*50</f>
        <v>590</v>
      </c>
      <c r="DQ116" s="1917"/>
      <c r="DR116" s="1918"/>
      <c r="DS116" s="1917"/>
      <c r="DT116" s="1918"/>
      <c r="DU116" s="1917"/>
      <c r="DV116" s="1918"/>
      <c r="DW116" s="1917"/>
      <c r="DX116" s="1918"/>
    </row>
    <row r="117" spans="8:128">
      <c r="H117" s="1905" t="s">
        <v>26</v>
      </c>
      <c r="I117" s="1892">
        <f>0.2*J100</f>
        <v>1.4800000000000002</v>
      </c>
      <c r="J117" s="1906">
        <f>J100*10</f>
        <v>74</v>
      </c>
      <c r="K117" s="1892">
        <f>0.2*L100</f>
        <v>1.46</v>
      </c>
      <c r="L117" s="1906">
        <f>L100*10</f>
        <v>73</v>
      </c>
      <c r="M117" s="1892">
        <f>0.2*N100</f>
        <v>1.42</v>
      </c>
      <c r="N117" s="1906">
        <f>N100*10</f>
        <v>71</v>
      </c>
      <c r="O117" s="1892">
        <f>0.2*P100</f>
        <v>1.4000000000000001</v>
      </c>
      <c r="P117" s="1906">
        <f>P100*10</f>
        <v>70</v>
      </c>
      <c r="Q117" s="1892">
        <f>0.2*R100</f>
        <v>1.6600000000000001</v>
      </c>
      <c r="R117" s="1906">
        <f>R100*10</f>
        <v>83</v>
      </c>
      <c r="S117" s="1892">
        <f>0.2*T100</f>
        <v>1.64</v>
      </c>
      <c r="T117" s="1906">
        <f>T100*10</f>
        <v>82</v>
      </c>
      <c r="U117" s="1892">
        <f>0.2*V100</f>
        <v>1.62</v>
      </c>
      <c r="V117" s="1906">
        <f>V100*10</f>
        <v>81</v>
      </c>
      <c r="W117" s="1892">
        <f>0.2*X100</f>
        <v>1.6</v>
      </c>
      <c r="X117" s="1906">
        <f>X100*10</f>
        <v>80</v>
      </c>
      <c r="Y117" s="1892">
        <f>0.2*Z100</f>
        <v>1.8600000000000003</v>
      </c>
      <c r="Z117" s="1906">
        <f>Z100*10</f>
        <v>93</v>
      </c>
      <c r="AA117" s="1907">
        <f>0.2*AB100</f>
        <v>1.8399999999999999</v>
      </c>
      <c r="AB117" s="1908">
        <f>AB100*10</f>
        <v>92</v>
      </c>
      <c r="AC117" s="1907">
        <f>0.2*AD100</f>
        <v>1.8</v>
      </c>
      <c r="AD117" s="1908">
        <f>AD100*10</f>
        <v>90</v>
      </c>
      <c r="AE117" s="1907">
        <f>0.2*AF100</f>
        <v>1.7800000000000002</v>
      </c>
      <c r="AF117" s="1908">
        <f>AF100*10</f>
        <v>89</v>
      </c>
      <c r="AG117" s="1907">
        <f>0.2*AH100</f>
        <v>2.04</v>
      </c>
      <c r="AH117" s="1908">
        <f>AH100*10</f>
        <v>102</v>
      </c>
      <c r="AI117" s="1907">
        <f>0.2*AJ100</f>
        <v>2.02</v>
      </c>
      <c r="AJ117" s="1908">
        <f>AJ100*10</f>
        <v>101</v>
      </c>
      <c r="AK117" s="1907">
        <f>0.2*AL100</f>
        <v>2</v>
      </c>
      <c r="AL117" s="1908">
        <f>AL100*10</f>
        <v>100</v>
      </c>
      <c r="AM117" s="1907">
        <f>0.2*AN100</f>
        <v>1.9800000000000002</v>
      </c>
      <c r="AN117" s="1908">
        <f>AN100*10</f>
        <v>99</v>
      </c>
      <c r="AO117" s="1907">
        <f>0.2*AP100</f>
        <v>1.8399999999999999</v>
      </c>
      <c r="AP117" s="1908">
        <f>AP100*10</f>
        <v>92</v>
      </c>
      <c r="AQ117" s="1907">
        <f>0.2*AR100</f>
        <v>1.9600000000000002</v>
      </c>
      <c r="AR117" s="1908">
        <f>AR100*10</f>
        <v>98</v>
      </c>
      <c r="AS117" s="1907">
        <f>0.2*AT100</f>
        <v>2.02</v>
      </c>
      <c r="AT117" s="1908">
        <f>AT100*10</f>
        <v>101</v>
      </c>
      <c r="AU117" s="1907">
        <f>0.2*AV100</f>
        <v>2.1</v>
      </c>
      <c r="AV117" s="1908">
        <f>AV100*10</f>
        <v>105</v>
      </c>
      <c r="AW117" s="1907">
        <f>0.2*AX100</f>
        <v>1.7600000000000002</v>
      </c>
      <c r="AX117" s="1908">
        <f>AX100*10</f>
        <v>88</v>
      </c>
      <c r="AY117" s="1907">
        <f>0.2*AZ100</f>
        <v>1.8600000000000003</v>
      </c>
      <c r="AZ117" s="1908">
        <f>AZ100*10</f>
        <v>93</v>
      </c>
      <c r="BA117" s="1907">
        <f>0.2*BB100</f>
        <v>1.9600000000000002</v>
      </c>
      <c r="BB117" s="1908">
        <f>BB100*10</f>
        <v>98</v>
      </c>
      <c r="BC117" s="1907">
        <f>0.2*BD100</f>
        <v>2.1</v>
      </c>
      <c r="BD117" s="1908">
        <f>BD100*10</f>
        <v>105</v>
      </c>
      <c r="BE117" s="1907">
        <f>0.2*BF100</f>
        <v>2.16</v>
      </c>
      <c r="BF117" s="1908">
        <f>BF100*10</f>
        <v>108</v>
      </c>
      <c r="BG117" s="1907">
        <f>0.2*BH100</f>
        <v>2.2200000000000002</v>
      </c>
      <c r="BH117" s="1908">
        <f>BH100*10</f>
        <v>111</v>
      </c>
      <c r="BI117" s="1907">
        <f>0.2*BJ100</f>
        <v>1.9000000000000001</v>
      </c>
      <c r="BJ117" s="1908">
        <f>BJ100*10</f>
        <v>95</v>
      </c>
      <c r="BK117" s="1907">
        <f>0.2*BL100</f>
        <v>2</v>
      </c>
      <c r="BL117" s="1908">
        <f>BL100*10</f>
        <v>100</v>
      </c>
      <c r="BM117" s="1907">
        <f>0.2*BN100</f>
        <v>2.1</v>
      </c>
      <c r="BN117" s="1908">
        <f>BN100*10</f>
        <v>105</v>
      </c>
      <c r="BO117" s="1907">
        <f>0.2*BP100</f>
        <v>2.2200000000000002</v>
      </c>
      <c r="BP117" s="1908">
        <f>BP100*10</f>
        <v>111</v>
      </c>
      <c r="BQ117" s="1907">
        <f>0.2*BR100</f>
        <v>2.3000000000000003</v>
      </c>
      <c r="BR117" s="1908">
        <f>BR100*10</f>
        <v>115</v>
      </c>
      <c r="BS117" s="1907">
        <f>0.2*BT100</f>
        <v>2.3600000000000003</v>
      </c>
      <c r="BT117" s="1908">
        <f>BT100*10</f>
        <v>118</v>
      </c>
      <c r="BU117" s="1907">
        <f>0.2*BV100</f>
        <v>2.2200000000000002</v>
      </c>
      <c r="BV117" s="1908">
        <f>BV100*10</f>
        <v>111</v>
      </c>
      <c r="BW117" s="1907">
        <f>0.2*BX100</f>
        <v>2.2200000000000002</v>
      </c>
      <c r="BX117" s="1908">
        <f>BX100*10</f>
        <v>111</v>
      </c>
      <c r="BY117" s="1907">
        <f>0.2*BZ100</f>
        <v>2.12</v>
      </c>
      <c r="BZ117" s="1908">
        <f>BZ100*10</f>
        <v>106</v>
      </c>
      <c r="CA117" s="1907">
        <f>0.2*CB100</f>
        <v>1.9800000000000002</v>
      </c>
      <c r="CB117" s="1908">
        <f>CB100*10</f>
        <v>99</v>
      </c>
      <c r="CC117" s="1907">
        <f>0.2*CD100</f>
        <v>1.9000000000000001</v>
      </c>
      <c r="CD117" s="1908">
        <f>CD100*10</f>
        <v>95</v>
      </c>
      <c r="CE117" s="1907">
        <f>0.2*CF100</f>
        <v>1.92</v>
      </c>
      <c r="CF117" s="1908">
        <f>CF100*10</f>
        <v>96</v>
      </c>
      <c r="CG117" s="1907">
        <f>0.2*CH100</f>
        <v>2.3600000000000003</v>
      </c>
      <c r="CH117" s="1908">
        <f>CH100*10</f>
        <v>118</v>
      </c>
      <c r="CI117" s="1907">
        <f>0.2*CJ100</f>
        <v>2.3800000000000003</v>
      </c>
      <c r="CJ117" s="1908">
        <f>CJ100*10</f>
        <v>119</v>
      </c>
      <c r="CK117" s="1907">
        <f>0.2*CL100</f>
        <v>2.2600000000000002</v>
      </c>
      <c r="CL117" s="1908">
        <f>CL100*10</f>
        <v>113</v>
      </c>
      <c r="CM117" s="1907">
        <f>0.2*CN100</f>
        <v>2.12</v>
      </c>
      <c r="CN117" s="1908">
        <f>CN100*10</f>
        <v>106</v>
      </c>
      <c r="CO117" s="1907">
        <f>0.2*CP100</f>
        <v>2.06</v>
      </c>
      <c r="CP117" s="1908">
        <f>CP100*10</f>
        <v>103</v>
      </c>
      <c r="CQ117" s="1907">
        <f>0.2*CR100</f>
        <v>2.06</v>
      </c>
      <c r="CR117" s="1908">
        <f>CR100*10</f>
        <v>103</v>
      </c>
      <c r="CS117" s="1907">
        <f>0.2*CT100</f>
        <v>2.52</v>
      </c>
      <c r="CT117" s="1908">
        <f>CT100*10</f>
        <v>126</v>
      </c>
      <c r="CU117" s="1907">
        <f>0.2*CV100</f>
        <v>2.52</v>
      </c>
      <c r="CV117" s="1908">
        <f>CV100*10</f>
        <v>126</v>
      </c>
      <c r="CW117" s="1907">
        <f>0.2*CX100</f>
        <v>2.42</v>
      </c>
      <c r="CX117" s="1908">
        <f>CX100*10</f>
        <v>121</v>
      </c>
      <c r="CY117" s="1907">
        <f>0.2*CZ100</f>
        <v>2.2800000000000002</v>
      </c>
      <c r="CZ117" s="1908">
        <f>CZ100*10</f>
        <v>114</v>
      </c>
      <c r="DA117" s="1907">
        <f>0.2*DB100</f>
        <v>2.2000000000000002</v>
      </c>
      <c r="DB117" s="1908">
        <f>DB100*10</f>
        <v>110</v>
      </c>
      <c r="DC117" s="1907">
        <f>0.2*DD100</f>
        <v>2.2200000000000002</v>
      </c>
      <c r="DD117" s="1908">
        <f>DD100*10</f>
        <v>111</v>
      </c>
      <c r="DE117" s="1907">
        <f>0.2*DF100</f>
        <v>2.66</v>
      </c>
      <c r="DF117" s="1908">
        <f>DF100*10</f>
        <v>133</v>
      </c>
      <c r="DG117" s="1907">
        <f>0.2*DH100</f>
        <v>2.66</v>
      </c>
      <c r="DH117" s="1908">
        <f>DH100*10</f>
        <v>133</v>
      </c>
      <c r="DI117" s="1907">
        <f>0.2*DJ100</f>
        <v>2.5600000000000005</v>
      </c>
      <c r="DJ117" s="1908">
        <f>DJ100*10</f>
        <v>128</v>
      </c>
      <c r="DK117" s="1907">
        <f>0.2*DL100</f>
        <v>2.42</v>
      </c>
      <c r="DL117" s="1908">
        <f>DL100*10</f>
        <v>121</v>
      </c>
      <c r="DM117" s="1907">
        <f>0.2*DN100</f>
        <v>2.34</v>
      </c>
      <c r="DN117" s="1908">
        <f>DN100*10</f>
        <v>117</v>
      </c>
      <c r="DO117" s="1907">
        <f>0.2*DP100</f>
        <v>2.3600000000000003</v>
      </c>
      <c r="DP117" s="1908">
        <f>DP100*10</f>
        <v>118</v>
      </c>
      <c r="DQ117" s="1917"/>
      <c r="DR117" s="1918"/>
      <c r="DS117" s="1917"/>
      <c r="DT117" s="1918"/>
      <c r="DU117" s="1917"/>
      <c r="DV117" s="1918"/>
      <c r="DW117" s="1917"/>
      <c r="DX117" s="1918"/>
    </row>
    <row r="118" spans="8:128">
      <c r="H118" s="1905" t="s">
        <v>27</v>
      </c>
      <c r="I118" s="1892">
        <f>0.2*J100</f>
        <v>1.4800000000000002</v>
      </c>
      <c r="J118" s="1906">
        <f>J100*2</f>
        <v>14.8</v>
      </c>
      <c r="K118" s="1892">
        <f>0.2*L100</f>
        <v>1.46</v>
      </c>
      <c r="L118" s="1906">
        <f>L100*2</f>
        <v>14.6</v>
      </c>
      <c r="M118" s="1892">
        <f>0.2*N100</f>
        <v>1.42</v>
      </c>
      <c r="N118" s="1906">
        <f>N100*2</f>
        <v>14.2</v>
      </c>
      <c r="O118" s="1892">
        <f>0.2*P100</f>
        <v>1.4000000000000001</v>
      </c>
      <c r="P118" s="1906">
        <f>P100*2</f>
        <v>14</v>
      </c>
      <c r="Q118" s="1892">
        <f>0.2*R100</f>
        <v>1.6600000000000001</v>
      </c>
      <c r="R118" s="1906">
        <f>R100*2</f>
        <v>16.600000000000001</v>
      </c>
      <c r="S118" s="1892">
        <f>0.2*T100</f>
        <v>1.64</v>
      </c>
      <c r="T118" s="1906">
        <f>T100*2</f>
        <v>16.399999999999999</v>
      </c>
      <c r="U118" s="1892">
        <f>0.2*V100</f>
        <v>1.62</v>
      </c>
      <c r="V118" s="1906">
        <f>V100*2</f>
        <v>16.2</v>
      </c>
      <c r="W118" s="1892">
        <f>0.2*X100</f>
        <v>1.6</v>
      </c>
      <c r="X118" s="1906">
        <f>X100*2</f>
        <v>16</v>
      </c>
      <c r="Y118" s="1892">
        <f>0.2*Z100</f>
        <v>1.8600000000000003</v>
      </c>
      <c r="Z118" s="1906">
        <f>Z100*2</f>
        <v>18.600000000000001</v>
      </c>
      <c r="AA118" s="1907">
        <f>0.2*AB100</f>
        <v>1.8399999999999999</v>
      </c>
      <c r="AB118" s="1908">
        <f>AB100*2</f>
        <v>18.399999999999999</v>
      </c>
      <c r="AC118" s="1907">
        <f>0.2*AD100</f>
        <v>1.8</v>
      </c>
      <c r="AD118" s="1908">
        <f>AD100*2</f>
        <v>18</v>
      </c>
      <c r="AE118" s="1907">
        <f>0.2*AF100</f>
        <v>1.7800000000000002</v>
      </c>
      <c r="AF118" s="1908">
        <f>AF100*2</f>
        <v>17.8</v>
      </c>
      <c r="AG118" s="1907">
        <f>0.2*AH100</f>
        <v>2.04</v>
      </c>
      <c r="AH118" s="1908">
        <f>AH100*2</f>
        <v>20.399999999999999</v>
      </c>
      <c r="AI118" s="1907">
        <f>0.2*AJ100</f>
        <v>2.02</v>
      </c>
      <c r="AJ118" s="1908">
        <f>AJ100*2</f>
        <v>20.2</v>
      </c>
      <c r="AK118" s="1907">
        <f>0.2*AL100</f>
        <v>2</v>
      </c>
      <c r="AL118" s="1908">
        <f>AL100*2</f>
        <v>20</v>
      </c>
      <c r="AM118" s="1907">
        <f>0.2*AN100</f>
        <v>1.9800000000000002</v>
      </c>
      <c r="AN118" s="1908">
        <f>AN100*2</f>
        <v>19.8</v>
      </c>
      <c r="AO118" s="1907">
        <f>0.2*AP100</f>
        <v>1.8399999999999999</v>
      </c>
      <c r="AP118" s="1908">
        <f>AP100*2</f>
        <v>18.399999999999999</v>
      </c>
      <c r="AQ118" s="1907">
        <f>0.2*AR100</f>
        <v>1.9600000000000002</v>
      </c>
      <c r="AR118" s="1908">
        <f>AR100*2</f>
        <v>19.600000000000001</v>
      </c>
      <c r="AS118" s="1907">
        <f>0.2*AT100</f>
        <v>2.02</v>
      </c>
      <c r="AT118" s="1908">
        <f>AT100*2</f>
        <v>20.2</v>
      </c>
      <c r="AU118" s="1907">
        <f>0.2*AV100</f>
        <v>2.1</v>
      </c>
      <c r="AV118" s="1908">
        <f>AV100*2</f>
        <v>21</v>
      </c>
      <c r="AW118" s="1907">
        <f>0.2*AX100</f>
        <v>1.7600000000000002</v>
      </c>
      <c r="AX118" s="1908">
        <f>AX100*2</f>
        <v>17.600000000000001</v>
      </c>
      <c r="AY118" s="1907">
        <f>0.2*AZ100</f>
        <v>1.8600000000000003</v>
      </c>
      <c r="AZ118" s="1908">
        <f>AZ100*2</f>
        <v>18.600000000000001</v>
      </c>
      <c r="BA118" s="1907">
        <f>0.2*BB100</f>
        <v>1.9600000000000002</v>
      </c>
      <c r="BB118" s="1908">
        <f>BB100*2</f>
        <v>19.600000000000001</v>
      </c>
      <c r="BC118" s="1907">
        <f>0.2*BD100</f>
        <v>2.1</v>
      </c>
      <c r="BD118" s="1908">
        <f>BD100*2</f>
        <v>21</v>
      </c>
      <c r="BE118" s="1907">
        <f>0.2*BF100</f>
        <v>2.16</v>
      </c>
      <c r="BF118" s="1908">
        <f>BF100*2</f>
        <v>21.6</v>
      </c>
      <c r="BG118" s="1907">
        <f>0.2*BH100</f>
        <v>2.2200000000000002</v>
      </c>
      <c r="BH118" s="1908">
        <f>BH100*2</f>
        <v>22.2</v>
      </c>
      <c r="BI118" s="1907">
        <f>0.2*BJ100</f>
        <v>1.9000000000000001</v>
      </c>
      <c r="BJ118" s="1908">
        <f>BJ100*2</f>
        <v>19</v>
      </c>
      <c r="BK118" s="1907">
        <f>0.2*BL100</f>
        <v>2</v>
      </c>
      <c r="BL118" s="1908">
        <f>BL100*2</f>
        <v>20</v>
      </c>
      <c r="BM118" s="1907">
        <f>0.2*BN100</f>
        <v>2.1</v>
      </c>
      <c r="BN118" s="1908">
        <f>BN100*2</f>
        <v>21</v>
      </c>
      <c r="BO118" s="1907">
        <f>0.2*BP100</f>
        <v>2.2200000000000002</v>
      </c>
      <c r="BP118" s="1908">
        <f>BP100*2</f>
        <v>22.2</v>
      </c>
      <c r="BQ118" s="1907">
        <f>0.2*BR100</f>
        <v>2.3000000000000003</v>
      </c>
      <c r="BR118" s="1908">
        <f>BR100*2</f>
        <v>23</v>
      </c>
      <c r="BS118" s="1907">
        <f>0.2*BT100</f>
        <v>2.3600000000000003</v>
      </c>
      <c r="BT118" s="1908">
        <f>BT100*2</f>
        <v>23.6</v>
      </c>
      <c r="BU118" s="1907">
        <f>0.2*BV100</f>
        <v>2.2200000000000002</v>
      </c>
      <c r="BV118" s="1908">
        <f>BV100*2</f>
        <v>22.2</v>
      </c>
      <c r="BW118" s="1907">
        <f>0.2*BX100</f>
        <v>2.2200000000000002</v>
      </c>
      <c r="BX118" s="1908">
        <f>BX100*2</f>
        <v>22.2</v>
      </c>
      <c r="BY118" s="1907">
        <f>0.2*BZ100</f>
        <v>2.12</v>
      </c>
      <c r="BZ118" s="1908">
        <f>BZ100*2</f>
        <v>21.2</v>
      </c>
      <c r="CA118" s="1907">
        <f>0.2*CB100</f>
        <v>1.9800000000000002</v>
      </c>
      <c r="CB118" s="1908">
        <f>CB100*2</f>
        <v>19.8</v>
      </c>
      <c r="CC118" s="1907">
        <f>0.2*CD100</f>
        <v>1.9000000000000001</v>
      </c>
      <c r="CD118" s="1908">
        <f>CD100*2</f>
        <v>19</v>
      </c>
      <c r="CE118" s="1907">
        <f>0.2*CF100</f>
        <v>1.92</v>
      </c>
      <c r="CF118" s="1908">
        <f>CF100*2</f>
        <v>19.2</v>
      </c>
      <c r="CG118" s="1907">
        <f>0.2*CH100</f>
        <v>2.3600000000000003</v>
      </c>
      <c r="CH118" s="1908">
        <f>CH100*2</f>
        <v>23.6</v>
      </c>
      <c r="CI118" s="1907">
        <f>0.2*CJ100</f>
        <v>2.3800000000000003</v>
      </c>
      <c r="CJ118" s="1908">
        <f>CJ100*2</f>
        <v>23.8</v>
      </c>
      <c r="CK118" s="1907">
        <f>0.2*CL100</f>
        <v>2.2600000000000002</v>
      </c>
      <c r="CL118" s="1908">
        <f>CL100*2</f>
        <v>22.6</v>
      </c>
      <c r="CM118" s="1907">
        <f>0.2*CN100</f>
        <v>2.12</v>
      </c>
      <c r="CN118" s="1908">
        <f>CN100*2</f>
        <v>21.2</v>
      </c>
      <c r="CO118" s="1907">
        <f>0.2*CP100</f>
        <v>2.06</v>
      </c>
      <c r="CP118" s="1908">
        <f>CP100*2</f>
        <v>20.6</v>
      </c>
      <c r="CQ118" s="1907">
        <f>0.2*CR100</f>
        <v>2.06</v>
      </c>
      <c r="CR118" s="1908">
        <f>CR100*2</f>
        <v>20.6</v>
      </c>
      <c r="CS118" s="1907">
        <f>0.2*CT100</f>
        <v>2.52</v>
      </c>
      <c r="CT118" s="1908">
        <f>CT100*2</f>
        <v>25.2</v>
      </c>
      <c r="CU118" s="1907">
        <f>0.2*CV100</f>
        <v>2.52</v>
      </c>
      <c r="CV118" s="1908">
        <f>CV100*2</f>
        <v>25.2</v>
      </c>
      <c r="CW118" s="1907">
        <f>0.2*CX100</f>
        <v>2.42</v>
      </c>
      <c r="CX118" s="1908">
        <f>CX100*2</f>
        <v>24.2</v>
      </c>
      <c r="CY118" s="1907">
        <f>0.2*CZ100</f>
        <v>2.2800000000000002</v>
      </c>
      <c r="CZ118" s="1908">
        <f>CZ100*2</f>
        <v>22.8</v>
      </c>
      <c r="DA118" s="1907">
        <f>0.2*DB100</f>
        <v>2.2000000000000002</v>
      </c>
      <c r="DB118" s="1908">
        <f>DB100*2</f>
        <v>22</v>
      </c>
      <c r="DC118" s="1907">
        <f>0.2*DD100</f>
        <v>2.2200000000000002</v>
      </c>
      <c r="DD118" s="1908">
        <f>DD100*2</f>
        <v>22.2</v>
      </c>
      <c r="DE118" s="1907">
        <f>0.2*DF100</f>
        <v>2.66</v>
      </c>
      <c r="DF118" s="1908">
        <f>DF100*2</f>
        <v>26.6</v>
      </c>
      <c r="DG118" s="1907">
        <f>0.2*DH100</f>
        <v>2.66</v>
      </c>
      <c r="DH118" s="1908">
        <f>DH100*2</f>
        <v>26.6</v>
      </c>
      <c r="DI118" s="1907">
        <f>0.2*DJ100</f>
        <v>2.5600000000000005</v>
      </c>
      <c r="DJ118" s="1908">
        <f>DJ100*2</f>
        <v>25.6</v>
      </c>
      <c r="DK118" s="1907">
        <f>0.2*DL100</f>
        <v>2.42</v>
      </c>
      <c r="DL118" s="1908">
        <f>DL100*2</f>
        <v>24.2</v>
      </c>
      <c r="DM118" s="1907">
        <f>0.2*DN100</f>
        <v>2.34</v>
      </c>
      <c r="DN118" s="1908">
        <f>DN100*2</f>
        <v>23.4</v>
      </c>
      <c r="DO118" s="1907">
        <f>0.2*DP100</f>
        <v>2.3600000000000003</v>
      </c>
      <c r="DP118" s="1908">
        <f>DP100*2</f>
        <v>23.6</v>
      </c>
      <c r="DQ118" s="1917"/>
      <c r="DR118" s="1918"/>
      <c r="DS118" s="1917"/>
      <c r="DT118" s="1918"/>
      <c r="DU118" s="1917"/>
      <c r="DV118" s="1918"/>
      <c r="DW118" s="1917"/>
      <c r="DX118" s="1918"/>
    </row>
    <row r="121" spans="8:128">
      <c r="I121" s="1892" t="s">
        <v>944</v>
      </c>
      <c r="J121" s="1911"/>
      <c r="K121" s="1911"/>
      <c r="L121" s="1911"/>
      <c r="M121" s="1911"/>
      <c r="N121" s="1911"/>
      <c r="O121" s="1892"/>
      <c r="P121" s="1911"/>
      <c r="Q121" s="1911"/>
      <c r="R121" s="1911"/>
      <c r="S121" s="1911"/>
      <c r="T121" s="1911"/>
      <c r="U121" s="1911"/>
      <c r="V121" s="1911"/>
      <c r="W121" s="1911"/>
      <c r="X121" s="1911"/>
      <c r="Y121" s="1911"/>
      <c r="Z121" s="1911"/>
      <c r="AA121" s="1735"/>
      <c r="AB121" s="1735"/>
      <c r="AC121" s="1735"/>
      <c r="AD121" s="1735"/>
      <c r="AE121" s="1735"/>
      <c r="AF121" s="1735"/>
      <c r="AJ121" s="1905" t="s">
        <v>944</v>
      </c>
      <c r="AK121" s="1735"/>
      <c r="AL121" s="1735"/>
      <c r="AM121" s="1735"/>
      <c r="AN121" s="1735"/>
      <c r="AO121" s="1735"/>
      <c r="AP121" s="1905"/>
      <c r="AQ121" s="1735"/>
      <c r="AR121" s="1735"/>
      <c r="AS121" s="1735"/>
      <c r="AT121" s="1735"/>
      <c r="AU121" s="1735"/>
      <c r="AV121" s="1735"/>
      <c r="AW121" s="1735"/>
      <c r="AX121" s="1735"/>
      <c r="AY121" s="1735"/>
      <c r="AZ121" s="1735"/>
      <c r="BA121" s="1735"/>
      <c r="BB121" s="1735"/>
      <c r="BC121" s="1735"/>
      <c r="BD121" s="1735"/>
      <c r="BE121" s="1735"/>
      <c r="BF121" s="1735"/>
      <c r="BG121" s="1735"/>
      <c r="BI121" s="1905" t="s">
        <v>944</v>
      </c>
      <c r="BJ121" s="1735"/>
      <c r="BK121" s="1735"/>
      <c r="BL121" s="1735"/>
      <c r="BM121" s="1735"/>
      <c r="BN121" s="1735"/>
      <c r="BO121" s="1905"/>
      <c r="BP121" s="1735"/>
      <c r="BQ121" s="1735"/>
      <c r="BR121" s="1735"/>
      <c r="BS121" s="1735"/>
      <c r="BT121" s="1735"/>
      <c r="BU121" s="1735"/>
      <c r="BV121" s="1735"/>
      <c r="BW121" s="1735"/>
      <c r="BX121" s="1735"/>
      <c r="BY121" s="1735"/>
      <c r="BZ121" s="1735"/>
      <c r="CA121" s="1735"/>
      <c r="CB121" s="1735"/>
      <c r="CC121" s="1735"/>
      <c r="CD121" s="1735"/>
      <c r="CE121" s="1735"/>
      <c r="CF121" s="1735"/>
      <c r="CH121" s="1905" t="s">
        <v>944</v>
      </c>
      <c r="CI121" s="1735"/>
      <c r="CJ121" s="1735"/>
      <c r="CK121" s="1735"/>
      <c r="CL121" s="1735"/>
      <c r="CM121" s="1735"/>
      <c r="CN121" s="1905"/>
      <c r="CO121" s="1735"/>
      <c r="CP121" s="1735"/>
      <c r="CQ121" s="1735"/>
      <c r="CR121" s="1735"/>
      <c r="CS121" s="1735"/>
      <c r="CT121" s="1735"/>
      <c r="CU121" s="1735"/>
      <c r="CV121" s="1735"/>
      <c r="CW121" s="1735"/>
      <c r="CX121" s="1735"/>
      <c r="CY121" s="1735"/>
      <c r="CZ121" s="1735"/>
      <c r="DA121" s="1735"/>
      <c r="DB121" s="1735"/>
      <c r="DC121" s="1735"/>
      <c r="DD121" s="1735"/>
      <c r="DE121" s="1735"/>
      <c r="DG121" s="1905" t="s">
        <v>944</v>
      </c>
      <c r="DH121" s="1735"/>
      <c r="DI121" s="1735"/>
      <c r="DJ121" s="1735"/>
      <c r="DK121" s="1735"/>
      <c r="DL121" s="1735"/>
      <c r="DM121" s="1905"/>
      <c r="DN121" s="1735"/>
      <c r="DO121" s="1735"/>
      <c r="DP121" s="1735"/>
      <c r="DQ121" s="1735"/>
      <c r="DR121" s="1735"/>
      <c r="DS121" s="1735"/>
      <c r="DT121" s="1735"/>
      <c r="DU121" s="1735"/>
      <c r="DV121" s="1735"/>
      <c r="DW121" s="1735"/>
      <c r="DX121" s="1735"/>
    </row>
    <row r="124" spans="8:128">
      <c r="I124" s="1911"/>
    </row>
    <row r="126" spans="8:128">
      <c r="I126" s="1911"/>
      <c r="J126" s="1911"/>
      <c r="K126" s="1911"/>
      <c r="L126" s="1911"/>
      <c r="M126" s="1911"/>
      <c r="N126" s="1911"/>
      <c r="O126" s="1911"/>
      <c r="P126" s="1911"/>
      <c r="Q126" s="1911"/>
      <c r="R126" s="1911"/>
      <c r="S126" s="1911"/>
      <c r="T126" s="1911"/>
      <c r="U126" s="1911"/>
      <c r="V126" s="1911"/>
      <c r="W126" s="1911"/>
      <c r="X126" s="1911"/>
      <c r="Y126" s="1911"/>
      <c r="Z126" s="1911"/>
      <c r="AA126" s="1735"/>
      <c r="AB126" s="1735"/>
      <c r="AC126" s="1735"/>
      <c r="AD126" s="1735"/>
      <c r="AE126" s="1735"/>
      <c r="AF126" s="1735"/>
      <c r="AG126" s="1735"/>
      <c r="AH126" s="1735"/>
      <c r="AI126" s="1735"/>
      <c r="AJ126" s="1735"/>
      <c r="AK126" s="1735"/>
      <c r="AL126" s="1735"/>
      <c r="AM126" s="1735"/>
      <c r="AN126" s="1735"/>
      <c r="AO126" s="1735"/>
      <c r="AP126" s="1735"/>
      <c r="AQ126" s="1735"/>
      <c r="AR126" s="1735"/>
      <c r="AS126" s="1735"/>
      <c r="AT126" s="1735"/>
      <c r="AU126" s="1735"/>
      <c r="AV126" s="1735"/>
      <c r="AW126" s="1735"/>
      <c r="AX126" s="1735"/>
      <c r="AY126" s="1735"/>
      <c r="AZ126" s="1735"/>
      <c r="BA126" s="1735"/>
      <c r="BB126" s="1735"/>
      <c r="BC126" s="1735"/>
      <c r="BD126" s="1735"/>
      <c r="BE126" s="1735"/>
      <c r="BF126" s="1735"/>
      <c r="BG126" s="1735"/>
      <c r="BH126" s="1735"/>
      <c r="BI126" s="1735"/>
      <c r="BJ126" s="1735"/>
      <c r="BK126" s="1735"/>
      <c r="BL126" s="1735"/>
      <c r="BM126" s="1735"/>
      <c r="BN126" s="1735"/>
      <c r="BO126" s="1735"/>
      <c r="BP126" s="1735"/>
      <c r="BQ126" s="1735"/>
      <c r="BR126" s="1735"/>
      <c r="BS126" s="1735"/>
      <c r="BT126" s="1735"/>
      <c r="BU126" s="1735"/>
      <c r="BV126" s="1735"/>
      <c r="BW126" s="1735"/>
      <c r="BX126" s="1735"/>
      <c r="BY126" s="1735"/>
      <c r="BZ126" s="1735"/>
      <c r="CA126" s="1735"/>
      <c r="CB126" s="1735"/>
      <c r="CC126" s="1735"/>
      <c r="CD126" s="1735"/>
      <c r="CE126" s="1735"/>
      <c r="CF126" s="1735"/>
      <c r="CG126" s="1735"/>
      <c r="CH126" s="1735"/>
      <c r="CI126" s="1735"/>
      <c r="CJ126" s="1735"/>
      <c r="CK126" s="1735"/>
      <c r="CL126" s="1735"/>
      <c r="CM126" s="1735"/>
      <c r="CN126" s="1735"/>
      <c r="CO126" s="1735"/>
      <c r="CP126" s="1735"/>
      <c r="CQ126" s="1735"/>
      <c r="CR126" s="1735"/>
      <c r="CS126" s="1735"/>
      <c r="CT126" s="1735"/>
      <c r="CU126" s="1735"/>
      <c r="CV126" s="1735"/>
      <c r="CW126" s="1735"/>
      <c r="CX126" s="1735"/>
      <c r="CY126" s="1735"/>
      <c r="CZ126" s="1735"/>
      <c r="DA126" s="1735"/>
      <c r="DB126" s="1735"/>
      <c r="DC126" s="1735"/>
      <c r="DD126" s="1735"/>
      <c r="DE126" s="1735"/>
      <c r="DF126" s="1735"/>
      <c r="DG126" s="1735"/>
      <c r="DH126" s="1735"/>
      <c r="DI126" s="1735"/>
      <c r="DJ126" s="1735"/>
      <c r="DK126" s="1735"/>
      <c r="DL126" s="1735"/>
      <c r="DM126" s="1735"/>
      <c r="DN126" s="1735"/>
      <c r="DO126" s="1735"/>
      <c r="DP126" s="1735"/>
    </row>
    <row r="127" spans="8:128">
      <c r="I127" s="1911"/>
      <c r="J127" s="1911"/>
    </row>
    <row r="133" spans="2:55" s="1735" customFormat="1" ht="12.75">
      <c r="B133" s="1919"/>
      <c r="C133" s="1919"/>
      <c r="I133" s="1911"/>
      <c r="J133" s="1911"/>
      <c r="K133" s="1911"/>
      <c r="L133" s="1911"/>
      <c r="M133" s="1911"/>
      <c r="N133" s="1911"/>
      <c r="O133" s="1911"/>
      <c r="P133" s="1911"/>
      <c r="Q133" s="1911"/>
      <c r="R133" s="1911"/>
      <c r="S133" s="1911"/>
      <c r="T133" s="1911"/>
      <c r="U133" s="1911"/>
      <c r="V133" s="1911"/>
      <c r="W133" s="1911"/>
      <c r="X133" s="1911"/>
      <c r="Y133" s="1911"/>
      <c r="Z133" s="1911"/>
    </row>
    <row r="134" spans="2:55" s="1735" customFormat="1" ht="15.75" customHeight="1">
      <c r="B134" s="1919"/>
      <c r="C134" s="1919"/>
      <c r="I134" s="1911"/>
      <c r="J134" s="1911"/>
      <c r="K134" s="1911"/>
      <c r="L134" s="1911"/>
      <c r="M134" s="1911"/>
      <c r="N134" s="1911"/>
      <c r="O134" s="1911"/>
      <c r="P134" s="1911"/>
      <c r="Q134" s="1911"/>
      <c r="R134" s="1920" t="s">
        <v>994</v>
      </c>
      <c r="S134" s="1883">
        <f>$D$7</f>
        <v>251</v>
      </c>
      <c r="T134" s="1911"/>
      <c r="U134" s="1911"/>
      <c r="V134" s="1911"/>
      <c r="W134" s="1911"/>
      <c r="X134" s="1911"/>
      <c r="Y134" s="1911"/>
      <c r="Z134" s="1911"/>
    </row>
    <row r="135" spans="2:55" s="1735" customFormat="1" ht="25.5" customHeight="1">
      <c r="B135" s="1919"/>
      <c r="C135" s="1919"/>
      <c r="I135" s="1911" t="s">
        <v>995</v>
      </c>
      <c r="J135" s="1911"/>
      <c r="K135" s="1911"/>
      <c r="L135" s="1911"/>
      <c r="M135" s="1911"/>
      <c r="N135" s="1911"/>
      <c r="O135" s="1911"/>
      <c r="P135" s="1911"/>
      <c r="Q135" s="1911"/>
      <c r="R135" s="1920" t="s">
        <v>996</v>
      </c>
      <c r="S135" s="1921">
        <f>$D$10</f>
        <v>0.5</v>
      </c>
      <c r="T135" s="1911"/>
      <c r="U135" s="1911"/>
      <c r="V135" s="1911"/>
      <c r="W135" s="1911"/>
      <c r="X135" s="1911"/>
      <c r="Y135" s="1911"/>
      <c r="Z135" s="1911"/>
    </row>
    <row r="136" spans="2:55" s="1735" customFormat="1" ht="18" customHeight="1">
      <c r="B136" s="1919"/>
      <c r="C136" s="1919"/>
      <c r="I136" s="1922" t="s">
        <v>997</v>
      </c>
      <c r="J136" s="1922"/>
      <c r="K136" s="1922"/>
      <c r="L136" s="1922"/>
      <c r="M136" s="1922"/>
      <c r="N136" s="1911"/>
      <c r="O136" s="1911"/>
      <c r="P136" s="1911"/>
      <c r="Q136" s="1922" t="s">
        <v>997</v>
      </c>
      <c r="R136" s="1922"/>
      <c r="S136" s="1922"/>
      <c r="T136" s="1911"/>
      <c r="U136" s="1911"/>
      <c r="V136" s="1911"/>
      <c r="W136" s="1911"/>
      <c r="X136" s="1922" t="s">
        <v>998</v>
      </c>
      <c r="Y136" s="1911"/>
      <c r="Z136" s="1911"/>
      <c r="AG136" s="1923" t="s">
        <v>999</v>
      </c>
      <c r="AO136" s="1923" t="s">
        <v>1000</v>
      </c>
      <c r="AR136" s="1735" t="s">
        <v>1001</v>
      </c>
      <c r="AU136" s="1735" t="s">
        <v>1002</v>
      </c>
      <c r="AY136" s="1923" t="s">
        <v>1003</v>
      </c>
    </row>
    <row r="137" spans="2:55" s="1735" customFormat="1" ht="12.75" customHeight="1">
      <c r="B137" s="1919"/>
      <c r="C137" s="1919"/>
      <c r="I137" s="1911" t="s">
        <v>564</v>
      </c>
      <c r="J137" s="1911"/>
      <c r="K137" s="1911"/>
      <c r="L137" s="1911"/>
      <c r="M137" s="1911" t="s">
        <v>564</v>
      </c>
      <c r="N137" s="1911"/>
      <c r="O137" s="1911" t="s">
        <v>564</v>
      </c>
      <c r="P137" s="1911"/>
      <c r="Q137" s="1911" t="s">
        <v>1004</v>
      </c>
      <c r="R137" s="1911"/>
      <c r="S137" s="1911"/>
      <c r="T137" s="1911" t="s">
        <v>1004</v>
      </c>
      <c r="U137" s="1911"/>
      <c r="V137" s="1911" t="s">
        <v>1004</v>
      </c>
      <c r="W137" s="1911"/>
      <c r="X137" s="1911" t="s">
        <v>564</v>
      </c>
      <c r="Y137" s="1911"/>
      <c r="Z137" s="1911"/>
      <c r="AB137" s="1735" t="s">
        <v>564</v>
      </c>
      <c r="AD137" s="1735" t="s">
        <v>564</v>
      </c>
      <c r="AO137" s="1735" t="s">
        <v>564</v>
      </c>
      <c r="AS137" s="1735" t="s">
        <v>564</v>
      </c>
      <c r="AU137" s="1735" t="s">
        <v>564</v>
      </c>
    </row>
    <row r="138" spans="2:55" s="1735" customFormat="1" ht="12.75" customHeight="1">
      <c r="B138" s="1919"/>
      <c r="C138" s="1919"/>
      <c r="I138" s="1911"/>
      <c r="J138" s="1911" t="s">
        <v>1005</v>
      </c>
      <c r="K138" s="1911"/>
      <c r="L138" s="1911"/>
      <c r="M138" s="1911" t="s">
        <v>1006</v>
      </c>
      <c r="N138" s="1911"/>
      <c r="O138" s="1911" t="s">
        <v>1007</v>
      </c>
      <c r="P138" s="1911"/>
      <c r="Q138" s="1911"/>
      <c r="R138" s="1911" t="s">
        <v>1005</v>
      </c>
      <c r="S138" s="1911"/>
      <c r="T138" s="1911" t="s">
        <v>1006</v>
      </c>
      <c r="U138" s="1911"/>
      <c r="V138" s="1911" t="s">
        <v>1007</v>
      </c>
      <c r="W138" s="1911"/>
      <c r="X138" s="1911"/>
      <c r="Y138" s="1911" t="s">
        <v>1005</v>
      </c>
      <c r="Z138" s="1911"/>
      <c r="AB138" s="1735" t="s">
        <v>1006</v>
      </c>
      <c r="AD138" s="1735" t="s">
        <v>1007</v>
      </c>
      <c r="AH138" s="1735" t="s">
        <v>1008</v>
      </c>
      <c r="AK138" s="1735" t="s">
        <v>1009</v>
      </c>
      <c r="AP138" s="1735" t="s">
        <v>1005</v>
      </c>
      <c r="AS138" s="1735" t="s">
        <v>1006</v>
      </c>
      <c r="AU138" s="1735" t="s">
        <v>1007</v>
      </c>
      <c r="AY138" s="1735" t="s">
        <v>1010</v>
      </c>
      <c r="BC138" s="1735" t="s">
        <v>1011</v>
      </c>
    </row>
    <row r="139" spans="2:55" s="1735" customFormat="1" ht="12.75" customHeight="1">
      <c r="B139" s="1919"/>
      <c r="C139" s="1919"/>
      <c r="G139" s="1735" t="s">
        <v>1012</v>
      </c>
      <c r="I139" s="1911" t="s">
        <v>1013</v>
      </c>
      <c r="J139" s="1911">
        <f>0.8126*$J$153^1.0134</f>
        <v>212.81484588868489</v>
      </c>
      <c r="K139" s="1911" t="s">
        <v>7</v>
      </c>
      <c r="L139" s="1911"/>
      <c r="M139" s="1911">
        <f>0.6241*$M$153^1.0608</f>
        <v>212.07175378421289</v>
      </c>
      <c r="N139" s="1911"/>
      <c r="O139" s="1911">
        <f>0.611*$O$153^1.0667</f>
        <v>214.46091007532524</v>
      </c>
      <c r="P139" s="1911"/>
      <c r="Q139" s="1911" t="s">
        <v>1013</v>
      </c>
      <c r="R139" s="1911">
        <f>0.8507*$R$153^1.0002</f>
        <v>207.20696362621618</v>
      </c>
      <c r="S139" s="1911"/>
      <c r="T139" s="1911">
        <f>0.8507*$T$153^1.0002</f>
        <v>207.20696362621618</v>
      </c>
      <c r="U139" s="1911"/>
      <c r="V139" s="1911">
        <f>0.8507*$V$153^1.0002</f>
        <v>207.20696362621618</v>
      </c>
      <c r="W139" s="1911"/>
      <c r="X139" s="1911" t="s">
        <v>1013</v>
      </c>
      <c r="Y139" s="1911">
        <f>0.7248*$Y$153^1.0314</f>
        <v>209.55305657006537</v>
      </c>
      <c r="Z139" s="1911" t="s">
        <v>7</v>
      </c>
      <c r="AB139" s="1735">
        <f>0.6586*$AB$153^1.0499</f>
        <v>210.7857897243712</v>
      </c>
      <c r="AD139" s="1735">
        <f>0.6314*$AD$153^1.0602</f>
        <v>213.84619760282953</v>
      </c>
      <c r="AG139" s="1735" t="s">
        <v>1013</v>
      </c>
      <c r="AH139" s="1911">
        <f>0.962*$D$7</f>
        <v>241.46199999999999</v>
      </c>
      <c r="AI139" s="1735" t="s">
        <v>7</v>
      </c>
      <c r="AJ139" s="1911"/>
      <c r="AK139" s="1911">
        <f>0.8507*AK153^1.0002</f>
        <v>207.20696362621618</v>
      </c>
      <c r="AL139" s="1735" t="s">
        <v>7</v>
      </c>
      <c r="AO139" s="1735" t="s">
        <v>1013</v>
      </c>
      <c r="AP139" s="1735">
        <f>0.7248*$Y$153^1.0314</f>
        <v>209.55305657006537</v>
      </c>
      <c r="AQ139" s="1735" t="s">
        <v>7</v>
      </c>
      <c r="AS139" s="1735">
        <f>0.6586*$AB$153^1.0499</f>
        <v>210.7857897243712</v>
      </c>
      <c r="AU139" s="1735">
        <f>0.6314*$AD$153^1.0602</f>
        <v>213.84619760282953</v>
      </c>
      <c r="AW139" s="1735" t="s">
        <v>1014</v>
      </c>
      <c r="AX139" s="1735" t="s">
        <v>1013</v>
      </c>
      <c r="AY139" s="1911">
        <f>0.8424*AY153^1.0122</f>
        <v>216.05514957104481</v>
      </c>
      <c r="AZ139" s="1735" t="s">
        <v>7</v>
      </c>
      <c r="BC139" s="1911">
        <f>0.8424*BC153^1.0122</f>
        <v>216.05514957104481</v>
      </c>
    </row>
    <row r="140" spans="2:55" s="1735" customFormat="1" ht="12.75" customHeight="1">
      <c r="B140" s="1919"/>
      <c r="C140" s="1919"/>
      <c r="G140" s="1735" t="s">
        <v>1015</v>
      </c>
      <c r="I140" s="1911" t="s">
        <v>1016</v>
      </c>
      <c r="J140" s="1911">
        <f>0.963*$D$10^1.0151</f>
        <v>0.47648665138135055</v>
      </c>
      <c r="K140" s="1911" t="s">
        <v>1017</v>
      </c>
      <c r="L140" s="1911"/>
      <c r="M140" s="1911">
        <f>0.963*$D$10^1.0151</f>
        <v>0.47648665138135055</v>
      </c>
      <c r="N140" s="1911"/>
      <c r="O140" s="1911">
        <f>0.963*$D$10^1.0151</f>
        <v>0.47648665138135055</v>
      </c>
      <c r="P140" s="1911"/>
      <c r="Q140" s="1911" t="s">
        <v>1016</v>
      </c>
      <c r="R140" s="1911">
        <f>0.963*$D$10^1.0151</f>
        <v>0.47648665138135055</v>
      </c>
      <c r="S140" s="1911"/>
      <c r="T140" s="1911">
        <f>0.963*$D$10^1.0151</f>
        <v>0.47648665138135055</v>
      </c>
      <c r="U140" s="1911"/>
      <c r="V140" s="1911">
        <f>0.963*$D$10^1.0151</f>
        <v>0.47648665138135055</v>
      </c>
      <c r="W140" s="1911"/>
      <c r="X140" s="1911" t="s">
        <v>1016</v>
      </c>
      <c r="Y140" s="1911">
        <f>0.963*$D$10^1.0151</f>
        <v>0.47648665138135055</v>
      </c>
      <c r="Z140" s="1911" t="s">
        <v>1017</v>
      </c>
      <c r="AB140" s="1735">
        <f>0.963*$D$10^1.0151</f>
        <v>0.47648665138135055</v>
      </c>
      <c r="AD140" s="1735">
        <f>0.963*$D$10^1.0151</f>
        <v>0.47648665138135055</v>
      </c>
      <c r="AG140" s="1735" t="s">
        <v>1016</v>
      </c>
      <c r="AH140" s="1911">
        <f>0.958*$D$10</f>
        <v>0.47899999999999998</v>
      </c>
      <c r="AI140" s="1735" t="s">
        <v>1017</v>
      </c>
      <c r="AK140" s="1911">
        <f>0.936*$D$10</f>
        <v>0.46800000000000003</v>
      </c>
      <c r="AL140" s="1735" t="s">
        <v>1017</v>
      </c>
      <c r="AO140" s="1735" t="s">
        <v>1016</v>
      </c>
      <c r="AP140" s="1735">
        <f>0.963*GMD.2^1.0151</f>
        <v>0.47648665138135055</v>
      </c>
      <c r="AQ140" s="1735" t="s">
        <v>1017</v>
      </c>
      <c r="AS140" s="1735">
        <f>0.963*GMD.2^1.0151</f>
        <v>0.47648665138135055</v>
      </c>
      <c r="AU140" s="1735">
        <f>0.963*GMD.2^1.0151</f>
        <v>0.47648665138135055</v>
      </c>
      <c r="AW140" s="1735" t="s">
        <v>1018</v>
      </c>
      <c r="AX140" s="1735" t="s">
        <v>1016</v>
      </c>
      <c r="AY140" s="1911">
        <f>0.963*$D$10^1.0151</f>
        <v>0.47648665138135055</v>
      </c>
      <c r="AZ140" s="1735" t="s">
        <v>1017</v>
      </c>
      <c r="BC140" s="1911">
        <f>0.963*$D$10^1.0151</f>
        <v>0.47648665138135055</v>
      </c>
    </row>
    <row r="141" spans="2:55" s="1735" customFormat="1" ht="15.75" customHeight="1">
      <c r="B141" s="1919"/>
      <c r="C141" s="1919"/>
      <c r="G141" s="1735" t="s">
        <v>1019</v>
      </c>
      <c r="I141" s="1911" t="s">
        <v>1020</v>
      </c>
      <c r="J141" s="1911">
        <f>(J139/517)*517</f>
        <v>212.81484588868489</v>
      </c>
      <c r="K141" s="1911" t="s">
        <v>7</v>
      </c>
      <c r="L141" s="1911"/>
      <c r="M141" s="1911">
        <f>(M139/433)*517</f>
        <v>253.21269447214334</v>
      </c>
      <c r="N141" s="1911"/>
      <c r="O141" s="1911">
        <f>(O139/402)*517</f>
        <v>275.81166793269438</v>
      </c>
      <c r="P141" s="1911"/>
      <c r="Q141" s="1911" t="s">
        <v>1020</v>
      </c>
      <c r="R141" s="1911">
        <f>(R139/517)*517</f>
        <v>207.20696362621618</v>
      </c>
      <c r="S141" s="1911"/>
      <c r="T141" s="1911">
        <f>(T139/433)*517</f>
        <v>247.40415749365766</v>
      </c>
      <c r="U141" s="1911"/>
      <c r="V141" s="1911">
        <f>(V139/402)*517</f>
        <v>266.48258754913871</v>
      </c>
      <c r="W141" s="1911"/>
      <c r="X141" s="1911" t="s">
        <v>1020</v>
      </c>
      <c r="Y141" s="1911">
        <f>(Y139/560)*517</f>
        <v>193.4623754405782</v>
      </c>
      <c r="Z141" s="1911" t="s">
        <v>7</v>
      </c>
      <c r="AB141" s="1735">
        <f>(AB139/482)*517</f>
        <v>226.09181179979234</v>
      </c>
      <c r="AD141" s="1735">
        <f>(AD139/417)*517</f>
        <v>265.12825937808839</v>
      </c>
      <c r="AG141" s="1735" t="s">
        <v>1020</v>
      </c>
      <c r="AH141" s="1911">
        <f>(AH139/455)*440</f>
        <v>233.50171428571429</v>
      </c>
      <c r="AI141" s="1735" t="s">
        <v>7</v>
      </c>
      <c r="AK141" s="1911"/>
      <c r="AL141" s="1735" t="s">
        <v>7</v>
      </c>
      <c r="AO141" s="1735" t="s">
        <v>1020</v>
      </c>
      <c r="AP141" s="1735">
        <f>(AP139/616)*517</f>
        <v>175.874886764162</v>
      </c>
      <c r="AQ141" s="1735" t="s">
        <v>7</v>
      </c>
      <c r="AS141" s="1735">
        <f>(AS139/532)*517</f>
        <v>204.84258136748102</v>
      </c>
      <c r="AU141" s="1735">
        <f>(AU139/493)*517</f>
        <v>224.25656016361637</v>
      </c>
      <c r="AX141" s="1735" t="s">
        <v>1020</v>
      </c>
      <c r="AY141" s="1911"/>
      <c r="AZ141" s="1735" t="s">
        <v>7</v>
      </c>
      <c r="BC141" s="1911"/>
    </row>
    <row r="142" spans="2:55" s="1735" customFormat="1" ht="12.75" customHeight="1">
      <c r="B142" s="1919"/>
      <c r="C142" s="1919"/>
      <c r="G142" s="1735" t="s">
        <v>1021</v>
      </c>
      <c r="I142" s="1911" t="s">
        <v>1022</v>
      </c>
      <c r="J142" s="1911">
        <f>0.061*(J141^0.75)*(J140^1.035)</f>
        <v>1.5780246758563259</v>
      </c>
      <c r="K142" s="1911" t="s">
        <v>1023</v>
      </c>
      <c r="L142" s="1911"/>
      <c r="M142" s="1911">
        <f>0.061*(M141^0.75)*(M140^1.035)</f>
        <v>1.7977382354432965</v>
      </c>
      <c r="N142" s="1911"/>
      <c r="O142" s="1911">
        <f>0.061*(O141^0.75)*(O140^1.035)</f>
        <v>1.9167780408915338</v>
      </c>
      <c r="P142" s="1911"/>
      <c r="Q142" s="1911" t="s">
        <v>1022</v>
      </c>
      <c r="R142" s="1911">
        <f>0.052*(R141^0.75)*(R140^1.062)</f>
        <v>1.2923986270215548</v>
      </c>
      <c r="S142" s="1911"/>
      <c r="T142" s="1911">
        <f>0.052*(T141^0.75)*(T140^1.062)</f>
        <v>1.4762111219472871</v>
      </c>
      <c r="U142" s="1911"/>
      <c r="V142" s="1911">
        <f>0.052*(V141^0.75)*(V140^1.062)</f>
        <v>1.5607913714688468</v>
      </c>
      <c r="W142" s="1911"/>
      <c r="X142" s="1911" t="s">
        <v>1022</v>
      </c>
      <c r="Y142" s="1911">
        <f>0.061*(Y141^0.75)*(Y140^1.035)</f>
        <v>1.4691283395318933</v>
      </c>
      <c r="Z142" s="1911" t="s">
        <v>1023</v>
      </c>
      <c r="AB142" s="1735">
        <f>0.061*(AB141^0.75)*(AB140^1.035)</f>
        <v>1.6512999774375623</v>
      </c>
      <c r="AD142" s="1735">
        <f>0.061*(AD141^0.75)*(AD140^1.035)</f>
        <v>1.8608199984884048</v>
      </c>
      <c r="AG142" s="1735" t="s">
        <v>1022</v>
      </c>
      <c r="AH142" s="1911">
        <f>0.0932*AH139^0.75*AH140^0.9157</f>
        <v>2.9096164079077202</v>
      </c>
      <c r="AI142" s="1735" t="s">
        <v>1023</v>
      </c>
      <c r="AK142" s="1911">
        <f>AK140*1.0076*AK139^0.2389</f>
        <v>1.6862540677380093</v>
      </c>
      <c r="AL142" s="1735" t="s">
        <v>1023</v>
      </c>
      <c r="AO142" s="1735" t="s">
        <v>1022</v>
      </c>
      <c r="AP142" s="1735">
        <f>0.061*(AP141^0.75)*(AP140^1.035)</f>
        <v>1.3677767668513749</v>
      </c>
      <c r="AQ142" s="1735" t="s">
        <v>1023</v>
      </c>
      <c r="AS142" s="1735">
        <f>0.061*(AS141^0.75)*(AS140^1.035)</f>
        <v>1.533477928160442</v>
      </c>
      <c r="AU142" s="1735">
        <f>0.061*(AU141^0.75)*(AU140^1.035)</f>
        <v>1.641236688137405</v>
      </c>
      <c r="AW142" s="1735" t="s">
        <v>1024</v>
      </c>
      <c r="AX142" s="1735" t="s">
        <v>1022</v>
      </c>
      <c r="AY142" s="1911">
        <f>3.82*AY140^1.07*AY190^0.35</f>
        <v>3.0354085608850689</v>
      </c>
      <c r="AZ142" s="1735" t="s">
        <v>1023</v>
      </c>
      <c r="BC142" s="1911">
        <f>3.82*BC140^1.07*BC190^0.35</f>
        <v>3.0354085608850689</v>
      </c>
    </row>
    <row r="143" spans="2:55" s="1735" customFormat="1" ht="12.75" customHeight="1">
      <c r="B143" s="1919"/>
      <c r="C143" s="1919"/>
      <c r="G143" s="1735" t="s">
        <v>1025</v>
      </c>
      <c r="I143" s="1911" t="s">
        <v>1026</v>
      </c>
      <c r="J143" s="1911">
        <f>1.14*(J142/J140)^-1.137</f>
        <v>0.29214143738299697</v>
      </c>
      <c r="K143" s="1911">
        <f>100*J143</f>
        <v>29.214143738299697</v>
      </c>
      <c r="L143" s="1911" t="s">
        <v>322</v>
      </c>
      <c r="M143" s="1911">
        <f>1.14*(M142/M140)^-1.137</f>
        <v>0.25189790832632142</v>
      </c>
      <c r="N143" s="1911"/>
      <c r="O143" s="1911">
        <f>1.14*(O142/O140)^-1.137</f>
        <v>0.23418785869139594</v>
      </c>
      <c r="P143" s="1911"/>
      <c r="Q143" s="1911" t="s">
        <v>1026</v>
      </c>
      <c r="R143" s="1911">
        <f>1.14*(R142/R140)^-1.137</f>
        <v>0.36659854269111164</v>
      </c>
      <c r="S143" s="1911"/>
      <c r="T143" s="1911">
        <f>1.14*(T142/T140)^-1.137</f>
        <v>0.315156832700691</v>
      </c>
      <c r="U143" s="1911"/>
      <c r="V143" s="1911">
        <f>1.14*(V142/V140)^-1.137</f>
        <v>0.29581176338711629</v>
      </c>
      <c r="W143" s="1911"/>
      <c r="X143" s="1911" t="s">
        <v>1026</v>
      </c>
      <c r="Y143" s="1911">
        <f>1.14*(Y142/Y140)^-1.137</f>
        <v>0.31688495532882155</v>
      </c>
      <c r="Z143" s="1911">
        <f>100*Y143</f>
        <v>31.688495532882154</v>
      </c>
      <c r="AA143" s="1735" t="s">
        <v>322</v>
      </c>
      <c r="AB143" s="1735">
        <f>1.14*(AB142/AB140)^-1.137</f>
        <v>0.27744723912063529</v>
      </c>
      <c r="AD143" s="1735">
        <f>1.14*(AD142/AD140)^-1.137</f>
        <v>0.24221145481986667</v>
      </c>
      <c r="AG143" s="1735" t="s">
        <v>1026</v>
      </c>
      <c r="AH143" s="1911"/>
      <c r="AI143" s="1735">
        <f>100*AH143</f>
        <v>0</v>
      </c>
      <c r="AJ143" s="1735" t="s">
        <v>322</v>
      </c>
      <c r="AK143" s="1911"/>
      <c r="AL143" s="1735">
        <f>100*AK143</f>
        <v>0</v>
      </c>
      <c r="AO143" s="1735" t="s">
        <v>1026</v>
      </c>
      <c r="AP143" s="1735">
        <f>1.14*(AP142/AP140)^-1.137</f>
        <v>0.34371559162896054</v>
      </c>
      <c r="AQ143" s="1735">
        <f>100*AP143</f>
        <v>34.371559162896055</v>
      </c>
      <c r="AS143" s="1735">
        <f>1.14*(AS142/AS140)^-1.137</f>
        <v>0.30180969752105818</v>
      </c>
      <c r="AU143" s="1735">
        <f>1.14*(AU142/AU140)^-1.137</f>
        <v>0.27938228676452725</v>
      </c>
      <c r="AX143" s="1735" t="s">
        <v>1026</v>
      </c>
      <c r="AY143" s="1911"/>
      <c r="AZ143" s="1735">
        <f>100*AY143</f>
        <v>0</v>
      </c>
      <c r="BC143" s="1911"/>
    </row>
    <row r="144" spans="2:55" s="1735" customFormat="1" ht="12.75" customHeight="1">
      <c r="B144" s="1919"/>
      <c r="C144" s="1919"/>
      <c r="G144" s="1735" t="s">
        <v>1027</v>
      </c>
      <c r="I144" s="1911" t="s">
        <v>1028</v>
      </c>
      <c r="J144" s="1911">
        <f>0.327/(0.539+J143)</f>
        <v>0.39343484188397604</v>
      </c>
      <c r="K144" s="1911"/>
      <c r="L144" s="1911"/>
      <c r="M144" s="1911">
        <f>0.327/(0.539+M143)</f>
        <v>0.41345412164762113</v>
      </c>
      <c r="N144" s="1911"/>
      <c r="O144" s="1911">
        <f>0.327/(0.539+O143)</f>
        <v>0.42292438548303202</v>
      </c>
      <c r="P144" s="1911"/>
      <c r="Q144" s="1911" t="s">
        <v>1028</v>
      </c>
      <c r="R144" s="1911">
        <f>0.327/(0.539+R143)</f>
        <v>0.3610871535065352</v>
      </c>
      <c r="S144" s="1911"/>
      <c r="T144" s="1911">
        <f>0.327/(0.539+T143)</f>
        <v>0.38283367583220584</v>
      </c>
      <c r="U144" s="1911"/>
      <c r="V144" s="1911">
        <f>0.327/(0.539+V143)</f>
        <v>0.39170506974320696</v>
      </c>
      <c r="W144" s="1911"/>
      <c r="X144" s="1911" t="s">
        <v>1029</v>
      </c>
      <c r="Y144" s="1911">
        <f>0.327/(0.539+Y143)</f>
        <v>0.38206069398003406</v>
      </c>
      <c r="Z144" s="1911"/>
      <c r="AB144" s="1735">
        <f>0.327/(0.539+AB143)</f>
        <v>0.40051577656407955</v>
      </c>
      <c r="AD144" s="1735">
        <f>0.327/(0.539+AD143)</f>
        <v>0.41858065186128168</v>
      </c>
      <c r="AF144" s="1735" t="s">
        <v>1030</v>
      </c>
      <c r="AG144" s="1735" t="s">
        <v>1028</v>
      </c>
      <c r="AH144" s="1911">
        <f>IF($D$7&lt;100,0.66,0.62)</f>
        <v>0.62</v>
      </c>
      <c r="AK144" s="1911">
        <v>0.44</v>
      </c>
      <c r="AO144" s="1735" t="s">
        <v>1028</v>
      </c>
      <c r="AP144" s="1735">
        <f>0.327/(0.539+AP143)</f>
        <v>0.37044774455218948</v>
      </c>
      <c r="AS144" s="1735">
        <f>0.327/(0.539+AS143)</f>
        <v>0.38891083316960706</v>
      </c>
      <c r="AU144" s="1735">
        <f>0.327/(0.539+AU143)</f>
        <v>0.39956876546386877</v>
      </c>
      <c r="AX144" s="1735" t="s">
        <v>1028</v>
      </c>
      <c r="AY144" s="1911">
        <v>0.53</v>
      </c>
      <c r="BC144" s="1911">
        <v>0.53</v>
      </c>
    </row>
    <row r="145" spans="2:55" s="1735" customFormat="1" ht="12.75" customHeight="1">
      <c r="B145" s="1919"/>
      <c r="C145" s="1919"/>
      <c r="G145" s="1735" t="s">
        <v>1031</v>
      </c>
      <c r="I145" s="1911" t="s">
        <v>1032</v>
      </c>
      <c r="J145" s="1911">
        <f>J142/J144</f>
        <v>4.0108920407249684</v>
      </c>
      <c r="K145" s="1911" t="s">
        <v>1023</v>
      </c>
      <c r="L145" s="1911"/>
      <c r="M145" s="1911">
        <f>M142/M144</f>
        <v>4.3480960554445112</v>
      </c>
      <c r="N145" s="1911"/>
      <c r="O145" s="1911">
        <f>O142/O144</f>
        <v>4.5322003334055472</v>
      </c>
      <c r="P145" s="1911"/>
      <c r="Q145" s="1911" t="s">
        <v>1032</v>
      </c>
      <c r="R145" s="1911">
        <f>R142/R144</f>
        <v>3.5791875021612038</v>
      </c>
      <c r="S145" s="1911"/>
      <c r="T145" s="1911">
        <f>T142/T144</f>
        <v>3.8560116707034502</v>
      </c>
      <c r="U145" s="1911"/>
      <c r="V145" s="1911">
        <f>V142/V144</f>
        <v>3.9846085538082687</v>
      </c>
      <c r="W145" s="1911"/>
      <c r="X145" s="1911" t="s">
        <v>1032</v>
      </c>
      <c r="Y145" s="1911">
        <f>Y142/Y144</f>
        <v>3.8452747500078295</v>
      </c>
      <c r="Z145" s="1911" t="s">
        <v>1023</v>
      </c>
      <c r="AB145" s="1735">
        <f>AB142/AB144</f>
        <v>4.1229336621983643</v>
      </c>
      <c r="AD145" s="1735">
        <f>AD142/AD144</f>
        <v>4.4455470892263884</v>
      </c>
      <c r="AG145" s="1735" t="s">
        <v>1032</v>
      </c>
      <c r="AH145" s="1911">
        <f>AH142/AH144</f>
        <v>4.6929296901737425</v>
      </c>
      <c r="AI145" s="1735" t="s">
        <v>1023</v>
      </c>
      <c r="AK145" s="1911">
        <f>AK142/AK144</f>
        <v>3.8323956084954758</v>
      </c>
      <c r="AL145" s="1735" t="s">
        <v>1023</v>
      </c>
      <c r="AO145" s="1735" t="s">
        <v>1032</v>
      </c>
      <c r="AP145" s="1735">
        <f>AP142/AP144</f>
        <v>3.6922259265062944</v>
      </c>
      <c r="AQ145" s="1735" t="s">
        <v>1023</v>
      </c>
      <c r="AS145" s="1735">
        <f>AS142/AS144</f>
        <v>3.9430064615651381</v>
      </c>
      <c r="AU145" s="1735">
        <f>AU142/AU144</f>
        <v>4.1075199815282231</v>
      </c>
      <c r="AW145" s="1735" t="s">
        <v>1018</v>
      </c>
      <c r="AX145" s="1735" t="s">
        <v>1032</v>
      </c>
      <c r="AY145" s="1911">
        <f>AY142/AY144</f>
        <v>5.7271859639340921</v>
      </c>
      <c r="AZ145" s="1735" t="s">
        <v>1023</v>
      </c>
      <c r="BC145" s="1911">
        <f>BC142/BC144</f>
        <v>5.7271859639340921</v>
      </c>
    </row>
    <row r="146" spans="2:55" s="1735" customFormat="1" ht="12.75" customHeight="1">
      <c r="B146" s="1919"/>
      <c r="C146" s="1919"/>
      <c r="G146" s="1735" t="s">
        <v>1033</v>
      </c>
      <c r="I146" s="1911" t="s">
        <v>1034</v>
      </c>
      <c r="J146" s="1911">
        <f>0.075*J139^0.75</f>
        <v>4.1789069796287457</v>
      </c>
      <c r="K146" s="1911" t="s">
        <v>1023</v>
      </c>
      <c r="L146" s="1911"/>
      <c r="M146" s="1911">
        <f>0.075*M139^0.75</f>
        <v>4.1679584831464673</v>
      </c>
      <c r="N146" s="1911"/>
      <c r="O146" s="1911">
        <f>0.075*O139^0.75</f>
        <v>4.2031256370858419</v>
      </c>
      <c r="P146" s="1911"/>
      <c r="Q146" s="1911" t="s">
        <v>1034</v>
      </c>
      <c r="R146" s="1911">
        <f>0.075*R139^0.75</f>
        <v>4.0960431530552439</v>
      </c>
      <c r="S146" s="1911"/>
      <c r="T146" s="1911">
        <f>0.075*T139^0.75</f>
        <v>4.0960431530552439</v>
      </c>
      <c r="U146" s="1911"/>
      <c r="V146" s="1911">
        <f>0.075*V139^0.75</f>
        <v>4.0960431530552439</v>
      </c>
      <c r="W146" s="1911"/>
      <c r="X146" s="1911" t="s">
        <v>1034</v>
      </c>
      <c r="Y146" s="1911">
        <f>0.075*Y139^0.75</f>
        <v>4.1307771245257099</v>
      </c>
      <c r="Z146" s="1911" t="s">
        <v>1023</v>
      </c>
      <c r="AB146" s="1735">
        <f>0.075*AB139^0.75</f>
        <v>4.1489887795369071</v>
      </c>
      <c r="AD146" s="1735">
        <f>0.075*AD139^0.75</f>
        <v>4.1940867850539556</v>
      </c>
      <c r="AG146" s="1735" t="s">
        <v>1034</v>
      </c>
      <c r="AH146" s="1911"/>
      <c r="AI146" s="1735" t="s">
        <v>1035</v>
      </c>
      <c r="AK146" s="1911">
        <f>(97.8*AK139^0.75)/1000</f>
        <v>5.3412402715840379</v>
      </c>
      <c r="AL146" s="1735" t="s">
        <v>1023</v>
      </c>
      <c r="AO146" s="1735" t="s">
        <v>1034</v>
      </c>
      <c r="AP146" s="1735">
        <f>0.075*AP139^0.75</f>
        <v>4.1307771245257099</v>
      </c>
      <c r="AQ146" s="1735" t="s">
        <v>1023</v>
      </c>
      <c r="AS146" s="1735">
        <f>0.075*AS139^0.75</f>
        <v>4.1489887795369071</v>
      </c>
      <c r="AU146" s="1735">
        <f>0.075*AU139^0.75</f>
        <v>4.1940867850539556</v>
      </c>
      <c r="AW146" s="1735" t="s">
        <v>1036</v>
      </c>
      <c r="AX146" s="1735" t="s">
        <v>1034</v>
      </c>
      <c r="AY146" s="1911">
        <f>(85.9*AY139^0.75)/1000</f>
        <v>4.8407943196609526</v>
      </c>
      <c r="AZ146" s="1735" t="s">
        <v>1023</v>
      </c>
      <c r="BC146" s="1911">
        <f>(85.9*BC139^0.75)/1000</f>
        <v>4.8407943196609526</v>
      </c>
    </row>
    <row r="147" spans="2:55" s="1735" customFormat="1" ht="12.75" customHeight="1">
      <c r="B147" s="1919"/>
      <c r="C147" s="1919"/>
      <c r="G147" s="1735" t="s">
        <v>1037</v>
      </c>
      <c r="I147" s="1911" t="s">
        <v>1038</v>
      </c>
      <c r="J147" s="1911">
        <f>0.513+0.173*J144+0.1*J140</f>
        <v>0.62871289278406295</v>
      </c>
      <c r="K147" s="1911"/>
      <c r="L147" s="1911"/>
      <c r="M147" s="1911">
        <f>0.513+0.173*M144+0.1*M140</f>
        <v>0.63217622818317354</v>
      </c>
      <c r="N147" s="1911"/>
      <c r="O147" s="1911">
        <f>0.513+0.173*O144+0.1*O140</f>
        <v>0.63381458382669964</v>
      </c>
      <c r="P147" s="1911"/>
      <c r="Q147" s="1911" t="s">
        <v>1038</v>
      </c>
      <c r="R147" s="1911">
        <f>(0.513+0.173*R144+0.1*R140)*0.92</f>
        <v>0.57326740327918435</v>
      </c>
      <c r="S147" s="1911"/>
      <c r="T147" s="1911">
        <f>(0.513+0.173*T144+0.1*T140)*0.92</f>
        <v>0.57672857977253822</v>
      </c>
      <c r="U147" s="1911"/>
      <c r="V147" s="1911">
        <f>(0.513+0.173*V144+0.1*V140)*0.92</f>
        <v>0.57814055082741311</v>
      </c>
      <c r="W147" s="1911"/>
      <c r="X147" s="1911" t="s">
        <v>1039</v>
      </c>
      <c r="Y147" s="1911">
        <f>0.513+0.173*Y144+0.073*Y140</f>
        <v>0.61388002560938459</v>
      </c>
      <c r="Z147" s="1911"/>
      <c r="AB147" s="1735">
        <f>0.513+0.173*AB144+0.073*AB140</f>
        <v>0.61707275489642444</v>
      </c>
      <c r="AD147" s="1735">
        <f>0.513+0.173*AD144+0.073*AD140</f>
        <v>0.6201979783228404</v>
      </c>
      <c r="AG147" s="1735" t="s">
        <v>1039</v>
      </c>
      <c r="AH147" s="1911"/>
      <c r="AK147" s="1911">
        <f>AK146/AK148</f>
        <v>0.72444444444444434</v>
      </c>
      <c r="AO147" s="1735" t="s">
        <v>1038</v>
      </c>
      <c r="AP147" s="1735">
        <f>0.513+0.173*AP144+0.01*AP140</f>
        <v>0.58185232632134232</v>
      </c>
      <c r="AS147" s="1735">
        <f>0.513+0.173*AS144+0.01*AS140</f>
        <v>0.5850464406521555</v>
      </c>
      <c r="AU147" s="1735">
        <f>0.513+0.173*AU144+0.01*AU140</f>
        <v>0.58689026293906277</v>
      </c>
      <c r="AX147" s="1735" t="s">
        <v>1038</v>
      </c>
      <c r="AY147" s="1911">
        <f>AY146/AY148</f>
        <v>0.66076923076923078</v>
      </c>
      <c r="BC147" s="1911">
        <f>BC146/BC148</f>
        <v>0.66076923076923078</v>
      </c>
    </row>
    <row r="148" spans="2:55" s="1735" customFormat="1" ht="12.75" customHeight="1">
      <c r="B148" s="1919"/>
      <c r="C148" s="1919"/>
      <c r="G148" s="1735" t="s">
        <v>1040</v>
      </c>
      <c r="I148" s="1911" t="s">
        <v>1041</v>
      </c>
      <c r="J148" s="1911">
        <f>J146/J147</f>
        <v>6.6467652048993822</v>
      </c>
      <c r="K148" s="1911" t="s">
        <v>1023</v>
      </c>
      <c r="L148" s="1911"/>
      <c r="M148" s="1911">
        <f>M146/M147</f>
        <v>6.5930326028311175</v>
      </c>
      <c r="N148" s="1911"/>
      <c r="O148" s="1911">
        <f>O146/O147</f>
        <v>6.6314751101326488</v>
      </c>
      <c r="P148" s="1911"/>
      <c r="Q148" s="1911" t="s">
        <v>1041</v>
      </c>
      <c r="R148" s="1911">
        <f>1.11*(R146)/R147</f>
        <v>7.931042082427803</v>
      </c>
      <c r="S148" s="1911"/>
      <c r="T148" s="1911">
        <f>1.11*(T146)/T147</f>
        <v>7.883444759551371</v>
      </c>
      <c r="U148" s="1911"/>
      <c r="V148" s="1911">
        <f>1.11*(V146)/V147</f>
        <v>7.864191317118971</v>
      </c>
      <c r="W148" s="1911"/>
      <c r="X148" s="1911" t="s">
        <v>1041</v>
      </c>
      <c r="Y148" s="1911">
        <f>Y146/Y147</f>
        <v>6.7289648664251329</v>
      </c>
      <c r="Z148" s="1911" t="s">
        <v>1023</v>
      </c>
      <c r="AB148" s="1735">
        <f>AB146/AB147</f>
        <v>6.72366223693236</v>
      </c>
      <c r="AD148" s="1735">
        <f>AD146/AD147</f>
        <v>6.7624967053193918</v>
      </c>
      <c r="AG148" s="1735" t="s">
        <v>1041</v>
      </c>
      <c r="AH148" s="1911">
        <f>118.6*AH139^0.75/1000</f>
        <v>7.264760212975311</v>
      </c>
      <c r="AI148" s="1735" t="s">
        <v>1023</v>
      </c>
      <c r="AK148" s="1911">
        <f>(135*(AK139^0.75))/1000</f>
        <v>7.3728776754994394</v>
      </c>
      <c r="AL148" s="1735" t="s">
        <v>1023</v>
      </c>
      <c r="AO148" s="1735" t="s">
        <v>1041</v>
      </c>
      <c r="AP148" s="1735">
        <f>AP146/AP147</f>
        <v>7.0993565508998007</v>
      </c>
      <c r="AQ148" s="1735" t="s">
        <v>1023</v>
      </c>
      <c r="AS148" s="1735">
        <f>AS146/AS147</f>
        <v>7.0917255302194464</v>
      </c>
      <c r="AU148" s="1735">
        <f>AU146/AU147</f>
        <v>7.1462879006555111</v>
      </c>
      <c r="AW148" s="1735" t="s">
        <v>1014</v>
      </c>
      <c r="AX148" s="1735" t="s">
        <v>1041</v>
      </c>
      <c r="AY148" s="1911">
        <f>(130*(AY139^0.75))/1000</f>
        <v>7.3259983883111044</v>
      </c>
      <c r="AZ148" s="1735" t="s">
        <v>1023</v>
      </c>
      <c r="BC148" s="1911">
        <f>(130*(BC139^0.75))/1000</f>
        <v>7.3259983883111044</v>
      </c>
    </row>
    <row r="149" spans="2:55" s="1735" customFormat="1" ht="12.75" customHeight="1">
      <c r="B149" s="1919"/>
      <c r="C149" s="1919"/>
      <c r="G149" s="1735" t="s">
        <v>1042</v>
      </c>
      <c r="I149" s="1911" t="s">
        <v>1043</v>
      </c>
      <c r="J149" s="1911">
        <f>J145+J148</f>
        <v>10.65765724562435</v>
      </c>
      <c r="K149" s="1911" t="s">
        <v>1023</v>
      </c>
      <c r="L149" s="1911"/>
      <c r="M149" s="1911">
        <f>M145+M148</f>
        <v>10.941128658275629</v>
      </c>
      <c r="N149" s="1911"/>
      <c r="O149" s="1911">
        <f>O145+O148</f>
        <v>11.163675443538196</v>
      </c>
      <c r="P149" s="1911"/>
      <c r="Q149" s="1911" t="s">
        <v>1043</v>
      </c>
      <c r="R149" s="1911">
        <f>R145+R148</f>
        <v>11.510229584589007</v>
      </c>
      <c r="S149" s="1911"/>
      <c r="T149" s="1911">
        <f>T145+T148</f>
        <v>11.739456430254821</v>
      </c>
      <c r="U149" s="1911"/>
      <c r="V149" s="1911">
        <f>V145+V148</f>
        <v>11.848799870927239</v>
      </c>
      <c r="W149" s="1911"/>
      <c r="X149" s="1911" t="s">
        <v>1043</v>
      </c>
      <c r="Y149" s="1911">
        <f>Y145+Y148</f>
        <v>10.574239616432962</v>
      </c>
      <c r="Z149" s="1911" t="s">
        <v>1023</v>
      </c>
      <c r="AB149" s="1735">
        <f>AB145+AB148</f>
        <v>10.846595899130724</v>
      </c>
      <c r="AD149" s="1735">
        <f>AD145+AD148</f>
        <v>11.20804379454578</v>
      </c>
      <c r="AG149" s="1735" t="s">
        <v>1043</v>
      </c>
      <c r="AH149" s="1911">
        <f>AH148+AH145</f>
        <v>11.957689903149053</v>
      </c>
      <c r="AI149" s="1735" t="s">
        <v>1023</v>
      </c>
      <c r="AK149" s="1911">
        <f>AK148+AK145+AK192</f>
        <v>18.906691995651357</v>
      </c>
      <c r="AL149" s="1735" t="s">
        <v>1023</v>
      </c>
      <c r="AO149" s="1735" t="s">
        <v>1043</v>
      </c>
      <c r="AP149" s="1735">
        <f>AP145+AP148</f>
        <v>10.791582477406095</v>
      </c>
      <c r="AQ149" s="1735" t="s">
        <v>1023</v>
      </c>
      <c r="AS149" s="1735">
        <f>AS145+AS148</f>
        <v>11.034731991784584</v>
      </c>
      <c r="AU149" s="1735">
        <f>AU145+AU148</f>
        <v>11.253807882183734</v>
      </c>
      <c r="AW149" s="1735" t="s">
        <v>1044</v>
      </c>
      <c r="AX149" s="1735" t="s">
        <v>1045</v>
      </c>
      <c r="AY149" s="1911">
        <f>AY148+AY145+AY152</f>
        <v>14.562093132705764</v>
      </c>
      <c r="AZ149" s="1735" t="s">
        <v>1023</v>
      </c>
      <c r="BC149" s="1911">
        <f>BC148+BC145</f>
        <v>13.053184352245196</v>
      </c>
    </row>
    <row r="150" spans="2:55" s="1735" customFormat="1" ht="12.75" customHeight="1">
      <c r="B150" s="1919"/>
      <c r="C150" s="1919"/>
      <c r="I150" s="1911" t="s">
        <v>1046</v>
      </c>
      <c r="J150" s="1911">
        <f>(((J149/Total.MS)+0.3032)/0.9455)*Total.MS</f>
        <v>11.590145398745056</v>
      </c>
      <c r="K150" s="1911" t="s">
        <v>1023</v>
      </c>
      <c r="L150" s="1911"/>
      <c r="M150" s="1911">
        <f>(((M149/Total.MS+0.3032)/0.9455)*Total.MS)</f>
        <v>11.889956517360897</v>
      </c>
      <c r="N150" s="1911"/>
      <c r="O150" s="1911">
        <f>(((O149/Total.MS)+0.3032)/0.9455)*Total.MS</f>
        <v>12.125331224143094</v>
      </c>
      <c r="P150" s="1911"/>
      <c r="Q150" s="1911" t="s">
        <v>1046</v>
      </c>
      <c r="R150" s="1911">
        <f>(((R149/Total.MS)+0.3032)/0.9455)*Total.MS</f>
        <v>12.491861251695514</v>
      </c>
      <c r="S150" s="1911"/>
      <c r="T150" s="1911">
        <f>(((T149/Total.MS+0.3032)/0.9455)*Total.MS)</f>
        <v>12.734301067312449</v>
      </c>
      <c r="U150" s="1911"/>
      <c r="V150" s="1911">
        <f>(((V149/Total.MS)+0.3032)/0.9455)*Total.MS</f>
        <v>12.849947223496923</v>
      </c>
      <c r="W150" s="1911"/>
      <c r="X150" s="1911" t="s">
        <v>1046</v>
      </c>
      <c r="Y150" s="1911">
        <f>(((Y149/Total.MS)+0.3032)/0.9455)*Total.MS</f>
        <v>11.501919455655274</v>
      </c>
      <c r="Z150" s="1911" t="s">
        <v>1023</v>
      </c>
      <c r="AB150" s="1735">
        <f>(((AB149/Total.MS)+0.3032)/0.9455)*Total.MS</f>
        <v>11.789974752004044</v>
      </c>
      <c r="AD150" s="1735">
        <f>(((AD149/Total.MS)+0.3032)/0.9455)*Total.MS</f>
        <v>12.17225703166037</v>
      </c>
      <c r="AG150" s="1735" t="s">
        <v>1046</v>
      </c>
      <c r="AH150" s="1911">
        <f>AH149/0.96</f>
        <v>12.455926982446931</v>
      </c>
      <c r="AI150" s="1735" t="s">
        <v>1023</v>
      </c>
      <c r="AK150" s="1911">
        <f>(((AK149/AK152)+0.3032)/0.9455)*AK152</f>
        <v>21.704657904039344</v>
      </c>
      <c r="AL150" s="1735" t="s">
        <v>1023</v>
      </c>
      <c r="AO150" s="1735" t="s">
        <v>1046</v>
      </c>
      <c r="AP150" s="1735">
        <f>(((AP149/Total.MS)+0.3032)/0.9455)*Total.MS</f>
        <v>11.731790276356634</v>
      </c>
      <c r="AQ150" s="1735" t="s">
        <v>1023</v>
      </c>
      <c r="AS150" s="1735">
        <f>(((AS149/Total.MS)+0.3032)/0.9455)*Total.MS</f>
        <v>11.988955283631606</v>
      </c>
      <c r="AU150" s="1735">
        <f>(((AU149/Total.MS)+0.3032)/0.9455)*Total.MS</f>
        <v>12.220659028104533</v>
      </c>
      <c r="AW150" s="1735" t="s">
        <v>1044</v>
      </c>
      <c r="AX150" s="1735" t="s">
        <v>1046</v>
      </c>
      <c r="AY150" s="1911">
        <f>AY149/0.82</f>
        <v>17.758650161836297</v>
      </c>
      <c r="AZ150" s="1735" t="s">
        <v>1023</v>
      </c>
      <c r="BC150" s="1911">
        <f>BC149/0.82</f>
        <v>15.918517502738045</v>
      </c>
    </row>
    <row r="151" spans="2:55" s="1735" customFormat="1" ht="15.75" customHeight="1">
      <c r="B151" s="1919"/>
      <c r="C151" s="1919"/>
      <c r="G151" s="1735" t="s">
        <v>1047</v>
      </c>
      <c r="I151" s="1911" t="s">
        <v>1048</v>
      </c>
      <c r="J151" s="1911">
        <f>J150/4.4</f>
        <v>2.6341239542602399</v>
      </c>
      <c r="K151" s="1911" t="s">
        <v>1017</v>
      </c>
      <c r="L151" s="1911"/>
      <c r="M151" s="1911">
        <f>M150/4.4</f>
        <v>2.702262844854749</v>
      </c>
      <c r="N151" s="1911"/>
      <c r="O151" s="1911">
        <f>O150/4.4</f>
        <v>2.7557570963961577</v>
      </c>
      <c r="P151" s="1911"/>
      <c r="Q151" s="1911" t="s">
        <v>1048</v>
      </c>
      <c r="R151" s="1911">
        <f>R150/4.4</f>
        <v>2.8390593753853439</v>
      </c>
      <c r="S151" s="1911"/>
      <c r="T151" s="1911">
        <f>T150/4.4</f>
        <v>2.8941593334801019</v>
      </c>
      <c r="U151" s="1911"/>
      <c r="V151" s="1911">
        <f>V150/4.4</f>
        <v>2.9204425507947547</v>
      </c>
      <c r="W151" s="1911"/>
      <c r="X151" s="1911" t="s">
        <v>1048</v>
      </c>
      <c r="Y151" s="1911">
        <f>Y150/4.4</f>
        <v>2.6140726035580166</v>
      </c>
      <c r="Z151" s="1911" t="s">
        <v>1017</v>
      </c>
      <c r="AB151" s="1735">
        <f>AB150/4.4</f>
        <v>2.6795397163645553</v>
      </c>
      <c r="AD151" s="1735">
        <f>AD150/4.4</f>
        <v>2.7664220526500838</v>
      </c>
      <c r="AG151" s="1735" t="s">
        <v>1049</v>
      </c>
      <c r="AH151" s="1911">
        <f>AH150/4.4</f>
        <v>2.8308924960106658</v>
      </c>
      <c r="AI151" s="1735" t="s">
        <v>1017</v>
      </c>
      <c r="AK151" s="1911">
        <f>AK150/4.4</f>
        <v>4.9328767963725779</v>
      </c>
      <c r="AL151" s="1735" t="s">
        <v>1017</v>
      </c>
      <c r="AM151" s="1911">
        <f>$AK$148/0.82/4.409+$AK$142/1.5897</f>
        <v>3.100046483100853</v>
      </c>
      <c r="AO151" s="1735" t="s">
        <v>1048</v>
      </c>
      <c r="AP151" s="1735">
        <f>AP150/4.4</f>
        <v>2.6663159718992349</v>
      </c>
      <c r="AQ151" s="1735" t="s">
        <v>1017</v>
      </c>
      <c r="AS151" s="1735">
        <f>AS150/4.4</f>
        <v>2.7247625644617286</v>
      </c>
      <c r="AU151" s="1735">
        <f>AU150/4.4</f>
        <v>2.7774225063873939</v>
      </c>
      <c r="AW151" s="1735" t="s">
        <v>1044</v>
      </c>
      <c r="AX151" s="1735" t="s">
        <v>1049</v>
      </c>
      <c r="AY151" s="1911">
        <f>AY150/4.4</f>
        <v>4.0360568549627942</v>
      </c>
      <c r="AZ151" s="1735" t="s">
        <v>1017</v>
      </c>
      <c r="BC151" s="1911">
        <f>BC150/4.4</f>
        <v>3.6178448869859188</v>
      </c>
    </row>
    <row r="152" spans="2:55" s="1735" customFormat="1" ht="12.75" customHeight="1">
      <c r="B152" s="1919"/>
      <c r="C152" s="1919"/>
      <c r="G152" s="1735" t="s">
        <v>1050</v>
      </c>
      <c r="I152" s="1911" t="s">
        <v>1051</v>
      </c>
      <c r="J152" s="1911">
        <f>-1.303+0.0029*NC-0.00005*NC^2 + 0.0843*$D$7^0.75 + 2.243*$D$10-0.271*$D$10^2</f>
        <v>5.0695742149295242</v>
      </c>
      <c r="K152" s="1911" t="s">
        <v>1017</v>
      </c>
      <c r="L152" s="1911"/>
      <c r="M152" s="1911">
        <f>-1.303+0.0029*NC-0.00005*NC^2 + 0.0843*$D$7^0.75 + 2.243*$D$10-0.271*$D$10^2</f>
        <v>5.0695742149295242</v>
      </c>
      <c r="N152" s="1911"/>
      <c r="O152" s="1911">
        <f>-1.303+0.0029*NC-0.00005*NC^2 + 0.0843*$D$7^0.75 + 2.243*$D$10-0.271*$D$10^2</f>
        <v>5.0695742149295242</v>
      </c>
      <c r="P152" s="1911"/>
      <c r="Q152" s="1911" t="s">
        <v>1051</v>
      </c>
      <c r="R152" s="1911">
        <f>-1.303+0.0029*NC-0.00005*NC^2 + 0.0843*$D$7^0.75 + 2.243*$D$10-0.271*$D$10^2</f>
        <v>5.0695742149295242</v>
      </c>
      <c r="S152" s="1911"/>
      <c r="T152" s="1911">
        <f>-1.303+0.0029*NC-0.00005*NC^2 + 0.0843*$D$7^0.75 + 2.243*$D$10-0.271*$D$10^2</f>
        <v>5.0695742149295242</v>
      </c>
      <c r="U152" s="1911"/>
      <c r="V152" s="1911">
        <f>-1.303+0.0029*NC-0.00005*NC^2 + 0.0843*$D$7^0.75 + 2.243*$D$10-0.271*$D$10^2</f>
        <v>5.0695742149295242</v>
      </c>
      <c r="W152" s="1911"/>
      <c r="X152" s="1911" t="s">
        <v>1052</v>
      </c>
      <c r="Y152" s="1911">
        <f>-4.8196+0.0081*NC-0.00011*NC^2+0.1239*PC.2^0.75+2.8189*GMD.2-0.775*GMD.2^2</f>
        <v>4.217247831907093</v>
      </c>
      <c r="Z152" s="1911" t="s">
        <v>7</v>
      </c>
      <c r="AB152" s="1735">
        <f>-4.8196+0.0081*NC-0.00011*NC^2+0.1239*PC.2^0.75+2.8189*GMD.2-0.775*GMD.2^2</f>
        <v>4.217247831907093</v>
      </c>
      <c r="AD152" s="1735">
        <f>-4.8196+0.0081*NC-0.00011*NC^2+0.1239*PC.2^0.75+2.8189*GMD.2-0.775*GMD.2^2</f>
        <v>4.217247831907093</v>
      </c>
      <c r="AG152" s="1735" t="s">
        <v>1053</v>
      </c>
      <c r="AH152" s="1911">
        <f>AI194+AI195</f>
        <v>3.7058105400000008</v>
      </c>
      <c r="AI152" s="1735" t="s">
        <v>7</v>
      </c>
      <c r="AJ152" s="1924" t="s">
        <v>1054</v>
      </c>
      <c r="AK152" s="1911">
        <f>((27.259-13.861*EXP(-0.836*SL)-0.317*SL+0.606*GMD.2)*PC.2)/1000</f>
        <v>5.3267218094256066</v>
      </c>
      <c r="AL152" s="1735" t="s">
        <v>7</v>
      </c>
      <c r="AO152" s="1735" t="s">
        <v>1055</v>
      </c>
      <c r="AP152" s="1735">
        <f>-2.8836+0.08435*PC.2^0.75+4.5145*GMD.2-0.9631*GMD.2^2</f>
        <v>4.4520022245469191</v>
      </c>
      <c r="AQ152" s="1735" t="s">
        <v>7</v>
      </c>
      <c r="AS152" s="1735">
        <f>-2.8836+0.08435*PC.2^0.75+4.5145*GMD.2-0.9631*GMD.2^2</f>
        <v>4.4520022245469191</v>
      </c>
      <c r="AU152" s="1735">
        <f>-2.8836+0.08435*PC.2^0.75+4.5145*GMD.2-0.9631*GMD.2^2</f>
        <v>4.4520022245469191</v>
      </c>
      <c r="AW152" s="1735" t="s">
        <v>1056</v>
      </c>
      <c r="AX152" s="1735" t="s">
        <v>1057</v>
      </c>
      <c r="AY152" s="1911">
        <f>AY194/0.12</f>
        <v>1.5089087804605679</v>
      </c>
      <c r="AZ152" s="1735" t="s">
        <v>1023</v>
      </c>
      <c r="BC152" s="1911"/>
    </row>
    <row r="153" spans="2:55" s="1735" customFormat="1" ht="12.75" customHeight="1">
      <c r="B153" s="1919"/>
      <c r="C153" s="1919"/>
      <c r="G153" s="1735" t="s">
        <v>1058</v>
      </c>
      <c r="I153" s="1911" t="s">
        <v>1059</v>
      </c>
      <c r="J153" s="1911">
        <f>0.88*PC.2^1.0175</f>
        <v>243.3048038276406</v>
      </c>
      <c r="K153" s="1911" t="s">
        <v>7</v>
      </c>
      <c r="L153" s="1911"/>
      <c r="M153" s="1911">
        <f>0.88*$D$7^1.0175</f>
        <v>243.3048038276406</v>
      </c>
      <c r="N153" s="1911"/>
      <c r="O153" s="1911">
        <f>0.88*$D$7^1.0175</f>
        <v>243.3048038276406</v>
      </c>
      <c r="P153" s="1911"/>
      <c r="Q153" s="1911" t="s">
        <v>1059</v>
      </c>
      <c r="R153" s="1911">
        <f>0.88*$D$7^1.0175</f>
        <v>243.3048038276406</v>
      </c>
      <c r="S153" s="1911"/>
      <c r="T153" s="1911">
        <f>0.88*$D$7^1.0175</f>
        <v>243.3048038276406</v>
      </c>
      <c r="U153" s="1911"/>
      <c r="V153" s="1911">
        <f>0.88*$D$7^1.0175</f>
        <v>243.3048038276406</v>
      </c>
      <c r="W153" s="1911"/>
      <c r="X153" s="1911" t="s">
        <v>1059</v>
      </c>
      <c r="Y153" s="1911">
        <f>0.88*$D$7^1.0175</f>
        <v>243.3048038276406</v>
      </c>
      <c r="Z153" s="1911" t="s">
        <v>7</v>
      </c>
      <c r="AB153" s="1735">
        <f>0.88*$D$7^1.0175</f>
        <v>243.3048038276406</v>
      </c>
      <c r="AD153" s="1735">
        <f>0.88*$D$7^1.0175</f>
        <v>243.3048038276406</v>
      </c>
      <c r="AG153" s="1735" t="s">
        <v>1059</v>
      </c>
      <c r="AI153" s="1735" t="s">
        <v>7</v>
      </c>
      <c r="AK153" s="1911">
        <f>0.88*PC.2^1.0175</f>
        <v>243.3048038276406</v>
      </c>
      <c r="AL153" s="1735" t="s">
        <v>7</v>
      </c>
      <c r="AO153" s="1735" t="s">
        <v>1059</v>
      </c>
      <c r="AP153" s="1735">
        <f>0.9664*$D$7^1.0017</f>
        <v>244.85562651647604</v>
      </c>
      <c r="AQ153" s="1735" t="s">
        <v>7</v>
      </c>
      <c r="AS153" s="1735">
        <f>0.9664*$D$7^1.0017</f>
        <v>244.85562651647604</v>
      </c>
      <c r="AU153" s="1735">
        <f>0.9664*$D$7^1.0017</f>
        <v>244.85562651647604</v>
      </c>
      <c r="AW153" s="1735" t="s">
        <v>1014</v>
      </c>
      <c r="AX153" s="1735" t="s">
        <v>1059</v>
      </c>
      <c r="AY153" s="1911">
        <f>0.8084*PC.2^1.0303</f>
        <v>239.88889286054155</v>
      </c>
      <c r="AZ153" s="1735" t="s">
        <v>7</v>
      </c>
      <c r="BC153" s="1911">
        <f>0.8084*PC.2^1.0303</f>
        <v>239.88889286054155</v>
      </c>
    </row>
    <row r="154" spans="2:55" s="1735" customFormat="1" ht="12.75" customHeight="1">
      <c r="B154" s="1919"/>
      <c r="C154" s="1919"/>
      <c r="I154" s="1911" t="s">
        <v>1013</v>
      </c>
      <c r="J154" s="1911">
        <f>J139</f>
        <v>212.81484588868489</v>
      </c>
      <c r="K154" s="1911" t="s">
        <v>7</v>
      </c>
      <c r="L154" s="1911"/>
      <c r="M154" s="1911">
        <f>M139</f>
        <v>212.07175378421289</v>
      </c>
      <c r="N154" s="1911"/>
      <c r="O154" s="1911">
        <f>O139</f>
        <v>214.46091007532524</v>
      </c>
      <c r="P154" s="1911"/>
      <c r="Q154" s="1911" t="s">
        <v>1013</v>
      </c>
      <c r="R154" s="1911">
        <f>R139</f>
        <v>207.20696362621618</v>
      </c>
      <c r="S154" s="1911"/>
      <c r="T154" s="1911">
        <f>T139</f>
        <v>207.20696362621618</v>
      </c>
      <c r="U154" s="1911"/>
      <c r="V154" s="1911">
        <f>V139</f>
        <v>207.20696362621618</v>
      </c>
      <c r="W154" s="1911"/>
      <c r="X154" s="1911" t="s">
        <v>1013</v>
      </c>
      <c r="Y154" s="1911">
        <f>Y139</f>
        <v>209.55305657006537</v>
      </c>
      <c r="Z154" s="1911" t="s">
        <v>7</v>
      </c>
      <c r="AB154" s="1735">
        <f>AB139</f>
        <v>210.7857897243712</v>
      </c>
      <c r="AD154" s="1735">
        <f>AD139</f>
        <v>213.84619760282953</v>
      </c>
      <c r="AG154" s="1735" t="s">
        <v>1013</v>
      </c>
      <c r="AI154" s="1735" t="s">
        <v>7</v>
      </c>
      <c r="AK154" s="1911"/>
      <c r="AL154" s="1735" t="s">
        <v>7</v>
      </c>
      <c r="AO154" s="1735" t="s">
        <v>1013</v>
      </c>
      <c r="AP154" s="1735">
        <f>AP139</f>
        <v>209.55305657006537</v>
      </c>
      <c r="AQ154" s="1735" t="s">
        <v>7</v>
      </c>
      <c r="AS154" s="1735">
        <f>AS139</f>
        <v>210.7857897243712</v>
      </c>
      <c r="AU154" s="1735">
        <f>AU139</f>
        <v>213.84619760282953</v>
      </c>
      <c r="AX154" s="1735" t="s">
        <v>1013</v>
      </c>
      <c r="AY154" s="1911"/>
      <c r="AZ154" s="1735" t="s">
        <v>7</v>
      </c>
      <c r="BC154" s="1911"/>
    </row>
    <row r="155" spans="2:55" s="1735" customFormat="1" ht="12.75" customHeight="1">
      <c r="B155" s="1919"/>
      <c r="C155" s="1919"/>
      <c r="I155" s="1911" t="s">
        <v>1060</v>
      </c>
      <c r="J155" s="1911">
        <f>J141</f>
        <v>212.81484588868489</v>
      </c>
      <c r="K155" s="1911" t="s">
        <v>7</v>
      </c>
      <c r="L155" s="1911"/>
      <c r="M155" s="1911">
        <f>M141</f>
        <v>253.21269447214334</v>
      </c>
      <c r="N155" s="1911"/>
      <c r="O155" s="1911">
        <f>O141</f>
        <v>275.81166793269438</v>
      </c>
      <c r="P155" s="1911"/>
      <c r="Q155" s="1911" t="s">
        <v>1060</v>
      </c>
      <c r="R155" s="1911">
        <f>R141</f>
        <v>207.20696362621618</v>
      </c>
      <c r="S155" s="1911"/>
      <c r="T155" s="1911">
        <f>T141</f>
        <v>247.40415749365766</v>
      </c>
      <c r="U155" s="1911"/>
      <c r="V155" s="1911">
        <f>V141</f>
        <v>266.48258754913871</v>
      </c>
      <c r="W155" s="1911"/>
      <c r="X155" s="1911" t="s">
        <v>1060</v>
      </c>
      <c r="Y155" s="1911">
        <f>Y141</f>
        <v>193.4623754405782</v>
      </c>
      <c r="Z155" s="1911" t="s">
        <v>7</v>
      </c>
      <c r="AB155" s="1735">
        <f>AB141</f>
        <v>226.09181179979234</v>
      </c>
      <c r="AD155" s="1735">
        <f>AD141</f>
        <v>265.12825937808839</v>
      </c>
      <c r="AG155" s="1735" t="s">
        <v>1060</v>
      </c>
      <c r="AI155" s="1735" t="s">
        <v>7</v>
      </c>
      <c r="AK155" s="1911"/>
      <c r="AL155" s="1735" t="s">
        <v>7</v>
      </c>
      <c r="AO155" s="1735" t="s">
        <v>1060</v>
      </c>
      <c r="AP155" s="1735">
        <f>AP141</f>
        <v>175.874886764162</v>
      </c>
      <c r="AQ155" s="1735" t="s">
        <v>7</v>
      </c>
      <c r="AS155" s="1735">
        <f>AS141</f>
        <v>204.84258136748102</v>
      </c>
      <c r="AU155" s="1735">
        <f>AU141</f>
        <v>224.25656016361637</v>
      </c>
      <c r="AX155" s="1735" t="s">
        <v>1060</v>
      </c>
      <c r="AY155" s="1911"/>
      <c r="AZ155" s="1735" t="s">
        <v>7</v>
      </c>
      <c r="BC155" s="1911"/>
    </row>
    <row r="156" spans="2:55" s="1735" customFormat="1" ht="12.75" customHeight="1">
      <c r="B156" s="1919"/>
      <c r="C156" s="1919"/>
      <c r="I156" s="1911" t="s">
        <v>1016</v>
      </c>
      <c r="J156" s="1911">
        <f>J140</f>
        <v>0.47648665138135055</v>
      </c>
      <c r="K156" s="1911" t="s">
        <v>1017</v>
      </c>
      <c r="L156" s="1911"/>
      <c r="M156" s="1911">
        <f>M140</f>
        <v>0.47648665138135055</v>
      </c>
      <c r="N156" s="1911"/>
      <c r="O156" s="1911">
        <f>O140</f>
        <v>0.47648665138135055</v>
      </c>
      <c r="P156" s="1911"/>
      <c r="Q156" s="1911" t="s">
        <v>1016</v>
      </c>
      <c r="R156" s="1911">
        <f>R140</f>
        <v>0.47648665138135055</v>
      </c>
      <c r="S156" s="1911"/>
      <c r="T156" s="1911">
        <f>T140</f>
        <v>0.47648665138135055</v>
      </c>
      <c r="U156" s="1911"/>
      <c r="V156" s="1911">
        <f>V140</f>
        <v>0.47648665138135055</v>
      </c>
      <c r="W156" s="1911"/>
      <c r="X156" s="1911" t="s">
        <v>1016</v>
      </c>
      <c r="Y156" s="1911">
        <f>Y140</f>
        <v>0.47648665138135055</v>
      </c>
      <c r="Z156" s="1911" t="s">
        <v>1017</v>
      </c>
      <c r="AB156" s="1735">
        <f>AB140</f>
        <v>0.47648665138135055</v>
      </c>
      <c r="AD156" s="1735">
        <f>AD140</f>
        <v>0.47648665138135055</v>
      </c>
      <c r="AG156" s="1735" t="s">
        <v>1016</v>
      </c>
      <c r="AI156" s="1735" t="s">
        <v>1017</v>
      </c>
      <c r="AK156" s="1911"/>
      <c r="AL156" s="1735" t="s">
        <v>1017</v>
      </c>
      <c r="AO156" s="1735" t="s">
        <v>1016</v>
      </c>
      <c r="AP156" s="1735">
        <f>AP140</f>
        <v>0.47648665138135055</v>
      </c>
      <c r="AQ156" s="1735" t="s">
        <v>1017</v>
      </c>
      <c r="AS156" s="1735">
        <f>AS140</f>
        <v>0.47648665138135055</v>
      </c>
      <c r="AU156" s="1735">
        <f>AU140</f>
        <v>0.47648665138135055</v>
      </c>
      <c r="AX156" s="1735" t="s">
        <v>1016</v>
      </c>
      <c r="AY156" s="1911"/>
      <c r="AZ156" s="1735" t="s">
        <v>1017</v>
      </c>
      <c r="BC156" s="1911"/>
    </row>
    <row r="157" spans="2:55" s="1735" customFormat="1" ht="12.75" customHeight="1">
      <c r="B157" s="1919"/>
      <c r="C157" s="1919"/>
      <c r="I157" s="1911" t="s">
        <v>1061</v>
      </c>
      <c r="J157" s="1911">
        <f>0.061*J155^0.75*J156^1.035</f>
        <v>1.5780246758563259</v>
      </c>
      <c r="K157" s="1911" t="s">
        <v>1023</v>
      </c>
      <c r="L157" s="1911"/>
      <c r="M157" s="1911">
        <f>0.061*M155^0.75*M156^1.035</f>
        <v>1.7977382354432965</v>
      </c>
      <c r="N157" s="1911"/>
      <c r="O157" s="1911">
        <f>0.061*O155^0.75*O156^1.035</f>
        <v>1.9167780408915338</v>
      </c>
      <c r="P157" s="1911"/>
      <c r="Q157" s="1911" t="s">
        <v>1061</v>
      </c>
      <c r="R157" s="1911">
        <f>0.061*R155^0.75*R156^1.035</f>
        <v>1.5467339187980098</v>
      </c>
      <c r="S157" s="1911"/>
      <c r="T157" s="1911">
        <f>0.061*T155^0.75*T156^1.035</f>
        <v>1.7667194671080788</v>
      </c>
      <c r="U157" s="1911"/>
      <c r="V157" s="1911">
        <f>0.061*V155^0.75*V156^1.035</f>
        <v>1.8679445365720484</v>
      </c>
      <c r="W157" s="1911"/>
      <c r="X157" s="1911" t="s">
        <v>1061</v>
      </c>
      <c r="Y157" s="1911">
        <f>0.061*Y155^0.75*Y156^1.035</f>
        <v>1.4691283395318933</v>
      </c>
      <c r="Z157" s="1911" t="s">
        <v>1023</v>
      </c>
      <c r="AB157" s="1735">
        <f>0.061*AB155^0.75*AB156^1.035</f>
        <v>1.6512999774375623</v>
      </c>
      <c r="AD157" s="1735">
        <f>0.061*AD155^0.75*AD156^1.035</f>
        <v>1.8608199984884048</v>
      </c>
      <c r="AG157" s="1735" t="s">
        <v>1061</v>
      </c>
      <c r="AI157" s="1735" t="s">
        <v>1023</v>
      </c>
      <c r="AK157" s="1911"/>
      <c r="AO157" s="1735" t="s">
        <v>1061</v>
      </c>
      <c r="AP157" s="1735">
        <f>0.061*AP155^0.75*AP156^1.035</f>
        <v>1.3677767668513749</v>
      </c>
      <c r="AQ157" s="1735" t="s">
        <v>1023</v>
      </c>
      <c r="AS157" s="1735">
        <f>0.061*AS155^0.75*AS156^1.035</f>
        <v>1.533477928160442</v>
      </c>
      <c r="AU157" s="1735">
        <f>0.061*AU155^0.75*AU156^1.035</f>
        <v>1.641236688137405</v>
      </c>
      <c r="AX157" s="1735" t="s">
        <v>1061</v>
      </c>
      <c r="AY157" s="1911"/>
      <c r="BC157" s="1911"/>
    </row>
    <row r="158" spans="2:55" s="1735" customFormat="1" ht="12.75" customHeight="1">
      <c r="B158" s="1919"/>
      <c r="C158" s="1919"/>
      <c r="I158" s="1911" t="s">
        <v>1062</v>
      </c>
      <c r="J158" s="1911">
        <f>210.09*J140-10.01*J157</f>
        <v>84.309053583386117</v>
      </c>
      <c r="K158" s="1911" t="s">
        <v>10</v>
      </c>
      <c r="L158" s="1911"/>
      <c r="M158" s="1911">
        <f>153.13*M140-2.53*M157</f>
        <v>68.416123190354668</v>
      </c>
      <c r="N158" s="1911"/>
      <c r="O158" s="1911">
        <f>193.9*O140-12.16*O157</f>
        <v>69.082740725602832</v>
      </c>
      <c r="P158" s="1911"/>
      <c r="Q158" s="1911" t="s">
        <v>1062</v>
      </c>
      <c r="R158" s="1911">
        <f>181.43*R140-2.88*R157</f>
        <v>81.99437947398016</v>
      </c>
      <c r="S158" s="1911"/>
      <c r="T158" s="1911">
        <f>181.43*T140-2.88*T157</f>
        <v>81.360821094847154</v>
      </c>
      <c r="U158" s="1911"/>
      <c r="V158" s="1911">
        <f>181.43*V140-2.88*V157</f>
        <v>81.069292894790934</v>
      </c>
      <c r="W158" s="1911"/>
      <c r="X158" s="1911" t="s">
        <v>1062</v>
      </c>
      <c r="Y158" s="1911">
        <f>281.77*Y140-27.66*Y157</f>
        <v>93.623553888270962</v>
      </c>
      <c r="Z158" s="1911" t="s">
        <v>10</v>
      </c>
      <c r="AB158" s="1735">
        <f>219.94*AB140-12.04*AB157</f>
        <v>84.916822376465987</v>
      </c>
      <c r="AD158" s="1735">
        <f>174.65*AD140-3.14*AD157</f>
        <v>77.375418868499281</v>
      </c>
      <c r="AG158" s="1735" t="s">
        <v>1062</v>
      </c>
      <c r="AH158" s="1911">
        <f>0.1397*AH139^0.0351*AH140*1000</f>
        <v>81.127839810619562</v>
      </c>
      <c r="AI158" s="1735" t="s">
        <v>10</v>
      </c>
      <c r="AK158" s="1911">
        <f>AK140*376.4*AK139^-0.1839</f>
        <v>66.055458053780598</v>
      </c>
      <c r="AL158" s="1735" t="s">
        <v>10</v>
      </c>
      <c r="AO158" s="1735" t="s">
        <v>1062</v>
      </c>
      <c r="AP158" s="1735">
        <f>171.43*AP140-3.08*AP157</f>
        <v>77.471354204402687</v>
      </c>
      <c r="AQ158" s="1735" t="s">
        <v>10</v>
      </c>
      <c r="AS158" s="1735">
        <f>236.36*AS140-19.84*AS157</f>
        <v>82.198182825792856</v>
      </c>
      <c r="AU158" s="1735">
        <f>206.58*AU140-15.39*AU157</f>
        <v>73.173979811924738</v>
      </c>
      <c r="AW158" s="1735" t="s">
        <v>1018</v>
      </c>
      <c r="AX158" s="1735" t="s">
        <v>1062</v>
      </c>
      <c r="AY158" s="1911">
        <f>307*AY140-34*AY142</f>
        <v>43.077510903982272</v>
      </c>
      <c r="AZ158" s="1735" t="s">
        <v>10</v>
      </c>
      <c r="BC158" s="1911">
        <f>307*BC140-34*BC142</f>
        <v>43.077510903982272</v>
      </c>
    </row>
    <row r="159" spans="2:55" s="1735" customFormat="1" ht="12.75" customHeight="1">
      <c r="B159" s="1919"/>
      <c r="C159" s="1919"/>
      <c r="I159" s="1911" t="s">
        <v>1063</v>
      </c>
      <c r="J159" s="1911">
        <f>IF(J153&gt;340,47.4,84.665-0.1179*J155)</f>
        <v>59.574129669724059</v>
      </c>
      <c r="K159" s="1911"/>
      <c r="L159" s="1911"/>
      <c r="M159" s="1911">
        <f>IF(M153&gt;340,47.4,84.665-0.1179*M155)</f>
        <v>54.811223321734303</v>
      </c>
      <c r="N159" s="1911"/>
      <c r="O159" s="1911">
        <f>IF(O153&gt;340,47.4,84.665-0.1179*O155)</f>
        <v>52.146804350735337</v>
      </c>
      <c r="P159" s="1911"/>
      <c r="Q159" s="1911" t="s">
        <v>1063</v>
      </c>
      <c r="R159" s="1911">
        <f>IF(R153&gt;340,47.4,84.665-0.1179*R155)</f>
        <v>60.235298988469118</v>
      </c>
      <c r="S159" s="1911"/>
      <c r="T159" s="1911">
        <f>IF(T153&gt;340,47.4,84.665-0.1179*T155)</f>
        <v>55.496049831497771</v>
      </c>
      <c r="U159" s="1911"/>
      <c r="V159" s="1911">
        <f>IF(V153&gt;340,47.4,84.665-0.1179*V155)</f>
        <v>53.246702927956548</v>
      </c>
      <c r="W159" s="1911"/>
      <c r="X159" s="1911" t="s">
        <v>1063</v>
      </c>
      <c r="Y159" s="1911">
        <f>IF(Y153&gt;340,47.4,84.665-0.1179*Y155)</f>
        <v>61.855785935555836</v>
      </c>
      <c r="Z159" s="1911"/>
      <c r="AB159" s="1735">
        <f>IF(AB153&gt;340,47.4,84.665-0.1179*AB155)</f>
        <v>58.008775388804487</v>
      </c>
      <c r="AD159" s="1735">
        <f>IF(AD153&gt;340,47.4,84.665-0.1179*AD155)</f>
        <v>53.406378219323386</v>
      </c>
      <c r="AG159" s="1735" t="s">
        <v>1063</v>
      </c>
      <c r="AH159" s="1911">
        <f>(84.665-0.1179*AH139)/100</f>
        <v>0.56196630199999997</v>
      </c>
      <c r="AK159" s="1911">
        <v>0.47399999999999998</v>
      </c>
      <c r="AO159" s="1735" t="s">
        <v>1063</v>
      </c>
      <c r="AP159" s="1735">
        <f>IF(AP153&gt;340,47.4,84.665-0.1179*AP155)</f>
        <v>63.929350850505301</v>
      </c>
      <c r="AS159" s="1735">
        <f>IF(AS153&gt;340,47.4,84.665-0.1179*AS155)</f>
        <v>60.514059656773995</v>
      </c>
      <c r="AU159" s="1735">
        <f>IF(AU153&gt;340,47.4,84.665-0.1179*AU155)</f>
        <v>58.225151556709633</v>
      </c>
      <c r="AX159" s="1735" t="s">
        <v>1063</v>
      </c>
      <c r="AY159" s="1911">
        <v>0.37</v>
      </c>
      <c r="BC159" s="1911">
        <v>0.37</v>
      </c>
    </row>
    <row r="160" spans="2:55" s="1735" customFormat="1" ht="12.75" customHeight="1">
      <c r="B160" s="1919"/>
      <c r="C160" s="1919"/>
      <c r="I160" s="1911" t="s">
        <v>1064</v>
      </c>
      <c r="J160" s="1911">
        <f>3.6*J153^0.75</f>
        <v>221.77649401404111</v>
      </c>
      <c r="K160" s="1911" t="s">
        <v>10</v>
      </c>
      <c r="L160" s="1911"/>
      <c r="M160" s="1911">
        <f>3.6*M153^0.75</f>
        <v>221.77649401404111</v>
      </c>
      <c r="N160" s="1911"/>
      <c r="O160" s="1911">
        <f>3.6*O153^0.75</f>
        <v>221.77649401404111</v>
      </c>
      <c r="P160" s="1911"/>
      <c r="Q160" s="1911" t="s">
        <v>1064</v>
      </c>
      <c r="R160" s="1911">
        <f>3.9*R153^0.75</f>
        <v>240.25786851521119</v>
      </c>
      <c r="S160" s="1911"/>
      <c r="T160" s="1911">
        <f>3.9*T153^0.75</f>
        <v>240.25786851521119</v>
      </c>
      <c r="U160" s="1911"/>
      <c r="V160" s="1911">
        <f>3.9*V153^0.75</f>
        <v>240.25786851521119</v>
      </c>
      <c r="W160" s="1911"/>
      <c r="X160" s="1911" t="s">
        <v>1064</v>
      </c>
      <c r="Y160" s="1911">
        <f>3.6*Y153^0.75</f>
        <v>221.77649401404111</v>
      </c>
      <c r="Z160" s="1911" t="s">
        <v>10</v>
      </c>
      <c r="AB160" s="1735">
        <f>3.6*AB153^0.75</f>
        <v>221.77649401404111</v>
      </c>
      <c r="AD160" s="1735">
        <f>3.6*AD153^0.75</f>
        <v>221.77649401404111</v>
      </c>
      <c r="AG160" s="1735" t="s">
        <v>1064</v>
      </c>
      <c r="AH160" s="1911">
        <f>3.9*$D$7^0.75</f>
        <v>245.9347501568819</v>
      </c>
      <c r="AI160" s="1735" t="s">
        <v>10</v>
      </c>
      <c r="AK160" s="1911">
        <f>3.9*AK153^0.75</f>
        <v>240.25786851521119</v>
      </c>
      <c r="AL160" s="1735" t="s">
        <v>10</v>
      </c>
      <c r="AO160" s="1735" t="s">
        <v>1064</v>
      </c>
      <c r="AP160" s="1735">
        <f>3.6*AP153^0.75</f>
        <v>222.83585260836762</v>
      </c>
      <c r="AQ160" s="1735" t="s">
        <v>10</v>
      </c>
      <c r="AS160" s="1735">
        <f>3.6*AS153^0.75</f>
        <v>222.83585260836762</v>
      </c>
      <c r="AU160" s="1735">
        <f>3.6*AU153^0.75</f>
        <v>222.83585260836762</v>
      </c>
      <c r="AW160" s="1735" t="s">
        <v>1024</v>
      </c>
      <c r="AX160" s="1735" t="s">
        <v>1064</v>
      </c>
      <c r="AY160" s="1911">
        <f>3.9*AY153^0.75</f>
        <v>237.72355273726723</v>
      </c>
      <c r="AZ160" s="1735" t="s">
        <v>10</v>
      </c>
      <c r="BC160" s="1911">
        <f>3.9*BC153^0.75</f>
        <v>237.72355273726723</v>
      </c>
    </row>
    <row r="161" spans="2:55" s="1735" customFormat="1" ht="12.75" customHeight="1">
      <c r="B161" s="1919"/>
      <c r="C161" s="1919"/>
      <c r="I161" s="1911" t="s">
        <v>1065</v>
      </c>
      <c r="J161" s="1911">
        <f>J158/(J159/100)</f>
        <v>141.5195724231159</v>
      </c>
      <c r="K161" s="1911" t="s">
        <v>10</v>
      </c>
      <c r="L161" s="1911"/>
      <c r="M161" s="1911">
        <f>M158/(M159/100)</f>
        <v>124.82137606884174</v>
      </c>
      <c r="N161" s="1911"/>
      <c r="O161" s="1911">
        <f>O158/(O159/100)</f>
        <v>132.4774194425371</v>
      </c>
      <c r="P161" s="1911"/>
      <c r="Q161" s="1911" t="s">
        <v>1065</v>
      </c>
      <c r="R161" s="1911">
        <f>R158/(R159/100)</f>
        <v>136.1234705412127</v>
      </c>
      <c r="S161" s="1911"/>
      <c r="T161" s="1911">
        <f>T158/(T159/100)</f>
        <v>146.60650864679988</v>
      </c>
      <c r="U161" s="1911"/>
      <c r="V161" s="1911">
        <f>V158/(V159/100)</f>
        <v>152.2522305361868</v>
      </c>
      <c r="W161" s="1911"/>
      <c r="X161" s="1911" t="s">
        <v>1065</v>
      </c>
      <c r="Y161" s="1911">
        <f>Y158/(Y159/100)</f>
        <v>151.35779534967386</v>
      </c>
      <c r="Z161" s="1911" t="s">
        <v>10</v>
      </c>
      <c r="AB161" s="1735">
        <f>AB158/(AB159/100)</f>
        <v>146.38616624348643</v>
      </c>
      <c r="AD161" s="1735">
        <f>AD158/(AD159/100)</f>
        <v>144.88048328374279</v>
      </c>
      <c r="AG161" s="1735" t="s">
        <v>1065</v>
      </c>
      <c r="AH161" s="1911">
        <f>AH158/AH159</f>
        <v>144.36424305495024</v>
      </c>
      <c r="AI161" s="1735" t="s">
        <v>10</v>
      </c>
      <c r="AK161" s="1911">
        <f>(AK158/AK159)</f>
        <v>139.3575064425751</v>
      </c>
      <c r="AL161" s="1735" t="s">
        <v>10</v>
      </c>
      <c r="AO161" s="1735" t="s">
        <v>1065</v>
      </c>
      <c r="AP161" s="1735">
        <f>AP158/(AP159/100)</f>
        <v>121.18276374425338</v>
      </c>
      <c r="AQ161" s="1735" t="s">
        <v>10</v>
      </c>
      <c r="AS161" s="1735">
        <f>AS158/(AS159/100)</f>
        <v>135.83319858559764</v>
      </c>
      <c r="AU161" s="1735">
        <f>AU158/(AU159/100)</f>
        <v>125.67417663250799</v>
      </c>
      <c r="AW161" s="1735" t="s">
        <v>1066</v>
      </c>
      <c r="AX161" s="1735" t="s">
        <v>1065</v>
      </c>
      <c r="AY161" s="1911">
        <f>(AY158/AY159)</f>
        <v>116.42570514589804</v>
      </c>
      <c r="AZ161" s="1735" t="s">
        <v>10</v>
      </c>
      <c r="BC161" s="1911">
        <f>(BC158/BC159)</f>
        <v>116.42570514589804</v>
      </c>
    </row>
    <row r="162" spans="2:55" s="1735" customFormat="1" ht="12.75" customHeight="1">
      <c r="B162" s="1919"/>
      <c r="C162" s="1919"/>
      <c r="I162" s="1911" t="s">
        <v>1067</v>
      </c>
      <c r="J162" s="1911">
        <f>J160+J161</f>
        <v>363.29606643715704</v>
      </c>
      <c r="K162" s="1911" t="s">
        <v>10</v>
      </c>
      <c r="L162" s="1911"/>
      <c r="M162" s="1911">
        <f>M160+M161</f>
        <v>346.59787008288288</v>
      </c>
      <c r="N162" s="1911"/>
      <c r="O162" s="1911">
        <f>O160+O161</f>
        <v>354.25391345657818</v>
      </c>
      <c r="P162" s="1911"/>
      <c r="Q162" s="1911" t="s">
        <v>1067</v>
      </c>
      <c r="R162" s="1911">
        <f>R160+R161</f>
        <v>376.38133905642388</v>
      </c>
      <c r="S162" s="1911"/>
      <c r="T162" s="1911">
        <f>T160+T161</f>
        <v>386.86437716201107</v>
      </c>
      <c r="U162" s="1911"/>
      <c r="V162" s="1911">
        <f>V160+V161</f>
        <v>392.51009905139802</v>
      </c>
      <c r="W162" s="1911"/>
      <c r="X162" s="1911" t="s">
        <v>1067</v>
      </c>
      <c r="Y162" s="1911">
        <f>Y160+Y161</f>
        <v>373.13428936371497</v>
      </c>
      <c r="Z162" s="1911" t="s">
        <v>10</v>
      </c>
      <c r="AB162" s="1735">
        <f>AB160+AB161</f>
        <v>368.16266025752753</v>
      </c>
      <c r="AD162" s="1735">
        <f>AD160+AD161</f>
        <v>366.6569772977839</v>
      </c>
      <c r="AG162" s="1735" t="s">
        <v>1067</v>
      </c>
      <c r="AH162" s="1911">
        <f>AH160+AH161</f>
        <v>390.29899321183211</v>
      </c>
      <c r="AI162" s="1735" t="s">
        <v>10</v>
      </c>
      <c r="AK162" s="1911">
        <f>AK160+AK161+AK193</f>
        <v>768.67507495778636</v>
      </c>
      <c r="AL162" s="1735" t="s">
        <v>10</v>
      </c>
      <c r="AO162" s="1735" t="s">
        <v>1067</v>
      </c>
      <c r="AP162" s="1735">
        <f>AP160+AP161</f>
        <v>344.018616352621</v>
      </c>
      <c r="AQ162" s="1735" t="s">
        <v>10</v>
      </c>
      <c r="AS162" s="1735">
        <f>AS160+AS161</f>
        <v>358.66905119396529</v>
      </c>
      <c r="AU162" s="1735">
        <f>AU160+AU161</f>
        <v>348.51002924087561</v>
      </c>
      <c r="AW162" s="1735" t="s">
        <v>1068</v>
      </c>
      <c r="AX162" s="1735" t="s">
        <v>1067</v>
      </c>
      <c r="AY162" s="1911">
        <f>AY160+AY161+AY195</f>
        <v>429.28415422113579</v>
      </c>
      <c r="AZ162" s="1735" t="s">
        <v>10</v>
      </c>
      <c r="BC162" s="1911">
        <f>BC160+BC161</f>
        <v>354.14925788316526</v>
      </c>
    </row>
    <row r="163" spans="2:55" s="1735" customFormat="1" ht="12.75" customHeight="1">
      <c r="B163" s="1919"/>
      <c r="C163" s="1919"/>
      <c r="I163" s="1911" t="s">
        <v>1069</v>
      </c>
      <c r="J163" s="1925">
        <f>-53.07+304.9*(PB.DIETA/1000)+90.8*NDT.DIETA-3.13*NDT.DIETA^2</f>
        <v>-53.07</v>
      </c>
      <c r="K163" s="1925" t="s">
        <v>10</v>
      </c>
      <c r="L163" s="1925"/>
      <c r="M163" s="1925">
        <f>-53.07+304.9*(PB.DIETA/1000)+90.8*NDT.DIETA-3.13*NDT.DIETA^2</f>
        <v>-53.07</v>
      </c>
      <c r="N163" s="1925"/>
      <c r="O163" s="1925">
        <f>-53.07+304.9*(PB.DIETA/1000)+90.8*NDT.DIETA-3.13*NDT.DIETA^2</f>
        <v>-53.07</v>
      </c>
      <c r="P163" s="1925"/>
      <c r="Q163" s="1925" t="s">
        <v>1069</v>
      </c>
      <c r="R163" s="1925">
        <f>-53.07+304.9*(PB.DIETA/1000)+90.8*NDT.DIETA-3.13*NDT.DIETA^2</f>
        <v>-53.07</v>
      </c>
      <c r="S163" s="1925"/>
      <c r="T163" s="1925">
        <f>-53.07+304.9*(PB.DIETA/1000)+90.8*NDT.DIETA-3.13*NDT.DIETA^2</f>
        <v>-53.07</v>
      </c>
      <c r="U163" s="1925"/>
      <c r="V163" s="1925">
        <f>-53.07+304.9*(PB.DIETA/1000)+90.8*NDT.DIETA-3.13*NDT.DIETA^2</f>
        <v>-53.07</v>
      </c>
      <c r="W163" s="1925"/>
      <c r="X163" s="1925" t="s">
        <v>1069</v>
      </c>
      <c r="Y163" s="1925">
        <f>-53.07+304.9*(PB.DIETA/1000)+90.8*NDT.DIETA-3.13*NDT.DIETA^2</f>
        <v>-53.07</v>
      </c>
      <c r="Z163" s="1925" t="s">
        <v>10</v>
      </c>
      <c r="AA163" s="1926"/>
      <c r="AB163" s="1926">
        <f>-53.07+304.9*(PB.DIETA/1000)+90.8*NDT.DIETA-3.13*NDT.DIETA^2</f>
        <v>-53.07</v>
      </c>
      <c r="AC163" s="1926"/>
      <c r="AD163" s="1926">
        <f>-53.07+304.9*(PB.DIETA/1000)+90.8*NDT.DIETA-3.13*NDT.DIETA^2</f>
        <v>-53.07</v>
      </c>
      <c r="AE163" s="1926"/>
      <c r="AF163" s="1926"/>
      <c r="AG163" s="1926" t="s">
        <v>1069</v>
      </c>
      <c r="AH163" s="1925">
        <f>IF(PC.2&lt;150,120*AH151,-53.07+304.9*(PB.DIETA/1000-AH197)+90.8*(NDT.DIETA-AH198)-3.13*(NDT.DIETA-AH198)^2)</f>
        <v>-278.78542345919999</v>
      </c>
      <c r="AI163" s="1926" t="s">
        <v>10</v>
      </c>
      <c r="AJ163" s="1926"/>
      <c r="AK163" s="1925">
        <f>-53.07+304.89*(PB.DIETA/1000)+90.79*NDT.DIETA-3.13*NDT.DIETA^2</f>
        <v>-53.07</v>
      </c>
      <c r="AL163" s="1926" t="s">
        <v>10</v>
      </c>
      <c r="AM163" s="1926"/>
      <c r="AN163" s="1926"/>
      <c r="AO163" s="1926" t="s">
        <v>1069</v>
      </c>
      <c r="AP163" s="1926">
        <f>-53.07+304.9*(PB.DIETA/1000)+90.8*NDT.DIETA-3.13*NDT.DIETA^2</f>
        <v>-53.07</v>
      </c>
      <c r="AQ163" s="1926" t="s">
        <v>10</v>
      </c>
      <c r="AR163" s="1926"/>
      <c r="AS163" s="1926">
        <f>-53.07+304.9*(PB.DIETA/1000)+90.8*NDT.DIETA-3.13*NDT.DIETA^2</f>
        <v>-53.07</v>
      </c>
      <c r="AT163" s="1926"/>
      <c r="AU163" s="1926">
        <f>-53.07+304.9*(PB.DIETA/1000)+90.8*NDT.DIETA-3.13*NDT.DIETA^2</f>
        <v>-53.07</v>
      </c>
      <c r="AV163" s="1926"/>
      <c r="AW163" s="1926" t="s">
        <v>1068</v>
      </c>
      <c r="AX163" s="1926" t="s">
        <v>1069</v>
      </c>
      <c r="AY163" s="1925">
        <f>-53.07+304.89*(PB.DIETA/1000)+90.79*NDT.DIETA-3.13*NDT.DIETA^2</f>
        <v>-53.07</v>
      </c>
      <c r="AZ163" s="1926" t="s">
        <v>10</v>
      </c>
      <c r="BA163" s="1926"/>
      <c r="BB163" s="1926"/>
      <c r="BC163" s="1925">
        <f>-53.07+304.89*(PB.DIETA/1000)+90.79*NDT.DIETA-3.13*NDT.DIETA^2</f>
        <v>-53.07</v>
      </c>
    </row>
    <row r="164" spans="2:55" s="1735" customFormat="1" ht="12.75" customHeight="1">
      <c r="B164" s="1919"/>
      <c r="C164" s="1919"/>
      <c r="I164" s="1911" t="s">
        <v>1070</v>
      </c>
      <c r="J164" s="1911">
        <f>J163</f>
        <v>-53.07</v>
      </c>
      <c r="K164" s="1911" t="s">
        <v>10</v>
      </c>
      <c r="L164" s="1911"/>
      <c r="M164" s="1911">
        <f>M163</f>
        <v>-53.07</v>
      </c>
      <c r="N164" s="1911"/>
      <c r="O164" s="1911">
        <f>O163</f>
        <v>-53.07</v>
      </c>
      <c r="P164" s="1911"/>
      <c r="Q164" s="1911" t="s">
        <v>1070</v>
      </c>
      <c r="R164" s="1911">
        <f>R163</f>
        <v>-53.07</v>
      </c>
      <c r="S164" s="1911"/>
      <c r="T164" s="1911">
        <f>T163</f>
        <v>-53.07</v>
      </c>
      <c r="U164" s="1911"/>
      <c r="V164" s="1911">
        <f>V163</f>
        <v>-53.07</v>
      </c>
      <c r="W164" s="1911"/>
      <c r="X164" s="1911" t="s">
        <v>1070</v>
      </c>
      <c r="Y164" s="1911">
        <f>Y163</f>
        <v>-53.07</v>
      </c>
      <c r="Z164" s="1911" t="s">
        <v>10</v>
      </c>
      <c r="AB164" s="1735">
        <f>AB163</f>
        <v>-53.07</v>
      </c>
      <c r="AD164" s="1735">
        <f>AD163</f>
        <v>-53.07</v>
      </c>
      <c r="AG164" s="1735" t="s">
        <v>1070</v>
      </c>
      <c r="AH164" s="1911">
        <f>AH163</f>
        <v>-278.78542345919999</v>
      </c>
      <c r="AI164" s="1735" t="s">
        <v>10</v>
      </c>
      <c r="AK164" s="1911">
        <f>AK163</f>
        <v>-53.07</v>
      </c>
      <c r="AL164" s="1735" t="s">
        <v>10</v>
      </c>
      <c r="AO164" s="1735" t="s">
        <v>1070</v>
      </c>
      <c r="AP164" s="1735">
        <f>AP163</f>
        <v>-53.07</v>
      </c>
      <c r="AQ164" s="1735" t="s">
        <v>10</v>
      </c>
      <c r="AS164" s="1735">
        <f>AS163</f>
        <v>-53.07</v>
      </c>
      <c r="AU164" s="1735">
        <f>AU163</f>
        <v>-53.07</v>
      </c>
      <c r="AX164" s="1735" t="s">
        <v>1070</v>
      </c>
      <c r="AY164" s="1911">
        <f>AY163</f>
        <v>-53.07</v>
      </c>
      <c r="AZ164" s="1735" t="s">
        <v>10</v>
      </c>
      <c r="BC164" s="1911">
        <f>BC163</f>
        <v>-53.07</v>
      </c>
    </row>
    <row r="165" spans="2:55" s="1735" customFormat="1" ht="12.75" customHeight="1">
      <c r="B165" s="1919"/>
      <c r="C165" s="1919"/>
      <c r="I165" s="1911" t="s">
        <v>1071</v>
      </c>
      <c r="J165" s="1911">
        <f>(J162-(J163*0.64))/0.8</f>
        <v>496.57608304644629</v>
      </c>
      <c r="K165" s="1911" t="s">
        <v>10</v>
      </c>
      <c r="L165" s="1911"/>
      <c r="M165" s="1911">
        <f>(M162-(M163*0.64))/0.8</f>
        <v>475.70333760360359</v>
      </c>
      <c r="N165" s="1911"/>
      <c r="O165" s="1911">
        <f>(O162-(O163*0.64))/0.8</f>
        <v>485.27339182072274</v>
      </c>
      <c r="P165" s="1911"/>
      <c r="Q165" s="1911" t="s">
        <v>1071</v>
      </c>
      <c r="R165" s="1911">
        <f>(R162-(R163*0.64))/0.8</f>
        <v>512.93267382052989</v>
      </c>
      <c r="S165" s="1911"/>
      <c r="T165" s="1911">
        <f>(T162-(T163*0.64))/0.8</f>
        <v>526.03647145251387</v>
      </c>
      <c r="U165" s="1911"/>
      <c r="V165" s="1911">
        <f>(V162-(V163*0.64))/0.8</f>
        <v>533.09362381424751</v>
      </c>
      <c r="W165" s="1911"/>
      <c r="X165" s="1911" t="s">
        <v>1071</v>
      </c>
      <c r="Y165" s="1911">
        <f>(Y162-(Y163*0.64))/0.8</f>
        <v>508.87386170464373</v>
      </c>
      <c r="Z165" s="1911" t="s">
        <v>10</v>
      </c>
      <c r="AB165" s="1735">
        <f>(AB162-(AB163*0.64))/0.8</f>
        <v>502.65932532190942</v>
      </c>
      <c r="AD165" s="1735">
        <f>(AD162-(AD163*0.64))/0.8</f>
        <v>500.77722162222989</v>
      </c>
      <c r="AG165" s="1735" t="s">
        <v>1071</v>
      </c>
      <c r="AH165" s="1911">
        <f>(AH162-AH164*0.64)/0.8</f>
        <v>710.90208028215011</v>
      </c>
      <c r="AI165" s="1735" t="s">
        <v>10</v>
      </c>
      <c r="AK165" s="1911">
        <f>(AK162-(AK163*0.64))/0.8</f>
        <v>1003.2998436972329</v>
      </c>
      <c r="AL165" s="1735" t="s">
        <v>10</v>
      </c>
      <c r="AO165" s="1735" t="s">
        <v>1071</v>
      </c>
      <c r="AP165" s="1735">
        <f>(AP162-(AP163*0.64))/0.8</f>
        <v>472.47927044077625</v>
      </c>
      <c r="AQ165" s="1735" t="s">
        <v>10</v>
      </c>
      <c r="AS165" s="1735">
        <f>(AS162-(AS163*0.64))/0.8</f>
        <v>490.79231399245663</v>
      </c>
      <c r="AU165" s="1735">
        <f>(AU162-(AU163*0.64))/0.8</f>
        <v>478.09353655109453</v>
      </c>
      <c r="AW165" s="1735" t="s">
        <v>1072</v>
      </c>
      <c r="AX165" s="1735" t="s">
        <v>1071</v>
      </c>
      <c r="AY165" s="1911">
        <f>(AY162-(AY163*0.64))/0.8</f>
        <v>579.06119277641972</v>
      </c>
      <c r="AZ165" s="1735" t="s">
        <v>10</v>
      </c>
      <c r="BC165" s="1911">
        <f>(BC162-(BC163*0.64))/0.8</f>
        <v>485.14257235395661</v>
      </c>
    </row>
    <row r="166" spans="2:55" s="1735" customFormat="1" ht="12.75" customHeight="1">
      <c r="B166" s="1919"/>
      <c r="C166" s="1919"/>
      <c r="I166" s="1911" t="s">
        <v>1073</v>
      </c>
      <c r="J166" s="1911">
        <f>J164+J165</f>
        <v>443.50608304644629</v>
      </c>
      <c r="K166" s="1911" t="s">
        <v>10</v>
      </c>
      <c r="L166" s="1911"/>
      <c r="M166" s="1911">
        <f>M164+M165</f>
        <v>422.63333760360359</v>
      </c>
      <c r="N166" s="1911"/>
      <c r="O166" s="1911">
        <f>O164+O165</f>
        <v>432.20339182072274</v>
      </c>
      <c r="P166" s="1911"/>
      <c r="Q166" s="1911" t="s">
        <v>1073</v>
      </c>
      <c r="R166" s="1911">
        <f>R164+R165</f>
        <v>459.86267382052989</v>
      </c>
      <c r="S166" s="1911"/>
      <c r="T166" s="1911">
        <f>T164+T165</f>
        <v>472.96647145251387</v>
      </c>
      <c r="U166" s="1911"/>
      <c r="V166" s="1911">
        <f>V164+V165</f>
        <v>480.02362381424751</v>
      </c>
      <c r="W166" s="1911"/>
      <c r="X166" s="1911" t="s">
        <v>1073</v>
      </c>
      <c r="Y166" s="1911">
        <f>Y164+Y165</f>
        <v>455.80386170464374</v>
      </c>
      <c r="Z166" s="1911" t="s">
        <v>10</v>
      </c>
      <c r="AB166" s="1735">
        <f>AB164+AB165</f>
        <v>449.58932532190943</v>
      </c>
      <c r="AD166" s="1735">
        <f>AD164+AD165</f>
        <v>447.70722162222989</v>
      </c>
      <c r="AG166" s="1735" t="s">
        <v>1073</v>
      </c>
      <c r="AH166" s="1911">
        <f>AH164+AH165</f>
        <v>432.11665682295012</v>
      </c>
      <c r="AI166" s="1735" t="s">
        <v>10</v>
      </c>
      <c r="AK166" s="1911">
        <f>AK164+AK165</f>
        <v>950.22984369723281</v>
      </c>
      <c r="AL166" s="1735" t="s">
        <v>10</v>
      </c>
      <c r="AO166" s="1735" t="s">
        <v>1073</v>
      </c>
      <c r="AP166" s="1735">
        <f>AP164+AP165</f>
        <v>419.40927044077625</v>
      </c>
      <c r="AQ166" s="1735" t="s">
        <v>10</v>
      </c>
      <c r="AS166" s="1735">
        <f>AS164+AS165</f>
        <v>437.72231399245663</v>
      </c>
      <c r="AU166" s="1735">
        <f>AU164+AU165</f>
        <v>425.02353655109454</v>
      </c>
      <c r="AX166" s="1735" t="s">
        <v>1073</v>
      </c>
      <c r="AY166" s="1911">
        <f>AY164+AY165</f>
        <v>525.99119277641967</v>
      </c>
      <c r="AZ166" s="1735" t="s">
        <v>10</v>
      </c>
      <c r="BC166" s="1911">
        <f>BC164+BC165</f>
        <v>432.07257235395662</v>
      </c>
    </row>
    <row r="167" spans="2:55" s="1735" customFormat="1" ht="12.75" customHeight="1">
      <c r="B167" s="1919"/>
      <c r="C167" s="1919"/>
      <c r="I167" s="1911"/>
      <c r="J167" s="1911"/>
      <c r="K167" s="1911"/>
      <c r="L167" s="1911" t="s">
        <v>1074</v>
      </c>
      <c r="M167" s="1911"/>
      <c r="N167" s="1911"/>
      <c r="O167" s="1911"/>
      <c r="P167" s="1911"/>
      <c r="Q167" s="1911"/>
      <c r="R167" s="1911"/>
      <c r="S167" s="1911"/>
      <c r="T167" s="1911"/>
      <c r="U167" s="1911"/>
      <c r="V167" s="1911"/>
      <c r="W167" s="1911"/>
      <c r="X167" s="1911"/>
      <c r="Y167" s="1911"/>
      <c r="Z167" s="1911"/>
      <c r="AG167" s="1735" t="s">
        <v>1075</v>
      </c>
      <c r="AK167" s="1735">
        <f>8.819-0.069*SL-8.819*EXP(-3.211*SL)</f>
        <v>7.4390000000000009</v>
      </c>
      <c r="AL167" s="1735" t="s">
        <v>1017</v>
      </c>
      <c r="AW167" s="1735" t="s">
        <v>1056</v>
      </c>
      <c r="AX167" s="1735" t="s">
        <v>1076</v>
      </c>
      <c r="AY167" s="1735">
        <f>(AY191*0.0000001773*AY189^2.945)/1000</f>
        <v>2.7799911645049094E-2</v>
      </c>
      <c r="AZ167" s="1735" t="s">
        <v>1017</v>
      </c>
      <c r="BC167" s="1735">
        <f>(BC191*0.0000001773*BC189^2.945)/1000</f>
        <v>0</v>
      </c>
    </row>
    <row r="168" spans="2:55" s="1735" customFormat="1" ht="12.75" customHeight="1">
      <c r="B168" s="1919"/>
      <c r="C168" s="1919"/>
      <c r="I168" s="1911" t="s">
        <v>1077</v>
      </c>
      <c r="J168" s="1911"/>
      <c r="K168" s="1911">
        <f>(K196+K197)/0.568</f>
        <v>13.62340040220473</v>
      </c>
      <c r="L168" s="1911">
        <f>44*E12</f>
        <v>223.06126545689906</v>
      </c>
      <c r="M168" s="1911">
        <f>(M196+M197)/0.568</f>
        <v>13.638197231415525</v>
      </c>
      <c r="N168" s="1911"/>
      <c r="O168" s="1911">
        <f>(O196+O197)/0.568</f>
        <v>13.590897424260552</v>
      </c>
      <c r="P168" s="1911"/>
      <c r="Q168" s="1911" t="s">
        <v>1077</v>
      </c>
      <c r="R168" s="1911">
        <f>(R196+R197)/0.568</f>
        <v>13.737025494757269</v>
      </c>
      <c r="S168" s="1911"/>
      <c r="T168" s="1911">
        <f>(T196+T197)/0.568</f>
        <v>13.737025494757269</v>
      </c>
      <c r="U168" s="1911"/>
      <c r="V168" s="1911">
        <f>(V196+V197)/0.568</f>
        <v>13.737025494757269</v>
      </c>
      <c r="W168" s="1911"/>
      <c r="X168" s="1911" t="s">
        <v>1077</v>
      </c>
      <c r="Y168" s="1911"/>
      <c r="Z168" s="1911">
        <f>(Z196+Z197)/0.568</f>
        <v>15.180204551000177</v>
      </c>
      <c r="AB168" s="1735">
        <f>(AB196+AB197)/0.568</f>
        <v>15.161434065012546</v>
      </c>
      <c r="AD168" s="1735">
        <f>(AD196+AD197)/0.568</f>
        <v>15.115453959415996</v>
      </c>
      <c r="AG168" s="1735" t="s">
        <v>1077</v>
      </c>
      <c r="AI168" s="1911">
        <f>(11.7*PC.2/1000+AH140*54.8*AH139^-0.3981)/0.568</f>
        <v>10.372070208457128</v>
      </c>
      <c r="AJ168" s="1735" t="s">
        <v>1077</v>
      </c>
      <c r="AK168" s="1911">
        <f>(AK196+AK197+AK198)/0.568</f>
        <v>27.990957619710763</v>
      </c>
      <c r="AN168" s="1735" t="s">
        <v>1077</v>
      </c>
      <c r="AP168" s="1735">
        <f>(AP196+AP197)/0.568</f>
        <v>15.180204551000177</v>
      </c>
      <c r="AS168" s="1735">
        <f>(AS196+AS197)/0.568</f>
        <v>15.161434065012546</v>
      </c>
      <c r="AU168" s="1735">
        <f>(AU196+AU197)/0.568</f>
        <v>15.115453959415996</v>
      </c>
      <c r="AX168" s="1735" t="s">
        <v>1077</v>
      </c>
      <c r="AY168" s="1911">
        <f>(AY196+AY197+AY198)/0.568</f>
        <v>14.180202100155793</v>
      </c>
      <c r="BC168" s="1911">
        <f>(BC196+BC197+BC198)/0.568</f>
        <v>13.559772522691004</v>
      </c>
    </row>
    <row r="169" spans="2:55" s="1735" customFormat="1" ht="12.75" customHeight="1">
      <c r="B169" s="1919"/>
      <c r="C169" s="1919"/>
      <c r="I169" s="1911" t="s">
        <v>1078</v>
      </c>
      <c r="J169" s="1911"/>
      <c r="K169" s="1911">
        <f>(K200+K201)/0.678</f>
        <v>8.936258663315602</v>
      </c>
      <c r="L169" s="1911">
        <f>(1/100*E12)*1000</f>
        <v>50.695742149295242</v>
      </c>
      <c r="M169" s="1911">
        <f>(M200+M201)/0.678</f>
        <v>8.9412211993697159</v>
      </c>
      <c r="N169" s="1911"/>
      <c r="O169" s="1911">
        <f>(O200+O201)/0.678</f>
        <v>8.9253493193109446</v>
      </c>
      <c r="P169" s="1911"/>
      <c r="Q169" s="1911" t="s">
        <v>1078</v>
      </c>
      <c r="R169" s="1911">
        <f>(R200+R201)/0.678</f>
        <v>8.9743040710857311</v>
      </c>
      <c r="S169" s="1911"/>
      <c r="T169" s="1911">
        <f>(T200+T201)/0.678</f>
        <v>8.9743040710857311</v>
      </c>
      <c r="U169" s="1911"/>
      <c r="V169" s="1911">
        <f>(V200+V201)/0.678</f>
        <v>8.9743040710857311</v>
      </c>
      <c r="W169" s="1911"/>
      <c r="X169" s="1911" t="s">
        <v>1078</v>
      </c>
      <c r="Y169" s="1911"/>
      <c r="Z169" s="1911">
        <f>(Z200+Z201)/0.678</f>
        <v>9.6894987046897345</v>
      </c>
      <c r="AB169" s="1735">
        <f>(AB200+AB201)/0.678</f>
        <v>9.6826240057818875</v>
      </c>
      <c r="AD169" s="1735">
        <f>(AD200+AD201)/0.678</f>
        <v>9.6657718188551289</v>
      </c>
      <c r="AG169" s="1735" t="s">
        <v>1078</v>
      </c>
      <c r="AI169" s="1911">
        <f>(13.5*PC.2/1000+AH140*8.6*AH139^-0.0371)/0.678</f>
        <v>9.9545783026417016</v>
      </c>
      <c r="AJ169" s="1735" t="s">
        <v>1078</v>
      </c>
      <c r="AK169" s="1911">
        <f>(AK200+AK201+AK202)/0.678</f>
        <v>17.351900602340422</v>
      </c>
      <c r="AN169" s="1735" t="s">
        <v>1078</v>
      </c>
      <c r="AP169" s="1735">
        <f>(AP200+AP201)/0.678</f>
        <v>9.6894987046897345</v>
      </c>
      <c r="AS169" s="1735">
        <f>(AS200+AS201)/0.678</f>
        <v>9.6826240057818875</v>
      </c>
      <c r="AU169" s="1735">
        <f>(AU200+AU201)/0.678</f>
        <v>9.6657718188551289</v>
      </c>
      <c r="AX169" s="1735" t="s">
        <v>1078</v>
      </c>
      <c r="AY169" s="1911">
        <f>(AY200+AY201+AY202)/0.678</f>
        <v>9.5146259714914496</v>
      </c>
      <c r="BC169" s="1911">
        <f>(BC200+BC201+BC202)/0.678</f>
        <v>8.914891458217113</v>
      </c>
    </row>
    <row r="170" spans="2:55" s="1735" customFormat="1" ht="12.75" customHeight="1">
      <c r="B170" s="1919"/>
      <c r="C170" s="1919"/>
      <c r="I170" s="1911" t="s">
        <v>1079</v>
      </c>
      <c r="J170" s="1911"/>
      <c r="K170" s="1911">
        <f>((5.9*PC.2)/1000+(J156*0.3466*J154^0.0113))/0.355</f>
        <v>4.6658114589413353</v>
      </c>
      <c r="L170" s="1911">
        <f>(0.4/100)*$E$12*1000</f>
        <v>20.278296859718097</v>
      </c>
      <c r="M170" s="1911">
        <f>(5.9*PC.2/1000+M156*1.0597*M154^-0.2386)/0.355</f>
        <v>4.5677420394087775</v>
      </c>
      <c r="N170" s="1911"/>
      <c r="O170" s="1911">
        <f>(5.9*PC.2/1000+O156*1.0597*O154^-0.2386)/0.355</f>
        <v>4.5666844345022355</v>
      </c>
      <c r="P170" s="1911"/>
      <c r="Q170" s="1911" t="s">
        <v>1079</v>
      </c>
      <c r="R170" s="1911">
        <f>((5.9*PC.2)/1000+(R156*0.3466*R154^0.0113))/0.355</f>
        <v>4.6656623330222615</v>
      </c>
      <c r="S170" s="1911"/>
      <c r="T170" s="1911">
        <f>(5.9*PC.2/1000+T156*1.0597*T154^-0.2386)/0.355</f>
        <v>4.5699418771730507</v>
      </c>
      <c r="U170" s="1911"/>
      <c r="V170" s="1911">
        <v>7.3587748547735021</v>
      </c>
      <c r="W170" s="1911"/>
      <c r="X170" s="1911" t="s">
        <v>1079</v>
      </c>
      <c r="Y170" s="1911"/>
      <c r="Z170" s="1911">
        <f>(5.9*PC.2/1000+Y156*1.0597*Y154^-0.2386)/0.355</f>
        <v>4.5688730875632366</v>
      </c>
      <c r="AB170" s="1735">
        <f>(5.9*PC.2/1000+AB156*1.0597*AB154^-0.2386)/0.355</f>
        <v>4.5683174239748991</v>
      </c>
      <c r="AD170" s="1735">
        <f>(5.9*PC.2/1000+AD156*1.0597*AD154^-0.2386)/0.355</f>
        <v>4.5669551492144764</v>
      </c>
      <c r="AG170" s="1735" t="s">
        <v>1079</v>
      </c>
      <c r="AI170" s="1911">
        <f>(5.9*PC.2/1000+AH140*0.4*AH139^-0.0173)/0.355</f>
        <v>4.6623937263216693</v>
      </c>
      <c r="AJ170" s="1735" t="s">
        <v>1079</v>
      </c>
      <c r="AK170" s="1911">
        <f>(AK204+AK205+AK206)/0.355</f>
        <v>5.9684915757053325</v>
      </c>
      <c r="AL170" s="1911"/>
      <c r="AM170" s="1911"/>
      <c r="AN170" s="1735" t="s">
        <v>1079</v>
      </c>
      <c r="AP170" s="1735">
        <f>(5.9*PC.2/1000+AP156*1.0597*AP154^-0.2386)/0.355</f>
        <v>4.5688730875632366</v>
      </c>
      <c r="AS170" s="1735">
        <f>(5.9*PC.2/1000+AS156*1.0597*AS154^-0.2386)/0.355</f>
        <v>4.5683174239748991</v>
      </c>
      <c r="AU170" s="1735">
        <f>(5.9*PC.2/1000+AU156*1.0597*AU154^-0.2386)/0.355</f>
        <v>4.5669551492144764</v>
      </c>
      <c r="AX170" s="1735" t="s">
        <v>1079</v>
      </c>
      <c r="AY170" s="1911">
        <f>(AY204+AY205+AY206)/0.355</f>
        <v>5.0037137533292428</v>
      </c>
      <c r="AZ170" s="1911"/>
      <c r="BC170" s="1911">
        <f>(BC204+BC205+BC206)/0.355</f>
        <v>4.5031278378362849</v>
      </c>
    </row>
    <row r="171" spans="2:55" s="1735" customFormat="1" ht="12.75" customHeight="1">
      <c r="B171" s="1919"/>
      <c r="C171" s="1919"/>
      <c r="I171" s="1911" t="s">
        <v>1080</v>
      </c>
      <c r="J171" s="1911"/>
      <c r="K171" s="1911">
        <f>((6.3*PC.2)/1000+J156*5.594*J154^-0.2998)/0.371</f>
        <v>5.7026018072157338</v>
      </c>
      <c r="L171" s="1911">
        <f>(6.5/100)*$E$12*1000</f>
        <v>329.52232397041911</v>
      </c>
      <c r="M171" s="1911">
        <f>(6.3*PC.2/1000+M156*1.977*M154^-0.058)/0.371</f>
        <v>6.123268954880599</v>
      </c>
      <c r="N171" s="1911"/>
      <c r="O171" s="1911">
        <f>(6.3*PC.2/1000+O156*1.977*O154^-0.058)/0.371</f>
        <v>6.1220601360831388</v>
      </c>
      <c r="P171" s="1911"/>
      <c r="Q171" s="1911" t="s">
        <v>1080</v>
      </c>
      <c r="R171" s="1911">
        <f>((6.3*PC.2)/1000+R156*5.594*R154^-0.2998)/0.371</f>
        <v>5.7141794042255354</v>
      </c>
      <c r="S171" s="1911"/>
      <c r="T171" s="1911">
        <f>(6.3*PC.2/1000+T156*1.977*T154^-0.058)/0.371</f>
        <v>6.1257755175982993</v>
      </c>
      <c r="U171" s="1911"/>
      <c r="V171" s="1911">
        <v>10.449189311694907</v>
      </c>
      <c r="W171" s="1911"/>
      <c r="X171" s="1911" t="s">
        <v>1080</v>
      </c>
      <c r="Y171" s="1911"/>
      <c r="Z171" s="1911">
        <f>(6.3*PC.2/1000+Y156*1.977*Y154^-0.058)/0.371</f>
        <v>6.1245590179333487</v>
      </c>
      <c r="AB171" s="1735">
        <f>(6.3*PC.2/1000+AB156*1.977*AB154^-0.058)/0.371</f>
        <v>6.1239255810338182</v>
      </c>
      <c r="AD171" s="1735">
        <f>(6.3*PC.2/1000+AD156*1.977*AD154^-0.058)/0.371</f>
        <v>6.1223697899366893</v>
      </c>
      <c r="AG171" s="1735" t="s">
        <v>1080</v>
      </c>
      <c r="AI171" s="1911">
        <f>(6.3*PC.2/1000+AH140*1.2*AH139^-0.0209)/0.371</f>
        <v>5.6437336796721809</v>
      </c>
      <c r="AJ171" s="1735" t="s">
        <v>1080</v>
      </c>
      <c r="AK171" s="1911">
        <f>(AK208+AK209+AK210)/0.371</f>
        <v>9.5720978406431776</v>
      </c>
      <c r="AL171" s="1911"/>
      <c r="AM171" s="1911"/>
      <c r="AN171" s="1735" t="s">
        <v>1080</v>
      </c>
      <c r="AP171" s="1735">
        <f>(6.3*PC.2/1000+AP156*1.977*AP154^-0.058)/0.371</f>
        <v>6.1245590179333487</v>
      </c>
      <c r="AS171" s="1735">
        <f>(6.3*PC.2/1000+AS156*1.977*AS154^-0.058)/0.371</f>
        <v>6.1239255810338182</v>
      </c>
      <c r="AU171" s="1735">
        <f>(6.3*PC.2/1000+AU156*1.977*AU154^-0.058)/0.371</f>
        <v>6.1223697899366893</v>
      </c>
      <c r="AX171" s="1735" t="s">
        <v>1080</v>
      </c>
      <c r="AY171" s="1911">
        <f>(AY208+AY209+AY210)/0.371</f>
        <v>6.0937159946096546</v>
      </c>
      <c r="AZ171" s="1911"/>
      <c r="BC171" s="1911">
        <f>(BC208+BC209+BC210)/0.371</f>
        <v>5.5822442964964454</v>
      </c>
    </row>
    <row r="172" spans="2:55" s="1735" customFormat="1" ht="12.75" customHeight="1">
      <c r="B172" s="1919"/>
      <c r="C172" s="1919"/>
      <c r="I172" s="1911" t="s">
        <v>1081</v>
      </c>
      <c r="J172" s="1911"/>
      <c r="K172" s="1911">
        <f>(23.5*PC.2/1000+J156*0.9463*J154^0.1216)/0.484</f>
        <v>13.97478477855134</v>
      </c>
      <c r="L172" s="1911">
        <f>(3/100)*$E$12*1000</f>
        <v>152.08722644788571</v>
      </c>
      <c r="M172" s="1911">
        <f>(23.5*PC.2/1000+M156*0.3418*M154^0.32)/0.484</f>
        <v>14.055306384942543</v>
      </c>
      <c r="N172" s="1911"/>
      <c r="O172" s="1911">
        <f>(23.5*PC.2/1000+O156*0.3418*O154^0.32)/0.484</f>
        <v>14.062016151416662</v>
      </c>
      <c r="P172" s="1911"/>
      <c r="Q172" s="1911" t="s">
        <v>1081</v>
      </c>
      <c r="R172" s="1911">
        <f>(23.5*PC.2/1000+R156*0.9463*R154^0.1216)/0.484</f>
        <v>13.968988747110252</v>
      </c>
      <c r="S172" s="1911"/>
      <c r="T172" s="1911">
        <f>(23.5*PC.2/1000+T156*0.3418*T154^0.32)/0.484</f>
        <v>14.041483422161217</v>
      </c>
      <c r="U172" s="1911"/>
      <c r="V172" s="1911">
        <v>23.861371629036658</v>
      </c>
      <c r="W172" s="1911"/>
      <c r="X172" s="1911" t="s">
        <v>1081</v>
      </c>
      <c r="Y172" s="1911"/>
      <c r="Z172" s="1911">
        <f>(23.5*PC.2/1000+Y156*0.3418*Y154^0.32)/0.484</f>
        <v>14.048176920040554</v>
      </c>
      <c r="AB172" s="1735">
        <f>(23.5*PC.2/1000+AB156*0.3418*AB154^0.32)/0.484</f>
        <v>14.051673551972733</v>
      </c>
      <c r="AD172" s="1735">
        <f>(23.5*PC.2/1000+AD156*0.3418*AD154^0.32)/0.484</f>
        <v>14.060294653844393</v>
      </c>
      <c r="AG172" s="1735" t="s">
        <v>1081</v>
      </c>
      <c r="AI172" s="1911">
        <f>(23.5*PC.2/1000+AH140*1.5*AH139^-0.0636)/0.484</f>
        <v>13.234189725956917</v>
      </c>
      <c r="AJ172" s="1735" t="s">
        <v>1081</v>
      </c>
      <c r="AK172" s="1911">
        <f>(AK212+AK213+AK214)/0.484</f>
        <v>23.902155037870362</v>
      </c>
      <c r="AN172" s="1735" t="s">
        <v>1081</v>
      </c>
      <c r="AP172" s="1735">
        <f>(23.5*PC.2/1000+AP156*0.3418*AP154^0.32)/0.484</f>
        <v>14.048176920040554</v>
      </c>
      <c r="AS172" s="1735">
        <f>(23.5*PC.2/1000+AS156*0.3418*AS154^0.32)/0.484</f>
        <v>14.051673551972733</v>
      </c>
      <c r="AU172" s="1735">
        <f>(23.5*PC.2/1000+AU156*0.3418*AU154^0.32)/0.484</f>
        <v>14.060294653844393</v>
      </c>
      <c r="AX172" s="1735" t="s">
        <v>1081</v>
      </c>
      <c r="AY172" s="1911">
        <f>(AY212+AY213+AY214)/0.484</f>
        <v>14.61436819530236</v>
      </c>
      <c r="BC172" s="1911">
        <f>(BC212+BC213+BC214)/0.484</f>
        <v>13.151930178773432</v>
      </c>
    </row>
    <row r="173" spans="2:55" s="1735" customFormat="1" ht="12.75" customHeight="1">
      <c r="B173" s="1919"/>
      <c r="C173" s="1919"/>
      <c r="I173" s="1911" t="s">
        <v>1082</v>
      </c>
      <c r="J173" s="1911"/>
      <c r="K173" s="1911">
        <f>(10.4*PC.2/1000+J156*0.03*J154^0.89)/0.773</f>
        <v>5.5592716084106941</v>
      </c>
      <c r="L173" s="1911">
        <f>(0.4/100)*$E$12*1000</f>
        <v>20.278296859718097</v>
      </c>
      <c r="M173" s="1911">
        <f>(10.4*PC.2/1000+M156*0.03*M154^0.89)/0.773</f>
        <v>5.5524885048824402</v>
      </c>
      <c r="N173" s="1911"/>
      <c r="O173" s="1911">
        <f>(10.4*PC.2/1000+O156*0.03*O154^0.89)/0.773</f>
        <v>5.5742879726866557</v>
      </c>
      <c r="P173" s="1911"/>
      <c r="Q173" s="1911" t="s">
        <v>1082</v>
      </c>
      <c r="R173" s="1911">
        <f>(10.4*PC.2/1000+R156*0.03*R154^0.89)/0.773</f>
        <v>5.5080165933472642</v>
      </c>
      <c r="S173" s="1911"/>
      <c r="T173" s="1911">
        <f>(10.4*PC.2/1000+T156*0.03*T154^0.89)/0.773</f>
        <v>5.5080165933472642</v>
      </c>
      <c r="U173" s="1911"/>
      <c r="V173" s="1911">
        <v>12.268113662208833</v>
      </c>
      <c r="W173" s="1911"/>
      <c r="X173" s="1911" t="s">
        <v>1082</v>
      </c>
      <c r="Y173" s="1911"/>
      <c r="Z173" s="1911">
        <f>(10.4*PC.2/1000+Y156*0.03*Y154^0.89)/0.773</f>
        <v>5.5294777850216743</v>
      </c>
      <c r="AB173" s="1735">
        <f>(10.4*PC.2/1000+AB156*0.03*AB154^0.89)/0.773</f>
        <v>5.5407437659035388</v>
      </c>
      <c r="AD173" s="1735">
        <f>(10.4*PC.2/1000+AD156*0.03*AD154^0.89)/0.773</f>
        <v>5.5686816929009346</v>
      </c>
      <c r="AF173" s="1735" t="s">
        <v>1083</v>
      </c>
      <c r="AG173" s="1735" t="s">
        <v>1082</v>
      </c>
      <c r="AI173" s="1911">
        <f>(10.4*PC.2/1000+AH140*0.03*AH139^0.89)/0.773</f>
        <v>5.831753535019951</v>
      </c>
      <c r="AJ173" s="1735" t="s">
        <v>1082</v>
      </c>
      <c r="AK173" s="1911">
        <f>(AK216+AK217+AK218)/0.773</f>
        <v>8.3571241965298295</v>
      </c>
      <c r="AN173" s="1735" t="s">
        <v>1082</v>
      </c>
      <c r="AP173" s="1735">
        <f>(10.4*PC.2/1000+AP156*0.03*AP154^0.89)/0.773</f>
        <v>5.5294777850216743</v>
      </c>
      <c r="AS173" s="1735">
        <f>(10.4*PC.2/1000+AS156*0.03*AS154^0.89)/0.773</f>
        <v>5.5407437659035388</v>
      </c>
      <c r="AU173" s="1735">
        <f>(10.4*PC.2/1000+AU156*0.03*AU154^0.89)/0.773</f>
        <v>5.5686816929009346</v>
      </c>
      <c r="AX173" s="1735" t="s">
        <v>1082</v>
      </c>
      <c r="AY173" s="1911">
        <f>(AY216+AY217+AY218)/0.773</f>
        <v>5.9940562198667848</v>
      </c>
      <c r="BC173" s="1911">
        <f>(BC216+BC217+BC218)/0.773</f>
        <v>5.5888194798926571</v>
      </c>
    </row>
    <row r="174" spans="2:55" s="1735" customFormat="1" ht="12.75" customHeight="1">
      <c r="B174" s="1919"/>
      <c r="C174" s="1919"/>
      <c r="I174" s="1911"/>
      <c r="J174" s="1911"/>
      <c r="K174" s="1911"/>
      <c r="L174" s="1911"/>
      <c r="M174" s="1911"/>
      <c r="N174" s="1911"/>
      <c r="O174" s="1911"/>
      <c r="P174" s="1911"/>
      <c r="Q174" s="1911"/>
      <c r="R174" s="1911"/>
      <c r="S174" s="1911"/>
      <c r="T174" s="1911"/>
      <c r="U174" s="1911"/>
      <c r="V174" s="1911"/>
      <c r="W174" s="1911"/>
      <c r="X174" s="1911"/>
      <c r="Y174" s="1911"/>
      <c r="Z174" s="1911"/>
    </row>
    <row r="175" spans="2:55" s="1735" customFormat="1" ht="12.75" customHeight="1">
      <c r="B175" s="1919"/>
      <c r="C175" s="1919"/>
      <c r="I175" s="1911"/>
      <c r="J175" s="1911"/>
      <c r="K175" s="1911"/>
      <c r="L175" s="1911"/>
      <c r="M175" s="1911"/>
      <c r="N175" s="1911"/>
      <c r="O175" s="1911"/>
      <c r="P175" s="1911"/>
      <c r="Q175" s="1911"/>
      <c r="R175" s="1911"/>
      <c r="S175" s="1911"/>
      <c r="T175" s="1911"/>
      <c r="U175" s="1911"/>
      <c r="V175" s="1911"/>
      <c r="W175" s="1911"/>
      <c r="X175" s="1911"/>
      <c r="Y175" s="1911"/>
      <c r="Z175" s="1911"/>
    </row>
    <row r="176" spans="2:55" s="1735" customFormat="1" ht="12.75" customHeight="1">
      <c r="B176" s="1919"/>
      <c r="C176" s="1919"/>
      <c r="I176" s="1911"/>
      <c r="J176" s="1911"/>
      <c r="K176" s="1911"/>
      <c r="L176" s="1911"/>
      <c r="M176" s="1911"/>
      <c r="N176" s="1911"/>
      <c r="O176" s="1911"/>
      <c r="P176" s="1911"/>
      <c r="Q176" s="1911"/>
      <c r="R176" s="1911"/>
      <c r="S176" s="1911"/>
      <c r="T176" s="1911"/>
      <c r="U176" s="1911"/>
      <c r="V176" s="1911"/>
      <c r="W176" s="1911"/>
      <c r="X176" s="1911"/>
      <c r="Y176" s="1911"/>
      <c r="Z176" s="1911"/>
    </row>
    <row r="177" spans="2:55" s="1735" customFormat="1" ht="12.75" customHeight="1">
      <c r="B177" s="1919"/>
      <c r="C177" s="1919"/>
      <c r="I177" s="1911" t="s">
        <v>1084</v>
      </c>
      <c r="J177" s="1911"/>
      <c r="K177" s="1911">
        <f>(13.5*PC.2/1000+J156*0.045*J154^-0.023)/0.868</f>
        <v>3.9256391705952089</v>
      </c>
      <c r="L177" s="1911">
        <f>10*$E$12</f>
        <v>50.695742149295242</v>
      </c>
      <c r="M177" s="1911">
        <f>(13.5*PC.2/1000+M156*0.045*M154^-0.023)/0.868</f>
        <v>3.9256409274862967</v>
      </c>
      <c r="N177" s="1911"/>
      <c r="O177" s="1911">
        <f>(13.5*PC.2/1000+O156*0.045*O154^-0.023)/0.868</f>
        <v>3.9256353010538136</v>
      </c>
      <c r="P177" s="1911"/>
      <c r="Q177" s="1911" t="s">
        <v>1084</v>
      </c>
      <c r="R177" s="1911">
        <f>(13.5*PC.2/1000+R156*0.045*R154^-0.023)/0.868</f>
        <v>3.9256525872284125</v>
      </c>
      <c r="S177" s="1911"/>
      <c r="T177" s="1911">
        <f>(13.5*PC.2/1000+T156*0.045*T154^-0.023)/0.868</f>
        <v>3.9256525872284125</v>
      </c>
      <c r="U177" s="1911"/>
      <c r="V177" s="1911">
        <v>6.2648724904050148</v>
      </c>
      <c r="W177" s="1911"/>
      <c r="X177" s="1911" t="s">
        <v>1084</v>
      </c>
      <c r="Y177" s="1911"/>
      <c r="Z177" s="1911">
        <f>(13.5*PC.2/1000+Y156*0.045*Y154^-0.023)/0.868</f>
        <v>3.9256469296370025</v>
      </c>
      <c r="AB177" s="1735">
        <f>(13.5*PC.2/1000+AB156*0.045*AB154^-0.023)/0.868</f>
        <v>3.9256439828204779</v>
      </c>
      <c r="AD177" s="1735">
        <f>(13.5*PC.2/1000+AD156*0.045*AD154^-0.023)/0.868</f>
        <v>3.9256367425441301</v>
      </c>
      <c r="AG177" s="1735" t="s">
        <v>1084</v>
      </c>
      <c r="AI177" s="1911">
        <f>(AK220+AK221)/0.868</f>
        <v>3.925263406030044</v>
      </c>
      <c r="AJ177" s="1735" t="s">
        <v>1084</v>
      </c>
      <c r="AK177" s="1911">
        <f>(AK220+AK221+AK222)/0.868</f>
        <v>23.636899350730506</v>
      </c>
      <c r="AN177" s="1735" t="s">
        <v>1084</v>
      </c>
      <c r="AP177" s="1735">
        <f>(13.5*PC.2/1000+AP156*0.045*AP154^-0.023)/0.868</f>
        <v>3.9256469296370025</v>
      </c>
      <c r="AS177" s="1735">
        <f>(13.5*PC.2/1000+AS156*0.045*AS154^-0.023)/0.868</f>
        <v>3.9256439828204779</v>
      </c>
      <c r="AU177" s="1735">
        <f>(13.5*PC.2/1000+AU156*0.045*AU154^-0.023)/0.868</f>
        <v>3.9256367425441301</v>
      </c>
      <c r="AX177" s="1735" t="s">
        <v>1084</v>
      </c>
      <c r="AY177" s="1911">
        <f>(AY220+AY221+AY222)/0.868</f>
        <v>4.394087803394318</v>
      </c>
      <c r="AZ177" s="1911"/>
      <c r="BC177" s="1911">
        <f>(BC220+BC221+BC222)/0.868</f>
        <v>3.9256315821961612</v>
      </c>
    </row>
    <row r="178" spans="2:55" s="1735" customFormat="1" ht="12.75" customHeight="1">
      <c r="B178" s="1919"/>
      <c r="C178" s="1919"/>
      <c r="I178" s="1911" t="s">
        <v>1085</v>
      </c>
      <c r="J178" s="1911"/>
      <c r="K178" s="1911">
        <f>(95.6*PC.2/1000+J156*1.25*J154^0.33)/0.735</f>
        <v>37.399486419919235</v>
      </c>
      <c r="L178" s="1911">
        <f>100*$E$12</f>
        <v>506.95742149295245</v>
      </c>
      <c r="M178" s="1911">
        <f>(95.6*PC.2/1000+M156*1.25*M154^0.33)/0.735</f>
        <v>37.394003935437986</v>
      </c>
      <c r="N178" s="1911"/>
      <c r="O178" s="1911">
        <f>(95.6*PC.2/1000+O156*1.25*O154^0.33)/0.735</f>
        <v>37.411585459268935</v>
      </c>
      <c r="P178" s="1911"/>
      <c r="Q178" s="1911" t="s">
        <v>1085</v>
      </c>
      <c r="R178" s="1911">
        <f>(95.6*PC.2/1000+R156*1.25*R154^0.33)/0.735</f>
        <v>37.357790012204823</v>
      </c>
      <c r="S178" s="1911"/>
      <c r="T178" s="1911">
        <f>(95.6*PC.2/1000+T156*1.25*T154^0.33)/0.735</f>
        <v>37.357790012204823</v>
      </c>
      <c r="U178" s="1911"/>
      <c r="V178" s="1911">
        <v>63.364700859381863</v>
      </c>
      <c r="W178" s="1911"/>
      <c r="X178" s="1911" t="s">
        <v>1085</v>
      </c>
      <c r="Y178" s="1911"/>
      <c r="Z178" s="1911">
        <f>(95.6*PC.2/1000+Y156*1.25*Y154^0.33)/0.735</f>
        <v>37.375324842840989</v>
      </c>
      <c r="AB178" s="1735">
        <f>(95.6*PC.2/1000+AB156*1.25*AB154^0.33)/0.735</f>
        <v>37.384485687920446</v>
      </c>
      <c r="AD178" s="1735">
        <f>(95.6*PC.2/1000+AD156*1.25*AD154^0.33)/0.735</f>
        <v>37.40707445121302</v>
      </c>
      <c r="AG178" s="1735" t="s">
        <v>1085</v>
      </c>
      <c r="AI178" s="1911">
        <f>(AK224+AK225)/0.735</f>
        <v>37.273887981806098</v>
      </c>
      <c r="AJ178" s="1735" t="s">
        <v>1085</v>
      </c>
      <c r="AK178" s="1911">
        <f>(AK224+AK225+AK226)/0.735</f>
        <v>57.41485396820066</v>
      </c>
      <c r="AN178" s="1735" t="s">
        <v>1085</v>
      </c>
      <c r="AP178" s="1735">
        <f>(95.6*PC.2/1000+AP156*1.25*AP154^0.33)/0.735</f>
        <v>37.375324842840989</v>
      </c>
      <c r="AS178" s="1735">
        <f>(95.6*PC.2/1000+AS156*1.25*AS154^0.33)/0.735</f>
        <v>37.384485687920446</v>
      </c>
      <c r="AU178" s="1735">
        <f>(95.6*PC.2/1000+AU156*1.25*AU154^0.33)/0.735</f>
        <v>37.40707445121302</v>
      </c>
      <c r="AX178" s="1735" t="s">
        <v>1085</v>
      </c>
      <c r="AY178" s="1911">
        <f>(AY224+AY225+AY226)/0.735</f>
        <v>41.34089338390433</v>
      </c>
      <c r="AZ178" s="1911"/>
      <c r="BC178" s="1911">
        <f>(BC224+BC225+BC226)/0.735</f>
        <v>37.423244404312491</v>
      </c>
    </row>
    <row r="179" spans="2:55" s="1735" customFormat="1" ht="12.75" customHeight="1">
      <c r="B179" s="1919"/>
      <c r="C179" s="1919"/>
      <c r="I179" s="1911" t="s">
        <v>1086</v>
      </c>
      <c r="J179" s="1911"/>
      <c r="K179" s="1911">
        <f>$E$12*0.5</f>
        <v>2.5347871074647621</v>
      </c>
      <c r="L179" s="1911">
        <f>50*$E$12</f>
        <v>253.47871074647622</v>
      </c>
      <c r="M179" s="1911">
        <f>$E$12*0.5</f>
        <v>2.5347871074647621</v>
      </c>
      <c r="N179" s="1911"/>
      <c r="O179" s="1911">
        <f>$E$12*0.5</f>
        <v>2.5347871074647621</v>
      </c>
      <c r="P179" s="1911"/>
      <c r="Q179" s="1911" t="s">
        <v>1086</v>
      </c>
      <c r="R179" s="1911">
        <f>$E$12*0.5</f>
        <v>2.5347871074647621</v>
      </c>
      <c r="S179" s="1911"/>
      <c r="T179" s="1911">
        <f>$E$12*0.5</f>
        <v>2.5347871074647621</v>
      </c>
      <c r="U179" s="1911"/>
      <c r="V179" s="1911">
        <v>4.1559600466223827</v>
      </c>
      <c r="W179" s="1911"/>
      <c r="X179" s="1911" t="s">
        <v>1086</v>
      </c>
      <c r="Y179" s="1911"/>
      <c r="Z179" s="1911">
        <f>$E$12*0.5</f>
        <v>2.5347871074647621</v>
      </c>
      <c r="AB179" s="1735">
        <f>$E$12*0.5</f>
        <v>2.5347871074647621</v>
      </c>
      <c r="AD179" s="1735">
        <f>$E$12*0.5</f>
        <v>2.5347871074647621</v>
      </c>
      <c r="AG179" s="1735" t="s">
        <v>1086</v>
      </c>
      <c r="AI179" s="1911">
        <f>$E$12*0.5</f>
        <v>2.5347871074647621</v>
      </c>
      <c r="AJ179" s="1735" t="s">
        <v>1086</v>
      </c>
      <c r="AK179" s="1911">
        <f>$E$12*0.5</f>
        <v>2.5347871074647621</v>
      </c>
      <c r="AN179" s="1735" t="s">
        <v>1086</v>
      </c>
      <c r="AP179" s="1735">
        <f>$E$12*0.5</f>
        <v>2.5347871074647621</v>
      </c>
      <c r="AS179" s="1735">
        <f>$E$12*0.5</f>
        <v>2.5347871074647621</v>
      </c>
      <c r="AU179" s="1735">
        <f>$E$12*0.5</f>
        <v>2.5347871074647621</v>
      </c>
      <c r="AX179" s="1735" t="s">
        <v>1086</v>
      </c>
      <c r="AY179" s="1911">
        <f>$E$12*0.5</f>
        <v>2.5347871074647621</v>
      </c>
      <c r="AZ179" s="1911"/>
      <c r="BC179" s="1911">
        <f>$E$12*0.5</f>
        <v>2.5347871074647621</v>
      </c>
    </row>
    <row r="180" spans="2:55" s="1735" customFormat="1" ht="12.75" customHeight="1">
      <c r="B180" s="1919"/>
      <c r="C180" s="1919"/>
      <c r="I180" s="1911" t="s">
        <v>1087</v>
      </c>
      <c r="J180" s="1911"/>
      <c r="K180" s="1911">
        <f>(2942*PC.2/1000+J156*10.4*J154^0.24)/0.734</f>
        <v>1030.492180655147</v>
      </c>
      <c r="L180" s="1911">
        <f>1000*$E$12</f>
        <v>5069.5742149295238</v>
      </c>
      <c r="M180" s="1911">
        <f>(2942*PC.2/1000+M156*10.4*M154^0.24)/0.734</f>
        <v>1030.4716719853238</v>
      </c>
      <c r="N180" s="1911"/>
      <c r="O180" s="1911">
        <f>(2942*PC.2/1000+O156*10.4*O154^0.24)/0.734</f>
        <v>1030.5374174668734</v>
      </c>
      <c r="P180" s="1911"/>
      <c r="Q180" s="1911" t="s">
        <v>1087</v>
      </c>
      <c r="R180" s="1911">
        <f>(2942*PC.2/1000+R156*10.4*R154^0.24)/0.734</f>
        <v>1030.3360415795271</v>
      </c>
      <c r="S180" s="1911"/>
      <c r="T180" s="1911">
        <f>(2942*PC.2/1000+T156*10.4*T154^0.24)/0.734</f>
        <v>1030.3360415795271</v>
      </c>
      <c r="U180" s="1911"/>
      <c r="V180" s="1911">
        <v>1659.012416958624</v>
      </c>
      <c r="W180" s="1911"/>
      <c r="X180" s="1911" t="s">
        <v>1087</v>
      </c>
      <c r="Y180" s="1911"/>
      <c r="Z180" s="1911">
        <f>(2942*PC.2/1000+Y156*10.4*Y154^0.24)/0.734</f>
        <v>1030.4017493814881</v>
      </c>
      <c r="AB180" s="1735">
        <f>(2942*PC.2/1000+AB156*10.4*AB154^0.24)/0.734</f>
        <v>1030.4360511351974</v>
      </c>
      <c r="AD180" s="1735">
        <f>(2942*PC.2/1000+AD156*10.4*AD154^0.24)/0.734</f>
        <v>1030.5205550327178</v>
      </c>
      <c r="AG180" s="1735" t="s">
        <v>1087</v>
      </c>
      <c r="AI180" s="1911">
        <f>(AK228+AK229)/0.734</f>
        <v>1038.159890719121</v>
      </c>
      <c r="AJ180" s="1735" t="s">
        <v>1087</v>
      </c>
      <c r="AK180" s="1911">
        <f>(AK228+AK229+AK230)/0.734</f>
        <v>1341.192724506587</v>
      </c>
      <c r="AN180" s="1735" t="s">
        <v>1087</v>
      </c>
      <c r="AP180" s="1735">
        <f>(2942*PC.2/1000+AP156*10.4*AP154^0.24)/0.734</f>
        <v>1030.4017493814881</v>
      </c>
      <c r="AS180" s="1735">
        <f>(2942*PC.2/1000+AS156*10.4*AS154^0.24)/0.734</f>
        <v>1030.4360511351974</v>
      </c>
      <c r="AU180" s="1735">
        <f>(2942*PC.2/1000+AU156*10.4*AU154^0.24)/0.734</f>
        <v>1030.5205550327178</v>
      </c>
      <c r="AX180" s="1735" t="s">
        <v>1087</v>
      </c>
      <c r="AY180" s="1911">
        <f>(AY228+AY229+AY230)/0.734</f>
        <v>1159.7980714397829</v>
      </c>
      <c r="AZ180" s="1911"/>
      <c r="BC180" s="1911">
        <f>(BC228+BC229+BC230)/0.734</f>
        <v>1039.0718589057228</v>
      </c>
    </row>
    <row r="181" spans="2:55" s="1735" customFormat="1" ht="12.75" customHeight="1">
      <c r="B181" s="1919"/>
      <c r="C181" s="1919"/>
      <c r="I181" s="1911" t="s">
        <v>1088</v>
      </c>
      <c r="J181" s="1911"/>
      <c r="K181" s="1911">
        <f>(184.9*PC.2/1000+J156*0.07*J154^0.8)/0.439</f>
        <v>111.25190641809968</v>
      </c>
      <c r="L181" s="1911">
        <f>$E$12*1000</f>
        <v>5069.5742149295238</v>
      </c>
      <c r="M181" s="1911">
        <f>(184.9*PC.2/1000+M156*0.07*M154^0.8)/0.439</f>
        <v>111.23644076240079</v>
      </c>
      <c r="N181" s="1911"/>
      <c r="O181" s="1911">
        <f>(184.9*PC.2/1000+O156*0.07*O154^0.8)/0.439</f>
        <v>111.28612686036676</v>
      </c>
      <c r="P181" s="1911"/>
      <c r="Q181" s="1911" t="s">
        <v>1088</v>
      </c>
      <c r="R181" s="1911">
        <f>(184.9*PC.2/1000+R156*0.07*R154^0.8)/0.439</f>
        <v>111.1349220428641</v>
      </c>
      <c r="S181" s="1911"/>
      <c r="T181" s="1911">
        <f>(184.9*PC.2/1000+T156*0.07*T154^0.8)/0.439</f>
        <v>111.1349220428641</v>
      </c>
      <c r="U181" s="1911"/>
      <c r="V181" s="1911">
        <v>185.17107388450762</v>
      </c>
      <c r="W181" s="1911"/>
      <c r="X181" s="1911" t="s">
        <v>1088</v>
      </c>
      <c r="Y181" s="1911"/>
      <c r="Z181" s="1911">
        <f>(184.9*PC.2/1000+Y156*0.07*Y154^0.8)/0.439</f>
        <v>111.18393927657397</v>
      </c>
      <c r="AB181" s="1735">
        <f>(184.9*PC.2/1000+AB156*0.07*AB154^0.8)/0.439</f>
        <v>111.2096509039053</v>
      </c>
      <c r="AD181" s="1735">
        <f>(184.9*PC.2/1000+AD156*0.07*AD154^0.8)/0.439</f>
        <v>111.27335361517255</v>
      </c>
      <c r="AG181" s="1735" t="s">
        <v>1088</v>
      </c>
      <c r="AI181" s="1911">
        <f>(AK232+AK233)/0.439</f>
        <v>111.03842958709019</v>
      </c>
      <c r="AJ181" s="1735" t="s">
        <v>1088</v>
      </c>
      <c r="AK181" s="1911">
        <f>(AK232+AK233+AK234)/0.439</f>
        <v>134.93134530463004</v>
      </c>
      <c r="AN181" s="1735" t="s">
        <v>1088</v>
      </c>
      <c r="AP181" s="1735">
        <f>(184.9*PC.2/1000+AP156*0.07*AP154^0.8)/0.439</f>
        <v>111.18393927657397</v>
      </c>
      <c r="AS181" s="1735">
        <f>(184.9*PC.2/1000+AS156*0.07*AS154^0.8)/0.439</f>
        <v>111.2096509039053</v>
      </c>
      <c r="AU181" s="1735">
        <f>(184.9*PC.2/1000+AU156*0.07*AU154^0.8)/0.439</f>
        <v>111.27335361517255</v>
      </c>
      <c r="AX181" s="1735" t="s">
        <v>1088</v>
      </c>
      <c r="AY181" s="1911">
        <f>(AY232+AY233+AY234)/0.439</f>
        <v>111.31921986312081</v>
      </c>
      <c r="AZ181" s="1911"/>
      <c r="BC181" s="1911">
        <f>(BC232+BC233+BC234)/0.439</f>
        <v>111.31921986312081</v>
      </c>
    </row>
    <row r="182" spans="2:55" s="1735" customFormat="1" ht="12.75" customHeight="1">
      <c r="B182" s="1919"/>
      <c r="C182" s="1919"/>
      <c r="I182" s="1911" t="s">
        <v>1089</v>
      </c>
      <c r="J182" s="1911"/>
      <c r="K182" s="1911">
        <f>(3.72*PC.2/1000+J156*1.07*J154^-0.07)/0.487</f>
        <v>2.63664809547027</v>
      </c>
      <c r="L182" s="1911">
        <f>5*$E$12</f>
        <v>25.347871074647621</v>
      </c>
      <c r="M182" s="1911">
        <f>(3.72*PC.2/1000+M156*1.07*M154^-0.07)/0.487</f>
        <v>2.6368242511623188</v>
      </c>
      <c r="N182" s="1911"/>
      <c r="O182" s="1911">
        <f>(3.72*PC.2/1000+O156*1.07*O154^-0.07)/0.487</f>
        <v>2.6362602158095663</v>
      </c>
      <c r="P182" s="1911"/>
      <c r="Q182" s="1911" t="s">
        <v>1089</v>
      </c>
      <c r="R182" s="1911">
        <f>(3.72*PC.2/1000+R156*1.07*R154^-0.07)/0.487</f>
        <v>2.6379940558864536</v>
      </c>
      <c r="S182" s="1911"/>
      <c r="T182" s="1911">
        <f>(3.72*PC.2/1000+T156*1.07*T154^-0.07)/0.487</f>
        <v>2.6379940558864536</v>
      </c>
      <c r="U182" s="1911"/>
      <c r="V182" s="1911">
        <v>4.4607657462419992</v>
      </c>
      <c r="W182" s="1911"/>
      <c r="X182" s="1911" t="s">
        <v>1089</v>
      </c>
      <c r="Y182" s="1911"/>
      <c r="Z182" s="1911">
        <f>(3.72*PC.2/1000+Y156*1.07*Y154^-0.07)/0.487</f>
        <v>2.6374262787366973</v>
      </c>
      <c r="AB182" s="1735">
        <f>(3.72*PC.2/1000+AB156*1.07*AB154^-0.07)/0.487</f>
        <v>2.6371306649729598</v>
      </c>
      <c r="AD182" s="1735">
        <f>(3.72*PC.2/1000+AD156*1.07*AD154^-0.07)/0.487</f>
        <v>2.6364046932018863</v>
      </c>
      <c r="AG182" s="1735" t="s">
        <v>1089</v>
      </c>
      <c r="AI182" s="1911">
        <f>(AK236+AK237)/0.487</f>
        <v>2.6251576667415075</v>
      </c>
      <c r="AJ182" s="1735" t="s">
        <v>1089</v>
      </c>
      <c r="AK182" s="1911">
        <f>(AK236+AK237+AK238)/0.487</f>
        <v>2.6251576667415075</v>
      </c>
      <c r="AN182" s="1735" t="s">
        <v>1089</v>
      </c>
      <c r="AP182" s="1735">
        <f>(3.72*PC.2/1000+AP156*1.07*AP154^-0.07)/0.487</f>
        <v>2.6374262787366973</v>
      </c>
      <c r="AS182" s="1735">
        <f>(3.72*PC.2/1000+AS156*1.07*AS154^-0.07)/0.487</f>
        <v>2.6371306649729598</v>
      </c>
      <c r="AU182" s="1735">
        <f>(3.72*PC.2/1000+AU156*1.07*AU154^-0.07)/0.487</f>
        <v>2.6364046932018863</v>
      </c>
      <c r="AX182" s="1735" t="s">
        <v>1089</v>
      </c>
      <c r="AY182" s="1911">
        <f>(AY236+AY237+AY238)/0.487</f>
        <v>2.6358875729178624</v>
      </c>
      <c r="AZ182" s="1911"/>
      <c r="BC182" s="1911">
        <f>(BC236+BC237+BC238)/0.487</f>
        <v>2.6358875729178624</v>
      </c>
    </row>
    <row r="183" spans="2:55" s="1735" customFormat="1" ht="12.75" customHeight="1">
      <c r="B183" s="1919"/>
      <c r="C183" s="1919"/>
      <c r="I183" s="1911" t="s">
        <v>1090</v>
      </c>
      <c r="J183" s="1911"/>
      <c r="K183" s="1911">
        <f>(334.4*PC.2/1000+J156*1.16*J154^0.86)/0.668</f>
        <v>208.79104545140953</v>
      </c>
      <c r="L183" s="1911">
        <f>500*$E$12</f>
        <v>2534.7871074647619</v>
      </c>
      <c r="M183" s="1911">
        <f>(334.4*PC.2/1000+M156*1.16*M154^0.86)/0.668</f>
        <v>208.54132197432705</v>
      </c>
      <c r="N183" s="1911"/>
      <c r="O183" s="1911">
        <f>(334.4*PC.2/1000+O156*1.16*O154^0.86)/0.668</f>
        <v>209.3437877475256</v>
      </c>
      <c r="P183" s="1911"/>
      <c r="Q183" s="1911" t="s">
        <v>1090</v>
      </c>
      <c r="R183" s="1911">
        <f>(334.4*PC.2/1000+R156*1.16*R154^0.86)/0.668</f>
        <v>206.90341139356119</v>
      </c>
      <c r="S183" s="1911"/>
      <c r="T183" s="1911">
        <f>(334.4*PC.2/1000+T156*1.16*T154^0.86)/0.668</f>
        <v>206.90341139356119</v>
      </c>
      <c r="U183" s="1911"/>
      <c r="V183" s="1911">
        <v>458.69714533178643</v>
      </c>
      <c r="W183" s="1911"/>
      <c r="X183" s="1911" t="s">
        <v>1090</v>
      </c>
      <c r="Y183" s="1911"/>
      <c r="Z183" s="1911">
        <f>(334.4*PC.2/1000+Y156*1.16*Y154^0.86)/0.668</f>
        <v>207.69397432743898</v>
      </c>
      <c r="AB183" s="1735">
        <f>(334.4*PC.2/1000+AB156*1.16*AB154^0.86)/0.668</f>
        <v>208.10887119680262</v>
      </c>
      <c r="AD183" s="1735">
        <f>(334.4*PC.2/1000+AD156*1.16*AD154^0.86)/0.668</f>
        <v>209.13743929071339</v>
      </c>
      <c r="AG183" s="1735" t="s">
        <v>1090</v>
      </c>
      <c r="AI183" s="1911">
        <f>(AK240+AK241)/0.668</f>
        <v>205.45622114567084</v>
      </c>
      <c r="AJ183" s="1735" t="s">
        <v>1090</v>
      </c>
      <c r="AK183" s="1911">
        <f>(AK240+AK241+AK242)/0.668</f>
        <v>599.67867623549114</v>
      </c>
      <c r="AN183" s="1735" t="s">
        <v>1090</v>
      </c>
      <c r="AP183" s="1735">
        <f>(334.4*PC.2/1000+AP156*1.16*AP154^0.86)/0.668</f>
        <v>207.69397432743898</v>
      </c>
      <c r="AS183" s="1735">
        <f>(334.4*PC.2/1000+AS156*1.16*AS154^0.86)/0.668</f>
        <v>208.10887119680262</v>
      </c>
      <c r="AU183" s="1735">
        <f>(334.4*PC.2/1000+AU156*1.16*AU154^0.86)/0.668</f>
        <v>209.13743929071339</v>
      </c>
      <c r="AX183" s="1735" t="s">
        <v>1090</v>
      </c>
      <c r="AY183" s="1911">
        <f>(AY240+AY241+AY242)/0.668</f>
        <v>209.8785615557486</v>
      </c>
      <c r="AZ183" s="1911"/>
      <c r="BC183" s="1911">
        <f>(BC240+BC241+BC242)/0.668</f>
        <v>209.8785615557486</v>
      </c>
    </row>
    <row r="184" spans="2:55" s="1735" customFormat="1" ht="12.75" customHeight="1">
      <c r="B184" s="1919"/>
      <c r="C184" s="1919"/>
      <c r="I184" s="1911" t="s">
        <v>1091</v>
      </c>
      <c r="J184" s="1911"/>
      <c r="K184" s="1911">
        <f>(22.9*PC.2/1000+J156*0.23*J154^0.61)/0.784</f>
        <v>11.008928911772918</v>
      </c>
      <c r="L184" s="1911">
        <f>50*$E$12</f>
        <v>253.47871074647622</v>
      </c>
      <c r="M184" s="1911">
        <f>(22.9*PC.2/1000+M156*0.23*M154^0.61)/0.784</f>
        <v>11.001090820279014</v>
      </c>
      <c r="N184" s="1911"/>
      <c r="O184" s="1911">
        <f>(22.9*PC.2/1000+O156*0.23*O154^0.61)/0.784</f>
        <v>11.026253589939472</v>
      </c>
      <c r="P184" s="1911"/>
      <c r="Q184" s="1911" t="s">
        <v>1091</v>
      </c>
      <c r="R184" s="1911">
        <f>(22.9*PC.2/1000+R156*0.23*R154^0.61)/0.784</f>
        <v>10.949510107340892</v>
      </c>
      <c r="S184" s="1911"/>
      <c r="T184" s="1911">
        <f>(22.9*PC.2/1000+T156*0.23*T154^0.61)/0.784</f>
        <v>10.949510107340892</v>
      </c>
      <c r="U184" s="1911"/>
      <c r="V184" s="1911">
        <v>21.773571432368389</v>
      </c>
      <c r="W184" s="1911"/>
      <c r="X184" s="1911" t="s">
        <v>1091</v>
      </c>
      <c r="Y184" s="1911"/>
      <c r="Z184" s="1911">
        <f>(22.9*PC.2/1000+Y156*0.23*Y154^0.61)/0.784</f>
        <v>10.974443704719073</v>
      </c>
      <c r="AB184" s="1735">
        <f>(22.9*PC.2/1000+AB156*0.23*AB154^0.61)/0.784</f>
        <v>10.98750119295569</v>
      </c>
      <c r="AD184" s="1735">
        <f>(22.9*PC.2/1000+AD156*0.23*AD154^0.61)/0.784</f>
        <v>11.019789883986965</v>
      </c>
      <c r="AG184" s="1735" t="s">
        <v>1091</v>
      </c>
      <c r="AI184" s="1735">
        <f>(AK244+AK245)/0.784</f>
        <v>10.885070217814185</v>
      </c>
      <c r="AJ184" s="1735" t="s">
        <v>1091</v>
      </c>
      <c r="AK184" s="1735">
        <f>(AK244+AK245+AK246)/0.784</f>
        <v>41.248335523936639</v>
      </c>
      <c r="AN184" s="1735" t="s">
        <v>1091</v>
      </c>
      <c r="AP184" s="1735">
        <f>(22.9*PC.2/1000+AP156*0.23*AP154^0.61)/0.784</f>
        <v>10.974443704719073</v>
      </c>
      <c r="AS184" s="1735">
        <f>(22.9*PC.2/1000+AS156*0.23*AS154^0.61)/0.784</f>
        <v>10.98750119295569</v>
      </c>
      <c r="AU184" s="1735">
        <f>(22.9*PC.2/1000+AU156*0.23*AU154^0.61)/0.784</f>
        <v>11.019789883986965</v>
      </c>
      <c r="AX184" s="1735" t="s">
        <v>1091</v>
      </c>
      <c r="AY184" s="1735">
        <f>(AY244+AY245+AY246)/0.784</f>
        <v>11.042983449616274</v>
      </c>
      <c r="BC184" s="1735">
        <f>(BC244+BC245+BC246)/0.784</f>
        <v>11.042983449616274</v>
      </c>
    </row>
    <row r="185" spans="2:55" s="1735" customFormat="1" ht="12.75" customHeight="1">
      <c r="B185" s="1919"/>
      <c r="C185" s="1919"/>
      <c r="I185" s="1911"/>
      <c r="J185" s="1911"/>
      <c r="K185" s="1911"/>
      <c r="L185" s="1911"/>
      <c r="M185" s="1911"/>
      <c r="N185" s="1911"/>
      <c r="O185" s="1911"/>
      <c r="P185" s="1911"/>
      <c r="Q185" s="1911" t="s">
        <v>1092</v>
      </c>
      <c r="R185" s="1911"/>
      <c r="S185" s="1911"/>
      <c r="T185" s="1911"/>
      <c r="U185" s="1911"/>
      <c r="V185" s="1911"/>
      <c r="W185" s="1911"/>
      <c r="X185" s="1911" t="s">
        <v>1092</v>
      </c>
      <c r="Y185" s="1911"/>
      <c r="Z185" s="1911"/>
      <c r="AG185" s="1735" t="s">
        <v>1092</v>
      </c>
      <c r="AI185" s="1911"/>
      <c r="AJ185" s="1735" t="s">
        <v>1092</v>
      </c>
      <c r="AN185" s="1735" t="s">
        <v>1092</v>
      </c>
      <c r="AX185" s="1735" t="s">
        <v>1092</v>
      </c>
    </row>
    <row r="186" spans="2:55" s="1735" customFormat="1" ht="12.75" customHeight="1">
      <c r="B186" s="1919"/>
      <c r="C186" s="1919"/>
      <c r="I186" s="1911"/>
      <c r="J186" s="1911"/>
      <c r="K186" s="1911"/>
      <c r="L186" s="1911"/>
      <c r="M186" s="1911"/>
      <c r="N186" s="1911"/>
      <c r="O186" s="1911"/>
      <c r="P186" s="1911"/>
      <c r="Q186" s="1911" t="s">
        <v>1093</v>
      </c>
      <c r="R186" s="1911"/>
      <c r="S186" s="1911"/>
      <c r="T186" s="1911"/>
      <c r="U186" s="1911"/>
      <c r="V186" s="1911"/>
      <c r="W186" s="1911"/>
      <c r="X186" s="1911" t="s">
        <v>1093</v>
      </c>
      <c r="Y186" s="1911"/>
      <c r="Z186" s="1911"/>
      <c r="AG186" s="1735" t="s">
        <v>1093</v>
      </c>
      <c r="AJ186" s="1735" t="s">
        <v>1093</v>
      </c>
      <c r="AN186" s="1735" t="s">
        <v>1093</v>
      </c>
      <c r="AX186" s="1735" t="s">
        <v>1093</v>
      </c>
    </row>
    <row r="187" spans="2:55" s="1735" customFormat="1" ht="12.75" customHeight="1">
      <c r="B187" s="1919"/>
      <c r="C187" s="1919"/>
      <c r="I187" s="1911"/>
      <c r="J187" s="1929" t="s">
        <v>1479</v>
      </c>
      <c r="K187" s="1911"/>
      <c r="L187" s="1911"/>
      <c r="M187" s="1911"/>
      <c r="N187" s="1911"/>
      <c r="O187" s="1911"/>
      <c r="P187" s="1911"/>
      <c r="Q187" s="1911" t="s">
        <v>1094</v>
      </c>
      <c r="R187" s="1911"/>
      <c r="S187" s="1911"/>
      <c r="T187" s="1911"/>
      <c r="U187" s="1911"/>
      <c r="V187" s="1911"/>
      <c r="W187" s="1911"/>
      <c r="X187" s="1911" t="s">
        <v>1094</v>
      </c>
      <c r="Y187" s="1911"/>
      <c r="Z187" s="1911"/>
      <c r="AG187" s="1735" t="s">
        <v>1094</v>
      </c>
      <c r="AJ187" s="1735" t="s">
        <v>1094</v>
      </c>
      <c r="AN187" s="1735" t="s">
        <v>1094</v>
      </c>
      <c r="AX187" s="1735" t="s">
        <v>1094</v>
      </c>
    </row>
    <row r="188" spans="2:55" s="1735" customFormat="1" ht="12.75" customHeight="1">
      <c r="B188" s="1919"/>
      <c r="C188" s="1919"/>
      <c r="G188" s="1735" t="s">
        <v>1095</v>
      </c>
      <c r="I188" s="1911" t="s">
        <v>1096</v>
      </c>
      <c r="J188" s="1925">
        <f>IFERROR(CONCENTRADO.DIETA/Total.MS,1)</f>
        <v>1</v>
      </c>
      <c r="K188" s="1911"/>
      <c r="L188" s="1911"/>
      <c r="M188" s="1911"/>
      <c r="N188" s="1911"/>
      <c r="O188" s="1911"/>
      <c r="P188" s="1911"/>
      <c r="Q188" s="1911" t="s">
        <v>1097</v>
      </c>
      <c r="R188" s="1911"/>
      <c r="S188" s="1911"/>
      <c r="T188" s="1911"/>
      <c r="U188" s="1911"/>
      <c r="V188" s="1911"/>
      <c r="W188" s="1911"/>
      <c r="X188" s="1911" t="s">
        <v>1097</v>
      </c>
      <c r="Y188" s="1911"/>
      <c r="Z188" s="1911"/>
      <c r="AG188" s="1735" t="s">
        <v>1097</v>
      </c>
      <c r="AJ188" s="1735" t="s">
        <v>1097</v>
      </c>
      <c r="AN188" s="1735" t="s">
        <v>1097</v>
      </c>
      <c r="AX188" s="1735" t="s">
        <v>1097</v>
      </c>
    </row>
    <row r="189" spans="2:55" s="1735" customFormat="1" ht="12.75" customHeight="1">
      <c r="B189" s="1919"/>
      <c r="C189" s="1919"/>
      <c r="G189" s="1735" t="s">
        <v>1098</v>
      </c>
      <c r="I189" s="1911" t="s">
        <v>1099</v>
      </c>
      <c r="J189" s="1911">
        <f>CONCENTRADO.DIETA</f>
        <v>0.99216764145481651</v>
      </c>
      <c r="K189" s="1911"/>
      <c r="L189" s="1911"/>
      <c r="M189" s="1911"/>
      <c r="N189" s="1911"/>
      <c r="O189" s="1911"/>
      <c r="P189" s="1911"/>
      <c r="Q189" s="1911"/>
      <c r="R189" s="1911"/>
      <c r="S189" s="1911"/>
      <c r="T189" s="1911"/>
      <c r="U189" s="1911"/>
      <c r="V189" s="1911"/>
      <c r="W189" s="1911"/>
      <c r="X189" s="1911"/>
      <c r="Y189" s="1911"/>
      <c r="Z189" s="1911"/>
      <c r="AW189" s="1735" t="s">
        <v>1100</v>
      </c>
      <c r="AY189" s="1927">
        <f>BC!F5</f>
        <v>185</v>
      </c>
    </row>
    <row r="190" spans="2:55" s="1735" customFormat="1" ht="12.75" customHeight="1">
      <c r="B190" s="1919"/>
      <c r="C190" s="1919"/>
      <c r="I190" s="1911"/>
      <c r="J190" s="1911"/>
      <c r="K190" s="1911"/>
      <c r="L190" s="1911"/>
      <c r="M190" s="1911"/>
      <c r="N190" s="1911"/>
      <c r="O190" s="1911"/>
      <c r="P190" s="1911"/>
      <c r="Q190" s="1911"/>
      <c r="R190" s="1911"/>
      <c r="S190" s="1911"/>
      <c r="T190" s="1911"/>
      <c r="U190" s="1911"/>
      <c r="V190" s="1911"/>
      <c r="W190" s="1911"/>
      <c r="X190" s="1911"/>
      <c r="Y190" s="1911"/>
      <c r="Z190" s="1911"/>
      <c r="AF190" s="1735" t="s">
        <v>1101</v>
      </c>
      <c r="AG190" s="1735" t="s">
        <v>1102</v>
      </c>
      <c r="AK190" s="1735">
        <f>0.75*PrLeite</f>
        <v>5.5792500000000009</v>
      </c>
      <c r="AW190" s="1735" t="s">
        <v>1103</v>
      </c>
      <c r="AY190" s="1927">
        <v>5</v>
      </c>
      <c r="BC190" s="1735">
        <v>5</v>
      </c>
    </row>
    <row r="191" spans="2:55" s="1735" customFormat="1" ht="12.75" customHeight="1">
      <c r="B191" s="1919"/>
      <c r="C191" s="1919"/>
      <c r="I191" s="1911"/>
      <c r="J191" s="1911"/>
      <c r="K191" s="1911" t="s">
        <v>1104</v>
      </c>
      <c r="L191" s="1911" t="s">
        <v>2</v>
      </c>
      <c r="M191" s="1911" t="s">
        <v>1105</v>
      </c>
      <c r="N191" s="1911"/>
      <c r="O191" s="1911"/>
      <c r="P191" s="1911"/>
      <c r="Q191" s="1911"/>
      <c r="R191" s="1911"/>
      <c r="S191" s="1911"/>
      <c r="T191" s="1911"/>
      <c r="U191" s="1911"/>
      <c r="V191" s="1911"/>
      <c r="W191" s="1911"/>
      <c r="X191" s="1911"/>
      <c r="Y191" s="1911"/>
      <c r="Z191" s="1911"/>
      <c r="AG191" s="1735" t="s">
        <v>1106</v>
      </c>
      <c r="AK191" s="1735">
        <f>AK147</f>
        <v>0.72444444444444434</v>
      </c>
      <c r="AW191" s="1735" t="s">
        <v>1107</v>
      </c>
      <c r="AY191" s="1928">
        <v>33</v>
      </c>
    </row>
    <row r="192" spans="2:55" s="1735" customFormat="1" ht="12.75" customHeight="1">
      <c r="B192" s="1919"/>
      <c r="C192" s="1919"/>
      <c r="I192" s="1911" t="s">
        <v>1108</v>
      </c>
      <c r="J192" s="1911"/>
      <c r="K192" s="1911"/>
      <c r="L192" s="1911">
        <f>0.28*$E$12</f>
        <v>1.4194807801802669</v>
      </c>
      <c r="M192" s="1911"/>
      <c r="N192" s="1911"/>
      <c r="O192" s="1911"/>
      <c r="P192" s="1911"/>
      <c r="Q192" s="1911"/>
      <c r="R192" s="1911"/>
      <c r="S192" s="1911"/>
      <c r="T192" s="1911"/>
      <c r="U192" s="1911"/>
      <c r="V192" s="1911"/>
      <c r="W192" s="1911"/>
      <c r="X192" s="1911"/>
      <c r="Y192" s="1911"/>
      <c r="Z192" s="1911"/>
      <c r="AG192" s="1735" t="s">
        <v>1109</v>
      </c>
      <c r="AK192" s="1735">
        <f>AK190/AK191</f>
        <v>7.7014187116564443</v>
      </c>
      <c r="AW192" s="1735" t="s">
        <v>1110</v>
      </c>
      <c r="AX192" s="1735" t="s">
        <v>1111</v>
      </c>
      <c r="AY192" s="1735">
        <f>AY193-(AY153*0.00002*(AY189-135))</f>
        <v>4.8296853220689826</v>
      </c>
    </row>
    <row r="193" spans="2:55" s="1735" customFormat="1" ht="12.75" customHeight="1">
      <c r="B193" s="1919"/>
      <c r="C193" s="1919"/>
      <c r="I193" s="1911" t="s">
        <v>1112</v>
      </c>
      <c r="J193" s="1911"/>
      <c r="K193" s="1911"/>
      <c r="L193" s="1911">
        <f>0.21*$E$12</f>
        <v>1.0646105851352001</v>
      </c>
      <c r="M193" s="1911"/>
      <c r="N193" s="1911"/>
      <c r="O193" s="1911"/>
      <c r="P193" s="1911"/>
      <c r="Q193" s="1911"/>
      <c r="R193" s="1911"/>
      <c r="S193" s="1911"/>
      <c r="T193" s="1911"/>
      <c r="U193" s="1911"/>
      <c r="V193" s="1911"/>
      <c r="W193" s="1911"/>
      <c r="X193" s="1911"/>
      <c r="Y193" s="1911"/>
      <c r="Z193" s="1911"/>
      <c r="AG193" s="1735" t="s">
        <v>1113</v>
      </c>
      <c r="AK193" s="1735">
        <f>52.3*PrLeite</f>
        <v>389.05970000000002</v>
      </c>
      <c r="AX193" s="1735" t="s">
        <v>1114</v>
      </c>
      <c r="AY193" s="1735">
        <f>-1.303+0.0029*NC-0.00005*NC^2 + 0.0843*$D$7^0.75 + 2.243*$D$10-0.271*$D$10^2</f>
        <v>5.0695742149295242</v>
      </c>
      <c r="BC193" s="1735">
        <f>-1.303+0.0029*NC-0.00005*NC^2 + 0.0843*$D$7^0.75 + 2.243*$D$10-0.271*$D$10^2</f>
        <v>5.0695742149295242</v>
      </c>
    </row>
    <row r="194" spans="2:55" s="1735" customFormat="1" ht="12.75" customHeight="1">
      <c r="B194" s="1919"/>
      <c r="C194" s="1919"/>
      <c r="I194" s="1911" t="s">
        <v>1115</v>
      </c>
      <c r="J194" s="1911"/>
      <c r="K194" s="1911"/>
      <c r="L194" s="1911"/>
      <c r="M194" s="1911">
        <f>0.06*$E$12*1000</f>
        <v>304.17445289577142</v>
      </c>
      <c r="N194" s="1911"/>
      <c r="O194" s="1911"/>
      <c r="P194" s="1911"/>
      <c r="Q194" s="1911"/>
      <c r="R194" s="1911"/>
      <c r="S194" s="1911"/>
      <c r="T194" s="1911"/>
      <c r="U194" s="1911"/>
      <c r="V194" s="1911"/>
      <c r="W194" s="1911"/>
      <c r="X194" s="1911"/>
      <c r="Y194" s="1911"/>
      <c r="Z194" s="1911"/>
      <c r="AG194" s="1735" t="s">
        <v>1116</v>
      </c>
      <c r="AH194" s="1735" t="s">
        <v>1017</v>
      </c>
      <c r="AI194" s="1735">
        <f>PrLeite*0.145</f>
        <v>1.0786550000000001</v>
      </c>
      <c r="AW194" s="1735" t="s">
        <v>1117</v>
      </c>
      <c r="AX194" s="1735" t="s">
        <v>1118</v>
      </c>
      <c r="AY194" s="1735">
        <f>(AY191*0.000000793*AY189^3.017)/1000</f>
        <v>0.18106905365526813</v>
      </c>
    </row>
    <row r="195" spans="2:55" s="1735" customFormat="1" ht="12.75" customHeight="1">
      <c r="B195" s="1919"/>
      <c r="C195" s="1919"/>
      <c r="I195" s="1911"/>
      <c r="J195" s="1911"/>
      <c r="K195" s="1911" t="s">
        <v>1119</v>
      </c>
      <c r="L195" s="1911"/>
      <c r="M195" s="1911"/>
      <c r="N195" s="1911"/>
      <c r="O195" s="1911"/>
      <c r="P195" s="1911"/>
      <c r="Q195" s="1911"/>
      <c r="R195" s="1911"/>
      <c r="S195" s="1911"/>
      <c r="T195" s="1911"/>
      <c r="U195" s="1911"/>
      <c r="V195" s="1911"/>
      <c r="W195" s="1911"/>
      <c r="X195" s="1911"/>
      <c r="Y195" s="1911"/>
      <c r="Z195" s="1911">
        <f>11.7*PC.2/1000</f>
        <v>2.9366999999999996</v>
      </c>
      <c r="AF195" s="1735" t="s">
        <v>1120</v>
      </c>
      <c r="AG195" s="1735" t="s">
        <v>1121</v>
      </c>
      <c r="AH195" s="1735" t="s">
        <v>1017</v>
      </c>
      <c r="AI195" s="1735">
        <f>0.353-0.532*AI194+0.01065*PC.2+0.3497*GMD.2</f>
        <v>2.6271555400000004</v>
      </c>
      <c r="AK195" s="1911" t="s">
        <v>1119</v>
      </c>
      <c r="AW195" s="1735" t="s">
        <v>1056</v>
      </c>
      <c r="AX195" s="1735" t="s">
        <v>1122</v>
      </c>
      <c r="AY195" s="1911">
        <f>AY167/AY159*1000</f>
        <v>75.134896337970517</v>
      </c>
      <c r="BC195" s="1911"/>
    </row>
    <row r="196" spans="2:55" s="1735" customFormat="1" ht="12.75" customHeight="1">
      <c r="B196" s="1919"/>
      <c r="C196" s="1919"/>
      <c r="I196" s="1911" t="s">
        <v>1123</v>
      </c>
      <c r="J196" s="1911"/>
      <c r="K196" s="1911">
        <f>11.7*PC.2/1000</f>
        <v>2.9366999999999996</v>
      </c>
      <c r="L196" s="1911"/>
      <c r="M196" s="1911">
        <f>11.7*PC.2/1000</f>
        <v>2.9366999999999996</v>
      </c>
      <c r="N196" s="1911"/>
      <c r="O196" s="1911">
        <f>11.7*PC.2/1000</f>
        <v>2.9366999999999996</v>
      </c>
      <c r="P196" s="1911"/>
      <c r="Q196" s="1911" t="s">
        <v>1123</v>
      </c>
      <c r="R196" s="1911">
        <f>11.7*PC.2/1000</f>
        <v>2.9366999999999996</v>
      </c>
      <c r="S196" s="1911"/>
      <c r="T196" s="1911">
        <f>11.7*PC.2/1000</f>
        <v>2.9366999999999996</v>
      </c>
      <c r="U196" s="1911"/>
      <c r="V196" s="1911">
        <f>11.7*PC.2/1000</f>
        <v>2.9366999999999996</v>
      </c>
      <c r="W196" s="1911"/>
      <c r="X196" s="1911" t="s">
        <v>1123</v>
      </c>
      <c r="Y196" s="1911"/>
      <c r="Z196" s="1911">
        <f>11.7*PC.2/1000</f>
        <v>2.9366999999999996</v>
      </c>
      <c r="AB196" s="1735">
        <f>11.7*PC.2/1000</f>
        <v>2.9366999999999996</v>
      </c>
      <c r="AD196" s="1735">
        <f>11.7*PC.2/1000</f>
        <v>2.9366999999999996</v>
      </c>
      <c r="AJ196" s="1735" t="s">
        <v>1123</v>
      </c>
      <c r="AK196" s="1735">
        <f>11.7*PC.2/1000</f>
        <v>2.9366999999999996</v>
      </c>
      <c r="AN196" s="1735" t="s">
        <v>1123</v>
      </c>
      <c r="AP196" s="1735">
        <f>11.7*PC.2/1000</f>
        <v>2.9366999999999996</v>
      </c>
      <c r="AS196" s="1735">
        <f>11.7*PC.2/1000</f>
        <v>2.9366999999999996</v>
      </c>
      <c r="AU196" s="1735">
        <f>11.7*PC.2/1000</f>
        <v>2.9366999999999996</v>
      </c>
      <c r="AX196" s="1735" t="s">
        <v>1123</v>
      </c>
      <c r="AY196" s="1735">
        <f>IF(AY189&lt;135,11.7*PC.2/1000,IF(AY189&lt;230,(11.7*PC.2/1000)*1.12,(11.7*PC.2/1000)*1.33))</f>
        <v>3.289104</v>
      </c>
      <c r="BC196" s="1735">
        <f>11.7*PC.2/1000</f>
        <v>2.9366999999999996</v>
      </c>
    </row>
    <row r="197" spans="2:55">
      <c r="I197" s="1911" t="s">
        <v>1124</v>
      </c>
      <c r="J197" s="1911"/>
      <c r="K197" s="1911">
        <f>IF(PC.2&lt;462,J140*147*J139^-0.5,0)</f>
        <v>4.8013914284522867</v>
      </c>
      <c r="L197" s="1911"/>
      <c r="M197" s="1911">
        <f>IF(PC.2&lt;462,M140*147*M139^-0.5,0)</f>
        <v>4.8097960274440172</v>
      </c>
      <c r="N197" s="1911"/>
      <c r="O197" s="1911">
        <f>IF(PC.2&lt;462,O140*147*O139^-0.5,0)</f>
        <v>4.7829297369799928</v>
      </c>
      <c r="P197" s="1911"/>
      <c r="Q197" s="1911" t="s">
        <v>1124</v>
      </c>
      <c r="R197" s="1911">
        <f>IF(PC.2&lt;462,R140*147*R139^-0.5,0)</f>
        <v>4.8659304810221284</v>
      </c>
      <c r="S197" s="1911"/>
      <c r="T197" s="1911">
        <f>IF(PC.2&lt;462,T140*147*T139^-0.5,0)</f>
        <v>4.8659304810221284</v>
      </c>
      <c r="U197" s="1911"/>
      <c r="V197" s="1911">
        <f>IF(PC.2&lt;462,V140*147*V139^-0.5,0)</f>
        <v>4.8659304810221284</v>
      </c>
      <c r="W197" s="1911"/>
      <c r="X197" s="1911" t="s">
        <v>1124</v>
      </c>
      <c r="Y197" s="1911"/>
      <c r="Z197" s="1911">
        <f>IF(PC.2&lt;453,Y140*66*Y139^-0.32,0)</f>
        <v>5.6856561849681002</v>
      </c>
      <c r="AB197" s="1735">
        <f>IF(PC.2&lt;453,AB140*66*AB139^-0.32,0)</f>
        <v>5.6749945489271267</v>
      </c>
      <c r="AD197" s="1735">
        <f>IF(PC.2&lt;453,AD140*66*AD139^-0.32,0)</f>
        <v>5.6488778489482847</v>
      </c>
      <c r="AG197" s="1735" t="s">
        <v>1125</v>
      </c>
      <c r="AH197" s="1735">
        <f>PrLeite*0.0369</f>
        <v>0.27449910000000005</v>
      </c>
      <c r="AJ197" s="1735" t="s">
        <v>1124</v>
      </c>
      <c r="AK197" s="1735">
        <f>IF(PC.2&lt;462,AK140*147*AK139^-0.5,0)</f>
        <v>4.7792639279957108</v>
      </c>
      <c r="AN197" s="1735" t="s">
        <v>1124</v>
      </c>
      <c r="AP197" s="1735">
        <f>IF(PC.2&lt;453,AP140*66*AP139^-0.32,0)</f>
        <v>5.6856561849681002</v>
      </c>
      <c r="AR197" s="1735"/>
      <c r="AS197" s="1735">
        <f>IF(PC.2&lt;453,AS140*66*AS139^-0.32,0)</f>
        <v>5.6749945489271267</v>
      </c>
      <c r="AT197" s="1735"/>
      <c r="AU197" s="1735">
        <f>IF(PC.2&lt;453,AU140*66*AU139^-0.32,0)</f>
        <v>5.6488778489482847</v>
      </c>
      <c r="AX197" s="1735" t="s">
        <v>1124</v>
      </c>
      <c r="AY197" s="1735">
        <f>IF(PC.2&lt;462,AY140*147*AY139^-0.5,0)</f>
        <v>4.76525079288849</v>
      </c>
      <c r="BC197" s="1735">
        <f>IF(PC.2&lt;462,BC140*147*BC139^-0.5,0)</f>
        <v>4.76525079288849</v>
      </c>
    </row>
    <row r="198" spans="2:55">
      <c r="R198" s="1911"/>
      <c r="AG198" s="1735" t="s">
        <v>1126</v>
      </c>
      <c r="AH198" s="1735">
        <f>PrLeite*0.2</f>
        <v>1.4878000000000002</v>
      </c>
      <c r="AJ198" s="1735" t="s">
        <v>1127</v>
      </c>
      <c r="AK198" s="1735">
        <f>1.1*PrLeite</f>
        <v>8.1829000000000018</v>
      </c>
      <c r="AX198" s="1735" t="s">
        <v>1127</v>
      </c>
      <c r="AY198" s="1735"/>
      <c r="BC198" s="1735"/>
    </row>
    <row r="199" spans="2:55">
      <c r="R199" s="1911"/>
      <c r="AH199" s="1735"/>
      <c r="AI199" s="1735"/>
      <c r="AJ199" s="1735"/>
      <c r="AK199" s="1735"/>
      <c r="AX199" s="1735"/>
      <c r="AY199" s="1735"/>
      <c r="BC199" s="1735"/>
    </row>
    <row r="200" spans="2:55">
      <c r="I200" s="1911" t="s">
        <v>1128</v>
      </c>
      <c r="K200" s="1911">
        <f>13.5*PC.2/1000</f>
        <v>3.3885000000000001</v>
      </c>
      <c r="M200" s="1911">
        <f>13.5*PC.2/1000</f>
        <v>3.3885000000000001</v>
      </c>
      <c r="O200" s="1911">
        <f>13.5*PC.2/1000</f>
        <v>3.3885000000000001</v>
      </c>
      <c r="R200" s="1911">
        <f>13.5*PC.2/1000</f>
        <v>3.3885000000000001</v>
      </c>
      <c r="T200" s="1881">
        <f>13.5*PC.2/1000</f>
        <v>3.3885000000000001</v>
      </c>
      <c r="V200" s="1881">
        <f>13.5*PC.2/1000</f>
        <v>3.3885000000000001</v>
      </c>
      <c r="X200" s="1911" t="s">
        <v>1128</v>
      </c>
      <c r="Z200" s="1911">
        <f>13.5*PC.2/1000</f>
        <v>3.3885000000000001</v>
      </c>
      <c r="AB200" s="1735">
        <f>13.5*PC.2/1000</f>
        <v>3.3885000000000001</v>
      </c>
      <c r="AD200" s="1735">
        <f>13.5*PC.2/1000</f>
        <v>3.3885000000000001</v>
      </c>
      <c r="AG200" s="1735"/>
      <c r="AH200" s="1735"/>
      <c r="AI200" s="1735"/>
      <c r="AJ200" s="1735" t="s">
        <v>1129</v>
      </c>
      <c r="AK200" s="1735">
        <f>13.5*PC.2/1000</f>
        <v>3.3885000000000001</v>
      </c>
      <c r="AP200" s="1735">
        <f>13.5*PC.2/1000</f>
        <v>3.3885000000000001</v>
      </c>
      <c r="AR200" s="1735"/>
      <c r="AS200" s="1735">
        <f>13.5*PC.2/1000</f>
        <v>3.3885000000000001</v>
      </c>
      <c r="AT200" s="1735"/>
      <c r="AU200" s="1735">
        <f>13.5*PC.2/1000</f>
        <v>3.3885000000000001</v>
      </c>
      <c r="AX200" s="1735" t="s">
        <v>1129</v>
      </c>
      <c r="AY200" s="1735">
        <f>IF(AY189&lt;135,13.5*PC.2/1000,IF(AY189&lt;230,(13.5*PC.2/1000)*1.12,(13.5*PC.2/1000)*1.33))</f>
        <v>3.7951200000000003</v>
      </c>
      <c r="BC200" s="1735">
        <f>13.5*PC.2/1000</f>
        <v>3.3885000000000001</v>
      </c>
    </row>
    <row r="201" spans="2:55">
      <c r="I201" s="1911" t="s">
        <v>1130</v>
      </c>
      <c r="K201" s="1911">
        <f>IF(PC.2&lt;445,J140*38.6*J139^-0.36,0)</f>
        <v>2.6702833737279787</v>
      </c>
      <c r="M201" s="1911">
        <f>IF(PC.2&lt;445,M140*38.6*M139^-0.36,0)</f>
        <v>2.6736479731726672</v>
      </c>
      <c r="O201" s="1911">
        <f>IF(PC.2&lt;445,O140*38.6*O139^-0.36,0)</f>
        <v>2.6628868384928204</v>
      </c>
      <c r="R201" s="1911">
        <f>IF(PC.2&lt;445,R140*38.6*R139^-0.36,0)</f>
        <v>2.6960781601961261</v>
      </c>
      <c r="T201" s="1881">
        <f>IF(PC.2&lt;445,T140*38.6*T139^-0.36,0)</f>
        <v>2.6960781601961261</v>
      </c>
      <c r="V201" s="1881">
        <f>IF(PC.2&lt;445,V140*38.6*V139^-0.36,0)</f>
        <v>2.6960781601961261</v>
      </c>
      <c r="X201" s="1911" t="s">
        <v>1130</v>
      </c>
      <c r="Z201" s="1911">
        <f>IF(PC.2&lt;479,Y140*25.4*Y139^-0.25,0)</f>
        <v>3.180980121779641</v>
      </c>
      <c r="AB201" s="1735">
        <f>IF(PC.2&lt;479,AB140*25.4*AB139^-0.25,0)</f>
        <v>3.1763190759201194</v>
      </c>
      <c r="AD201" s="1735">
        <f>IF(PC.2&lt;479,AD140*25.4*AD139^-0.25,0)</f>
        <v>3.164893293183777</v>
      </c>
      <c r="AG201" s="1735"/>
      <c r="AH201" s="1735"/>
      <c r="AI201" s="1735"/>
      <c r="AJ201" s="1735" t="s">
        <v>1131</v>
      </c>
      <c r="AK201" s="1735">
        <f>IF(PC.2&lt;445,AK140*38.6*AK139^-0.36,0)</f>
        <v>2.6480586083868034</v>
      </c>
      <c r="AP201" s="1735">
        <f>IF(PC.2&lt;479,AP140*25.4*AP139^-0.25,0)</f>
        <v>3.180980121779641</v>
      </c>
      <c r="AR201" s="1735"/>
      <c r="AS201" s="1735">
        <f>IF(PC.2&lt;479,AS140*25.4*AS139^-0.25,0)</f>
        <v>3.1763190759201194</v>
      </c>
      <c r="AT201" s="1735"/>
      <c r="AU201" s="1735">
        <f>IF(PC.2&lt;479,AU140*25.4*AU139^-0.25,0)</f>
        <v>3.164893293183777</v>
      </c>
      <c r="AX201" s="1735" t="s">
        <v>1131</v>
      </c>
      <c r="AY201" s="1735">
        <f>IF(PC.2&lt;445,AY140*38.6*AY139^-0.36,0)</f>
        <v>2.6557964086712023</v>
      </c>
      <c r="BC201" s="1735">
        <f>IF(PC.2&lt;445,BC140*38.6*BC139^-0.36,0)</f>
        <v>2.6557964086712023</v>
      </c>
    </row>
    <row r="202" spans="2:55">
      <c r="AG202" s="1735"/>
      <c r="AH202" s="1735"/>
      <c r="AI202" s="1735"/>
      <c r="AJ202" s="1735" t="s">
        <v>1132</v>
      </c>
      <c r="AK202" s="1735">
        <f>0.77*PrLeite</f>
        <v>5.7280300000000013</v>
      </c>
      <c r="AX202" s="1735" t="s">
        <v>1132</v>
      </c>
      <c r="AY202" s="1735"/>
      <c r="BC202" s="1735"/>
    </row>
    <row r="203" spans="2:55">
      <c r="AG203" s="1735"/>
      <c r="AH203" s="1735"/>
      <c r="AI203" s="1735"/>
      <c r="AJ203" s="1735"/>
      <c r="AK203" s="1735"/>
      <c r="AX203" s="1735"/>
      <c r="AY203" s="1735"/>
      <c r="BC203" s="1735"/>
    </row>
    <row r="204" spans="2:55">
      <c r="AG204" s="1735"/>
      <c r="AH204" s="1735"/>
      <c r="AI204" s="1735"/>
      <c r="AJ204" s="1735" t="s">
        <v>1133</v>
      </c>
      <c r="AK204" s="1735">
        <f>5.9*PC.2/1000</f>
        <v>1.4809000000000001</v>
      </c>
      <c r="AX204" s="1735" t="s">
        <v>1133</v>
      </c>
      <c r="AY204" s="1735">
        <f>IF(AY189&lt;135,5.9*PC.2/1000,IF(AY189&lt;230,(5.9*PC.2/1000)*1.12,(5.9*PC.2/1000)*1.33))</f>
        <v>1.6586080000000003</v>
      </c>
      <c r="BC204" s="1735">
        <f>5.9*PC.2/1000</f>
        <v>1.4809000000000001</v>
      </c>
    </row>
    <row r="205" spans="2:55">
      <c r="AG205" s="1735"/>
      <c r="AH205" s="1735"/>
      <c r="AI205" s="1735"/>
      <c r="AJ205" s="1735" t="s">
        <v>1134</v>
      </c>
      <c r="AK205" s="1735">
        <f>AK140*1.4*AK139^-0.3227</f>
        <v>0.11718450937539278</v>
      </c>
      <c r="AX205" s="1735" t="s">
        <v>1134</v>
      </c>
      <c r="AY205" s="1735">
        <f>AY140*1.4*AY139^-0.3227</f>
        <v>0.11771038243188091</v>
      </c>
      <c r="BC205" s="1735">
        <f>BC140*1.4*BC139^-0.3227</f>
        <v>0.11771038243188091</v>
      </c>
    </row>
    <row r="206" spans="2:55" ht="15">
      <c r="I206" s="1883" t="s">
        <v>1135</v>
      </c>
      <c r="AG206" s="1735"/>
      <c r="AH206" s="1735"/>
      <c r="AI206" s="1735"/>
      <c r="AJ206" s="1735" t="s">
        <v>1136</v>
      </c>
      <c r="AK206" s="1735">
        <f>0.07*PrLeite</f>
        <v>0.52073000000000014</v>
      </c>
      <c r="AX206" s="1735" t="s">
        <v>1136</v>
      </c>
      <c r="AY206" s="1735"/>
      <c r="BC206" s="1735"/>
    </row>
    <row r="207" spans="2:55">
      <c r="I207" s="1911" t="s">
        <v>1084</v>
      </c>
      <c r="K207" s="1881">
        <f>Total.MS*0.1</f>
        <v>9.9216764145481653E-2</v>
      </c>
      <c r="AH207" s="1735"/>
      <c r="AI207" s="1735"/>
      <c r="AJ207" s="1735"/>
      <c r="AK207" s="1735"/>
      <c r="AX207" s="1735"/>
      <c r="AY207" s="1735"/>
      <c r="BC207" s="1735"/>
    </row>
    <row r="208" spans="2:55">
      <c r="I208" s="1911" t="s">
        <v>1085</v>
      </c>
      <c r="K208" s="1881">
        <f>Total.MS*10</f>
        <v>9.9216764145481644</v>
      </c>
      <c r="AG208" s="1735"/>
      <c r="AH208" s="1735"/>
      <c r="AI208" s="1735"/>
      <c r="AJ208" s="1735" t="s">
        <v>1137</v>
      </c>
      <c r="AK208" s="1735">
        <f>6.3*PC.2/1000</f>
        <v>1.5812999999999999</v>
      </c>
      <c r="AX208" s="1735" t="s">
        <v>1137</v>
      </c>
      <c r="AY208" s="1735">
        <f>IF(AY189&lt;135,6.3*PC.2/1000,IF(AY189&lt;230,(6.3*PC.2/1000)*1.12,(6.3*PC.2/1000)*1.33))</f>
        <v>1.7710560000000002</v>
      </c>
      <c r="BC208" s="1735">
        <f>6.3*PC.2/1000</f>
        <v>1.5812999999999999</v>
      </c>
    </row>
    <row r="209" spans="9:55">
      <c r="I209" s="1911" t="s">
        <v>1086</v>
      </c>
      <c r="K209" s="1881">
        <f>Total.MS*0.5</f>
        <v>0.49608382072740825</v>
      </c>
      <c r="AG209" s="1735"/>
      <c r="AH209" s="1735"/>
      <c r="AI209" s="1735"/>
      <c r="AJ209" s="1735" t="s">
        <v>1138</v>
      </c>
      <c r="AK209" s="1735">
        <f>AK140*1.4*AK139^-0.0575</f>
        <v>0.48214829887861843</v>
      </c>
      <c r="AX209" s="1735" t="s">
        <v>1138</v>
      </c>
      <c r="AY209" s="1735">
        <f>AY140*1.4*AY139^-0.0575</f>
        <v>0.48971263400018139</v>
      </c>
      <c r="BC209" s="1735">
        <f>BC140*1.4*BC139^-0.0575</f>
        <v>0.48971263400018139</v>
      </c>
    </row>
    <row r="210" spans="9:55">
      <c r="I210" s="1911" t="s">
        <v>1087</v>
      </c>
      <c r="K210" s="1881">
        <f>Total.MS*50</f>
        <v>49.608382072740824</v>
      </c>
      <c r="AG210" s="1735"/>
      <c r="AH210" s="1735"/>
      <c r="AI210" s="1735"/>
      <c r="AJ210" s="1735" t="s">
        <v>1139</v>
      </c>
      <c r="AK210" s="1735">
        <f>0.2*PrLeite</f>
        <v>1.4878000000000002</v>
      </c>
      <c r="AX210" s="1735" t="s">
        <v>1139</v>
      </c>
      <c r="AY210" s="1735"/>
      <c r="BC210" s="1735"/>
    </row>
    <row r="211" spans="9:55">
      <c r="I211" s="1911" t="s">
        <v>1088</v>
      </c>
      <c r="K211" s="1881">
        <f>Total.MS*20</f>
        <v>19.843352829096329</v>
      </c>
      <c r="AG211" s="1735"/>
      <c r="AH211" s="1735"/>
      <c r="AI211" s="1735"/>
      <c r="AJ211" s="1735"/>
      <c r="AK211" s="1735"/>
      <c r="AX211" s="1735"/>
      <c r="AY211" s="1735"/>
      <c r="BC211" s="1735"/>
    </row>
    <row r="212" spans="9:55">
      <c r="I212" s="1911" t="s">
        <v>1089</v>
      </c>
      <c r="K212" s="1881">
        <f>Total.MS*0.2</f>
        <v>0.19843352829096331</v>
      </c>
      <c r="AG212" s="1735"/>
      <c r="AH212" s="1735"/>
      <c r="AI212" s="1735"/>
      <c r="AJ212" s="1735" t="s">
        <v>1140</v>
      </c>
      <c r="AK212" s="1735">
        <f>23.5*PC.2/1000</f>
        <v>5.8985000000000003</v>
      </c>
      <c r="AX212" s="1735" t="s">
        <v>1140</v>
      </c>
      <c r="AY212" s="1735">
        <f>IF(AY189&lt;135,23.5*PC.2/1000,IF(AY189&lt;230,(23.5*PC.2/1000)*1.12,(23.5*PC.2/1000)*1.33))</f>
        <v>6.6063200000000011</v>
      </c>
      <c r="BC212" s="1735">
        <f>23.5*PC.2/1000</f>
        <v>5.8985000000000003</v>
      </c>
    </row>
    <row r="213" spans="9:55">
      <c r="I213" s="1911" t="s">
        <v>1090</v>
      </c>
      <c r="K213" s="1881">
        <f>Total.MS*30</f>
        <v>29.765029243644495</v>
      </c>
      <c r="AG213" s="1735"/>
      <c r="AH213" s="1735"/>
      <c r="AI213" s="1735"/>
      <c r="AJ213" s="1735" t="s">
        <v>1141</v>
      </c>
      <c r="AK213" s="1735">
        <f>AK140*3.1*AK139^-0.2142</f>
        <v>0.46284303832925411</v>
      </c>
      <c r="AX213" s="1735" t="s">
        <v>1141</v>
      </c>
      <c r="AY213" s="1735">
        <f>AY140*3.1*AY139^-0.2142</f>
        <v>0.4670342065263412</v>
      </c>
      <c r="BC213" s="1735">
        <f>BC140*3.1*BC139^-0.2142</f>
        <v>0.4670342065263412</v>
      </c>
    </row>
    <row r="214" spans="9:55">
      <c r="I214" s="1911" t="s">
        <v>1091</v>
      </c>
      <c r="K214" s="1881">
        <f>Total.MS*0.1</f>
        <v>9.9216764145481653E-2</v>
      </c>
      <c r="AG214" s="1735"/>
      <c r="AH214" s="1735"/>
      <c r="AI214" s="1735"/>
      <c r="AJ214" s="1735" t="s">
        <v>1142</v>
      </c>
      <c r="AK214" s="1735">
        <f>0.7*PrLeite</f>
        <v>5.2073</v>
      </c>
      <c r="AX214" s="1735" t="s">
        <v>1142</v>
      </c>
      <c r="AY214" s="1735"/>
      <c r="BC214" s="1735"/>
    </row>
    <row r="215" spans="9:55">
      <c r="AH215" s="1735"/>
      <c r="AI215" s="1735"/>
      <c r="AJ215" s="1735"/>
      <c r="AK215" s="1735"/>
      <c r="AX215" s="1735"/>
      <c r="AY215" s="1735"/>
      <c r="BC215" s="1735"/>
    </row>
    <row r="216" spans="9:55">
      <c r="AH216" s="1735"/>
      <c r="AI216" s="1735"/>
      <c r="AJ216" s="1735" t="s">
        <v>1143</v>
      </c>
      <c r="AK216" s="1735">
        <f>10.4*PC.2/1000</f>
        <v>2.6104000000000003</v>
      </c>
      <c r="AX216" s="1735" t="s">
        <v>1143</v>
      </c>
      <c r="AY216" s="1735">
        <f>IF(AY189&lt;135,10.4*PC.2/1000,IF(AY189&lt;230,(10.4*PC.2/1000)*1.12,(10.4*PC.2/1000)*1.33))</f>
        <v>2.9236480000000005</v>
      </c>
      <c r="BC216" s="1735">
        <f>10.4*PC.2/1000</f>
        <v>2.6104000000000003</v>
      </c>
    </row>
    <row r="217" spans="9:55">
      <c r="AH217" s="1735"/>
      <c r="AI217" s="1735"/>
      <c r="AJ217" s="1735" t="s">
        <v>1144</v>
      </c>
      <c r="AK217" s="1735">
        <f>AK140*0.03*AK139^0.89</f>
        <v>1.6179570039175577</v>
      </c>
      <c r="AX217" s="1735" t="s">
        <v>1144</v>
      </c>
      <c r="AY217" s="1735">
        <f>AY140*0.03*AY139^0.89</f>
        <v>1.7097574579570243</v>
      </c>
      <c r="BC217" s="1735">
        <f>BC140*0.03*BC139^0.89</f>
        <v>1.7097574579570243</v>
      </c>
    </row>
    <row r="218" spans="9:55">
      <c r="AH218" s="1735"/>
      <c r="AI218" s="1735"/>
      <c r="AJ218" s="1735" t="s">
        <v>1145</v>
      </c>
      <c r="AK218" s="1735">
        <f>0.3*PrLeite</f>
        <v>2.2317</v>
      </c>
      <c r="AX218" s="1735" t="s">
        <v>1145</v>
      </c>
      <c r="AY218" s="1735"/>
      <c r="BC218" s="1735"/>
    </row>
    <row r="219" spans="9:55">
      <c r="AH219" s="1735"/>
      <c r="AI219" s="1735"/>
      <c r="AJ219" s="1735"/>
      <c r="AK219" s="1735" t="s">
        <v>1146</v>
      </c>
      <c r="AX219" s="1735"/>
      <c r="AY219" s="1735" t="s">
        <v>1146</v>
      </c>
      <c r="BC219" s="1735" t="s">
        <v>1146</v>
      </c>
    </row>
    <row r="220" spans="9:55">
      <c r="AH220" s="1735"/>
      <c r="AI220" s="1735"/>
      <c r="AJ220" s="1735" t="s">
        <v>1147</v>
      </c>
      <c r="AK220" s="1735">
        <f>13.5*PC.2/1000</f>
        <v>3.3885000000000001</v>
      </c>
      <c r="AX220" s="1735" t="s">
        <v>1147</v>
      </c>
      <c r="AY220" s="1735">
        <f>IF(AY189&lt;135,13.5*PC.2/1000,IF(AY189&lt;230,(13.5*PC.2/1000)*1.12,(13.5*PC.2/1000)*1.33))</f>
        <v>3.7951200000000003</v>
      </c>
      <c r="AZ220" s="1735"/>
      <c r="BA220" s="1735"/>
      <c r="BB220" s="1735"/>
      <c r="BC220" s="1735">
        <f>13.5*PC.2/1000</f>
        <v>3.3885000000000001</v>
      </c>
    </row>
    <row r="221" spans="9:55">
      <c r="AH221" s="1735"/>
      <c r="AI221" s="1735"/>
      <c r="AJ221" s="1735" t="s">
        <v>1148</v>
      </c>
      <c r="AK221" s="1735">
        <f>AK140*0.045*AK139^-0.023</f>
        <v>1.8628636434078125E-2</v>
      </c>
      <c r="AX221" s="1735" t="s">
        <v>1148</v>
      </c>
      <c r="AY221" s="1735">
        <f>AY140*0.045*AY139^-0.023</f>
        <v>1.894821334626751E-2</v>
      </c>
      <c r="AZ221" s="1735"/>
      <c r="BA221" s="1735"/>
      <c r="BB221" s="1735"/>
      <c r="BC221" s="1735">
        <f>BC140*0.045*BC139^-0.023</f>
        <v>1.894821334626751E-2</v>
      </c>
    </row>
    <row r="222" spans="9:55">
      <c r="AH222" s="1735"/>
      <c r="AI222" s="1735"/>
      <c r="AJ222" s="1735" t="s">
        <v>1149</v>
      </c>
      <c r="AK222" s="1735">
        <f>2.3*PrLeite</f>
        <v>17.1097</v>
      </c>
      <c r="AX222" s="1735" t="s">
        <v>1149</v>
      </c>
      <c r="AY222" s="1735"/>
      <c r="AZ222" s="1735"/>
      <c r="BA222" s="1735"/>
      <c r="BB222" s="1735"/>
      <c r="BC222" s="1735"/>
    </row>
    <row r="223" spans="9:55">
      <c r="AH223" s="1735"/>
      <c r="AI223" s="1735"/>
      <c r="AJ223" s="1735"/>
      <c r="AK223" s="1735"/>
      <c r="AX223" s="1735"/>
      <c r="AY223" s="1735"/>
      <c r="AZ223" s="1735"/>
      <c r="BA223" s="1735"/>
      <c r="BB223" s="1735"/>
      <c r="BC223" s="1735"/>
    </row>
    <row r="224" spans="9:55">
      <c r="AH224" s="1735"/>
      <c r="AI224" s="1735"/>
      <c r="AJ224" s="1735" t="s">
        <v>1150</v>
      </c>
      <c r="AK224" s="1735">
        <f>95.6*PC.2/1000</f>
        <v>23.9956</v>
      </c>
      <c r="AX224" s="1735" t="s">
        <v>1150</v>
      </c>
      <c r="AY224" s="1735">
        <f>IF(AY189&lt;135,95.6*PC.2/1000,IF(AY189&lt;230,(95.6*PC.2/1000)*1.12,(95.6*PC.2/1000)*1.33))</f>
        <v>26.875072000000003</v>
      </c>
      <c r="AZ224" s="1735"/>
      <c r="BA224" s="1735"/>
      <c r="BB224" s="1735"/>
      <c r="BC224" s="1735">
        <f>95.6*PC.2/1000</f>
        <v>23.9956</v>
      </c>
    </row>
    <row r="225" spans="34:55">
      <c r="AH225" s="1735"/>
      <c r="AI225" s="1735"/>
      <c r="AJ225" s="1735" t="s">
        <v>1151</v>
      </c>
      <c r="AK225" s="1735">
        <f>AK140*1.25*AK139^0.33</f>
        <v>3.4007076666274814</v>
      </c>
      <c r="AX225" s="1735" t="s">
        <v>1151</v>
      </c>
      <c r="AY225" s="1735">
        <f>AY140*1.25*AY139^0.33</f>
        <v>3.5104846371696801</v>
      </c>
      <c r="AZ225" s="1735"/>
      <c r="BA225" s="1735"/>
      <c r="BB225" s="1735"/>
      <c r="BC225" s="1735">
        <f>BC140*1.25*BC139^0.33</f>
        <v>3.5104846371696801</v>
      </c>
    </row>
    <row r="226" spans="34:55">
      <c r="AH226" s="1735"/>
      <c r="AI226" s="1735"/>
      <c r="AJ226" s="1735" t="s">
        <v>1152</v>
      </c>
      <c r="AK226" s="1735">
        <f>1.99*PrLeite</f>
        <v>14.803610000000003</v>
      </c>
      <c r="AX226" s="1735" t="s">
        <v>1152</v>
      </c>
      <c r="AY226" s="1735"/>
      <c r="AZ226" s="1735"/>
      <c r="BA226" s="1735"/>
      <c r="BB226" s="1735"/>
      <c r="BC226" s="1735"/>
    </row>
    <row r="227" spans="34:55">
      <c r="AH227" s="1735"/>
      <c r="AI227" s="1735"/>
      <c r="AJ227" s="1735"/>
      <c r="AK227" s="1735"/>
      <c r="AX227" s="1735"/>
      <c r="AY227" s="1735"/>
      <c r="AZ227" s="1735"/>
      <c r="BA227" s="1735"/>
      <c r="BB227" s="1735"/>
      <c r="BC227" s="1735"/>
    </row>
    <row r="228" spans="34:55">
      <c r="AH228" s="1735"/>
      <c r="AI228" s="1735"/>
      <c r="AJ228" s="1735" t="s">
        <v>1153</v>
      </c>
      <c r="AK228" s="1735">
        <f>2942*PC.2/1000</f>
        <v>738.44200000000001</v>
      </c>
      <c r="AX228" s="1735" t="s">
        <v>1153</v>
      </c>
      <c r="AY228" s="1735">
        <f>IF(AY189&lt;135,2942*PC.2/1000,IF(AY189&lt;230,(2942*PC.2/1000)*1.12,(2942*PC.2/1000)*1.33))</f>
        <v>827.05504000000008</v>
      </c>
      <c r="AZ228" s="1735"/>
      <c r="BA228" s="1735"/>
      <c r="BB228" s="1735"/>
      <c r="BC228" s="1735">
        <f>2942*PC.2/1000</f>
        <v>738.44200000000001</v>
      </c>
    </row>
    <row r="229" spans="34:55">
      <c r="AH229" s="1735"/>
      <c r="AI229" s="1735"/>
      <c r="AJ229" s="1735" t="s">
        <v>1154</v>
      </c>
      <c r="AK229" s="1735">
        <f>AK140*14*AK139^0.24</f>
        <v>23.567359787834839</v>
      </c>
      <c r="AX229" s="1735" t="s">
        <v>1154</v>
      </c>
      <c r="AY229" s="1735">
        <f>AY140*14*AY139^0.24</f>
        <v>24.236744436800517</v>
      </c>
      <c r="AZ229" s="1735"/>
      <c r="BA229" s="1735"/>
      <c r="BB229" s="1735"/>
      <c r="BC229" s="1735">
        <f>BC140*14*BC139^0.24</f>
        <v>24.236744436800517</v>
      </c>
    </row>
    <row r="230" spans="34:55">
      <c r="AH230" s="1735"/>
      <c r="AI230" s="1735"/>
      <c r="AJ230" s="1735" t="s">
        <v>1155</v>
      </c>
      <c r="AK230" s="1735">
        <f>29.9*PrLeite</f>
        <v>222.42610000000002</v>
      </c>
      <c r="AX230" s="1735" t="s">
        <v>1155</v>
      </c>
      <c r="AY230" s="1735"/>
      <c r="AZ230" s="1735"/>
      <c r="BA230" s="1735"/>
      <c r="BB230" s="1735"/>
      <c r="BC230" s="1735"/>
    </row>
    <row r="231" spans="34:55">
      <c r="AH231" s="1735"/>
      <c r="AI231" s="1735"/>
      <c r="AJ231" s="1735"/>
      <c r="AK231" s="1735"/>
      <c r="AX231" s="1735"/>
      <c r="AY231" s="1735"/>
      <c r="AZ231" s="1735"/>
      <c r="BA231" s="1735"/>
      <c r="BB231" s="1735"/>
      <c r="BC231" s="1735"/>
    </row>
    <row r="232" spans="34:55">
      <c r="AH232" s="1735"/>
      <c r="AI232" s="1735"/>
      <c r="AJ232" s="1735" t="s">
        <v>1156</v>
      </c>
      <c r="AK232" s="1735">
        <f>184.9*PC.2/1000</f>
        <v>46.4099</v>
      </c>
      <c r="AX232" s="1735" t="s">
        <v>1156</v>
      </c>
      <c r="AY232" s="1735">
        <f>184.9*PC.2/1000</f>
        <v>46.4099</v>
      </c>
      <c r="AZ232" s="1735"/>
      <c r="BA232" s="1735"/>
      <c r="BB232" s="1735"/>
      <c r="BC232" s="1735">
        <f>184.9*PC.2/1000</f>
        <v>46.4099</v>
      </c>
    </row>
    <row r="233" spans="34:55">
      <c r="AH233" s="1735"/>
      <c r="AI233" s="1735"/>
      <c r="AJ233" s="1735" t="s">
        <v>1157</v>
      </c>
      <c r="AK233" s="1735">
        <f>AK140*0.07*AK139^0.8</f>
        <v>2.3359705887325948</v>
      </c>
      <c r="AX233" s="1735" t="s">
        <v>1157</v>
      </c>
      <c r="AY233" s="1735">
        <f>AY140*0.07*AY139^0.8</f>
        <v>2.4592375199100327</v>
      </c>
      <c r="AZ233" s="1735"/>
      <c r="BA233" s="1735"/>
      <c r="BB233" s="1735"/>
      <c r="BC233" s="1735">
        <f>BC140*0.07*BC139^0.8</f>
        <v>2.4592375199100327</v>
      </c>
    </row>
    <row r="234" spans="34:55">
      <c r="AH234" s="1735"/>
      <c r="AI234" s="1735"/>
      <c r="AJ234" s="1735" t="s">
        <v>1158</v>
      </c>
      <c r="AK234" s="1735">
        <f>1.41*PrLeite</f>
        <v>10.488990000000001</v>
      </c>
      <c r="AX234" s="1735" t="s">
        <v>1158</v>
      </c>
      <c r="AY234" s="1735"/>
      <c r="AZ234" s="1735"/>
      <c r="BA234" s="1735"/>
      <c r="BB234" s="1735"/>
      <c r="BC234" s="1735"/>
    </row>
    <row r="235" spans="34:55">
      <c r="AH235" s="1735"/>
      <c r="AI235" s="1735"/>
      <c r="AJ235" s="1735"/>
      <c r="AK235" s="1735"/>
      <c r="AX235" s="1735"/>
      <c r="AY235" s="1735"/>
      <c r="AZ235" s="1735"/>
      <c r="BA235" s="1735"/>
      <c r="BB235" s="1735"/>
      <c r="BC235" s="1735"/>
    </row>
    <row r="236" spans="34:55">
      <c r="AI236" s="1735" t="s">
        <v>1159</v>
      </c>
      <c r="AJ236" s="1735" t="s">
        <v>1160</v>
      </c>
      <c r="AK236" s="1729">
        <f>3.72*PC.2/1000</f>
        <v>0.93371999999999999</v>
      </c>
      <c r="AX236" s="1735" t="s">
        <v>1160</v>
      </c>
      <c r="AY236" s="1735">
        <f>3.72*PC.2/1000</f>
        <v>0.93371999999999999</v>
      </c>
      <c r="AZ236" s="1735"/>
      <c r="BA236" s="1735"/>
      <c r="BB236" s="1735"/>
      <c r="BC236" s="1735">
        <f>3.72*PC.2/1000</f>
        <v>0.93371999999999999</v>
      </c>
    </row>
    <row r="237" spans="34:55">
      <c r="AJ237" s="1735" t="s">
        <v>1161</v>
      </c>
      <c r="AK237" s="1729">
        <f>AK140*1.07*AK139^-0.07</f>
        <v>0.34473178370311419</v>
      </c>
      <c r="AX237" s="1735" t="s">
        <v>1161</v>
      </c>
      <c r="AY237" s="1735">
        <f>AY140*1.07*AY139^-0.07</f>
        <v>0.34995724801099903</v>
      </c>
      <c r="AZ237" s="1735"/>
      <c r="BA237" s="1735"/>
      <c r="BB237" s="1735"/>
      <c r="BC237" s="1735">
        <f>BC140*1.07*BC139^-0.07</f>
        <v>0.34995724801099903</v>
      </c>
    </row>
    <row r="238" spans="34:55">
      <c r="AJ238" s="1735" t="s">
        <v>1162</v>
      </c>
      <c r="AK238" s="1735"/>
      <c r="AL238" s="1729" t="s">
        <v>1163</v>
      </c>
      <c r="AX238" s="1735" t="s">
        <v>1162</v>
      </c>
      <c r="AY238" s="1735"/>
      <c r="AZ238" s="1735"/>
      <c r="BA238" s="1735"/>
      <c r="BB238" s="1735"/>
      <c r="BC238" s="1735"/>
    </row>
    <row r="239" spans="34:55">
      <c r="AH239" s="1735"/>
      <c r="AI239" s="1735"/>
      <c r="AJ239" s="1735"/>
      <c r="AK239" s="1735"/>
      <c r="AX239" s="1735"/>
      <c r="AY239" s="1735"/>
      <c r="AZ239" s="1735"/>
      <c r="BA239" s="1735"/>
      <c r="BB239" s="1735"/>
      <c r="BC239" s="1735"/>
    </row>
    <row r="240" spans="34:55">
      <c r="AH240" s="1735"/>
      <c r="AI240" s="1735"/>
      <c r="AJ240" s="1735" t="s">
        <v>1164</v>
      </c>
      <c r="AK240" s="1735">
        <f>334.4*PC.2/1000</f>
        <v>83.934399999999997</v>
      </c>
      <c r="AX240" s="1735" t="s">
        <v>1164</v>
      </c>
      <c r="AY240" s="1735">
        <f>334.4*PC.2/1000</f>
        <v>83.934399999999997</v>
      </c>
      <c r="AZ240" s="1735"/>
      <c r="BA240" s="1735"/>
      <c r="BB240" s="1735"/>
      <c r="BC240" s="1735">
        <f>334.4*PC.2/1000</f>
        <v>83.934399999999997</v>
      </c>
    </row>
    <row r="241" spans="34:55">
      <c r="AH241" s="1735"/>
      <c r="AI241" s="1735"/>
      <c r="AJ241" s="1735" t="s">
        <v>1165</v>
      </c>
      <c r="AK241" s="1735">
        <f>AK140*1.16*AK139^0.86</f>
        <v>53.310355725308135</v>
      </c>
      <c r="AX241" s="1735" t="s">
        <v>1165</v>
      </c>
      <c r="AY241" s="1735">
        <f>AY140*1.16*AY139^0.86</f>
        <v>56.264479119240065</v>
      </c>
      <c r="AZ241" s="1735"/>
      <c r="BA241" s="1735"/>
      <c r="BB241" s="1735"/>
      <c r="BC241" s="1735">
        <f>BC140*1.16*BC139^0.86</f>
        <v>56.264479119240065</v>
      </c>
    </row>
    <row r="242" spans="34:55">
      <c r="AH242" s="1735"/>
      <c r="AI242" s="1735"/>
      <c r="AJ242" s="1735" t="s">
        <v>1166</v>
      </c>
      <c r="AK242" s="1735">
        <f>35.4*PrLeite</f>
        <v>263.34059999999999</v>
      </c>
      <c r="AX242" s="1735" t="s">
        <v>1166</v>
      </c>
      <c r="AY242" s="1735"/>
      <c r="AZ242" s="1735"/>
      <c r="BA242" s="1735"/>
      <c r="BB242" s="1735"/>
      <c r="BC242" s="1735"/>
    </row>
    <row r="243" spans="34:55">
      <c r="AX243" s="1735"/>
      <c r="AY243" s="1735"/>
      <c r="AZ243" s="1735"/>
      <c r="BA243" s="1735"/>
      <c r="BB243" s="1735"/>
      <c r="BC243" s="1735"/>
    </row>
    <row r="244" spans="34:55">
      <c r="AH244" s="1735"/>
      <c r="AI244" s="1735"/>
      <c r="AJ244" s="1735" t="s">
        <v>1167</v>
      </c>
      <c r="AK244" s="1735">
        <f>22.9*PC.2/1000</f>
        <v>5.7478999999999996</v>
      </c>
      <c r="AX244" s="1735" t="s">
        <v>1167</v>
      </c>
      <c r="AY244" s="1735">
        <f>22.9*PC.2/1000</f>
        <v>5.7478999999999996</v>
      </c>
      <c r="AZ244" s="1735"/>
      <c r="BA244" s="1735"/>
      <c r="BB244" s="1735"/>
      <c r="BC244" s="1735">
        <f>22.9*PC.2/1000</f>
        <v>5.7478999999999996</v>
      </c>
    </row>
    <row r="245" spans="34:55">
      <c r="AH245" s="1735"/>
      <c r="AI245" s="1735"/>
      <c r="AJ245" s="1735" t="s">
        <v>1168</v>
      </c>
      <c r="AK245" s="1735">
        <f>AK140*0.23*AK139^0.61</f>
        <v>2.7859950507663234</v>
      </c>
      <c r="AX245" s="1735" t="s">
        <v>1168</v>
      </c>
      <c r="AY245" s="1735">
        <f>AY140*0.23*AY139^0.61</f>
        <v>2.9097990244991592</v>
      </c>
      <c r="AZ245" s="1735"/>
      <c r="BA245" s="1735"/>
      <c r="BB245" s="1735"/>
      <c r="BC245" s="1735">
        <f>BC140*0.23*BC139^0.61</f>
        <v>2.9097990244991592</v>
      </c>
    </row>
    <row r="246" spans="34:55">
      <c r="AH246" s="1735"/>
      <c r="AI246" s="1735"/>
      <c r="AJ246" s="1735" t="s">
        <v>1169</v>
      </c>
      <c r="AK246" s="1735">
        <f>3.2*PrLeite</f>
        <v>23.804800000000004</v>
      </c>
      <c r="AX246" s="1735" t="s">
        <v>1169</v>
      </c>
      <c r="AY246" s="1735"/>
      <c r="AZ246" s="1735"/>
      <c r="BA246" s="1735"/>
      <c r="BB246" s="1735"/>
      <c r="BC246" s="1735"/>
    </row>
    <row r="248" spans="34:55">
      <c r="AJ248" s="1729" t="s">
        <v>1170</v>
      </c>
      <c r="AL248" s="1729" t="s">
        <v>1171</v>
      </c>
    </row>
    <row r="264" ht="9" customHeight="1"/>
    <row r="288" spans="140:143">
      <c r="EJ288" s="1881"/>
      <c r="EL288" s="1881"/>
      <c r="EM288" s="1881"/>
    </row>
    <row r="289" spans="140:143">
      <c r="EJ289" s="1881"/>
      <c r="EL289" s="1881"/>
      <c r="EM289" s="1881"/>
    </row>
    <row r="290" spans="140:143">
      <c r="EJ290" s="1881"/>
      <c r="EL290" s="1881"/>
      <c r="EM290" s="1881"/>
    </row>
    <row r="291" spans="140:143">
      <c r="EJ291" s="1881"/>
      <c r="EL291" s="1881"/>
      <c r="EM291" s="1881"/>
    </row>
    <row r="292" spans="140:143">
      <c r="EJ292" s="1881"/>
      <c r="EL292" s="1881"/>
      <c r="EM292" s="1881"/>
    </row>
    <row r="293" spans="140:143">
      <c r="EJ293" s="1881"/>
      <c r="EL293" s="1881"/>
      <c r="EM293" s="1881"/>
    </row>
    <row r="294" spans="140:143">
      <c r="EJ294" s="1881"/>
      <c r="EL294" s="1881"/>
      <c r="EM294" s="1881"/>
    </row>
    <row r="295" spans="140:143">
      <c r="EJ295" s="1881"/>
      <c r="EL295" s="1881"/>
      <c r="EM295" s="1881"/>
    </row>
    <row r="296" spans="140:143">
      <c r="EJ296" s="1881"/>
      <c r="EL296" s="1881"/>
      <c r="EM296" s="1881"/>
    </row>
    <row r="297" spans="140:143">
      <c r="EJ297" s="1881"/>
      <c r="EL297" s="1881"/>
      <c r="EM297" s="1881"/>
    </row>
    <row r="298" spans="140:143">
      <c r="EJ298" s="1881"/>
      <c r="EL298" s="1881"/>
      <c r="EM298" s="1881"/>
    </row>
    <row r="299" spans="140:143">
      <c r="EJ299" s="1881"/>
      <c r="EL299" s="1881"/>
      <c r="EM299" s="1881"/>
    </row>
    <row r="300" spans="140:143">
      <c r="EJ300" s="1881"/>
      <c r="EL300" s="1881"/>
      <c r="EM300" s="1881"/>
    </row>
    <row r="301" spans="140:143">
      <c r="EJ301" s="1881"/>
      <c r="EL301" s="1881"/>
      <c r="EM301" s="1881"/>
    </row>
    <row r="302" spans="140:143">
      <c r="EJ302" s="1881"/>
      <c r="EL302" s="1881"/>
      <c r="EM302" s="1881"/>
    </row>
    <row r="303" spans="140:143">
      <c r="EJ303" s="1881"/>
      <c r="EL303" s="1881"/>
      <c r="EM303" s="1881"/>
    </row>
    <row r="304" spans="140:143">
      <c r="EJ304" s="1881"/>
      <c r="EL304" s="1881"/>
      <c r="EM304" s="1881"/>
    </row>
    <row r="305" spans="140:143">
      <c r="EJ305" s="1881"/>
      <c r="EL305" s="1881"/>
      <c r="EM305" s="1881"/>
    </row>
    <row r="306" spans="140:143">
      <c r="EJ306" s="1881"/>
      <c r="EL306" s="1881"/>
      <c r="EM306" s="1881"/>
    </row>
    <row r="307" spans="140:143">
      <c r="EJ307" s="1881"/>
      <c r="EL307" s="1881"/>
      <c r="EM307" s="1881"/>
    </row>
    <row r="308" spans="140:143">
      <c r="EJ308" s="1881"/>
      <c r="EL308" s="1881"/>
      <c r="EM308" s="1881"/>
    </row>
    <row r="309" spans="140:143">
      <c r="EJ309" s="1881"/>
      <c r="EL309" s="1881"/>
      <c r="EM309" s="1881"/>
    </row>
    <row r="310" spans="140:143">
      <c r="EJ310" s="1881"/>
      <c r="EL310" s="1881"/>
      <c r="EM310" s="1881"/>
    </row>
    <row r="311" spans="140:143">
      <c r="EJ311" s="1881"/>
      <c r="EL311" s="1881"/>
      <c r="EM311" s="1881"/>
    </row>
    <row r="312" spans="140:143">
      <c r="EJ312" s="1881"/>
      <c r="EL312" s="1881"/>
      <c r="EM312" s="1881"/>
    </row>
    <row r="313" spans="140:143">
      <c r="EJ313" s="1881"/>
      <c r="EL313" s="1881"/>
      <c r="EM313" s="1881"/>
    </row>
    <row r="314" spans="140:143">
      <c r="EJ314" s="1881"/>
      <c r="EL314" s="1881"/>
      <c r="EM314" s="1881"/>
    </row>
    <row r="315" spans="140:143">
      <c r="EJ315" s="1881"/>
      <c r="EL315" s="1881"/>
      <c r="EM315" s="1881"/>
    </row>
    <row r="316" spans="140:143">
      <c r="EJ316" s="1881"/>
      <c r="EL316" s="1881"/>
      <c r="EM316" s="1881"/>
    </row>
    <row r="317" spans="140:143">
      <c r="EJ317" s="1881"/>
      <c r="EL317" s="1881"/>
      <c r="EM317" s="1881"/>
    </row>
    <row r="318" spans="140:143">
      <c r="EJ318" s="1881"/>
      <c r="EL318" s="1881"/>
      <c r="EM318" s="1881"/>
    </row>
    <row r="319" spans="140:143">
      <c r="EJ319" s="1881"/>
      <c r="EL319" s="1881"/>
      <c r="EM319" s="1881"/>
    </row>
    <row r="320" spans="140:143">
      <c r="EJ320" s="1881"/>
      <c r="EL320" s="1881"/>
      <c r="EM320" s="1881"/>
    </row>
    <row r="321" spans="140:143">
      <c r="EJ321" s="1881"/>
      <c r="EL321" s="1881"/>
      <c r="EM321" s="1881"/>
    </row>
    <row r="322" spans="140:143">
      <c r="EJ322" s="1881"/>
      <c r="EL322" s="1881"/>
      <c r="EM322" s="1881"/>
    </row>
    <row r="323" spans="140:143">
      <c r="EJ323" s="1881"/>
      <c r="EL323" s="1881"/>
      <c r="EM323" s="1881"/>
    </row>
    <row r="324" spans="140:143">
      <c r="EJ324" s="1881"/>
      <c r="EL324" s="1881"/>
      <c r="EM324" s="1881"/>
    </row>
    <row r="325" spans="140:143">
      <c r="EJ325" s="1881"/>
      <c r="EL325" s="1881"/>
      <c r="EM325" s="1881"/>
    </row>
    <row r="326" spans="140:143">
      <c r="EJ326" s="1881"/>
      <c r="EL326" s="1881"/>
      <c r="EM326" s="1881"/>
    </row>
    <row r="327" spans="140:143">
      <c r="EJ327" s="1881"/>
      <c r="EL327" s="1881"/>
      <c r="EM327" s="1881"/>
    </row>
    <row r="328" spans="140:143">
      <c r="EJ328" s="1881"/>
      <c r="EL328" s="1881"/>
      <c r="EM328" s="1881"/>
    </row>
    <row r="329" spans="140:143">
      <c r="EJ329" s="1881"/>
      <c r="EL329" s="1881"/>
      <c r="EM329" s="1881"/>
    </row>
    <row r="330" spans="140:143">
      <c r="EJ330" s="1881"/>
      <c r="EL330" s="1881"/>
      <c r="EM330" s="1881"/>
    </row>
    <row r="331" spans="140:143">
      <c r="EJ331" s="1881"/>
      <c r="EL331" s="1881"/>
      <c r="EM331" s="1881"/>
    </row>
    <row r="332" spans="140:143">
      <c r="EJ332" s="1881"/>
      <c r="EL332" s="1881"/>
      <c r="EM332" s="1881"/>
    </row>
    <row r="333" spans="140:143">
      <c r="EJ333" s="1881"/>
      <c r="EL333" s="1881"/>
      <c r="EM333" s="1881"/>
    </row>
    <row r="334" spans="140:143">
      <c r="EJ334" s="1881"/>
      <c r="EL334" s="1881"/>
      <c r="EM334" s="1881"/>
    </row>
    <row r="335" spans="140:143">
      <c r="EJ335" s="1881"/>
      <c r="EL335" s="1881"/>
      <c r="EM335" s="1881"/>
    </row>
    <row r="336" spans="140:143">
      <c r="EJ336" s="1881"/>
      <c r="EL336" s="1881"/>
      <c r="EM336" s="1881"/>
    </row>
    <row r="337" spans="140:143">
      <c r="EJ337" s="1881"/>
      <c r="EL337" s="1881"/>
      <c r="EM337" s="1881"/>
    </row>
    <row r="338" spans="140:143">
      <c r="EJ338" s="1881"/>
      <c r="EL338" s="1881"/>
      <c r="EM338" s="1881"/>
    </row>
    <row r="339" spans="140:143">
      <c r="EJ339" s="1881"/>
      <c r="EL339" s="1881"/>
      <c r="EM339" s="1881"/>
    </row>
    <row r="340" spans="140:143">
      <c r="EJ340" s="1881"/>
      <c r="EL340" s="1881"/>
      <c r="EM340" s="1881"/>
    </row>
    <row r="341" spans="140:143">
      <c r="EJ341" s="1881"/>
      <c r="EL341" s="1881"/>
      <c r="EM341" s="1881"/>
    </row>
    <row r="342" spans="140:143">
      <c r="EJ342" s="1881"/>
      <c r="EL342" s="1881"/>
      <c r="EM342" s="1881"/>
    </row>
    <row r="343" spans="140:143">
      <c r="EJ343" s="1881"/>
      <c r="EL343" s="1881"/>
      <c r="EM343" s="1881"/>
    </row>
    <row r="344" spans="140:143">
      <c r="EJ344" s="1881"/>
      <c r="EL344" s="1881"/>
      <c r="EM344" s="1881"/>
    </row>
    <row r="345" spans="140:143">
      <c r="EJ345" s="1881"/>
      <c r="EL345" s="1881"/>
      <c r="EM345" s="1881"/>
    </row>
    <row r="346" spans="140:143">
      <c r="EJ346" s="1881"/>
      <c r="EL346" s="1881"/>
      <c r="EM346" s="1881"/>
    </row>
    <row r="347" spans="140:143">
      <c r="EJ347" s="1881"/>
      <c r="EL347" s="1881"/>
      <c r="EM347" s="1881"/>
    </row>
    <row r="348" spans="140:143">
      <c r="EJ348" s="1881"/>
      <c r="EL348" s="1881"/>
      <c r="EM348" s="1881"/>
    </row>
    <row r="349" spans="140:143">
      <c r="EJ349" s="1881"/>
      <c r="EL349" s="1881"/>
      <c r="EM349" s="1881"/>
    </row>
    <row r="350" spans="140:143">
      <c r="EJ350" s="1881"/>
      <c r="EL350" s="1881"/>
      <c r="EM350" s="1881"/>
    </row>
    <row r="351" spans="140:143">
      <c r="EJ351" s="1881"/>
      <c r="EL351" s="1881"/>
      <c r="EM351" s="1881"/>
    </row>
    <row r="352" spans="140:143">
      <c r="EJ352" s="1881"/>
      <c r="EL352" s="1881"/>
      <c r="EM352" s="1881"/>
    </row>
    <row r="353" spans="140:143">
      <c r="EJ353" s="1881"/>
      <c r="EL353" s="1881"/>
      <c r="EM353" s="1881"/>
    </row>
    <row r="354" spans="140:143">
      <c r="EJ354" s="1881"/>
      <c r="EL354" s="1881"/>
      <c r="EM354" s="1881"/>
    </row>
    <row r="355" spans="140:143">
      <c r="EJ355" s="1881"/>
      <c r="EL355" s="1881"/>
      <c r="EM355" s="1881"/>
    </row>
    <row r="356" spans="140:143">
      <c r="EJ356" s="1881"/>
      <c r="EL356" s="1881"/>
      <c r="EM356" s="1881"/>
    </row>
    <row r="357" spans="140:143">
      <c r="EJ357" s="1881"/>
      <c r="EL357" s="1881"/>
      <c r="EM357" s="1881"/>
    </row>
    <row r="358" spans="140:143">
      <c r="EJ358" s="1881"/>
      <c r="EL358" s="1881"/>
      <c r="EM358" s="1881"/>
    </row>
    <row r="359" spans="140:143">
      <c r="EJ359" s="1881"/>
      <c r="EL359" s="1881"/>
      <c r="EM359" s="1881"/>
    </row>
    <row r="360" spans="140:143">
      <c r="EJ360" s="1881"/>
      <c r="EL360" s="1881"/>
      <c r="EM360" s="1881"/>
    </row>
    <row r="361" spans="140:143">
      <c r="EJ361" s="1881"/>
      <c r="EL361" s="1881"/>
      <c r="EM361" s="1881"/>
    </row>
    <row r="362" spans="140:143">
      <c r="EJ362" s="1881"/>
      <c r="EL362" s="1881"/>
      <c r="EM362" s="1881"/>
    </row>
    <row r="363" spans="140:143">
      <c r="EJ363" s="1881"/>
      <c r="EL363" s="1881"/>
      <c r="EM363" s="1881"/>
    </row>
    <row r="364" spans="140:143">
      <c r="EJ364" s="1881"/>
      <c r="EL364" s="1881"/>
      <c r="EM364" s="1881"/>
    </row>
    <row r="365" spans="140:143">
      <c r="EJ365" s="1881"/>
      <c r="EL365" s="1881"/>
      <c r="EM365" s="1881"/>
    </row>
    <row r="366" spans="140:143">
      <c r="EJ366" s="1881"/>
      <c r="EL366" s="1881"/>
      <c r="EM366" s="1881"/>
    </row>
    <row r="367" spans="140:143">
      <c r="EJ367" s="1881"/>
      <c r="EL367" s="1881"/>
      <c r="EM367" s="1881"/>
    </row>
    <row r="368" spans="140:143">
      <c r="EJ368" s="1881"/>
      <c r="EL368" s="1881"/>
      <c r="EM368" s="1881"/>
    </row>
    <row r="369" spans="140:143">
      <c r="EJ369" s="1881"/>
      <c r="EL369" s="1881"/>
      <c r="EM369" s="1881"/>
    </row>
    <row r="370" spans="140:143">
      <c r="EJ370" s="1881"/>
      <c r="EL370" s="1881"/>
      <c r="EM370" s="1881"/>
    </row>
    <row r="371" spans="140:143">
      <c r="EJ371" s="1881"/>
      <c r="EL371" s="1881"/>
      <c r="EM371" s="1881"/>
    </row>
    <row r="372" spans="140:143">
      <c r="EJ372" s="1881"/>
      <c r="EL372" s="1881"/>
      <c r="EM372" s="1881"/>
    </row>
    <row r="373" spans="140:143">
      <c r="EJ373" s="1881"/>
      <c r="EL373" s="1881"/>
      <c r="EM373" s="1881"/>
    </row>
    <row r="374" spans="140:143">
      <c r="EJ374" s="1881"/>
      <c r="EL374" s="1881"/>
      <c r="EM374" s="1881"/>
    </row>
    <row r="375" spans="140:143">
      <c r="EJ375" s="1881"/>
      <c r="EL375" s="1881"/>
      <c r="EM375" s="1881"/>
    </row>
    <row r="376" spans="140:143">
      <c r="EJ376" s="1881"/>
      <c r="EL376" s="1881"/>
      <c r="EM376" s="1881"/>
    </row>
    <row r="377" spans="140:143">
      <c r="EJ377" s="1881"/>
      <c r="EL377" s="1881"/>
      <c r="EM377" s="1881"/>
    </row>
    <row r="378" spans="140:143">
      <c r="EJ378" s="1881"/>
      <c r="EL378" s="1881"/>
      <c r="EM378" s="1881"/>
    </row>
    <row r="379" spans="140:143">
      <c r="EJ379" s="1881"/>
      <c r="EL379" s="1881"/>
      <c r="EM379" s="1881"/>
    </row>
    <row r="380" spans="140:143">
      <c r="EJ380" s="1881"/>
      <c r="EL380" s="1881"/>
      <c r="EM380" s="1881"/>
    </row>
    <row r="381" spans="140:143">
      <c r="EJ381" s="1881"/>
      <c r="EL381" s="1881"/>
      <c r="EM381" s="1881"/>
    </row>
    <row r="382" spans="140:143">
      <c r="EJ382" s="1881"/>
      <c r="EL382" s="1881"/>
      <c r="EM382" s="1881"/>
    </row>
    <row r="383" spans="140:143">
      <c r="EJ383" s="1881"/>
      <c r="EL383" s="1881"/>
      <c r="EM383" s="1881"/>
    </row>
    <row r="384" spans="140:143">
      <c r="EJ384" s="1881"/>
      <c r="EL384" s="1881"/>
      <c r="EM384" s="1881"/>
    </row>
    <row r="385" spans="140:143">
      <c r="EJ385" s="1881"/>
      <c r="EL385" s="1881"/>
      <c r="EM385" s="1881"/>
    </row>
    <row r="386" spans="140:143">
      <c r="EJ386" s="1881"/>
      <c r="EL386" s="1881"/>
      <c r="EM386" s="1881"/>
    </row>
    <row r="387" spans="140:143">
      <c r="EJ387" s="1881"/>
      <c r="EL387" s="1881"/>
      <c r="EM387" s="1881"/>
    </row>
    <row r="388" spans="140:143">
      <c r="EJ388" s="1881"/>
      <c r="EL388" s="1881"/>
      <c r="EM388" s="1881"/>
    </row>
    <row r="389" spans="140:143">
      <c r="EJ389" s="1881"/>
      <c r="EL389" s="1881"/>
      <c r="EM389" s="1881"/>
    </row>
    <row r="390" spans="140:143">
      <c r="EJ390" s="1881"/>
      <c r="EL390" s="1881"/>
      <c r="EM390" s="1881"/>
    </row>
    <row r="391" spans="140:143">
      <c r="EJ391" s="1881"/>
      <c r="EL391" s="1881"/>
      <c r="EM391" s="1881"/>
    </row>
    <row r="392" spans="140:143">
      <c r="EJ392" s="1881"/>
      <c r="EL392" s="1881"/>
      <c r="EM392" s="1881"/>
    </row>
    <row r="393" spans="140:143">
      <c r="EJ393" s="1881"/>
      <c r="EL393" s="1881"/>
      <c r="EM393" s="1881"/>
    </row>
    <row r="394" spans="140:143">
      <c r="EJ394" s="1881"/>
      <c r="EL394" s="1881"/>
      <c r="EM394" s="1881"/>
    </row>
    <row r="395" spans="140:143">
      <c r="EJ395" s="1881"/>
      <c r="EL395" s="1881"/>
      <c r="EM395" s="1881"/>
    </row>
    <row r="396" spans="140:143">
      <c r="EJ396" s="1881"/>
      <c r="EL396" s="1881"/>
      <c r="EM396" s="1881"/>
    </row>
    <row r="397" spans="140:143">
      <c r="EJ397" s="1881"/>
      <c r="EL397" s="1881"/>
      <c r="EM397" s="1881"/>
    </row>
    <row r="398" spans="140:143">
      <c r="EJ398" s="1881"/>
      <c r="EL398" s="1881"/>
      <c r="EM398" s="1881"/>
    </row>
    <row r="399" spans="140:143">
      <c r="EJ399" s="1881"/>
      <c r="EL399" s="1881"/>
      <c r="EM399" s="1881"/>
    </row>
    <row r="400" spans="140:143">
      <c r="EJ400" s="1881"/>
      <c r="EL400" s="1881"/>
      <c r="EM400" s="1881"/>
    </row>
    <row r="401" spans="140:143">
      <c r="EJ401" s="1881"/>
      <c r="EL401" s="1881"/>
      <c r="EM401" s="1881"/>
    </row>
    <row r="402" spans="140:143">
      <c r="EJ402" s="1881"/>
      <c r="EL402" s="1881"/>
      <c r="EM402" s="1881"/>
    </row>
    <row r="403" spans="140:143">
      <c r="EJ403" s="1881"/>
      <c r="EL403" s="1881"/>
      <c r="EM403" s="1881"/>
    </row>
    <row r="404" spans="140:143">
      <c r="EJ404" s="1881"/>
      <c r="EL404" s="1881"/>
      <c r="EM404" s="1881"/>
    </row>
    <row r="405" spans="140:143">
      <c r="EJ405" s="1881"/>
      <c r="EL405" s="1881"/>
      <c r="EM405" s="1881"/>
    </row>
    <row r="406" spans="140:143">
      <c r="EJ406" s="1881"/>
      <c r="EL406" s="1881"/>
      <c r="EM406" s="1881"/>
    </row>
    <row r="407" spans="140:143">
      <c r="EJ407" s="1881"/>
      <c r="EL407" s="1881"/>
      <c r="EM407" s="1881"/>
    </row>
    <row r="408" spans="140:143">
      <c r="EJ408" s="1881"/>
      <c r="EL408" s="1881"/>
      <c r="EM408" s="1881"/>
    </row>
    <row r="409" spans="140:143">
      <c r="EJ409" s="1881"/>
      <c r="EL409" s="1881"/>
      <c r="EM409" s="1881"/>
    </row>
    <row r="410" spans="140:143">
      <c r="EJ410" s="1881"/>
      <c r="EL410" s="1881"/>
      <c r="EM410" s="1881"/>
    </row>
    <row r="411" spans="140:143">
      <c r="EJ411" s="1881"/>
      <c r="EL411" s="1881"/>
      <c r="EM411" s="1881"/>
    </row>
    <row r="412" spans="140:143">
      <c r="EJ412" s="1881"/>
      <c r="EL412" s="1881"/>
      <c r="EM412" s="1881"/>
    </row>
    <row r="413" spans="140:143">
      <c r="EJ413" s="1881"/>
      <c r="EL413" s="1881"/>
      <c r="EM413" s="1881"/>
    </row>
    <row r="414" spans="140:143">
      <c r="EJ414" s="1881"/>
      <c r="EL414" s="1881"/>
      <c r="EM414" s="1881"/>
    </row>
    <row r="415" spans="140:143">
      <c r="EJ415" s="1881"/>
      <c r="EL415" s="1881"/>
      <c r="EM415" s="1881"/>
    </row>
    <row r="416" spans="140:143">
      <c r="EJ416" s="1881"/>
      <c r="EL416" s="1881"/>
      <c r="EM416" s="1881"/>
    </row>
    <row r="417" spans="140:143">
      <c r="EJ417" s="1881"/>
      <c r="EL417" s="1881"/>
      <c r="EM417" s="1881"/>
    </row>
    <row r="418" spans="140:143">
      <c r="EJ418" s="1881"/>
      <c r="EL418" s="1881"/>
      <c r="EM418" s="1881"/>
    </row>
    <row r="419" spans="140:143">
      <c r="EJ419" s="1881"/>
      <c r="EL419" s="1881"/>
      <c r="EM419" s="1881"/>
    </row>
    <row r="420" spans="140:143">
      <c r="EJ420" s="1881"/>
      <c r="EL420" s="1881"/>
      <c r="EM420" s="1881"/>
    </row>
    <row r="421" spans="140:143">
      <c r="EJ421" s="1881"/>
      <c r="EL421" s="1881"/>
      <c r="EM421" s="1881"/>
    </row>
    <row r="422" spans="140:143">
      <c r="EJ422" s="1881"/>
      <c r="EL422" s="1881"/>
      <c r="EM422" s="1881"/>
    </row>
    <row r="423" spans="140:143">
      <c r="EJ423" s="1881"/>
      <c r="EL423" s="1881"/>
      <c r="EM423" s="1881"/>
    </row>
    <row r="424" spans="140:143">
      <c r="EJ424" s="1881"/>
      <c r="EL424" s="1881"/>
      <c r="EM424" s="1881"/>
    </row>
    <row r="425" spans="140:143">
      <c r="EJ425" s="1881"/>
      <c r="EL425" s="1881"/>
      <c r="EM425" s="1881"/>
    </row>
    <row r="426" spans="140:143">
      <c r="EJ426" s="1881"/>
      <c r="EL426" s="1881"/>
      <c r="EM426" s="1881"/>
    </row>
    <row r="427" spans="140:143">
      <c r="EJ427" s="1881"/>
      <c r="EL427" s="1881"/>
      <c r="EM427" s="1881"/>
    </row>
    <row r="428" spans="140:143">
      <c r="EJ428" s="1881"/>
      <c r="EL428" s="1881"/>
      <c r="EM428" s="1881"/>
    </row>
    <row r="429" spans="140:143">
      <c r="EJ429" s="1881"/>
      <c r="EL429" s="1881"/>
      <c r="EM429" s="1881"/>
    </row>
    <row r="430" spans="140:143">
      <c r="EJ430" s="1881"/>
      <c r="EL430" s="1881"/>
      <c r="EM430" s="1881"/>
    </row>
    <row r="431" spans="140:143">
      <c r="EJ431" s="1881"/>
      <c r="EL431" s="1881"/>
      <c r="EM431" s="1881"/>
    </row>
    <row r="432" spans="140:143">
      <c r="EJ432" s="1881"/>
      <c r="EL432" s="1881"/>
      <c r="EM432" s="1881"/>
    </row>
    <row r="433" spans="140:143">
      <c r="EJ433" s="1881"/>
      <c r="EL433" s="1881"/>
      <c r="EM433" s="1881"/>
    </row>
    <row r="434" spans="140:143">
      <c r="EJ434" s="1881"/>
      <c r="EL434" s="1881"/>
      <c r="EM434" s="1881"/>
    </row>
    <row r="435" spans="140:143">
      <c r="EJ435" s="1881"/>
      <c r="EL435" s="1881"/>
      <c r="EM435" s="1881"/>
    </row>
    <row r="436" spans="140:143">
      <c r="EJ436" s="1881"/>
      <c r="EL436" s="1881"/>
      <c r="EM436" s="1881"/>
    </row>
    <row r="437" spans="140:143">
      <c r="EJ437" s="1881"/>
      <c r="EL437" s="1881"/>
      <c r="EM437" s="1881"/>
    </row>
    <row r="438" spans="140:143">
      <c r="EJ438" s="1881"/>
      <c r="EL438" s="1881"/>
      <c r="EM438" s="1881"/>
    </row>
    <row r="439" spans="140:143">
      <c r="EJ439" s="1881"/>
      <c r="EL439" s="1881"/>
      <c r="EM439" s="1881"/>
    </row>
    <row r="440" spans="140:143">
      <c r="EJ440" s="1881"/>
      <c r="EL440" s="1881"/>
      <c r="EM440" s="1881"/>
    </row>
    <row r="441" spans="140:143">
      <c r="EJ441" s="1881"/>
      <c r="EL441" s="1881"/>
      <c r="EM441" s="1881"/>
    </row>
    <row r="442" spans="140:143">
      <c r="EJ442" s="1881"/>
      <c r="EL442" s="1881"/>
      <c r="EM442" s="1881"/>
    </row>
    <row r="443" spans="140:143">
      <c r="EJ443" s="1881"/>
      <c r="EL443" s="1881"/>
      <c r="EM443" s="1881"/>
    </row>
    <row r="444" spans="140:143">
      <c r="EJ444" s="1881"/>
      <c r="EL444" s="1881"/>
      <c r="EM444" s="1881"/>
    </row>
    <row r="445" spans="140:143">
      <c r="EJ445" s="1881"/>
      <c r="EL445" s="1881"/>
      <c r="EM445" s="1881"/>
    </row>
    <row r="446" spans="140:143">
      <c r="EJ446" s="1881"/>
      <c r="EL446" s="1881"/>
      <c r="EM446" s="1881"/>
    </row>
    <row r="447" spans="140:143">
      <c r="EJ447" s="1881"/>
      <c r="EL447" s="1881"/>
      <c r="EM447" s="1881"/>
    </row>
    <row r="448" spans="140:143">
      <c r="EJ448" s="1881"/>
      <c r="EL448" s="1881"/>
      <c r="EM448" s="1881"/>
    </row>
    <row r="449" spans="140:143">
      <c r="EJ449" s="1881"/>
      <c r="EL449" s="1881"/>
      <c r="EM449" s="1881"/>
    </row>
    <row r="450" spans="140:143">
      <c r="EJ450" s="1881"/>
      <c r="EL450" s="1881"/>
      <c r="EM450" s="1881"/>
    </row>
    <row r="451" spans="140:143">
      <c r="EJ451" s="1881"/>
      <c r="EL451" s="1881"/>
      <c r="EM451" s="1881"/>
    </row>
    <row r="452" spans="140:143">
      <c r="EJ452" s="1881"/>
      <c r="EL452" s="1881"/>
      <c r="EM452" s="1881"/>
    </row>
    <row r="453" spans="140:143">
      <c r="EJ453" s="1881"/>
      <c r="EL453" s="1881"/>
      <c r="EM453" s="1881"/>
    </row>
    <row r="454" spans="140:143">
      <c r="EJ454" s="1881"/>
      <c r="EL454" s="1881"/>
      <c r="EM454" s="1881"/>
    </row>
    <row r="455" spans="140:143">
      <c r="EJ455" s="1881"/>
      <c r="EL455" s="1881"/>
      <c r="EM455" s="1881"/>
    </row>
    <row r="456" spans="140:143">
      <c r="EJ456" s="1881"/>
      <c r="EL456" s="1881"/>
      <c r="EM456" s="1881"/>
    </row>
    <row r="457" spans="140:143">
      <c r="EJ457" s="1881"/>
      <c r="EL457" s="1881"/>
      <c r="EM457" s="1881"/>
    </row>
    <row r="458" spans="140:143">
      <c r="EJ458" s="1881"/>
      <c r="EL458" s="1881"/>
      <c r="EM458" s="1881"/>
    </row>
    <row r="459" spans="140:143">
      <c r="EJ459" s="1881"/>
      <c r="EL459" s="1881"/>
      <c r="EM459" s="1881"/>
    </row>
    <row r="460" spans="140:143">
      <c r="EJ460" s="1881"/>
      <c r="EL460" s="1881"/>
      <c r="EM460" s="1881"/>
    </row>
    <row r="461" spans="140:143">
      <c r="EJ461" s="1881"/>
      <c r="EL461" s="1881"/>
      <c r="EM461" s="1881"/>
    </row>
    <row r="462" spans="140:143">
      <c r="EJ462" s="1881"/>
      <c r="EL462" s="1881"/>
      <c r="EM462" s="1881"/>
    </row>
    <row r="463" spans="140:143">
      <c r="EJ463" s="1881"/>
      <c r="EL463" s="1881"/>
      <c r="EM463" s="1881"/>
    </row>
    <row r="464" spans="140:143">
      <c r="EJ464" s="1881"/>
      <c r="EL464" s="1881"/>
      <c r="EM464" s="1881"/>
    </row>
    <row r="465" spans="140:143">
      <c r="EJ465" s="1881"/>
      <c r="EL465" s="1881"/>
      <c r="EM465" s="1881"/>
    </row>
    <row r="466" spans="140:143">
      <c r="EJ466" s="1881"/>
      <c r="EL466" s="1881"/>
      <c r="EM466" s="1881"/>
    </row>
    <row r="467" spans="140:143">
      <c r="EJ467" s="1881"/>
      <c r="EL467" s="1881"/>
      <c r="EM467" s="1881"/>
    </row>
    <row r="468" spans="140:143">
      <c r="EJ468" s="1881"/>
      <c r="EL468" s="1881"/>
      <c r="EM468" s="1881"/>
    </row>
    <row r="469" spans="140:143">
      <c r="EJ469" s="1881"/>
      <c r="EL469" s="1881"/>
      <c r="EM469" s="1881"/>
    </row>
    <row r="470" spans="140:143">
      <c r="EJ470" s="1881"/>
      <c r="EL470" s="1881"/>
      <c r="EM470" s="1881"/>
    </row>
    <row r="471" spans="140:143">
      <c r="EJ471" s="1881"/>
      <c r="EL471" s="1881"/>
      <c r="EM471" s="1881"/>
    </row>
    <row r="472" spans="140:143">
      <c r="EJ472" s="1881"/>
      <c r="EL472" s="1881"/>
      <c r="EM472" s="1881"/>
    </row>
    <row r="473" spans="140:143">
      <c r="EJ473" s="1881"/>
      <c r="EL473" s="1881"/>
      <c r="EM473" s="1881"/>
    </row>
    <row r="474" spans="140:143">
      <c r="EJ474" s="1881"/>
      <c r="EL474" s="1881"/>
      <c r="EM474" s="1881"/>
    </row>
    <row r="475" spans="140:143">
      <c r="EJ475" s="1881"/>
      <c r="EL475" s="1881"/>
      <c r="EM475" s="1881"/>
    </row>
    <row r="476" spans="140:143">
      <c r="EJ476" s="1881"/>
      <c r="EL476" s="1881"/>
      <c r="EM476" s="1881"/>
    </row>
    <row r="477" spans="140:143">
      <c r="EJ477" s="1881"/>
      <c r="EL477" s="1881"/>
      <c r="EM477" s="1881"/>
    </row>
    <row r="478" spans="140:143">
      <c r="EJ478" s="1881"/>
      <c r="EL478" s="1881"/>
      <c r="EM478" s="1881"/>
    </row>
    <row r="479" spans="140:143">
      <c r="EJ479" s="1881"/>
      <c r="EL479" s="1881"/>
      <c r="EM479" s="1881"/>
    </row>
    <row r="480" spans="140:143">
      <c r="EJ480" s="1881"/>
      <c r="EL480" s="1881"/>
      <c r="EM480" s="1881"/>
    </row>
    <row r="481" spans="140:143">
      <c r="EJ481" s="1881"/>
      <c r="EL481" s="1881"/>
      <c r="EM481" s="1881"/>
    </row>
    <row r="482" spans="140:143">
      <c r="EJ482" s="1881"/>
      <c r="EL482" s="1881"/>
      <c r="EM482" s="1881"/>
    </row>
    <row r="483" spans="140:143">
      <c r="EJ483" s="1881"/>
      <c r="EL483" s="1881"/>
      <c r="EM483" s="1881"/>
    </row>
    <row r="484" spans="140:143">
      <c r="EJ484" s="1881"/>
      <c r="EL484" s="1881"/>
      <c r="EM484" s="1881"/>
    </row>
    <row r="485" spans="140:143">
      <c r="EJ485" s="1881"/>
      <c r="EL485" s="1881"/>
      <c r="EM485" s="1881"/>
    </row>
    <row r="486" spans="140:143">
      <c r="EJ486" s="1881"/>
      <c r="EL486" s="1881"/>
      <c r="EM486" s="1881"/>
    </row>
    <row r="487" spans="140:143">
      <c r="EJ487" s="1881"/>
      <c r="EL487" s="1881"/>
      <c r="EM487" s="1881"/>
    </row>
    <row r="488" spans="140:143">
      <c r="EJ488" s="1881"/>
      <c r="EL488" s="1881"/>
      <c r="EM488" s="1881"/>
    </row>
    <row r="489" spans="140:143">
      <c r="EJ489" s="1881"/>
      <c r="EL489" s="1881"/>
      <c r="EM489" s="1881"/>
    </row>
    <row r="490" spans="140:143">
      <c r="EJ490" s="1881"/>
      <c r="EL490" s="1881"/>
      <c r="EM490" s="1881"/>
    </row>
    <row r="491" spans="140:143">
      <c r="EJ491" s="1881"/>
      <c r="EL491" s="1881"/>
      <c r="EM491" s="1881"/>
    </row>
    <row r="492" spans="140:143">
      <c r="EJ492" s="1881"/>
      <c r="EL492" s="1881"/>
      <c r="EM492" s="1881"/>
    </row>
    <row r="493" spans="140:143">
      <c r="EJ493" s="1881"/>
      <c r="EL493" s="1881"/>
      <c r="EM493" s="1881"/>
    </row>
    <row r="494" spans="140:143">
      <c r="EJ494" s="1881"/>
      <c r="EL494" s="1881"/>
      <c r="EM494" s="1881"/>
    </row>
    <row r="495" spans="140:143">
      <c r="EJ495" s="1881"/>
      <c r="EL495" s="1881"/>
      <c r="EM495" s="1881"/>
    </row>
    <row r="496" spans="140:143">
      <c r="EJ496" s="1881"/>
      <c r="EL496" s="1881"/>
      <c r="EM496" s="1881"/>
    </row>
    <row r="497" spans="140:143">
      <c r="EJ497" s="1881"/>
      <c r="EL497" s="1881"/>
      <c r="EM497" s="1881"/>
    </row>
    <row r="498" spans="140:143">
      <c r="EJ498" s="1881"/>
      <c r="EL498" s="1881"/>
      <c r="EM498" s="1881"/>
    </row>
    <row r="499" spans="140:143">
      <c r="EJ499" s="1881"/>
      <c r="EL499" s="1881"/>
      <c r="EM499" s="1881"/>
    </row>
    <row r="500" spans="140:143">
      <c r="EJ500" s="1881"/>
      <c r="EL500" s="1881"/>
      <c r="EM500" s="1881"/>
    </row>
    <row r="501" spans="140:143">
      <c r="EJ501" s="1881"/>
      <c r="EL501" s="1881"/>
      <c r="EM501" s="1881"/>
    </row>
    <row r="502" spans="140:143">
      <c r="EJ502" s="1881"/>
      <c r="EL502" s="1881"/>
      <c r="EM502" s="1881"/>
    </row>
    <row r="503" spans="140:143">
      <c r="EJ503" s="1881"/>
      <c r="EL503" s="1881"/>
      <c r="EM503" s="1881"/>
    </row>
    <row r="504" spans="140:143">
      <c r="EJ504" s="1881"/>
      <c r="EL504" s="1881"/>
      <c r="EM504" s="1881"/>
    </row>
    <row r="505" spans="140:143">
      <c r="EJ505" s="1881"/>
      <c r="EL505" s="1881"/>
      <c r="EM505" s="1881"/>
    </row>
    <row r="506" spans="140:143">
      <c r="EJ506" s="1881"/>
      <c r="EL506" s="1881"/>
      <c r="EM506" s="1881"/>
    </row>
    <row r="507" spans="140:143">
      <c r="EJ507" s="1881"/>
      <c r="EL507" s="1881"/>
      <c r="EM507" s="1881"/>
    </row>
    <row r="508" spans="140:143">
      <c r="EJ508" s="1881"/>
      <c r="EL508" s="1881"/>
      <c r="EM508" s="1881"/>
    </row>
    <row r="509" spans="140:143">
      <c r="EJ509" s="1881"/>
      <c r="EL509" s="1881"/>
      <c r="EM509" s="1881"/>
    </row>
    <row r="510" spans="140:143">
      <c r="EJ510" s="1881"/>
      <c r="EL510" s="1881"/>
      <c r="EM510" s="1881"/>
    </row>
    <row r="511" spans="140:143">
      <c r="EJ511" s="1881"/>
      <c r="EL511" s="1881"/>
      <c r="EM511" s="1881"/>
    </row>
    <row r="512" spans="140:143">
      <c r="EJ512" s="1881"/>
      <c r="EL512" s="1881"/>
      <c r="EM512" s="1881"/>
    </row>
    <row r="513" spans="140:143">
      <c r="EJ513" s="1881"/>
      <c r="EL513" s="1881"/>
      <c r="EM513" s="1881"/>
    </row>
    <row r="514" spans="140:143">
      <c r="EJ514" s="1881"/>
      <c r="EL514" s="1881"/>
      <c r="EM514" s="1881"/>
    </row>
    <row r="515" spans="140:143">
      <c r="EJ515" s="1881"/>
      <c r="EL515" s="1881"/>
      <c r="EM515" s="1881"/>
    </row>
    <row r="516" spans="140:143">
      <c r="EJ516" s="1881"/>
      <c r="EL516" s="1881"/>
      <c r="EM516" s="1881"/>
    </row>
    <row r="517" spans="140:143">
      <c r="EJ517" s="1881"/>
      <c r="EL517" s="1881"/>
      <c r="EM517" s="1881"/>
    </row>
    <row r="518" spans="140:143">
      <c r="EJ518" s="1881"/>
      <c r="EL518" s="1881"/>
      <c r="EM518" s="1881"/>
    </row>
    <row r="519" spans="140:143">
      <c r="EJ519" s="1881"/>
      <c r="EL519" s="1881"/>
      <c r="EM519" s="1881"/>
    </row>
    <row r="520" spans="140:143">
      <c r="EJ520" s="1881"/>
      <c r="EL520" s="1881"/>
      <c r="EM520" s="1881"/>
    </row>
    <row r="521" spans="140:143">
      <c r="EJ521" s="1881"/>
      <c r="EL521" s="1881"/>
      <c r="EM521" s="1881"/>
    </row>
    <row r="522" spans="140:143">
      <c r="EJ522" s="1881"/>
      <c r="EL522" s="1881"/>
      <c r="EM522" s="1881"/>
    </row>
    <row r="523" spans="140:143">
      <c r="EJ523" s="1881"/>
      <c r="EL523" s="1881"/>
      <c r="EM523" s="1881"/>
    </row>
    <row r="524" spans="140:143">
      <c r="EJ524" s="1881"/>
      <c r="EL524" s="1881"/>
      <c r="EM524" s="1881"/>
    </row>
    <row r="525" spans="140:143">
      <c r="EJ525" s="1881"/>
      <c r="EL525" s="1881"/>
      <c r="EM525" s="1881"/>
    </row>
    <row r="526" spans="140:143">
      <c r="EJ526" s="1881"/>
      <c r="EL526" s="1881"/>
      <c r="EM526" s="1881"/>
    </row>
    <row r="527" spans="140:143">
      <c r="EJ527" s="1881"/>
      <c r="EL527" s="1881"/>
      <c r="EM527" s="1881"/>
    </row>
    <row r="528" spans="140:143">
      <c r="EJ528" s="1881"/>
      <c r="EL528" s="1881"/>
      <c r="EM528" s="1881"/>
    </row>
    <row r="529" spans="140:143">
      <c r="EJ529" s="1881"/>
      <c r="EL529" s="1881"/>
      <c r="EM529" s="1881"/>
    </row>
    <row r="530" spans="140:143">
      <c r="EJ530" s="1881"/>
      <c r="EL530" s="1881"/>
      <c r="EM530" s="1881"/>
    </row>
    <row r="531" spans="140:143">
      <c r="EJ531" s="1881"/>
      <c r="EL531" s="1881"/>
      <c r="EM531" s="1881"/>
    </row>
    <row r="532" spans="140:143">
      <c r="EJ532" s="1881"/>
      <c r="EL532" s="1881"/>
      <c r="EM532" s="1881"/>
    </row>
    <row r="533" spans="140:143">
      <c r="EJ533" s="1881"/>
      <c r="EL533" s="1881"/>
      <c r="EM533" s="1881"/>
    </row>
    <row r="534" spans="140:143">
      <c r="EJ534" s="1881"/>
      <c r="EL534" s="1881"/>
      <c r="EM534" s="1881"/>
    </row>
    <row r="535" spans="140:143">
      <c r="EJ535" s="1881"/>
      <c r="EL535" s="1881"/>
      <c r="EM535" s="1881"/>
    </row>
    <row r="536" spans="140:143">
      <c r="EJ536" s="1881"/>
      <c r="EL536" s="1881"/>
      <c r="EM536" s="1881"/>
    </row>
    <row r="537" spans="140:143">
      <c r="EJ537" s="1881"/>
      <c r="EL537" s="1881"/>
      <c r="EM537" s="1881"/>
    </row>
    <row r="538" spans="140:143">
      <c r="EJ538" s="1881"/>
      <c r="EL538" s="1881"/>
      <c r="EM538" s="1881"/>
    </row>
    <row r="539" spans="140:143">
      <c r="EJ539" s="1881"/>
      <c r="EL539" s="1881"/>
      <c r="EM539" s="1881"/>
    </row>
    <row r="540" spans="140:143">
      <c r="EJ540" s="1881"/>
      <c r="EL540" s="1881"/>
      <c r="EM540" s="1881"/>
    </row>
    <row r="541" spans="140:143">
      <c r="EJ541" s="1881"/>
      <c r="EL541" s="1881"/>
      <c r="EM541" s="1881"/>
    </row>
    <row r="542" spans="140:143">
      <c r="EJ542" s="1881"/>
      <c r="EL542" s="1881"/>
      <c r="EM542" s="1881"/>
    </row>
    <row r="543" spans="140:143">
      <c r="EJ543" s="1881"/>
      <c r="EL543" s="1881"/>
      <c r="EM543" s="1881"/>
    </row>
    <row r="544" spans="140:143">
      <c r="EJ544" s="1881"/>
      <c r="EL544" s="1881"/>
      <c r="EM544" s="1881"/>
    </row>
    <row r="545" spans="140:143">
      <c r="EJ545" s="1881"/>
      <c r="EL545" s="1881"/>
      <c r="EM545" s="1881"/>
    </row>
    <row r="546" spans="140:143">
      <c r="EJ546" s="1881"/>
      <c r="EL546" s="1881"/>
      <c r="EM546" s="1881"/>
    </row>
    <row r="547" spans="140:143">
      <c r="EJ547" s="1881"/>
      <c r="EL547" s="1881"/>
      <c r="EM547" s="1881"/>
    </row>
    <row r="548" spans="140:143">
      <c r="EJ548" s="1881"/>
      <c r="EL548" s="1881"/>
      <c r="EM548" s="1881"/>
    </row>
    <row r="549" spans="140:143">
      <c r="EJ549" s="1881"/>
      <c r="EL549" s="1881"/>
      <c r="EM549" s="1881"/>
    </row>
    <row r="550" spans="140:143">
      <c r="EJ550" s="1881"/>
      <c r="EL550" s="1881"/>
      <c r="EM550" s="1881"/>
    </row>
    <row r="551" spans="140:143">
      <c r="EJ551" s="1881"/>
      <c r="EL551" s="1881"/>
      <c r="EM551" s="1881"/>
    </row>
    <row r="552" spans="140:143">
      <c r="EJ552" s="1881"/>
      <c r="EL552" s="1881"/>
      <c r="EM552" s="1881"/>
    </row>
    <row r="553" spans="140:143">
      <c r="EJ553" s="1881"/>
      <c r="EL553" s="1881"/>
      <c r="EM553" s="1881"/>
    </row>
    <row r="554" spans="140:143">
      <c r="EJ554" s="1881"/>
      <c r="EL554" s="1881"/>
      <c r="EM554" s="1881"/>
    </row>
    <row r="555" spans="140:143">
      <c r="EJ555" s="1881"/>
      <c r="EL555" s="1881"/>
      <c r="EM555" s="1881"/>
    </row>
    <row r="556" spans="140:143">
      <c r="EJ556" s="1881"/>
      <c r="EL556" s="1881"/>
      <c r="EM556" s="1881"/>
    </row>
    <row r="557" spans="140:143">
      <c r="EJ557" s="1881"/>
      <c r="EL557" s="1881"/>
      <c r="EM557" s="1881"/>
    </row>
    <row r="558" spans="140:143">
      <c r="EJ558" s="1881"/>
      <c r="EL558" s="1881"/>
      <c r="EM558" s="1881"/>
    </row>
    <row r="559" spans="140:143">
      <c r="EJ559" s="1881"/>
      <c r="EL559" s="1881"/>
      <c r="EM559" s="1881"/>
    </row>
    <row r="560" spans="140:143">
      <c r="EJ560" s="1881"/>
      <c r="EL560" s="1881"/>
      <c r="EM560" s="1881"/>
    </row>
    <row r="561" spans="140:143">
      <c r="EJ561" s="1881"/>
      <c r="EL561" s="1881"/>
      <c r="EM561" s="1881"/>
    </row>
    <row r="562" spans="140:143">
      <c r="EJ562" s="1881"/>
      <c r="EL562" s="1881"/>
      <c r="EM562" s="1881"/>
    </row>
    <row r="563" spans="140:143">
      <c r="EJ563" s="1881"/>
      <c r="EL563" s="1881"/>
      <c r="EM563" s="1881"/>
    </row>
    <row r="564" spans="140:143">
      <c r="EJ564" s="1881"/>
      <c r="EL564" s="1881"/>
      <c r="EM564" s="1881"/>
    </row>
    <row r="565" spans="140:143">
      <c r="EJ565" s="1881"/>
      <c r="EL565" s="1881"/>
      <c r="EM565" s="1881"/>
    </row>
    <row r="566" spans="140:143">
      <c r="EJ566" s="1881"/>
      <c r="EL566" s="1881"/>
      <c r="EM566" s="1881"/>
    </row>
    <row r="567" spans="140:143">
      <c r="EJ567" s="1881"/>
      <c r="EL567" s="1881"/>
      <c r="EM567" s="1881"/>
    </row>
    <row r="568" spans="140:143">
      <c r="EJ568" s="1881"/>
      <c r="EL568" s="1881"/>
      <c r="EM568" s="1881"/>
    </row>
    <row r="569" spans="140:143">
      <c r="EJ569" s="1881"/>
      <c r="EL569" s="1881"/>
      <c r="EM569" s="1881"/>
    </row>
    <row r="570" spans="140:143">
      <c r="EJ570" s="1881"/>
      <c r="EL570" s="1881"/>
      <c r="EM570" s="1881"/>
    </row>
    <row r="571" spans="140:143">
      <c r="EJ571" s="1881"/>
      <c r="EL571" s="1881"/>
      <c r="EM571" s="1881"/>
    </row>
    <row r="572" spans="140:143">
      <c r="EJ572" s="1881"/>
      <c r="EL572" s="1881"/>
      <c r="EM572" s="1881"/>
    </row>
    <row r="573" spans="140:143">
      <c r="EJ573" s="1881"/>
      <c r="EL573" s="1881"/>
      <c r="EM573" s="1881"/>
    </row>
    <row r="574" spans="140:143">
      <c r="EJ574" s="1881"/>
      <c r="EL574" s="1881"/>
      <c r="EM574" s="1881"/>
    </row>
    <row r="575" spans="140:143">
      <c r="EJ575" s="1881"/>
      <c r="EL575" s="1881"/>
      <c r="EM575" s="1881"/>
    </row>
    <row r="576" spans="140:143">
      <c r="EJ576" s="1881"/>
      <c r="EL576" s="1881"/>
      <c r="EM576" s="1881"/>
    </row>
    <row r="577" spans="140:143">
      <c r="EJ577" s="1881"/>
      <c r="EL577" s="1881"/>
      <c r="EM577" s="1881"/>
    </row>
    <row r="578" spans="140:143">
      <c r="EJ578" s="1881"/>
      <c r="EL578" s="1881"/>
      <c r="EM578" s="1881"/>
    </row>
    <row r="579" spans="140:143">
      <c r="EJ579" s="1881"/>
      <c r="EL579" s="1881"/>
      <c r="EM579" s="1881"/>
    </row>
    <row r="580" spans="140:143">
      <c r="EJ580" s="1881"/>
      <c r="EL580" s="1881"/>
      <c r="EM580" s="1881"/>
    </row>
    <row r="581" spans="140:143">
      <c r="EJ581" s="1881"/>
      <c r="EL581" s="1881"/>
      <c r="EM581" s="1881"/>
    </row>
    <row r="582" spans="140:143">
      <c r="EJ582" s="1881"/>
      <c r="EL582" s="1881"/>
      <c r="EM582" s="1881"/>
    </row>
    <row r="583" spans="140:143">
      <c r="EJ583" s="1881"/>
      <c r="EL583" s="1881"/>
      <c r="EM583" s="1881"/>
    </row>
    <row r="584" spans="140:143">
      <c r="EJ584" s="1881"/>
      <c r="EL584" s="1881"/>
      <c r="EM584" s="1881"/>
    </row>
    <row r="585" spans="140:143">
      <c r="EJ585" s="1881"/>
      <c r="EL585" s="1881"/>
      <c r="EM585" s="1881"/>
    </row>
    <row r="586" spans="140:143">
      <c r="EJ586" s="1881"/>
      <c r="EL586" s="1881"/>
      <c r="EM586" s="1881"/>
    </row>
    <row r="587" spans="140:143">
      <c r="EJ587" s="1881"/>
      <c r="EL587" s="1881"/>
      <c r="EM587" s="1881"/>
    </row>
    <row r="588" spans="140:143">
      <c r="EJ588" s="1881"/>
      <c r="EL588" s="1881"/>
      <c r="EM588" s="1881"/>
    </row>
    <row r="589" spans="140:143">
      <c r="EJ589" s="1881"/>
      <c r="EL589" s="1881"/>
      <c r="EM589" s="1881"/>
    </row>
    <row r="590" spans="140:143">
      <c r="EJ590" s="1881"/>
      <c r="EL590" s="1881"/>
      <c r="EM590" s="1881"/>
    </row>
    <row r="591" spans="140:143">
      <c r="EJ591" s="1881"/>
      <c r="EL591" s="1881"/>
      <c r="EM591" s="1881"/>
    </row>
    <row r="592" spans="140:143">
      <c r="EJ592" s="1881"/>
      <c r="EL592" s="1881"/>
      <c r="EM592" s="1881"/>
    </row>
    <row r="593" spans="140:143">
      <c r="EJ593" s="1881"/>
      <c r="EL593" s="1881"/>
      <c r="EM593" s="1881"/>
    </row>
    <row r="594" spans="140:143">
      <c r="EJ594" s="1881"/>
      <c r="EL594" s="1881"/>
      <c r="EM594" s="1881"/>
    </row>
    <row r="595" spans="140:143">
      <c r="EJ595" s="1881"/>
      <c r="EL595" s="1881"/>
      <c r="EM595" s="1881"/>
    </row>
    <row r="596" spans="140:143">
      <c r="EJ596" s="1881"/>
      <c r="EL596" s="1881"/>
      <c r="EM596" s="1881"/>
    </row>
    <row r="597" spans="140:143">
      <c r="EJ597" s="1881"/>
      <c r="EL597" s="1881"/>
      <c r="EM597" s="1881"/>
    </row>
    <row r="598" spans="140:143">
      <c r="EJ598" s="1881"/>
      <c r="EL598" s="1881"/>
      <c r="EM598" s="1881"/>
    </row>
    <row r="599" spans="140:143">
      <c r="EJ599" s="1881"/>
      <c r="EL599" s="1881"/>
      <c r="EM599" s="1881"/>
    </row>
    <row r="600" spans="140:143">
      <c r="EJ600" s="1881"/>
      <c r="EL600" s="1881"/>
      <c r="EM600" s="1881"/>
    </row>
    <row r="601" spans="140:143">
      <c r="EJ601" s="1881"/>
      <c r="EL601" s="1881"/>
      <c r="EM601" s="1881"/>
    </row>
    <row r="602" spans="140:143">
      <c r="EJ602" s="1881"/>
      <c r="EL602" s="1881"/>
      <c r="EM602" s="1881"/>
    </row>
    <row r="603" spans="140:143">
      <c r="EJ603" s="1881"/>
      <c r="EL603" s="1881"/>
      <c r="EM603" s="1881"/>
    </row>
    <row r="604" spans="140:143">
      <c r="EJ604" s="1881"/>
      <c r="EL604" s="1881"/>
      <c r="EM604" s="1881"/>
    </row>
    <row r="605" spans="140:143">
      <c r="EJ605" s="1881"/>
      <c r="EL605" s="1881"/>
      <c r="EM605" s="1881"/>
    </row>
    <row r="606" spans="140:143">
      <c r="EJ606" s="1881"/>
      <c r="EL606" s="1881"/>
      <c r="EM606" s="1881"/>
    </row>
    <row r="607" spans="140:143">
      <c r="EJ607" s="1881"/>
      <c r="EL607" s="1881"/>
      <c r="EM607" s="1881"/>
    </row>
    <row r="608" spans="140:143">
      <c r="EJ608" s="1881"/>
      <c r="EL608" s="1881"/>
      <c r="EM608" s="1881"/>
    </row>
    <row r="609" spans="140:143">
      <c r="EJ609" s="1881"/>
      <c r="EL609" s="1881"/>
      <c r="EM609" s="1881"/>
    </row>
    <row r="610" spans="140:143">
      <c r="EJ610" s="1881"/>
      <c r="EL610" s="1881"/>
      <c r="EM610" s="1881"/>
    </row>
    <row r="611" spans="140:143">
      <c r="EJ611" s="1881"/>
      <c r="EL611" s="1881"/>
      <c r="EM611" s="1881"/>
    </row>
    <row r="612" spans="140:143">
      <c r="EJ612" s="1881"/>
      <c r="EL612" s="1881"/>
      <c r="EM612" s="1881"/>
    </row>
    <row r="613" spans="140:143">
      <c r="EJ613" s="1881"/>
      <c r="EL613" s="1881"/>
      <c r="EM613" s="1881"/>
    </row>
    <row r="614" spans="140:143">
      <c r="EJ614" s="1881"/>
      <c r="EL614" s="1881"/>
      <c r="EM614" s="1881"/>
    </row>
    <row r="615" spans="140:143">
      <c r="EJ615" s="1881"/>
      <c r="EL615" s="1881"/>
      <c r="EM615" s="1881"/>
    </row>
    <row r="616" spans="140:143">
      <c r="EJ616" s="1881"/>
      <c r="EL616" s="1881"/>
      <c r="EM616" s="1881"/>
    </row>
    <row r="617" spans="140:143">
      <c r="EJ617" s="1881"/>
      <c r="EL617" s="1881"/>
      <c r="EM617" s="1881"/>
    </row>
    <row r="618" spans="140:143">
      <c r="EJ618" s="1881"/>
      <c r="EL618" s="1881"/>
      <c r="EM618" s="1881"/>
    </row>
    <row r="619" spans="140:143">
      <c r="EJ619" s="1881"/>
      <c r="EL619" s="1881"/>
      <c r="EM619" s="1881"/>
    </row>
    <row r="620" spans="140:143">
      <c r="EJ620" s="1881"/>
      <c r="EL620" s="1881"/>
      <c r="EM620" s="1881"/>
    </row>
    <row r="621" spans="140:143">
      <c r="EJ621" s="1881"/>
      <c r="EL621" s="1881"/>
      <c r="EM621" s="1881"/>
    </row>
    <row r="622" spans="140:143">
      <c r="EJ622" s="1881"/>
      <c r="EL622" s="1881"/>
      <c r="EM622" s="1881"/>
    </row>
    <row r="623" spans="140:143">
      <c r="EJ623" s="1881"/>
      <c r="EL623" s="1881"/>
      <c r="EM623" s="1881"/>
    </row>
    <row r="624" spans="140:143">
      <c r="EJ624" s="1881"/>
      <c r="EL624" s="1881"/>
      <c r="EM624" s="1881"/>
    </row>
    <row r="625" spans="140:143">
      <c r="EJ625" s="1881"/>
      <c r="EL625" s="1881"/>
      <c r="EM625" s="1881"/>
    </row>
    <row r="626" spans="140:143">
      <c r="EJ626" s="1881"/>
      <c r="EL626" s="1881"/>
      <c r="EM626" s="1881"/>
    </row>
    <row r="627" spans="140:143">
      <c r="EJ627" s="1881"/>
      <c r="EL627" s="1881"/>
      <c r="EM627" s="1881"/>
    </row>
    <row r="628" spans="140:143">
      <c r="EJ628" s="1881"/>
      <c r="EL628" s="1881"/>
      <c r="EM628" s="1881"/>
    </row>
    <row r="629" spans="140:143">
      <c r="EJ629" s="1881"/>
      <c r="EL629" s="1881"/>
      <c r="EM629" s="1881"/>
    </row>
    <row r="630" spans="140:143">
      <c r="EJ630" s="1881"/>
      <c r="EL630" s="1881"/>
      <c r="EM630" s="1881"/>
    </row>
    <row r="631" spans="140:143">
      <c r="EJ631" s="1881"/>
      <c r="EL631" s="1881"/>
      <c r="EM631" s="1881"/>
    </row>
    <row r="632" spans="140:143">
      <c r="EJ632" s="1881"/>
      <c r="EL632" s="1881"/>
      <c r="EM632" s="1881"/>
    </row>
    <row r="633" spans="140:143">
      <c r="EJ633" s="1881"/>
      <c r="EL633" s="1881"/>
      <c r="EM633" s="1881"/>
    </row>
    <row r="634" spans="140:143">
      <c r="EJ634" s="1881"/>
      <c r="EL634" s="1881"/>
      <c r="EM634" s="1881"/>
    </row>
    <row r="635" spans="140:143">
      <c r="EJ635" s="1881"/>
      <c r="EL635" s="1881"/>
      <c r="EM635" s="1881"/>
    </row>
    <row r="636" spans="140:143">
      <c r="EJ636" s="1881"/>
      <c r="EL636" s="1881"/>
      <c r="EM636" s="1881"/>
    </row>
    <row r="637" spans="140:143">
      <c r="EJ637" s="1881"/>
      <c r="EL637" s="1881"/>
      <c r="EM637" s="1881"/>
    </row>
    <row r="638" spans="140:143">
      <c r="EJ638" s="1881"/>
      <c r="EL638" s="1881"/>
      <c r="EM638" s="1881"/>
    </row>
    <row r="639" spans="140:143">
      <c r="EJ639" s="1881"/>
      <c r="EL639" s="1881"/>
      <c r="EM639" s="1881"/>
    </row>
    <row r="640" spans="140:143">
      <c r="EJ640" s="1881"/>
      <c r="EL640" s="1881"/>
      <c r="EM640" s="1881"/>
    </row>
    <row r="641" spans="140:143">
      <c r="EJ641" s="1881"/>
      <c r="EL641" s="1881"/>
      <c r="EM641" s="1881"/>
    </row>
    <row r="642" spans="140:143">
      <c r="EJ642" s="1881"/>
      <c r="EL642" s="1881"/>
      <c r="EM642" s="1881"/>
    </row>
    <row r="643" spans="140:143">
      <c r="EJ643" s="1881"/>
      <c r="EL643" s="1881"/>
      <c r="EM643" s="1881"/>
    </row>
    <row r="644" spans="140:143">
      <c r="EJ644" s="1881"/>
      <c r="EL644" s="1881"/>
      <c r="EM644" s="1881"/>
    </row>
    <row r="645" spans="140:143">
      <c r="EJ645" s="1881"/>
      <c r="EL645" s="1881"/>
      <c r="EM645" s="1881"/>
    </row>
    <row r="646" spans="140:143">
      <c r="EJ646" s="1881"/>
      <c r="EL646" s="1881"/>
      <c r="EM646" s="1881"/>
    </row>
    <row r="647" spans="140:143">
      <c r="EJ647" s="1881"/>
      <c r="EL647" s="1881"/>
      <c r="EM647" s="1881"/>
    </row>
    <row r="648" spans="140:143">
      <c r="EJ648" s="1881"/>
      <c r="EL648" s="1881"/>
      <c r="EM648" s="1881"/>
    </row>
    <row r="649" spans="140:143">
      <c r="EJ649" s="1881"/>
      <c r="EL649" s="1881"/>
      <c r="EM649" s="1881"/>
    </row>
    <row r="650" spans="140:143">
      <c r="EJ650" s="1881"/>
      <c r="EL650" s="1881"/>
      <c r="EM650" s="1881"/>
    </row>
    <row r="651" spans="140:143">
      <c r="EJ651" s="1881"/>
      <c r="EL651" s="1881"/>
      <c r="EM651" s="1881"/>
    </row>
    <row r="652" spans="140:143">
      <c r="EJ652" s="1881"/>
      <c r="EL652" s="1881"/>
      <c r="EM652" s="1881"/>
    </row>
    <row r="653" spans="140:143">
      <c r="EJ653" s="1881"/>
      <c r="EL653" s="1881"/>
      <c r="EM653" s="1881"/>
    </row>
    <row r="654" spans="140:143">
      <c r="EJ654" s="1881"/>
      <c r="EL654" s="1881"/>
      <c r="EM654" s="1881"/>
    </row>
    <row r="655" spans="140:143">
      <c r="EJ655" s="1881"/>
      <c r="EL655" s="1881"/>
      <c r="EM655" s="1881"/>
    </row>
    <row r="656" spans="140:143">
      <c r="EJ656" s="1881"/>
      <c r="EL656" s="1881"/>
      <c r="EM656" s="1881"/>
    </row>
    <row r="657" spans="140:143">
      <c r="EJ657" s="1881"/>
      <c r="EL657" s="1881"/>
      <c r="EM657" s="1881"/>
    </row>
    <row r="658" spans="140:143">
      <c r="EJ658" s="1881"/>
      <c r="EL658" s="1881"/>
      <c r="EM658" s="1881"/>
    </row>
    <row r="659" spans="140:143">
      <c r="EJ659" s="1881"/>
      <c r="EL659" s="1881"/>
      <c r="EM659" s="1881"/>
    </row>
    <row r="660" spans="140:143">
      <c r="EJ660" s="1881"/>
      <c r="EL660" s="1881"/>
      <c r="EM660" s="1881"/>
    </row>
    <row r="661" spans="140:143">
      <c r="EJ661" s="1881"/>
      <c r="EL661" s="1881"/>
      <c r="EM661" s="1881"/>
    </row>
    <row r="662" spans="140:143">
      <c r="EJ662" s="1881"/>
      <c r="EL662" s="1881"/>
      <c r="EM662" s="1881"/>
    </row>
    <row r="663" spans="140:143">
      <c r="EJ663" s="1881"/>
      <c r="EL663" s="1881"/>
      <c r="EM663" s="1881"/>
    </row>
    <row r="664" spans="140:143">
      <c r="EJ664" s="1881"/>
      <c r="EL664" s="1881"/>
      <c r="EM664" s="1881"/>
    </row>
    <row r="665" spans="140:143">
      <c r="EJ665" s="1881"/>
      <c r="EL665" s="1881"/>
      <c r="EM665" s="1881"/>
    </row>
    <row r="666" spans="140:143">
      <c r="EJ666" s="1881"/>
      <c r="EL666" s="1881"/>
      <c r="EM666" s="1881"/>
    </row>
    <row r="667" spans="140:143">
      <c r="EJ667" s="1881"/>
      <c r="EL667" s="1881"/>
      <c r="EM667" s="1881"/>
    </row>
    <row r="668" spans="140:143">
      <c r="EJ668" s="1881"/>
      <c r="EL668" s="1881"/>
      <c r="EM668" s="1881"/>
    </row>
    <row r="669" spans="140:143">
      <c r="EJ669" s="1881"/>
      <c r="EL669" s="1881"/>
      <c r="EM669" s="1881"/>
    </row>
    <row r="670" spans="140:143">
      <c r="EJ670" s="1881"/>
      <c r="EL670" s="1881"/>
      <c r="EM670" s="1881"/>
    </row>
    <row r="671" spans="140:143">
      <c r="EJ671" s="1881"/>
      <c r="EL671" s="1881"/>
      <c r="EM671" s="1881"/>
    </row>
    <row r="672" spans="140:143">
      <c r="EJ672" s="1881"/>
      <c r="EL672" s="1881"/>
      <c r="EM672" s="1881"/>
    </row>
    <row r="673" spans="140:143">
      <c r="EJ673" s="1881"/>
      <c r="EL673" s="1881"/>
      <c r="EM673" s="1881"/>
    </row>
    <row r="674" spans="140:143">
      <c r="EJ674" s="1881"/>
      <c r="EL674" s="1881"/>
      <c r="EM674" s="1881"/>
    </row>
    <row r="675" spans="140:143">
      <c r="EJ675" s="1881"/>
      <c r="EL675" s="1881"/>
      <c r="EM675" s="1881"/>
    </row>
    <row r="676" spans="140:143">
      <c r="EJ676" s="1881"/>
      <c r="EL676" s="1881"/>
      <c r="EM676" s="1881"/>
    </row>
    <row r="677" spans="140:143">
      <c r="EJ677" s="1881"/>
      <c r="EL677" s="1881"/>
      <c r="EM677" s="1881"/>
    </row>
    <row r="678" spans="140:143">
      <c r="EJ678" s="1881"/>
      <c r="EL678" s="1881"/>
      <c r="EM678" s="1881"/>
    </row>
    <row r="679" spans="140:143">
      <c r="EJ679" s="1881"/>
      <c r="EL679" s="1881"/>
      <c r="EM679" s="1881"/>
    </row>
    <row r="680" spans="140:143">
      <c r="EJ680" s="1881"/>
      <c r="EL680" s="1881"/>
      <c r="EM680" s="1881"/>
    </row>
    <row r="681" spans="140:143">
      <c r="EJ681" s="1881"/>
      <c r="EL681" s="1881"/>
      <c r="EM681" s="1881"/>
    </row>
    <row r="682" spans="140:143">
      <c r="EJ682" s="1881"/>
      <c r="EL682" s="1881"/>
      <c r="EM682" s="1881"/>
    </row>
    <row r="683" spans="140:143">
      <c r="EJ683" s="1881"/>
      <c r="EL683" s="1881"/>
      <c r="EM683" s="1881"/>
    </row>
    <row r="684" spans="140:143">
      <c r="EJ684" s="1881"/>
      <c r="EL684" s="1881"/>
      <c r="EM684" s="1881"/>
    </row>
    <row r="685" spans="140:143">
      <c r="EJ685" s="1881"/>
      <c r="EL685" s="1881"/>
      <c r="EM685" s="1881"/>
    </row>
    <row r="686" spans="140:143">
      <c r="EJ686" s="1881"/>
      <c r="EL686" s="1881"/>
      <c r="EM686" s="1881"/>
    </row>
    <row r="687" spans="140:143">
      <c r="EJ687" s="1881"/>
      <c r="EL687" s="1881"/>
      <c r="EM687" s="1881"/>
    </row>
    <row r="688" spans="140:143">
      <c r="EJ688" s="1881"/>
      <c r="EL688" s="1881"/>
      <c r="EM688" s="1881"/>
    </row>
    <row r="689" spans="140:143">
      <c r="EJ689" s="1881"/>
      <c r="EL689" s="1881"/>
      <c r="EM689" s="1881"/>
    </row>
    <row r="690" spans="140:143">
      <c r="EJ690" s="1881"/>
      <c r="EL690" s="1881"/>
      <c r="EM690" s="1881"/>
    </row>
    <row r="691" spans="140:143">
      <c r="EJ691" s="1881"/>
      <c r="EL691" s="1881"/>
      <c r="EM691" s="1881"/>
    </row>
    <row r="692" spans="140:143">
      <c r="EJ692" s="1881"/>
      <c r="EL692" s="1881"/>
      <c r="EM692" s="1881"/>
    </row>
    <row r="693" spans="140:143">
      <c r="EJ693" s="1881"/>
      <c r="EL693" s="1881"/>
      <c r="EM693" s="1881"/>
    </row>
    <row r="694" spans="140:143">
      <c r="EJ694" s="1881"/>
      <c r="EL694" s="1881"/>
      <c r="EM694" s="1881"/>
    </row>
    <row r="695" spans="140:143">
      <c r="EJ695" s="1881"/>
      <c r="EL695" s="1881"/>
      <c r="EM695" s="1881"/>
    </row>
    <row r="696" spans="140:143">
      <c r="EJ696" s="1881"/>
      <c r="EL696" s="1881"/>
      <c r="EM696" s="1881"/>
    </row>
    <row r="697" spans="140:143">
      <c r="EJ697" s="1881"/>
      <c r="EL697" s="1881"/>
      <c r="EM697" s="1881"/>
    </row>
    <row r="698" spans="140:143">
      <c r="EJ698" s="1881"/>
      <c r="EL698" s="1881"/>
      <c r="EM698" s="1881"/>
    </row>
    <row r="699" spans="140:143">
      <c r="EJ699" s="1881"/>
      <c r="EL699" s="1881"/>
      <c r="EM699" s="1881"/>
    </row>
    <row r="700" spans="140:143">
      <c r="EJ700" s="1881"/>
      <c r="EL700" s="1881"/>
      <c r="EM700" s="1881"/>
    </row>
    <row r="701" spans="140:143">
      <c r="EJ701" s="1881"/>
      <c r="EL701" s="1881"/>
      <c r="EM701" s="1881"/>
    </row>
    <row r="702" spans="140:143">
      <c r="EJ702" s="1881"/>
      <c r="EL702" s="1881"/>
      <c r="EM702" s="1881"/>
    </row>
    <row r="703" spans="140:143">
      <c r="EJ703" s="1881"/>
      <c r="EL703" s="1881"/>
      <c r="EM703" s="1881"/>
    </row>
    <row r="704" spans="140:143">
      <c r="EJ704" s="1881"/>
      <c r="EL704" s="1881"/>
      <c r="EM704" s="1881"/>
    </row>
    <row r="705" spans="140:143">
      <c r="EJ705" s="1881"/>
      <c r="EL705" s="1881"/>
      <c r="EM705" s="1881"/>
    </row>
    <row r="706" spans="140:143">
      <c r="EJ706" s="1881"/>
      <c r="EL706" s="1881"/>
      <c r="EM706" s="1881"/>
    </row>
    <row r="707" spans="140:143">
      <c r="EJ707" s="1881"/>
      <c r="EL707" s="1881"/>
      <c r="EM707" s="1881"/>
    </row>
    <row r="708" spans="140:143">
      <c r="EJ708" s="1881"/>
      <c r="EL708" s="1881"/>
      <c r="EM708" s="1881"/>
    </row>
    <row r="709" spans="140:143">
      <c r="EJ709" s="1881"/>
      <c r="EL709" s="1881"/>
      <c r="EM709" s="1881"/>
    </row>
    <row r="710" spans="140:143">
      <c r="EJ710" s="1881"/>
      <c r="EL710" s="1881"/>
      <c r="EM710" s="1881"/>
    </row>
    <row r="711" spans="140:143">
      <c r="EJ711" s="1881"/>
      <c r="EL711" s="1881"/>
      <c r="EM711" s="1881"/>
    </row>
    <row r="712" spans="140:143">
      <c r="EJ712" s="1881"/>
      <c r="EL712" s="1881"/>
      <c r="EM712" s="1881"/>
    </row>
    <row r="713" spans="140:143">
      <c r="EJ713" s="1881"/>
      <c r="EL713" s="1881"/>
      <c r="EM713" s="1881"/>
    </row>
    <row r="714" spans="140:143">
      <c r="EJ714" s="1881"/>
      <c r="EL714" s="1881"/>
      <c r="EM714" s="1881"/>
    </row>
    <row r="715" spans="140:143">
      <c r="EJ715" s="1881"/>
      <c r="EL715" s="1881"/>
      <c r="EM715" s="1881"/>
    </row>
    <row r="716" spans="140:143">
      <c r="EJ716" s="1881"/>
      <c r="EL716" s="1881"/>
      <c r="EM716" s="1881"/>
    </row>
    <row r="717" spans="140:143">
      <c r="EJ717" s="1881"/>
      <c r="EL717" s="1881"/>
      <c r="EM717" s="1881"/>
    </row>
    <row r="718" spans="140:143">
      <c r="EJ718" s="1881"/>
      <c r="EL718" s="1881"/>
      <c r="EM718" s="1881"/>
    </row>
    <row r="719" spans="140:143">
      <c r="EJ719" s="1881"/>
      <c r="EL719" s="1881"/>
      <c r="EM719" s="1881"/>
    </row>
    <row r="720" spans="140:143">
      <c r="EJ720" s="1881"/>
      <c r="EL720" s="1881"/>
      <c r="EM720" s="1881"/>
    </row>
    <row r="721" spans="140:143">
      <c r="EJ721" s="1881"/>
      <c r="EL721" s="1881"/>
      <c r="EM721" s="1881"/>
    </row>
    <row r="722" spans="140:143">
      <c r="EJ722" s="1881"/>
      <c r="EL722" s="1881"/>
      <c r="EM722" s="1881"/>
    </row>
    <row r="723" spans="140:143">
      <c r="EJ723" s="1881"/>
      <c r="EL723" s="1881"/>
      <c r="EM723" s="1881"/>
    </row>
    <row r="724" spans="140:143">
      <c r="EJ724" s="1881"/>
      <c r="EL724" s="1881"/>
      <c r="EM724" s="1881"/>
    </row>
    <row r="725" spans="140:143">
      <c r="EJ725" s="1881"/>
      <c r="EL725" s="1881"/>
      <c r="EM725" s="1881"/>
    </row>
    <row r="726" spans="140:143">
      <c r="EJ726" s="1881"/>
      <c r="EL726" s="1881"/>
      <c r="EM726" s="1881"/>
    </row>
    <row r="727" spans="140:143">
      <c r="EJ727" s="1881"/>
      <c r="EL727" s="1881"/>
      <c r="EM727" s="1881"/>
    </row>
    <row r="728" spans="140:143">
      <c r="EJ728" s="1881"/>
      <c r="EL728" s="1881"/>
      <c r="EM728" s="1881"/>
    </row>
    <row r="729" spans="140:143">
      <c r="EJ729" s="1881"/>
      <c r="EL729" s="1881"/>
      <c r="EM729" s="1881"/>
    </row>
    <row r="730" spans="140:143">
      <c r="EJ730" s="1881"/>
      <c r="EL730" s="1881"/>
      <c r="EM730" s="1881"/>
    </row>
    <row r="731" spans="140:143">
      <c r="EJ731" s="1881"/>
      <c r="EL731" s="1881"/>
      <c r="EM731" s="1881"/>
    </row>
    <row r="732" spans="140:143">
      <c r="EJ732" s="1881"/>
      <c r="EL732" s="1881"/>
      <c r="EM732" s="1881"/>
    </row>
    <row r="733" spans="140:143">
      <c r="EJ733" s="1881"/>
      <c r="EL733" s="1881"/>
      <c r="EM733" s="1881"/>
    </row>
    <row r="734" spans="140:143">
      <c r="EJ734" s="1881"/>
      <c r="EL734" s="1881"/>
      <c r="EM734" s="1881"/>
    </row>
    <row r="735" spans="140:143">
      <c r="EJ735" s="1881"/>
      <c r="EL735" s="1881"/>
      <c r="EM735" s="1881"/>
    </row>
    <row r="736" spans="140:143">
      <c r="EJ736" s="1881"/>
      <c r="EL736" s="1881"/>
      <c r="EM736" s="1881"/>
    </row>
    <row r="737" spans="140:143">
      <c r="EJ737" s="1881"/>
      <c r="EL737" s="1881"/>
      <c r="EM737" s="1881"/>
    </row>
    <row r="738" spans="140:143">
      <c r="EJ738" s="1881"/>
      <c r="EL738" s="1881"/>
      <c r="EM738" s="1881"/>
    </row>
    <row r="739" spans="140:143">
      <c r="EJ739" s="1881"/>
      <c r="EL739" s="1881"/>
      <c r="EM739" s="1881"/>
    </row>
    <row r="740" spans="140:143">
      <c r="EJ740" s="1881"/>
      <c r="EL740" s="1881"/>
      <c r="EM740" s="1881"/>
    </row>
    <row r="741" spans="140:143">
      <c r="EJ741" s="1881"/>
      <c r="EL741" s="1881"/>
      <c r="EM741" s="1881"/>
    </row>
    <row r="742" spans="140:143">
      <c r="EJ742" s="1881"/>
      <c r="EL742" s="1881"/>
      <c r="EM742" s="1881"/>
    </row>
    <row r="743" spans="140:143">
      <c r="EJ743" s="1881"/>
      <c r="EL743" s="1881"/>
      <c r="EM743" s="1881"/>
    </row>
    <row r="744" spans="140:143">
      <c r="EJ744" s="1881"/>
      <c r="EL744" s="1881"/>
      <c r="EM744" s="1881"/>
    </row>
    <row r="745" spans="140:143">
      <c r="EJ745" s="1881"/>
      <c r="EL745" s="1881"/>
      <c r="EM745" s="1881"/>
    </row>
    <row r="746" spans="140:143">
      <c r="EJ746" s="1881"/>
      <c r="EL746" s="1881"/>
      <c r="EM746" s="1881"/>
    </row>
    <row r="747" spans="140:143">
      <c r="EJ747" s="1881"/>
      <c r="EL747" s="1881"/>
      <c r="EM747" s="1881"/>
    </row>
    <row r="748" spans="140:143">
      <c r="EJ748" s="1881"/>
      <c r="EL748" s="1881"/>
      <c r="EM748" s="1881"/>
    </row>
    <row r="749" spans="140:143">
      <c r="EJ749" s="1881"/>
      <c r="EL749" s="1881"/>
      <c r="EM749" s="1881"/>
    </row>
    <row r="750" spans="140:143">
      <c r="EJ750" s="1881"/>
      <c r="EL750" s="1881"/>
      <c r="EM750" s="1881"/>
    </row>
    <row r="751" spans="140:143">
      <c r="EJ751" s="1881"/>
      <c r="EL751" s="1881"/>
      <c r="EM751" s="1881"/>
    </row>
    <row r="752" spans="140:143">
      <c r="EJ752" s="1881"/>
      <c r="EL752" s="1881"/>
      <c r="EM752" s="1881"/>
    </row>
    <row r="753" spans="140:143">
      <c r="EJ753" s="1881"/>
      <c r="EL753" s="1881"/>
      <c r="EM753" s="1881"/>
    </row>
    <row r="754" spans="140:143">
      <c r="EJ754" s="1881"/>
      <c r="EL754" s="1881"/>
      <c r="EM754" s="1881"/>
    </row>
    <row r="755" spans="140:143">
      <c r="EJ755" s="1881"/>
      <c r="EL755" s="1881"/>
      <c r="EM755" s="1881"/>
    </row>
    <row r="756" spans="140:143">
      <c r="EJ756" s="1881"/>
      <c r="EL756" s="1881"/>
      <c r="EM756" s="1881"/>
    </row>
    <row r="757" spans="140:143">
      <c r="EJ757" s="1881"/>
      <c r="EL757" s="1881"/>
      <c r="EM757" s="1881"/>
    </row>
    <row r="758" spans="140:143">
      <c r="EJ758" s="1881"/>
      <c r="EL758" s="1881"/>
      <c r="EM758" s="1881"/>
    </row>
    <row r="759" spans="140:143">
      <c r="EJ759" s="1881"/>
      <c r="EL759" s="1881"/>
      <c r="EM759" s="1881"/>
    </row>
    <row r="760" spans="140:143">
      <c r="EJ760" s="1881"/>
      <c r="EL760" s="1881"/>
      <c r="EM760" s="1881"/>
    </row>
    <row r="761" spans="140:143">
      <c r="EJ761" s="1881"/>
      <c r="EL761" s="1881"/>
      <c r="EM761" s="1881"/>
    </row>
    <row r="762" spans="140:143">
      <c r="EJ762" s="1881"/>
      <c r="EL762" s="1881"/>
      <c r="EM762" s="1881"/>
    </row>
    <row r="763" spans="140:143">
      <c r="EJ763" s="1881"/>
      <c r="EL763" s="1881"/>
      <c r="EM763" s="1881"/>
    </row>
    <row r="764" spans="140:143">
      <c r="EJ764" s="1881"/>
      <c r="EL764" s="1881"/>
      <c r="EM764" s="1881"/>
    </row>
    <row r="765" spans="140:143">
      <c r="EJ765" s="1881"/>
      <c r="EL765" s="1881"/>
      <c r="EM765" s="1881"/>
    </row>
    <row r="766" spans="140:143">
      <c r="EJ766" s="1881"/>
      <c r="EL766" s="1881"/>
      <c r="EM766" s="1881"/>
    </row>
    <row r="767" spans="140:143">
      <c r="EJ767" s="1881"/>
      <c r="EL767" s="1881"/>
      <c r="EM767" s="1881"/>
    </row>
    <row r="768" spans="140:143">
      <c r="EJ768" s="1881"/>
      <c r="EL768" s="1881"/>
      <c r="EM768" s="1881"/>
    </row>
    <row r="769" spans="140:143">
      <c r="EJ769" s="1881"/>
      <c r="EL769" s="1881"/>
      <c r="EM769" s="1881"/>
    </row>
    <row r="770" spans="140:143">
      <c r="EJ770" s="1881"/>
      <c r="EL770" s="1881"/>
      <c r="EM770" s="1881"/>
    </row>
    <row r="771" spans="140:143">
      <c r="EJ771" s="1881"/>
      <c r="EL771" s="1881"/>
      <c r="EM771" s="1881"/>
    </row>
    <row r="772" spans="140:143">
      <c r="EJ772" s="1881"/>
      <c r="EL772" s="1881"/>
      <c r="EM772" s="1881"/>
    </row>
    <row r="773" spans="140:143">
      <c r="EJ773" s="1881"/>
      <c r="EL773" s="1881"/>
      <c r="EM773" s="1881"/>
    </row>
    <row r="774" spans="140:143">
      <c r="EJ774" s="1881"/>
      <c r="EL774" s="1881"/>
      <c r="EM774" s="1881"/>
    </row>
    <row r="775" spans="140:143">
      <c r="EJ775" s="1881"/>
      <c r="EL775" s="1881"/>
      <c r="EM775" s="1881"/>
    </row>
    <row r="776" spans="140:143">
      <c r="EJ776" s="1881"/>
      <c r="EL776" s="1881"/>
      <c r="EM776" s="1881"/>
    </row>
    <row r="777" spans="140:143">
      <c r="EJ777" s="1881"/>
      <c r="EL777" s="1881"/>
      <c r="EM777" s="1881"/>
    </row>
    <row r="778" spans="140:143">
      <c r="EJ778" s="1881"/>
      <c r="EL778" s="1881"/>
      <c r="EM778" s="1881"/>
    </row>
    <row r="779" spans="140:143">
      <c r="EJ779" s="1881"/>
      <c r="EL779" s="1881"/>
      <c r="EM779" s="1881"/>
    </row>
    <row r="780" spans="140:143">
      <c r="EJ780" s="1881"/>
      <c r="EL780" s="1881"/>
      <c r="EM780" s="1881"/>
    </row>
    <row r="781" spans="140:143">
      <c r="EJ781" s="1881"/>
      <c r="EL781" s="1881"/>
      <c r="EM781" s="1881"/>
    </row>
    <row r="782" spans="140:143">
      <c r="EJ782" s="1881"/>
      <c r="EL782" s="1881"/>
      <c r="EM782" s="1881"/>
    </row>
    <row r="783" spans="140:143">
      <c r="EJ783" s="1881"/>
      <c r="EL783" s="1881"/>
      <c r="EM783" s="1881"/>
    </row>
    <row r="784" spans="140:143">
      <c r="EJ784" s="1881"/>
      <c r="EL784" s="1881"/>
      <c r="EM784" s="1881"/>
    </row>
    <row r="785" spans="140:143">
      <c r="EJ785" s="1881"/>
      <c r="EL785" s="1881"/>
      <c r="EM785" s="1881"/>
    </row>
    <row r="786" spans="140:143">
      <c r="EJ786" s="1881"/>
      <c r="EL786" s="1881"/>
      <c r="EM786" s="1881"/>
    </row>
    <row r="787" spans="140:143">
      <c r="EJ787" s="1881"/>
      <c r="EL787" s="1881"/>
      <c r="EM787" s="1881"/>
    </row>
    <row r="788" spans="140:143">
      <c r="EJ788" s="1881"/>
      <c r="EL788" s="1881"/>
      <c r="EM788" s="1881"/>
    </row>
    <row r="789" spans="140:143">
      <c r="EJ789" s="1881"/>
      <c r="EL789" s="1881"/>
      <c r="EM789" s="1881"/>
    </row>
    <row r="790" spans="140:143">
      <c r="EJ790" s="1881"/>
      <c r="EL790" s="1881"/>
      <c r="EM790" s="1881"/>
    </row>
    <row r="791" spans="140:143">
      <c r="EJ791" s="1881"/>
      <c r="EL791" s="1881"/>
      <c r="EM791" s="1881"/>
    </row>
    <row r="792" spans="140:143">
      <c r="EJ792" s="1881"/>
      <c r="EL792" s="1881"/>
      <c r="EM792" s="1881"/>
    </row>
    <row r="793" spans="140:143">
      <c r="EJ793" s="1881"/>
      <c r="EL793" s="1881"/>
      <c r="EM793" s="1881"/>
    </row>
    <row r="794" spans="140:143">
      <c r="EJ794" s="1881"/>
      <c r="EL794" s="1881"/>
      <c r="EM794" s="1881"/>
    </row>
    <row r="795" spans="140:143">
      <c r="EJ795" s="1881"/>
      <c r="EL795" s="1881"/>
      <c r="EM795" s="1881"/>
    </row>
    <row r="796" spans="140:143">
      <c r="EJ796" s="1881"/>
      <c r="EL796" s="1881"/>
      <c r="EM796" s="1881"/>
    </row>
    <row r="797" spans="140:143">
      <c r="EJ797" s="1881"/>
      <c r="EL797" s="1881"/>
      <c r="EM797" s="1881"/>
    </row>
    <row r="798" spans="140:143">
      <c r="EJ798" s="1881"/>
      <c r="EL798" s="1881"/>
      <c r="EM798" s="1881"/>
    </row>
    <row r="799" spans="140:143">
      <c r="EJ799" s="1881"/>
      <c r="EL799" s="1881"/>
      <c r="EM799" s="1881"/>
    </row>
    <row r="800" spans="140:143">
      <c r="EJ800" s="1881"/>
      <c r="EL800" s="1881"/>
      <c r="EM800" s="1881"/>
    </row>
    <row r="801" spans="140:143">
      <c r="EJ801" s="1881"/>
      <c r="EL801" s="1881"/>
      <c r="EM801" s="1881"/>
    </row>
    <row r="802" spans="140:143">
      <c r="EJ802" s="1881"/>
      <c r="EL802" s="1881"/>
      <c r="EM802" s="1881"/>
    </row>
    <row r="803" spans="140:143">
      <c r="EJ803" s="1881"/>
      <c r="EL803" s="1881"/>
      <c r="EM803" s="1881"/>
    </row>
    <row r="804" spans="140:143">
      <c r="EJ804" s="1881"/>
      <c r="EL804" s="1881"/>
      <c r="EM804" s="1881"/>
    </row>
    <row r="805" spans="140:143">
      <c r="EJ805" s="1881"/>
      <c r="EL805" s="1881"/>
      <c r="EM805" s="1881"/>
    </row>
    <row r="806" spans="140:143">
      <c r="EJ806" s="1881"/>
      <c r="EL806" s="1881"/>
      <c r="EM806" s="1881"/>
    </row>
    <row r="807" spans="140:143">
      <c r="EJ807" s="1881"/>
      <c r="EL807" s="1881"/>
      <c r="EM807" s="1881"/>
    </row>
    <row r="808" spans="140:143">
      <c r="EJ808" s="1881"/>
      <c r="EL808" s="1881"/>
      <c r="EM808" s="1881"/>
    </row>
    <row r="809" spans="140:143">
      <c r="EJ809" s="1881"/>
      <c r="EL809" s="1881"/>
      <c r="EM809" s="1881"/>
    </row>
    <row r="810" spans="140:143">
      <c r="EJ810" s="1881"/>
      <c r="EL810" s="1881"/>
      <c r="EM810" s="1881"/>
    </row>
    <row r="811" spans="140:143">
      <c r="EJ811" s="1881"/>
      <c r="EL811" s="1881"/>
      <c r="EM811" s="1881"/>
    </row>
    <row r="812" spans="140:143">
      <c r="EJ812" s="1881"/>
      <c r="EL812" s="1881"/>
      <c r="EM812" s="1881"/>
    </row>
    <row r="813" spans="140:143">
      <c r="EJ813" s="1881"/>
      <c r="EL813" s="1881"/>
      <c r="EM813" s="1881"/>
    </row>
    <row r="814" spans="140:143">
      <c r="EJ814" s="1881"/>
      <c r="EL814" s="1881"/>
      <c r="EM814" s="1881"/>
    </row>
    <row r="815" spans="140:143">
      <c r="EJ815" s="1881"/>
      <c r="EL815" s="1881"/>
      <c r="EM815" s="1881"/>
    </row>
    <row r="816" spans="140:143">
      <c r="EJ816" s="1881"/>
      <c r="EL816" s="1881"/>
      <c r="EM816" s="1881"/>
    </row>
    <row r="817" spans="140:143">
      <c r="EJ817" s="1881"/>
      <c r="EL817" s="1881"/>
      <c r="EM817" s="1881"/>
    </row>
    <row r="818" spans="140:143">
      <c r="EJ818" s="1881"/>
      <c r="EL818" s="1881"/>
      <c r="EM818" s="1881"/>
    </row>
    <row r="819" spans="140:143">
      <c r="EJ819" s="1881"/>
      <c r="EL819" s="1881"/>
      <c r="EM819" s="1881"/>
    </row>
    <row r="820" spans="140:143">
      <c r="EJ820" s="1881"/>
      <c r="EL820" s="1881"/>
      <c r="EM820" s="1881"/>
    </row>
    <row r="821" spans="140:143">
      <c r="EJ821" s="1881"/>
      <c r="EL821" s="1881"/>
      <c r="EM821" s="1881"/>
    </row>
    <row r="822" spans="140:143">
      <c r="EJ822" s="1881"/>
      <c r="EL822" s="1881"/>
      <c r="EM822" s="1881"/>
    </row>
    <row r="823" spans="140:143">
      <c r="EJ823" s="1881"/>
      <c r="EL823" s="1881"/>
      <c r="EM823" s="1881"/>
    </row>
    <row r="824" spans="140:143">
      <c r="EJ824" s="1881"/>
      <c r="EL824" s="1881"/>
      <c r="EM824" s="1881"/>
    </row>
    <row r="825" spans="140:143">
      <c r="EJ825" s="1881"/>
      <c r="EL825" s="1881"/>
      <c r="EM825" s="1881"/>
    </row>
    <row r="826" spans="140:143">
      <c r="EJ826" s="1881"/>
      <c r="EL826" s="1881"/>
      <c r="EM826" s="1881"/>
    </row>
    <row r="827" spans="140:143">
      <c r="EJ827" s="1881"/>
      <c r="EL827" s="1881"/>
      <c r="EM827" s="1881"/>
    </row>
    <row r="828" spans="140:143">
      <c r="EJ828" s="1881"/>
      <c r="EL828" s="1881"/>
      <c r="EM828" s="1881"/>
    </row>
    <row r="829" spans="140:143">
      <c r="EJ829" s="1881"/>
      <c r="EL829" s="1881"/>
      <c r="EM829" s="1881"/>
    </row>
    <row r="830" spans="140:143">
      <c r="EJ830" s="1881"/>
      <c r="EL830" s="1881"/>
      <c r="EM830" s="1881"/>
    </row>
    <row r="831" spans="140:143">
      <c r="EJ831" s="1881"/>
      <c r="EL831" s="1881"/>
      <c r="EM831" s="1881"/>
    </row>
    <row r="832" spans="140:143">
      <c r="EJ832" s="1881"/>
      <c r="EL832" s="1881"/>
      <c r="EM832" s="1881"/>
    </row>
    <row r="833" spans="140:143">
      <c r="EJ833" s="1881"/>
      <c r="EL833" s="1881"/>
      <c r="EM833" s="1881"/>
    </row>
    <row r="834" spans="140:143">
      <c r="EJ834" s="1881"/>
      <c r="EL834" s="1881"/>
      <c r="EM834" s="1881"/>
    </row>
    <row r="835" spans="140:143">
      <c r="EJ835" s="1881"/>
      <c r="EL835" s="1881"/>
      <c r="EM835" s="1881"/>
    </row>
    <row r="836" spans="140:143">
      <c r="EJ836" s="1881"/>
      <c r="EL836" s="1881"/>
      <c r="EM836" s="1881"/>
    </row>
    <row r="837" spans="140:143">
      <c r="EJ837" s="1881"/>
      <c r="EL837" s="1881"/>
      <c r="EM837" s="1881"/>
    </row>
    <row r="838" spans="140:143">
      <c r="EJ838" s="1881"/>
      <c r="EL838" s="1881"/>
      <c r="EM838" s="1881"/>
    </row>
    <row r="839" spans="140:143">
      <c r="EJ839" s="1881"/>
      <c r="EL839" s="1881"/>
      <c r="EM839" s="1881"/>
    </row>
    <row r="840" spans="140:143">
      <c r="EJ840" s="1881"/>
      <c r="EL840" s="1881"/>
      <c r="EM840" s="1881"/>
    </row>
    <row r="841" spans="140:143">
      <c r="EJ841" s="1881"/>
      <c r="EL841" s="1881"/>
      <c r="EM841" s="1881"/>
    </row>
    <row r="842" spans="140:143">
      <c r="EJ842" s="1881"/>
      <c r="EL842" s="1881"/>
      <c r="EM842" s="1881"/>
    </row>
    <row r="843" spans="140:143">
      <c r="EJ843" s="1881"/>
      <c r="EL843" s="1881"/>
      <c r="EM843" s="1881"/>
    </row>
    <row r="844" spans="140:143">
      <c r="EJ844" s="1881"/>
      <c r="EL844" s="1881"/>
      <c r="EM844" s="1881"/>
    </row>
    <row r="845" spans="140:143">
      <c r="EJ845" s="1881"/>
      <c r="EL845" s="1881"/>
      <c r="EM845" s="1881"/>
    </row>
    <row r="846" spans="140:143">
      <c r="EJ846" s="1881"/>
      <c r="EL846" s="1881"/>
      <c r="EM846" s="1881"/>
    </row>
    <row r="847" spans="140:143">
      <c r="EJ847" s="1881"/>
      <c r="EL847" s="1881"/>
      <c r="EM847" s="1881"/>
    </row>
    <row r="848" spans="140:143">
      <c r="EJ848" s="1881"/>
      <c r="EL848" s="1881"/>
      <c r="EM848" s="1881"/>
    </row>
    <row r="849" spans="140:143">
      <c r="EJ849" s="1881"/>
      <c r="EL849" s="1881"/>
      <c r="EM849" s="1881"/>
    </row>
    <row r="850" spans="140:143">
      <c r="EJ850" s="1881"/>
      <c r="EL850" s="1881"/>
      <c r="EM850" s="1881"/>
    </row>
    <row r="851" spans="140:143">
      <c r="EJ851" s="1881"/>
      <c r="EL851" s="1881"/>
      <c r="EM851" s="1881"/>
    </row>
    <row r="852" spans="140:143">
      <c r="EJ852" s="1881"/>
      <c r="EL852" s="1881"/>
      <c r="EM852" s="1881"/>
    </row>
    <row r="853" spans="140:143">
      <c r="EJ853" s="1881"/>
      <c r="EL853" s="1881"/>
      <c r="EM853" s="1881"/>
    </row>
    <row r="854" spans="140:143">
      <c r="EJ854" s="1881"/>
      <c r="EL854" s="1881"/>
      <c r="EM854" s="1881"/>
    </row>
    <row r="855" spans="140:143">
      <c r="EJ855" s="1881"/>
      <c r="EL855" s="1881"/>
      <c r="EM855" s="1881"/>
    </row>
    <row r="856" spans="140:143">
      <c r="EJ856" s="1881"/>
      <c r="EL856" s="1881"/>
      <c r="EM856" s="1881"/>
    </row>
    <row r="857" spans="140:143">
      <c r="EJ857" s="1881"/>
      <c r="EL857" s="1881"/>
      <c r="EM857" s="1881"/>
    </row>
    <row r="858" spans="140:143">
      <c r="EJ858" s="1881"/>
      <c r="EL858" s="1881"/>
      <c r="EM858" s="1881"/>
    </row>
    <row r="859" spans="140:143">
      <c r="EJ859" s="1881"/>
      <c r="EL859" s="1881"/>
      <c r="EM859" s="1881"/>
    </row>
    <row r="860" spans="140:143">
      <c r="EJ860" s="1881"/>
      <c r="EL860" s="1881"/>
      <c r="EM860" s="1881"/>
    </row>
    <row r="861" spans="140:143">
      <c r="EJ861" s="1881"/>
      <c r="EL861" s="1881"/>
      <c r="EM861" s="1881"/>
    </row>
    <row r="862" spans="140:143">
      <c r="EJ862" s="1881"/>
      <c r="EL862" s="1881"/>
      <c r="EM862" s="1881"/>
    </row>
    <row r="863" spans="140:143">
      <c r="EJ863" s="1881"/>
      <c r="EL863" s="1881"/>
      <c r="EM863" s="1881"/>
    </row>
    <row r="864" spans="140:143">
      <c r="EJ864" s="1881"/>
      <c r="EL864" s="1881"/>
      <c r="EM864" s="1881"/>
    </row>
    <row r="865" spans="140:143">
      <c r="EJ865" s="1881"/>
      <c r="EL865" s="1881"/>
      <c r="EM865" s="1881"/>
    </row>
    <row r="866" spans="140:143">
      <c r="EJ866" s="1881"/>
      <c r="EL866" s="1881"/>
      <c r="EM866" s="1881"/>
    </row>
    <row r="867" spans="140:143">
      <c r="EJ867" s="1881"/>
      <c r="EL867" s="1881"/>
      <c r="EM867" s="1881"/>
    </row>
    <row r="868" spans="140:143">
      <c r="EJ868" s="1881"/>
      <c r="EL868" s="1881"/>
      <c r="EM868" s="1881"/>
    </row>
    <row r="869" spans="140:143">
      <c r="EJ869" s="1881"/>
      <c r="EL869" s="1881"/>
      <c r="EM869" s="1881"/>
    </row>
    <row r="870" spans="140:143">
      <c r="EJ870" s="1881"/>
      <c r="EL870" s="1881"/>
      <c r="EM870" s="1881"/>
    </row>
    <row r="871" spans="140:143">
      <c r="EJ871" s="1881"/>
      <c r="EL871" s="1881"/>
      <c r="EM871" s="1881"/>
    </row>
    <row r="872" spans="140:143">
      <c r="EJ872" s="1881"/>
      <c r="EL872" s="1881"/>
      <c r="EM872" s="1881"/>
    </row>
    <row r="873" spans="140:143">
      <c r="EJ873" s="1881"/>
      <c r="EL873" s="1881"/>
      <c r="EM873" s="1881"/>
    </row>
    <row r="874" spans="140:143">
      <c r="EJ874" s="1881"/>
      <c r="EL874" s="1881"/>
      <c r="EM874" s="1881"/>
    </row>
    <row r="875" spans="140:143">
      <c r="EJ875" s="1881"/>
      <c r="EL875" s="1881"/>
      <c r="EM875" s="1881"/>
    </row>
    <row r="876" spans="140:143">
      <c r="EJ876" s="1881"/>
      <c r="EL876" s="1881"/>
      <c r="EM876" s="1881"/>
    </row>
    <row r="877" spans="140:143">
      <c r="EJ877" s="1881"/>
      <c r="EL877" s="1881"/>
      <c r="EM877" s="1881"/>
    </row>
    <row r="878" spans="140:143">
      <c r="EJ878" s="1881"/>
      <c r="EL878" s="1881"/>
      <c r="EM878" s="1881"/>
    </row>
    <row r="879" spans="140:143">
      <c r="EJ879" s="1881"/>
      <c r="EL879" s="1881"/>
      <c r="EM879" s="1881"/>
    </row>
    <row r="880" spans="140:143">
      <c r="EJ880" s="1881"/>
      <c r="EL880" s="1881"/>
      <c r="EM880" s="1881"/>
    </row>
    <row r="881" spans="140:143">
      <c r="EJ881" s="1881"/>
      <c r="EL881" s="1881"/>
      <c r="EM881" s="1881"/>
    </row>
    <row r="882" spans="140:143">
      <c r="EJ882" s="1881"/>
      <c r="EL882" s="1881"/>
      <c r="EM882" s="1881"/>
    </row>
    <row r="883" spans="140:143">
      <c r="EJ883" s="1881"/>
      <c r="EL883" s="1881"/>
      <c r="EM883" s="1881"/>
    </row>
    <row r="884" spans="140:143">
      <c r="EJ884" s="1881"/>
      <c r="EL884" s="1881"/>
      <c r="EM884" s="1881"/>
    </row>
    <row r="885" spans="140:143">
      <c r="EJ885" s="1881"/>
      <c r="EL885" s="1881"/>
      <c r="EM885" s="1881"/>
    </row>
    <row r="886" spans="140:143">
      <c r="EJ886" s="1881"/>
      <c r="EL886" s="1881"/>
      <c r="EM886" s="1881"/>
    </row>
    <row r="887" spans="140:143">
      <c r="EJ887" s="1881"/>
      <c r="EL887" s="1881"/>
      <c r="EM887" s="1881"/>
    </row>
    <row r="888" spans="140:143">
      <c r="EJ888" s="1881"/>
      <c r="EL888" s="1881"/>
      <c r="EM888" s="1881"/>
    </row>
    <row r="889" spans="140:143">
      <c r="EJ889" s="1881"/>
      <c r="EL889" s="1881"/>
      <c r="EM889" s="1881"/>
    </row>
    <row r="890" spans="140:143">
      <c r="EJ890" s="1881"/>
      <c r="EL890" s="1881"/>
      <c r="EM890" s="1881"/>
    </row>
    <row r="891" spans="140:143">
      <c r="EJ891" s="1881"/>
      <c r="EL891" s="1881"/>
      <c r="EM891" s="1881"/>
    </row>
    <row r="892" spans="140:143">
      <c r="EJ892" s="1881"/>
      <c r="EL892" s="1881"/>
      <c r="EM892" s="1881"/>
    </row>
    <row r="893" spans="140:143">
      <c r="EJ893" s="1881"/>
      <c r="EL893" s="1881"/>
      <c r="EM893" s="1881"/>
    </row>
    <row r="894" spans="140:143">
      <c r="EJ894" s="1881"/>
      <c r="EL894" s="1881"/>
      <c r="EM894" s="1881"/>
    </row>
    <row r="895" spans="140:143">
      <c r="EJ895" s="1881"/>
      <c r="EL895" s="1881"/>
      <c r="EM895" s="1881"/>
    </row>
    <row r="896" spans="140:143">
      <c r="EJ896" s="1881"/>
      <c r="EL896" s="1881"/>
      <c r="EM896" s="1881"/>
    </row>
    <row r="897" spans="140:143">
      <c r="EJ897" s="1881"/>
      <c r="EL897" s="1881"/>
      <c r="EM897" s="1881"/>
    </row>
    <row r="898" spans="140:143">
      <c r="EJ898" s="1881"/>
      <c r="EL898" s="1881"/>
      <c r="EM898" s="1881"/>
    </row>
    <row r="899" spans="140:143">
      <c r="EJ899" s="1881"/>
      <c r="EL899" s="1881"/>
      <c r="EM899" s="1881"/>
    </row>
    <row r="900" spans="140:143">
      <c r="EJ900" s="1881"/>
      <c r="EL900" s="1881"/>
      <c r="EM900" s="1881"/>
    </row>
    <row r="901" spans="140:143">
      <c r="EJ901" s="1881"/>
      <c r="EL901" s="1881"/>
      <c r="EM901" s="1881"/>
    </row>
    <row r="902" spans="140:143">
      <c r="EJ902" s="1881"/>
      <c r="EL902" s="1881"/>
      <c r="EM902" s="1881"/>
    </row>
    <row r="903" spans="140:143">
      <c r="EJ903" s="1881"/>
      <c r="EL903" s="1881"/>
      <c r="EM903" s="1881"/>
    </row>
    <row r="904" spans="140:143">
      <c r="EJ904" s="1881"/>
      <c r="EL904" s="1881"/>
      <c r="EM904" s="1881"/>
    </row>
    <row r="905" spans="140:143">
      <c r="EJ905" s="1881"/>
      <c r="EL905" s="1881"/>
      <c r="EM905" s="1881"/>
    </row>
    <row r="906" spans="140:143">
      <c r="EJ906" s="1881"/>
      <c r="EL906" s="1881"/>
      <c r="EM906" s="1881"/>
    </row>
    <row r="907" spans="140:143">
      <c r="EJ907" s="1881"/>
      <c r="EL907" s="1881"/>
      <c r="EM907" s="1881"/>
    </row>
    <row r="908" spans="140:143">
      <c r="EJ908" s="1881"/>
      <c r="EL908" s="1881"/>
      <c r="EM908" s="1881"/>
    </row>
    <row r="909" spans="140:143">
      <c r="EJ909" s="1881"/>
      <c r="EL909" s="1881"/>
      <c r="EM909" s="1881"/>
    </row>
    <row r="910" spans="140:143">
      <c r="EJ910" s="1881"/>
      <c r="EL910" s="1881"/>
      <c r="EM910" s="1881"/>
    </row>
    <row r="911" spans="140:143">
      <c r="EJ911" s="1881"/>
      <c r="EL911" s="1881"/>
      <c r="EM911" s="1881"/>
    </row>
    <row r="912" spans="140:143">
      <c r="EJ912" s="1881"/>
      <c r="EL912" s="1881"/>
      <c r="EM912" s="1881"/>
    </row>
    <row r="913" spans="140:143">
      <c r="EJ913" s="1881"/>
      <c r="EL913" s="1881"/>
      <c r="EM913" s="1881"/>
    </row>
    <row r="914" spans="140:143">
      <c r="EJ914" s="1881"/>
      <c r="EL914" s="1881"/>
      <c r="EM914" s="1881"/>
    </row>
    <row r="915" spans="140:143">
      <c r="EJ915" s="1881"/>
      <c r="EL915" s="1881"/>
      <c r="EM915" s="1881"/>
    </row>
    <row r="916" spans="140:143">
      <c r="EJ916" s="1881"/>
      <c r="EL916" s="1881"/>
      <c r="EM916" s="1881"/>
    </row>
    <row r="917" spans="140:143">
      <c r="EJ917" s="1881"/>
      <c r="EL917" s="1881"/>
      <c r="EM917" s="1881"/>
    </row>
    <row r="918" spans="140:143">
      <c r="EJ918" s="1881"/>
      <c r="EL918" s="1881"/>
      <c r="EM918" s="1881"/>
    </row>
    <row r="919" spans="140:143">
      <c r="EJ919" s="1881"/>
      <c r="EL919" s="1881"/>
      <c r="EM919" s="1881"/>
    </row>
    <row r="920" spans="140:143">
      <c r="EJ920" s="1881"/>
      <c r="EL920" s="1881"/>
      <c r="EM920" s="1881"/>
    </row>
    <row r="921" spans="140:143">
      <c r="EJ921" s="1881"/>
      <c r="EL921" s="1881"/>
      <c r="EM921" s="1881"/>
    </row>
    <row r="922" spans="140:143">
      <c r="EJ922" s="1881"/>
      <c r="EL922" s="1881"/>
      <c r="EM922" s="1881"/>
    </row>
    <row r="923" spans="140:143">
      <c r="EJ923" s="1881"/>
      <c r="EL923" s="1881"/>
      <c r="EM923" s="1881"/>
    </row>
    <row r="924" spans="140:143">
      <c r="EJ924" s="1881"/>
      <c r="EL924" s="1881"/>
      <c r="EM924" s="1881"/>
    </row>
    <row r="925" spans="140:143">
      <c r="EJ925" s="1881"/>
      <c r="EL925" s="1881"/>
      <c r="EM925" s="1881"/>
    </row>
    <row r="926" spans="140:143">
      <c r="EJ926" s="1881"/>
      <c r="EL926" s="1881"/>
      <c r="EM926" s="1881"/>
    </row>
    <row r="927" spans="140:143">
      <c r="EJ927" s="1881"/>
      <c r="EL927" s="1881"/>
      <c r="EM927" s="1881"/>
    </row>
    <row r="928" spans="140:143">
      <c r="EJ928" s="1881"/>
      <c r="EL928" s="1881"/>
      <c r="EM928" s="1881"/>
    </row>
    <row r="929" spans="140:143">
      <c r="EJ929" s="1881"/>
      <c r="EL929" s="1881"/>
      <c r="EM929" s="1881"/>
    </row>
    <row r="930" spans="140:143">
      <c r="EJ930" s="1881"/>
      <c r="EL930" s="1881"/>
      <c r="EM930" s="1881"/>
    </row>
    <row r="931" spans="140:143">
      <c r="EJ931" s="1881"/>
      <c r="EL931" s="1881"/>
      <c r="EM931" s="1881"/>
    </row>
    <row r="932" spans="140:143">
      <c r="EJ932" s="1881"/>
      <c r="EL932" s="1881"/>
      <c r="EM932" s="1881"/>
    </row>
    <row r="933" spans="140:143">
      <c r="EJ933" s="1881"/>
      <c r="EL933" s="1881"/>
      <c r="EM933" s="1881"/>
    </row>
    <row r="934" spans="140:143">
      <c r="EJ934" s="1881"/>
      <c r="EL934" s="1881"/>
      <c r="EM934" s="1881"/>
    </row>
    <row r="935" spans="140:143">
      <c r="EJ935" s="1881"/>
      <c r="EL935" s="1881"/>
      <c r="EM935" s="1881"/>
    </row>
    <row r="936" spans="140:143">
      <c r="EJ936" s="1881"/>
      <c r="EL936" s="1881"/>
      <c r="EM936" s="1881"/>
    </row>
    <row r="937" spans="140:143">
      <c r="EJ937" s="1881"/>
      <c r="EL937" s="1881"/>
      <c r="EM937" s="1881"/>
    </row>
    <row r="938" spans="140:143">
      <c r="EJ938" s="1881"/>
      <c r="EL938" s="1881"/>
      <c r="EM938" s="1881"/>
    </row>
    <row r="939" spans="140:143">
      <c r="EJ939" s="1881"/>
      <c r="EL939" s="1881"/>
      <c r="EM939" s="1881"/>
    </row>
    <row r="940" spans="140:143">
      <c r="EJ940" s="1881"/>
      <c r="EL940" s="1881"/>
      <c r="EM940" s="1881"/>
    </row>
    <row r="941" spans="140:143">
      <c r="EJ941" s="1881"/>
      <c r="EL941" s="1881"/>
      <c r="EM941" s="1881"/>
    </row>
    <row r="942" spans="140:143">
      <c r="EJ942" s="1881"/>
      <c r="EL942" s="1881"/>
      <c r="EM942" s="1881"/>
    </row>
    <row r="943" spans="140:143">
      <c r="EJ943" s="1881"/>
      <c r="EL943" s="1881"/>
      <c r="EM943" s="1881"/>
    </row>
    <row r="944" spans="140:143">
      <c r="EJ944" s="1881"/>
      <c r="EL944" s="1881"/>
      <c r="EM944" s="1881"/>
    </row>
    <row r="945" spans="140:143">
      <c r="EJ945" s="1881"/>
      <c r="EL945" s="1881"/>
      <c r="EM945" s="1881"/>
    </row>
    <row r="946" spans="140:143">
      <c r="EJ946" s="1881"/>
      <c r="EL946" s="1881"/>
      <c r="EM946" s="1881"/>
    </row>
    <row r="947" spans="140:143">
      <c r="EJ947" s="1881"/>
      <c r="EL947" s="1881"/>
      <c r="EM947" s="1881"/>
    </row>
    <row r="948" spans="140:143">
      <c r="EJ948" s="1881"/>
      <c r="EL948" s="1881"/>
      <c r="EM948" s="1881"/>
    </row>
    <row r="949" spans="140:143">
      <c r="EJ949" s="1881"/>
      <c r="EL949" s="1881"/>
      <c r="EM949" s="1881"/>
    </row>
    <row r="950" spans="140:143">
      <c r="EJ950" s="1881"/>
      <c r="EL950" s="1881"/>
      <c r="EM950" s="1881"/>
    </row>
    <row r="951" spans="140:143">
      <c r="EJ951" s="1881"/>
      <c r="EL951" s="1881"/>
      <c r="EM951" s="1881"/>
    </row>
    <row r="952" spans="140:143">
      <c r="EJ952" s="1881"/>
      <c r="EL952" s="1881"/>
      <c r="EM952" s="1881"/>
    </row>
    <row r="953" spans="140:143">
      <c r="EJ953" s="1881"/>
      <c r="EL953" s="1881"/>
      <c r="EM953" s="1881"/>
    </row>
    <row r="954" spans="140:143">
      <c r="EJ954" s="1881"/>
      <c r="EL954" s="1881"/>
      <c r="EM954" s="1881"/>
    </row>
    <row r="955" spans="140:143">
      <c r="EJ955" s="1881"/>
      <c r="EL955" s="1881"/>
      <c r="EM955" s="1881"/>
    </row>
    <row r="956" spans="140:143">
      <c r="EJ956" s="1881"/>
      <c r="EL956" s="1881"/>
      <c r="EM956" s="1881"/>
    </row>
    <row r="957" spans="140:143">
      <c r="EJ957" s="1881"/>
      <c r="EL957" s="1881"/>
      <c r="EM957" s="1881"/>
    </row>
    <row r="958" spans="140:143">
      <c r="EJ958" s="1881"/>
      <c r="EL958" s="1881"/>
      <c r="EM958" s="1881"/>
    </row>
    <row r="959" spans="140:143">
      <c r="EJ959" s="1881"/>
      <c r="EL959" s="1881"/>
      <c r="EM959" s="1881"/>
    </row>
    <row r="960" spans="140:143">
      <c r="EJ960" s="1881"/>
      <c r="EL960" s="1881"/>
      <c r="EM960" s="1881"/>
    </row>
    <row r="961" spans="140:143">
      <c r="EJ961" s="1881"/>
      <c r="EL961" s="1881"/>
      <c r="EM961" s="1881"/>
    </row>
    <row r="962" spans="140:143">
      <c r="EJ962" s="1881"/>
      <c r="EL962" s="1881"/>
      <c r="EM962" s="1881"/>
    </row>
    <row r="963" spans="140:143">
      <c r="EJ963" s="1881"/>
      <c r="EL963" s="1881"/>
      <c r="EM963" s="1881"/>
    </row>
    <row r="964" spans="140:143">
      <c r="EJ964" s="1881"/>
      <c r="EL964" s="1881"/>
      <c r="EM964" s="1881"/>
    </row>
    <row r="965" spans="140:143">
      <c r="EJ965" s="1881"/>
      <c r="EL965" s="1881"/>
      <c r="EM965" s="1881"/>
    </row>
    <row r="966" spans="140:143">
      <c r="EJ966" s="1881"/>
      <c r="EL966" s="1881"/>
      <c r="EM966" s="1881"/>
    </row>
    <row r="967" spans="140:143">
      <c r="EJ967" s="1881"/>
      <c r="EL967" s="1881"/>
      <c r="EM967" s="1881"/>
    </row>
    <row r="968" spans="140:143">
      <c r="EJ968" s="1881"/>
      <c r="EL968" s="1881"/>
      <c r="EM968" s="1881"/>
    </row>
    <row r="969" spans="140:143">
      <c r="EJ969" s="1881"/>
      <c r="EL969" s="1881"/>
      <c r="EM969" s="1881"/>
    </row>
    <row r="970" spans="140:143">
      <c r="EJ970" s="1881"/>
      <c r="EL970" s="1881"/>
      <c r="EM970" s="1881"/>
    </row>
    <row r="971" spans="140:143">
      <c r="EJ971" s="1881"/>
      <c r="EL971" s="1881"/>
      <c r="EM971" s="1881"/>
    </row>
    <row r="972" spans="140:143">
      <c r="EJ972" s="1881"/>
      <c r="EL972" s="1881"/>
      <c r="EM972" s="1881"/>
    </row>
    <row r="973" spans="140:143">
      <c r="EJ973" s="1881"/>
      <c r="EL973" s="1881"/>
      <c r="EM973" s="1881"/>
    </row>
    <row r="974" spans="140:143">
      <c r="EJ974" s="1881"/>
      <c r="EL974" s="1881"/>
      <c r="EM974" s="1881"/>
    </row>
    <row r="975" spans="140:143">
      <c r="EJ975" s="1881"/>
      <c r="EL975" s="1881"/>
      <c r="EM975" s="1881"/>
    </row>
    <row r="976" spans="140:143">
      <c r="EJ976" s="1881"/>
      <c r="EL976" s="1881"/>
      <c r="EM976" s="1881"/>
    </row>
    <row r="977" spans="140:143">
      <c r="EJ977" s="1881"/>
      <c r="EL977" s="1881"/>
      <c r="EM977" s="1881"/>
    </row>
    <row r="978" spans="140:143">
      <c r="EJ978" s="1881"/>
      <c r="EL978" s="1881"/>
      <c r="EM978" s="1881"/>
    </row>
    <row r="979" spans="140:143">
      <c r="EJ979" s="1881"/>
      <c r="EL979" s="1881"/>
      <c r="EM979" s="1881"/>
    </row>
    <row r="980" spans="140:143">
      <c r="EJ980" s="1881"/>
      <c r="EL980" s="1881"/>
      <c r="EM980" s="1881"/>
    </row>
    <row r="981" spans="140:143">
      <c r="EJ981" s="1881"/>
      <c r="EL981" s="1881"/>
      <c r="EM981" s="1881"/>
    </row>
    <row r="982" spans="140:143">
      <c r="EJ982" s="1881"/>
      <c r="EL982" s="1881"/>
      <c r="EM982" s="1881"/>
    </row>
    <row r="983" spans="140:143">
      <c r="EJ983" s="1881"/>
      <c r="EL983" s="1881"/>
      <c r="EM983" s="1881"/>
    </row>
    <row r="984" spans="140:143">
      <c r="EJ984" s="1881"/>
      <c r="EL984" s="1881"/>
      <c r="EM984" s="1881"/>
    </row>
    <row r="985" spans="140:143">
      <c r="EJ985" s="1881"/>
      <c r="EL985" s="1881"/>
      <c r="EM985" s="1881"/>
    </row>
    <row r="986" spans="140:143">
      <c r="EJ986" s="1881"/>
      <c r="EL986" s="1881"/>
      <c r="EM986" s="1881"/>
    </row>
    <row r="987" spans="140:143">
      <c r="EJ987" s="1881"/>
      <c r="EL987" s="1881"/>
      <c r="EM987" s="1881"/>
    </row>
    <row r="988" spans="140:143">
      <c r="EJ988" s="1881"/>
      <c r="EL988" s="1881"/>
      <c r="EM988" s="1881"/>
    </row>
    <row r="989" spans="140:143">
      <c r="EJ989" s="1881"/>
      <c r="EL989" s="1881"/>
      <c r="EM989" s="1881"/>
    </row>
    <row r="990" spans="140:143">
      <c r="EJ990" s="1881"/>
      <c r="EL990" s="1881"/>
      <c r="EM990" s="1881"/>
    </row>
    <row r="991" spans="140:143">
      <c r="EJ991" s="1881"/>
      <c r="EL991" s="1881"/>
      <c r="EM991" s="1881"/>
    </row>
    <row r="992" spans="140:143">
      <c r="EJ992" s="1881"/>
      <c r="EL992" s="1881"/>
      <c r="EM992" s="1881"/>
    </row>
    <row r="993" spans="140:143">
      <c r="EJ993" s="1881"/>
      <c r="EL993" s="1881"/>
      <c r="EM993" s="1881"/>
    </row>
    <row r="994" spans="140:143">
      <c r="EJ994" s="1881"/>
      <c r="EL994" s="1881"/>
      <c r="EM994" s="1881"/>
    </row>
    <row r="995" spans="140:143">
      <c r="EJ995" s="1881"/>
      <c r="EL995" s="1881"/>
      <c r="EM995" s="1881"/>
    </row>
    <row r="996" spans="140:143">
      <c r="EJ996" s="1881"/>
      <c r="EL996" s="1881"/>
      <c r="EM996" s="1881"/>
    </row>
    <row r="997" spans="140:143">
      <c r="EJ997" s="1881"/>
      <c r="EL997" s="1881"/>
      <c r="EM997" s="1881"/>
    </row>
    <row r="998" spans="140:143">
      <c r="EJ998" s="1881"/>
      <c r="EL998" s="1881"/>
      <c r="EM998" s="1881"/>
    </row>
    <row r="999" spans="140:143">
      <c r="EJ999" s="1881"/>
      <c r="EL999" s="1881"/>
      <c r="EM999" s="1881"/>
    </row>
    <row r="1000" spans="140:143">
      <c r="EJ1000" s="1881"/>
      <c r="EL1000" s="1881"/>
      <c r="EM1000" s="1881"/>
    </row>
    <row r="1001" spans="140:143">
      <c r="EJ1001" s="1881"/>
      <c r="EL1001" s="1881"/>
      <c r="EM1001" s="1881"/>
    </row>
    <row r="1002" spans="140:143">
      <c r="EJ1002" s="1881"/>
      <c r="EL1002" s="1881"/>
      <c r="EM1002" s="1881"/>
    </row>
    <row r="1003" spans="140:143">
      <c r="EJ1003" s="1881"/>
      <c r="EL1003" s="1881"/>
      <c r="EM1003" s="1881"/>
    </row>
    <row r="1004" spans="140:143">
      <c r="EJ1004" s="1881"/>
      <c r="EL1004" s="1881"/>
      <c r="EM1004" s="1881"/>
    </row>
    <row r="1005" spans="140:143">
      <c r="EJ1005" s="1881"/>
      <c r="EL1005" s="1881"/>
      <c r="EM1005" s="1881"/>
    </row>
    <row r="1006" spans="140:143">
      <c r="EJ1006" s="1881"/>
      <c r="EL1006" s="1881"/>
      <c r="EM1006" s="1881"/>
    </row>
    <row r="1007" spans="140:143">
      <c r="EJ1007" s="1881"/>
      <c r="EL1007" s="1881"/>
      <c r="EM1007" s="1881"/>
    </row>
    <row r="1008" spans="140:143">
      <c r="EJ1008" s="1881"/>
      <c r="EL1008" s="1881"/>
      <c r="EM1008" s="1881"/>
    </row>
    <row r="1009" spans="140:143">
      <c r="EJ1009" s="1881"/>
      <c r="EL1009" s="1881"/>
      <c r="EM1009" s="1881"/>
    </row>
    <row r="1010" spans="140:143">
      <c r="EJ1010" s="1881"/>
      <c r="EL1010" s="1881"/>
      <c r="EM1010" s="1881"/>
    </row>
    <row r="1011" spans="140:143">
      <c r="EJ1011" s="1881"/>
      <c r="EL1011" s="1881"/>
      <c r="EM1011" s="1881"/>
    </row>
    <row r="1012" spans="140:143">
      <c r="EJ1012" s="1881"/>
      <c r="EL1012" s="1881"/>
      <c r="EM1012" s="1881"/>
    </row>
    <row r="1013" spans="140:143">
      <c r="EJ1013" s="1881"/>
      <c r="EL1013" s="1881"/>
      <c r="EM1013" s="1881"/>
    </row>
    <row r="1014" spans="140:143">
      <c r="EJ1014" s="1881"/>
      <c r="EL1014" s="1881"/>
      <c r="EM1014" s="1881"/>
    </row>
    <row r="1015" spans="140:143">
      <c r="EJ1015" s="1881"/>
      <c r="EL1015" s="1881"/>
      <c r="EM1015" s="1881"/>
    </row>
    <row r="1016" spans="140:143">
      <c r="EJ1016" s="1881"/>
      <c r="EL1016" s="1881"/>
      <c r="EM1016" s="1881"/>
    </row>
    <row r="1017" spans="140:143">
      <c r="EJ1017" s="1881"/>
      <c r="EL1017" s="1881"/>
      <c r="EM1017" s="1881"/>
    </row>
    <row r="1018" spans="140:143">
      <c r="EJ1018" s="1881"/>
      <c r="EL1018" s="1881"/>
      <c r="EM1018" s="1881"/>
    </row>
    <row r="1019" spans="140:143">
      <c r="EJ1019" s="1881"/>
      <c r="EL1019" s="1881"/>
      <c r="EM1019" s="1881"/>
    </row>
    <row r="1020" spans="140:143">
      <c r="EJ1020" s="1881"/>
      <c r="EL1020" s="1881"/>
      <c r="EM1020" s="1881"/>
    </row>
    <row r="1021" spans="140:143">
      <c r="EJ1021" s="1881"/>
      <c r="EL1021" s="1881"/>
      <c r="EM1021" s="1881"/>
    </row>
    <row r="1022" spans="140:143">
      <c r="EJ1022" s="1881"/>
      <c r="EL1022" s="1881"/>
      <c r="EM1022" s="1881"/>
    </row>
    <row r="1023" spans="140:143">
      <c r="EJ1023" s="1881"/>
      <c r="EL1023" s="1881"/>
      <c r="EM1023" s="1881"/>
    </row>
    <row r="1024" spans="140:143">
      <c r="EJ1024" s="1881"/>
      <c r="EL1024" s="1881"/>
      <c r="EM1024" s="1881"/>
    </row>
    <row r="1025" spans="140:143">
      <c r="EJ1025" s="1881"/>
      <c r="EL1025" s="1881"/>
      <c r="EM1025" s="1881"/>
    </row>
    <row r="1026" spans="140:143">
      <c r="EJ1026" s="1881"/>
      <c r="EL1026" s="1881"/>
      <c r="EM1026" s="1881"/>
    </row>
    <row r="1027" spans="140:143">
      <c r="EJ1027" s="1881"/>
      <c r="EL1027" s="1881"/>
      <c r="EM1027" s="1881"/>
    </row>
    <row r="1028" spans="140:143">
      <c r="EJ1028" s="1881"/>
      <c r="EL1028" s="1881"/>
      <c r="EM1028" s="1881"/>
    </row>
    <row r="1029" spans="140:143">
      <c r="EJ1029" s="1881"/>
      <c r="EL1029" s="1881"/>
      <c r="EM1029" s="1881"/>
    </row>
    <row r="1030" spans="140:143">
      <c r="EJ1030" s="1881"/>
      <c r="EL1030" s="1881"/>
      <c r="EM1030" s="1881"/>
    </row>
    <row r="1031" spans="140:143">
      <c r="EJ1031" s="1881"/>
      <c r="EL1031" s="1881"/>
      <c r="EM1031" s="1881"/>
    </row>
    <row r="1032" spans="140:143">
      <c r="EJ1032" s="1881"/>
      <c r="EL1032" s="1881"/>
      <c r="EM1032" s="1881"/>
    </row>
    <row r="1033" spans="140:143">
      <c r="EJ1033" s="1881"/>
      <c r="EL1033" s="1881"/>
      <c r="EM1033" s="1881"/>
    </row>
    <row r="1034" spans="140:143">
      <c r="EJ1034" s="1881"/>
      <c r="EL1034" s="1881"/>
      <c r="EM1034" s="1881"/>
    </row>
    <row r="1035" spans="140:143">
      <c r="EJ1035" s="1881"/>
      <c r="EL1035" s="1881"/>
      <c r="EM1035" s="1881"/>
    </row>
    <row r="1036" spans="140:143">
      <c r="EJ1036" s="1881"/>
      <c r="EL1036" s="1881"/>
      <c r="EM1036" s="1881"/>
    </row>
    <row r="1037" spans="140:143">
      <c r="EJ1037" s="1881"/>
      <c r="EL1037" s="1881"/>
      <c r="EM1037" s="1881"/>
    </row>
    <row r="1038" spans="140:143">
      <c r="EJ1038" s="1881"/>
      <c r="EL1038" s="1881"/>
      <c r="EM1038" s="1881"/>
    </row>
    <row r="1039" spans="140:143">
      <c r="EJ1039" s="1881"/>
      <c r="EL1039" s="1881"/>
      <c r="EM1039" s="1881"/>
    </row>
    <row r="1040" spans="140:143">
      <c r="EJ1040" s="1881"/>
      <c r="EL1040" s="1881"/>
      <c r="EM1040" s="1881"/>
    </row>
    <row r="1041" spans="140:143">
      <c r="EJ1041" s="1881"/>
      <c r="EL1041" s="1881"/>
      <c r="EM1041" s="1881"/>
    </row>
    <row r="1042" spans="140:143">
      <c r="EJ1042" s="1881"/>
      <c r="EL1042" s="1881"/>
      <c r="EM1042" s="1881"/>
    </row>
    <row r="1043" spans="140:143">
      <c r="EJ1043" s="1881"/>
      <c r="EL1043" s="1881"/>
      <c r="EM1043" s="1881"/>
    </row>
    <row r="1044" spans="140:143">
      <c r="EJ1044" s="1881"/>
      <c r="EL1044" s="1881"/>
      <c r="EM1044" s="1881"/>
    </row>
    <row r="1045" spans="140:143">
      <c r="EJ1045" s="1881"/>
      <c r="EL1045" s="1881"/>
      <c r="EM1045" s="1881"/>
    </row>
    <row r="1046" spans="140:143">
      <c r="EJ1046" s="1881"/>
      <c r="EL1046" s="1881"/>
      <c r="EM1046" s="1881"/>
    </row>
    <row r="1047" spans="140:143">
      <c r="EJ1047" s="1881"/>
      <c r="EL1047" s="1881"/>
      <c r="EM1047" s="1881"/>
    </row>
    <row r="1048" spans="140:143">
      <c r="EJ1048" s="1881"/>
      <c r="EL1048" s="1881"/>
      <c r="EM1048" s="1881"/>
    </row>
    <row r="1049" spans="140:143">
      <c r="EJ1049" s="1881"/>
      <c r="EL1049" s="1881"/>
      <c r="EM1049" s="1881"/>
    </row>
    <row r="1050" spans="140:143">
      <c r="EJ1050" s="1881"/>
      <c r="EL1050" s="1881"/>
      <c r="EM1050" s="1881"/>
    </row>
    <row r="1051" spans="140:143">
      <c r="EJ1051" s="1881"/>
      <c r="EL1051" s="1881"/>
      <c r="EM1051" s="1881"/>
    </row>
    <row r="1052" spans="140:143">
      <c r="EJ1052" s="1881"/>
      <c r="EL1052" s="1881"/>
      <c r="EM1052" s="1881"/>
    </row>
    <row r="1053" spans="140:143">
      <c r="EJ1053" s="1881"/>
      <c r="EL1053" s="1881"/>
      <c r="EM1053" s="1881"/>
    </row>
    <row r="1054" spans="140:143">
      <c r="EJ1054" s="1881"/>
      <c r="EL1054" s="1881"/>
      <c r="EM1054" s="1881"/>
    </row>
    <row r="1055" spans="140:143">
      <c r="EJ1055" s="1881"/>
      <c r="EL1055" s="1881"/>
      <c r="EM1055" s="1881"/>
    </row>
    <row r="1056" spans="140:143">
      <c r="EJ1056" s="1881"/>
      <c r="EL1056" s="1881"/>
      <c r="EM1056" s="1881"/>
    </row>
    <row r="1057" spans="140:143">
      <c r="EJ1057" s="1881"/>
      <c r="EL1057" s="1881"/>
      <c r="EM1057" s="1881"/>
    </row>
    <row r="1058" spans="140:143">
      <c r="EJ1058" s="1881"/>
      <c r="EL1058" s="1881"/>
      <c r="EM1058" s="1881"/>
    </row>
    <row r="1059" spans="140:143">
      <c r="EJ1059" s="1881"/>
      <c r="EL1059" s="1881"/>
      <c r="EM1059" s="1881"/>
    </row>
    <row r="1060" spans="140:143">
      <c r="EJ1060" s="1881"/>
      <c r="EL1060" s="1881"/>
      <c r="EM1060" s="1881"/>
    </row>
    <row r="1061" spans="140:143">
      <c r="EJ1061" s="1881"/>
      <c r="EL1061" s="1881"/>
      <c r="EM1061" s="1881"/>
    </row>
    <row r="1062" spans="140:143">
      <c r="EJ1062" s="1881"/>
      <c r="EL1062" s="1881"/>
      <c r="EM1062" s="1881"/>
    </row>
    <row r="1063" spans="140:143">
      <c r="EJ1063" s="1881"/>
      <c r="EL1063" s="1881"/>
      <c r="EM1063" s="1881"/>
    </row>
    <row r="1064" spans="140:143">
      <c r="EJ1064" s="1881"/>
      <c r="EL1064" s="1881"/>
      <c r="EM1064" s="1881"/>
    </row>
    <row r="1065" spans="140:143">
      <c r="EJ1065" s="1881"/>
      <c r="EL1065" s="1881"/>
      <c r="EM1065" s="1881"/>
    </row>
    <row r="1066" spans="140:143">
      <c r="EJ1066" s="1881"/>
      <c r="EL1066" s="1881"/>
      <c r="EM1066" s="1881"/>
    </row>
    <row r="1067" spans="140:143">
      <c r="EJ1067" s="1881"/>
      <c r="EL1067" s="1881"/>
      <c r="EM1067" s="1881"/>
    </row>
    <row r="1068" spans="140:143">
      <c r="EJ1068" s="1881"/>
      <c r="EL1068" s="1881"/>
      <c r="EM1068" s="1881"/>
    </row>
    <row r="1069" spans="140:143">
      <c r="EJ1069" s="1881"/>
      <c r="EL1069" s="1881"/>
      <c r="EM1069" s="1881"/>
    </row>
    <row r="1070" spans="140:143">
      <c r="EJ1070" s="1881"/>
      <c r="EL1070" s="1881"/>
      <c r="EM1070" s="1881"/>
    </row>
    <row r="1071" spans="140:143">
      <c r="EJ1071" s="1881"/>
      <c r="EL1071" s="1881"/>
      <c r="EM1071" s="1881"/>
    </row>
    <row r="1072" spans="140:143">
      <c r="EJ1072" s="1881"/>
      <c r="EL1072" s="1881"/>
      <c r="EM1072" s="1881"/>
    </row>
    <row r="1073" spans="140:143">
      <c r="EJ1073" s="1881"/>
      <c r="EL1073" s="1881"/>
      <c r="EM1073" s="1881"/>
    </row>
    <row r="1074" spans="140:143">
      <c r="EJ1074" s="1881"/>
      <c r="EL1074" s="1881"/>
      <c r="EM1074" s="1881"/>
    </row>
    <row r="1075" spans="140:143">
      <c r="EJ1075" s="1881"/>
      <c r="EL1075" s="1881"/>
      <c r="EM1075" s="1881"/>
    </row>
    <row r="1076" spans="140:143">
      <c r="EJ1076" s="1881"/>
      <c r="EL1076" s="1881"/>
      <c r="EM1076" s="1881"/>
    </row>
    <row r="1077" spans="140:143">
      <c r="EJ1077" s="1881"/>
      <c r="EL1077" s="1881"/>
      <c r="EM1077" s="1881"/>
    </row>
    <row r="1078" spans="140:143">
      <c r="EJ1078" s="1881"/>
      <c r="EL1078" s="1881"/>
      <c r="EM1078" s="1881"/>
    </row>
    <row r="1079" spans="140:143">
      <c r="EJ1079" s="1881"/>
      <c r="EL1079" s="1881"/>
      <c r="EM1079" s="1881"/>
    </row>
    <row r="1080" spans="140:143">
      <c r="EJ1080" s="1881"/>
      <c r="EL1080" s="1881"/>
      <c r="EM1080" s="1881"/>
    </row>
    <row r="1081" spans="140:143">
      <c r="EJ1081" s="1881"/>
      <c r="EL1081" s="1881"/>
      <c r="EM1081" s="1881"/>
    </row>
    <row r="1082" spans="140:143">
      <c r="EJ1082" s="1881"/>
      <c r="EL1082" s="1881"/>
      <c r="EM1082" s="1881"/>
    </row>
    <row r="1083" spans="140:143">
      <c r="EJ1083" s="1881"/>
      <c r="EL1083" s="1881"/>
      <c r="EM1083" s="1881"/>
    </row>
    <row r="1084" spans="140:143">
      <c r="EJ1084" s="1881"/>
      <c r="EL1084" s="1881"/>
      <c r="EM1084" s="1881"/>
    </row>
    <row r="1085" spans="140:143">
      <c r="EJ1085" s="1881"/>
      <c r="EL1085" s="1881"/>
      <c r="EM1085" s="1881"/>
    </row>
    <row r="1086" spans="140:143">
      <c r="EJ1086" s="1881"/>
      <c r="EL1086" s="1881"/>
      <c r="EM1086" s="1881"/>
    </row>
    <row r="1087" spans="140:143">
      <c r="EJ1087" s="1881"/>
      <c r="EL1087" s="1881"/>
      <c r="EM1087" s="1881"/>
    </row>
    <row r="1088" spans="140:143">
      <c r="EJ1088" s="1881"/>
      <c r="EL1088" s="1881"/>
      <c r="EM1088" s="1881"/>
    </row>
    <row r="1089" spans="140:143">
      <c r="EJ1089" s="1881"/>
      <c r="EL1089" s="1881"/>
      <c r="EM1089" s="1881"/>
    </row>
    <row r="1090" spans="140:143">
      <c r="EJ1090" s="1881"/>
      <c r="EL1090" s="1881"/>
      <c r="EM1090" s="1881"/>
    </row>
    <row r="1091" spans="140:143">
      <c r="EJ1091" s="1881"/>
      <c r="EL1091" s="1881"/>
      <c r="EM1091" s="1881"/>
    </row>
    <row r="1092" spans="140:143">
      <c r="EJ1092" s="1881"/>
      <c r="EL1092" s="1881"/>
      <c r="EM1092" s="1881"/>
    </row>
    <row r="1093" spans="140:143">
      <c r="EJ1093" s="1881"/>
      <c r="EL1093" s="1881"/>
      <c r="EM1093" s="1881"/>
    </row>
    <row r="1094" spans="140:143">
      <c r="EJ1094" s="1881"/>
      <c r="EL1094" s="1881"/>
      <c r="EM1094" s="1881"/>
    </row>
    <row r="1095" spans="140:143">
      <c r="EJ1095" s="1881"/>
      <c r="EL1095" s="1881"/>
      <c r="EM1095" s="1881"/>
    </row>
    <row r="1096" spans="140:143">
      <c r="EJ1096" s="1881"/>
      <c r="EL1096" s="1881"/>
      <c r="EM1096" s="1881"/>
    </row>
    <row r="1097" spans="140:143">
      <c r="EJ1097" s="1881"/>
      <c r="EL1097" s="1881"/>
      <c r="EM1097" s="1881"/>
    </row>
    <row r="1098" spans="140:143">
      <c r="EJ1098" s="1881"/>
      <c r="EL1098" s="1881"/>
      <c r="EM1098" s="1881"/>
    </row>
    <row r="1099" spans="140:143">
      <c r="EJ1099" s="1881"/>
      <c r="EL1099" s="1881"/>
      <c r="EM1099" s="1881"/>
    </row>
    <row r="1100" spans="140:143">
      <c r="EJ1100" s="1881"/>
      <c r="EL1100" s="1881"/>
      <c r="EM1100" s="1881"/>
    </row>
    <row r="1101" spans="140:143">
      <c r="EJ1101" s="1881"/>
      <c r="EL1101" s="1881"/>
      <c r="EM1101" s="1881"/>
    </row>
    <row r="1102" spans="140:143">
      <c r="EJ1102" s="1881"/>
      <c r="EL1102" s="1881"/>
      <c r="EM1102" s="1881"/>
    </row>
    <row r="1103" spans="140:143">
      <c r="EJ1103" s="1881"/>
      <c r="EL1103" s="1881"/>
      <c r="EM1103" s="1881"/>
    </row>
    <row r="1104" spans="140:143">
      <c r="EJ1104" s="1881"/>
      <c r="EL1104" s="1881"/>
      <c r="EM1104" s="1881"/>
    </row>
    <row r="1105" spans="140:143">
      <c r="EJ1105" s="1881"/>
      <c r="EL1105" s="1881"/>
      <c r="EM1105" s="1881"/>
    </row>
    <row r="1106" spans="140:143">
      <c r="EJ1106" s="1881"/>
      <c r="EL1106" s="1881"/>
      <c r="EM1106" s="1881"/>
    </row>
    <row r="1107" spans="140:143">
      <c r="EJ1107" s="1881"/>
      <c r="EL1107" s="1881"/>
      <c r="EM1107" s="1881"/>
    </row>
    <row r="1108" spans="140:143">
      <c r="EJ1108" s="1881"/>
      <c r="EL1108" s="1881"/>
      <c r="EM1108" s="1881"/>
    </row>
    <row r="1109" spans="140:143">
      <c r="EJ1109" s="1881"/>
      <c r="EL1109" s="1881"/>
      <c r="EM1109" s="1881"/>
    </row>
    <row r="1110" spans="140:143">
      <c r="EJ1110" s="1881"/>
      <c r="EL1110" s="1881"/>
      <c r="EM1110" s="1881"/>
    </row>
    <row r="1111" spans="140:143">
      <c r="EJ1111" s="1881"/>
      <c r="EL1111" s="1881"/>
      <c r="EM1111" s="1881"/>
    </row>
    <row r="1112" spans="140:143">
      <c r="EJ1112" s="1881"/>
      <c r="EL1112" s="1881"/>
      <c r="EM1112" s="1881"/>
    </row>
    <row r="1113" spans="140:143">
      <c r="EJ1113" s="1881"/>
      <c r="EL1113" s="1881"/>
      <c r="EM1113" s="1881"/>
    </row>
    <row r="1114" spans="140:143">
      <c r="EJ1114" s="1881"/>
      <c r="EL1114" s="1881"/>
      <c r="EM1114" s="1881"/>
    </row>
    <row r="1115" spans="140:143">
      <c r="EJ1115" s="1881"/>
      <c r="EL1115" s="1881"/>
      <c r="EM1115" s="1881"/>
    </row>
    <row r="1116" spans="140:143">
      <c r="EJ1116" s="1881"/>
      <c r="EL1116" s="1881"/>
      <c r="EM1116" s="1881"/>
    </row>
    <row r="1117" spans="140:143">
      <c r="EJ1117" s="1881"/>
      <c r="EL1117" s="1881"/>
      <c r="EM1117" s="1881"/>
    </row>
    <row r="1118" spans="140:143">
      <c r="EJ1118" s="1881"/>
      <c r="EL1118" s="1881"/>
      <c r="EM1118" s="1881"/>
    </row>
    <row r="1119" spans="140:143">
      <c r="EJ1119" s="1881"/>
      <c r="EL1119" s="1881"/>
      <c r="EM1119" s="1881"/>
    </row>
    <row r="1120" spans="140:143">
      <c r="EJ1120" s="1881"/>
      <c r="EL1120" s="1881"/>
      <c r="EM1120" s="1881"/>
    </row>
    <row r="1121" spans="140:143">
      <c r="EJ1121" s="1881"/>
      <c r="EL1121" s="1881"/>
      <c r="EM1121" s="1881"/>
    </row>
    <row r="1122" spans="140:143">
      <c r="EJ1122" s="1881"/>
      <c r="EL1122" s="1881"/>
      <c r="EM1122" s="1881"/>
    </row>
    <row r="1123" spans="140:143">
      <c r="EJ1123" s="1881"/>
      <c r="EL1123" s="1881"/>
      <c r="EM1123" s="1881"/>
    </row>
    <row r="1124" spans="140:143">
      <c r="EJ1124" s="1881"/>
      <c r="EL1124" s="1881"/>
      <c r="EM1124" s="1881"/>
    </row>
    <row r="1125" spans="140:143">
      <c r="EJ1125" s="1881"/>
      <c r="EL1125" s="1881"/>
      <c r="EM1125" s="1881"/>
    </row>
    <row r="1126" spans="140:143">
      <c r="EJ1126" s="1881"/>
      <c r="EL1126" s="1881"/>
      <c r="EM1126" s="1881"/>
    </row>
    <row r="1127" spans="140:143">
      <c r="EJ1127" s="1881"/>
      <c r="EL1127" s="1881"/>
      <c r="EM1127" s="1881"/>
    </row>
    <row r="1128" spans="140:143">
      <c r="EJ1128" s="1881"/>
      <c r="EL1128" s="1881"/>
      <c r="EM1128" s="1881"/>
    </row>
    <row r="1129" spans="140:143">
      <c r="EJ1129" s="1881"/>
      <c r="EL1129" s="1881"/>
      <c r="EM1129" s="1881"/>
    </row>
    <row r="1130" spans="140:143">
      <c r="EJ1130" s="1881"/>
      <c r="EL1130" s="1881"/>
      <c r="EM1130" s="1881"/>
    </row>
    <row r="1131" spans="140:143">
      <c r="EJ1131" s="1881"/>
      <c r="EL1131" s="1881"/>
      <c r="EM1131" s="1881"/>
    </row>
    <row r="1132" spans="140:143">
      <c r="EJ1132" s="1881"/>
      <c r="EL1132" s="1881"/>
      <c r="EM1132" s="1881"/>
    </row>
    <row r="1133" spans="140:143">
      <c r="EJ1133" s="1881"/>
      <c r="EL1133" s="1881"/>
      <c r="EM1133" s="1881"/>
    </row>
    <row r="1134" spans="140:143">
      <c r="EJ1134" s="1881"/>
      <c r="EL1134" s="1881"/>
      <c r="EM1134" s="1881"/>
    </row>
    <row r="1135" spans="140:143">
      <c r="EJ1135" s="1881"/>
      <c r="EL1135" s="1881"/>
      <c r="EM1135" s="1881"/>
    </row>
    <row r="1136" spans="140:143">
      <c r="EJ1136" s="1881"/>
      <c r="EL1136" s="1881"/>
      <c r="EM1136" s="1881"/>
    </row>
    <row r="1137" spans="140:143">
      <c r="EJ1137" s="1881"/>
      <c r="EL1137" s="1881"/>
      <c r="EM1137" s="1881"/>
    </row>
    <row r="1138" spans="140:143">
      <c r="EJ1138" s="1881"/>
      <c r="EL1138" s="1881"/>
      <c r="EM1138" s="1881"/>
    </row>
    <row r="1139" spans="140:143">
      <c r="EJ1139" s="1881"/>
      <c r="EL1139" s="1881"/>
      <c r="EM1139" s="1881"/>
    </row>
    <row r="1140" spans="140:143">
      <c r="EJ1140" s="1881"/>
      <c r="EL1140" s="1881"/>
      <c r="EM1140" s="1881"/>
    </row>
    <row r="1141" spans="140:143">
      <c r="EJ1141" s="1881"/>
      <c r="EL1141" s="1881"/>
      <c r="EM1141" s="1881"/>
    </row>
    <row r="1142" spans="140:143">
      <c r="EJ1142" s="1881"/>
      <c r="EL1142" s="1881"/>
      <c r="EM1142" s="1881"/>
    </row>
    <row r="1143" spans="140:143">
      <c r="EJ1143" s="1881"/>
      <c r="EL1143" s="1881"/>
      <c r="EM1143" s="1881"/>
    </row>
    <row r="1144" spans="140:143">
      <c r="EJ1144" s="1881"/>
      <c r="EL1144" s="1881"/>
      <c r="EM1144" s="1881"/>
    </row>
    <row r="1145" spans="140:143">
      <c r="EJ1145" s="1881"/>
      <c r="EL1145" s="1881"/>
      <c r="EM1145" s="1881"/>
    </row>
    <row r="1146" spans="140:143">
      <c r="EJ1146" s="1881"/>
      <c r="EL1146" s="1881"/>
      <c r="EM1146" s="1881"/>
    </row>
    <row r="1147" spans="140:143">
      <c r="EJ1147" s="1881"/>
      <c r="EL1147" s="1881"/>
      <c r="EM1147" s="1881"/>
    </row>
    <row r="1148" spans="140:143">
      <c r="EJ1148" s="1881"/>
      <c r="EL1148" s="1881"/>
      <c r="EM1148" s="1881"/>
    </row>
    <row r="1149" spans="140:143">
      <c r="EJ1149" s="1881"/>
      <c r="EL1149" s="1881"/>
      <c r="EM1149" s="1881"/>
    </row>
    <row r="1150" spans="140:143">
      <c r="EJ1150" s="1881"/>
      <c r="EL1150" s="1881"/>
      <c r="EM1150" s="1881"/>
    </row>
    <row r="1151" spans="140:143">
      <c r="EJ1151" s="1881"/>
      <c r="EL1151" s="1881"/>
      <c r="EM1151" s="1881"/>
    </row>
    <row r="1152" spans="140:143">
      <c r="EJ1152" s="1881"/>
      <c r="EL1152" s="1881"/>
      <c r="EM1152" s="1881"/>
    </row>
    <row r="1153" spans="140:143">
      <c r="EJ1153" s="1881"/>
      <c r="EL1153" s="1881"/>
      <c r="EM1153" s="1881"/>
    </row>
    <row r="1154" spans="140:143">
      <c r="EJ1154" s="1881"/>
      <c r="EL1154" s="1881"/>
      <c r="EM1154" s="1881"/>
    </row>
    <row r="1155" spans="140:143">
      <c r="EJ1155" s="1881"/>
      <c r="EL1155" s="1881"/>
      <c r="EM1155" s="1881"/>
    </row>
    <row r="1156" spans="140:143">
      <c r="EJ1156" s="1881"/>
      <c r="EL1156" s="1881"/>
      <c r="EM1156" s="1881"/>
    </row>
    <row r="1157" spans="140:143">
      <c r="EJ1157" s="1881"/>
      <c r="EL1157" s="1881"/>
      <c r="EM1157" s="1881"/>
    </row>
    <row r="1158" spans="140:143">
      <c r="EJ1158" s="1881"/>
      <c r="EL1158" s="1881"/>
      <c r="EM1158" s="1881"/>
    </row>
    <row r="1159" spans="140:143">
      <c r="EJ1159" s="1881"/>
      <c r="EL1159" s="1881"/>
      <c r="EM1159" s="1881"/>
    </row>
    <row r="1160" spans="140:143">
      <c r="EJ1160" s="1881"/>
      <c r="EL1160" s="1881"/>
      <c r="EM1160" s="1881"/>
    </row>
    <row r="1161" spans="140:143">
      <c r="EJ1161" s="1881"/>
      <c r="EL1161" s="1881"/>
      <c r="EM1161" s="1881"/>
    </row>
    <row r="1162" spans="140:143">
      <c r="EJ1162" s="1881"/>
      <c r="EL1162" s="1881"/>
      <c r="EM1162" s="1881"/>
    </row>
    <row r="1163" spans="140:143">
      <c r="EJ1163" s="1881"/>
      <c r="EL1163" s="1881"/>
      <c r="EM1163" s="1881"/>
    </row>
    <row r="1164" spans="140:143">
      <c r="EJ1164" s="1881"/>
      <c r="EL1164" s="1881"/>
      <c r="EM1164" s="1881"/>
    </row>
    <row r="1165" spans="140:143">
      <c r="EJ1165" s="1881"/>
      <c r="EL1165" s="1881"/>
      <c r="EM1165" s="1881"/>
    </row>
    <row r="1166" spans="140:143">
      <c r="EJ1166" s="1881"/>
      <c r="EL1166" s="1881"/>
      <c r="EM1166" s="1881"/>
    </row>
    <row r="1167" spans="140:143">
      <c r="EJ1167" s="1881"/>
      <c r="EL1167" s="1881"/>
      <c r="EM1167" s="1881"/>
    </row>
    <row r="1168" spans="140:143">
      <c r="EJ1168" s="1881"/>
      <c r="EL1168" s="1881"/>
      <c r="EM1168" s="1881"/>
    </row>
    <row r="1169" spans="140:143">
      <c r="EJ1169" s="1881"/>
      <c r="EL1169" s="1881"/>
      <c r="EM1169" s="1881"/>
    </row>
    <row r="1170" spans="140:143">
      <c r="EJ1170" s="1881"/>
      <c r="EL1170" s="1881"/>
      <c r="EM1170" s="1881"/>
    </row>
    <row r="1171" spans="140:143">
      <c r="EJ1171" s="1881"/>
      <c r="EL1171" s="1881"/>
      <c r="EM1171" s="1881"/>
    </row>
    <row r="1172" spans="140:143">
      <c r="EJ1172" s="1881"/>
      <c r="EL1172" s="1881"/>
      <c r="EM1172" s="1881"/>
    </row>
    <row r="1173" spans="140:143">
      <c r="EJ1173" s="1881"/>
      <c r="EL1173" s="1881"/>
      <c r="EM1173" s="1881"/>
    </row>
    <row r="1174" spans="140:143">
      <c r="EJ1174" s="1881"/>
      <c r="EL1174" s="1881"/>
      <c r="EM1174" s="1881"/>
    </row>
    <row r="1175" spans="140:143">
      <c r="EJ1175" s="1881"/>
      <c r="EL1175" s="1881"/>
      <c r="EM1175" s="1881"/>
    </row>
    <row r="1176" spans="140:143">
      <c r="EJ1176" s="1881"/>
      <c r="EL1176" s="1881"/>
      <c r="EM1176" s="1881"/>
    </row>
    <row r="1177" spans="140:143">
      <c r="EJ1177" s="1881"/>
      <c r="EL1177" s="1881"/>
      <c r="EM1177" s="1881"/>
    </row>
    <row r="1178" spans="140:143">
      <c r="EJ1178" s="1881"/>
      <c r="EL1178" s="1881"/>
      <c r="EM1178" s="1881"/>
    </row>
    <row r="1179" spans="140:143">
      <c r="EJ1179" s="1881"/>
      <c r="EL1179" s="1881"/>
      <c r="EM1179" s="1881"/>
    </row>
    <row r="1180" spans="140:143">
      <c r="EJ1180" s="1881"/>
      <c r="EL1180" s="1881"/>
      <c r="EM1180" s="1881"/>
    </row>
    <row r="1181" spans="140:143">
      <c r="EJ1181" s="1881"/>
      <c r="EL1181" s="1881"/>
      <c r="EM1181" s="1881"/>
    </row>
    <row r="1182" spans="140:143">
      <c r="EJ1182" s="1881"/>
      <c r="EL1182" s="1881"/>
      <c r="EM1182" s="1881"/>
    </row>
    <row r="1183" spans="140:143">
      <c r="EJ1183" s="1881"/>
      <c r="EL1183" s="1881"/>
      <c r="EM1183" s="1881"/>
    </row>
    <row r="1184" spans="140:143">
      <c r="EJ1184" s="1881"/>
      <c r="EL1184" s="1881"/>
      <c r="EM1184" s="1881"/>
    </row>
    <row r="1185" spans="140:143">
      <c r="EJ1185" s="1881"/>
      <c r="EL1185" s="1881"/>
      <c r="EM1185" s="1881"/>
    </row>
    <row r="1186" spans="140:143">
      <c r="EJ1186" s="1881"/>
      <c r="EL1186" s="1881"/>
      <c r="EM1186" s="1881"/>
    </row>
    <row r="1187" spans="140:143">
      <c r="EJ1187" s="1881"/>
      <c r="EL1187" s="1881"/>
      <c r="EM1187" s="1881"/>
    </row>
    <row r="1188" spans="140:143">
      <c r="EJ1188" s="1881"/>
      <c r="EL1188" s="1881"/>
      <c r="EM1188" s="1881"/>
    </row>
    <row r="1189" spans="140:143">
      <c r="EJ1189" s="1881"/>
      <c r="EL1189" s="1881"/>
      <c r="EM1189" s="1881"/>
    </row>
    <row r="1190" spans="140:143">
      <c r="EJ1190" s="1881"/>
      <c r="EL1190" s="1881"/>
      <c r="EM1190" s="1881"/>
    </row>
    <row r="1191" spans="140:143">
      <c r="EJ1191" s="1881"/>
      <c r="EL1191" s="1881"/>
      <c r="EM1191" s="1881"/>
    </row>
    <row r="1192" spans="140:143">
      <c r="EJ1192" s="1881"/>
      <c r="EL1192" s="1881"/>
      <c r="EM1192" s="1881"/>
    </row>
    <row r="1193" spans="140:143">
      <c r="EJ1193" s="1881"/>
      <c r="EL1193" s="1881"/>
      <c r="EM1193" s="1881"/>
    </row>
    <row r="1194" spans="140:143">
      <c r="EJ1194" s="1881"/>
      <c r="EL1194" s="1881"/>
      <c r="EM1194" s="1881"/>
    </row>
    <row r="1195" spans="140:143">
      <c r="EJ1195" s="1881"/>
      <c r="EL1195" s="1881"/>
      <c r="EM1195" s="1881"/>
    </row>
    <row r="1196" spans="140:143">
      <c r="EJ1196" s="1881"/>
      <c r="EL1196" s="1881"/>
      <c r="EM1196" s="1881"/>
    </row>
    <row r="1197" spans="140:143">
      <c r="EJ1197" s="1881"/>
      <c r="EL1197" s="1881"/>
      <c r="EM1197" s="1881"/>
    </row>
    <row r="1198" spans="140:143">
      <c r="EJ1198" s="1881"/>
      <c r="EL1198" s="1881"/>
      <c r="EM1198" s="1881"/>
    </row>
    <row r="1199" spans="140:143">
      <c r="EJ1199" s="1881"/>
      <c r="EL1199" s="1881"/>
      <c r="EM1199" s="1881"/>
    </row>
    <row r="1200" spans="140:143">
      <c r="EJ1200" s="1881"/>
      <c r="EL1200" s="1881"/>
      <c r="EM1200" s="1881"/>
    </row>
    <row r="1201" spans="140:143">
      <c r="EJ1201" s="1881"/>
      <c r="EL1201" s="1881"/>
      <c r="EM1201" s="1881"/>
    </row>
    <row r="1202" spans="140:143">
      <c r="EJ1202" s="1881"/>
      <c r="EL1202" s="1881"/>
      <c r="EM1202" s="1881"/>
    </row>
    <row r="1203" spans="140:143">
      <c r="EJ1203" s="1881"/>
      <c r="EL1203" s="1881"/>
      <c r="EM1203" s="1881"/>
    </row>
    <row r="1204" spans="140:143">
      <c r="EJ1204" s="1881"/>
      <c r="EL1204" s="1881"/>
      <c r="EM1204" s="1881"/>
    </row>
    <row r="1205" spans="140:143">
      <c r="EJ1205" s="1881"/>
      <c r="EL1205" s="1881"/>
      <c r="EM1205" s="1881"/>
    </row>
    <row r="1206" spans="140:143">
      <c r="EJ1206" s="1881"/>
      <c r="EL1206" s="1881"/>
      <c r="EM1206" s="1881"/>
    </row>
    <row r="1207" spans="140:143">
      <c r="EJ1207" s="1881"/>
      <c r="EL1207" s="1881"/>
      <c r="EM1207" s="1881"/>
    </row>
    <row r="1208" spans="140:143">
      <c r="EJ1208" s="1881"/>
      <c r="EL1208" s="1881"/>
      <c r="EM1208" s="1881"/>
    </row>
    <row r="1209" spans="140:143">
      <c r="EJ1209" s="1881"/>
      <c r="EL1209" s="1881"/>
      <c r="EM1209" s="1881"/>
    </row>
    <row r="1210" spans="140:143">
      <c r="EJ1210" s="1881"/>
      <c r="EL1210" s="1881"/>
      <c r="EM1210" s="1881"/>
    </row>
    <row r="1211" spans="140:143">
      <c r="EJ1211" s="1881"/>
      <c r="EL1211" s="1881"/>
      <c r="EM1211" s="1881"/>
    </row>
    <row r="1212" spans="140:143">
      <c r="EJ1212" s="1881"/>
      <c r="EL1212" s="1881"/>
      <c r="EM1212" s="1881"/>
    </row>
    <row r="1213" spans="140:143">
      <c r="EJ1213" s="1881"/>
      <c r="EL1213" s="1881"/>
      <c r="EM1213" s="1881"/>
    </row>
    <row r="1214" spans="140:143">
      <c r="EJ1214" s="1881"/>
      <c r="EL1214" s="1881"/>
      <c r="EM1214" s="1881"/>
    </row>
    <row r="1215" spans="140:143">
      <c r="EJ1215" s="1881"/>
      <c r="EL1215" s="1881"/>
      <c r="EM1215" s="1881"/>
    </row>
    <row r="1216" spans="140:143">
      <c r="EJ1216" s="1881"/>
      <c r="EL1216" s="1881"/>
      <c r="EM1216" s="1881"/>
    </row>
    <row r="1217" spans="140:143">
      <c r="EJ1217" s="1881"/>
      <c r="EL1217" s="1881"/>
      <c r="EM1217" s="1881"/>
    </row>
    <row r="1218" spans="140:143">
      <c r="EJ1218" s="1881"/>
      <c r="EL1218" s="1881"/>
      <c r="EM1218" s="1881"/>
    </row>
    <row r="1219" spans="140:143">
      <c r="EJ1219" s="1881"/>
      <c r="EL1219" s="1881"/>
      <c r="EM1219" s="1881"/>
    </row>
    <row r="1220" spans="140:143">
      <c r="EJ1220" s="1881"/>
      <c r="EL1220" s="1881"/>
      <c r="EM1220" s="1881"/>
    </row>
    <row r="1221" spans="140:143">
      <c r="EJ1221" s="1881"/>
      <c r="EL1221" s="1881"/>
      <c r="EM1221" s="1881"/>
    </row>
    <row r="1222" spans="140:143">
      <c r="EJ1222" s="1881"/>
      <c r="EL1222" s="1881"/>
      <c r="EM1222" s="1881"/>
    </row>
    <row r="1223" spans="140:143">
      <c r="EJ1223" s="1881"/>
      <c r="EL1223" s="1881"/>
      <c r="EM1223" s="1881"/>
    </row>
    <row r="1224" spans="140:143">
      <c r="EJ1224" s="1881"/>
      <c r="EL1224" s="1881"/>
      <c r="EM1224" s="1881"/>
    </row>
    <row r="1225" spans="140:143">
      <c r="EJ1225" s="1881"/>
      <c r="EL1225" s="1881"/>
      <c r="EM1225" s="1881"/>
    </row>
    <row r="1226" spans="140:143">
      <c r="EJ1226" s="1881"/>
      <c r="EL1226" s="1881"/>
      <c r="EM1226" s="1881"/>
    </row>
    <row r="1227" spans="140:143">
      <c r="EJ1227" s="1881"/>
      <c r="EL1227" s="1881"/>
      <c r="EM1227" s="1881"/>
    </row>
    <row r="1228" spans="140:143">
      <c r="EJ1228" s="1881"/>
      <c r="EL1228" s="1881"/>
      <c r="EM1228" s="1881"/>
    </row>
    <row r="1229" spans="140:143">
      <c r="EJ1229" s="1881"/>
      <c r="EL1229" s="1881"/>
      <c r="EM1229" s="1881"/>
    </row>
    <row r="1230" spans="140:143">
      <c r="EJ1230" s="1881"/>
      <c r="EL1230" s="1881"/>
      <c r="EM1230" s="1881"/>
    </row>
    <row r="1231" spans="140:143">
      <c r="EJ1231" s="1881"/>
      <c r="EL1231" s="1881"/>
      <c r="EM1231" s="1881"/>
    </row>
    <row r="1232" spans="140:143">
      <c r="EJ1232" s="1881"/>
      <c r="EL1232" s="1881"/>
      <c r="EM1232" s="1881"/>
    </row>
    <row r="1233" spans="140:143">
      <c r="EJ1233" s="1881"/>
      <c r="EL1233" s="1881"/>
      <c r="EM1233" s="1881"/>
    </row>
    <row r="1234" spans="140:143">
      <c r="EJ1234" s="1881"/>
      <c r="EL1234" s="1881"/>
      <c r="EM1234" s="1881"/>
    </row>
    <row r="1235" spans="140:143">
      <c r="EJ1235" s="1881"/>
      <c r="EL1235" s="1881"/>
      <c r="EM1235" s="1881"/>
    </row>
    <row r="1236" spans="140:143">
      <c r="EJ1236" s="1881"/>
      <c r="EL1236" s="1881"/>
      <c r="EM1236" s="1881"/>
    </row>
    <row r="1237" spans="140:143">
      <c r="EJ1237" s="1881"/>
      <c r="EL1237" s="1881"/>
      <c r="EM1237" s="1881"/>
    </row>
    <row r="1238" spans="140:143">
      <c r="EJ1238" s="1881"/>
      <c r="EL1238" s="1881"/>
      <c r="EM1238" s="1881"/>
    </row>
    <row r="1239" spans="140:143">
      <c r="EJ1239" s="1881"/>
      <c r="EL1239" s="1881"/>
      <c r="EM1239" s="1881"/>
    </row>
    <row r="1240" spans="140:143">
      <c r="EJ1240" s="1881"/>
      <c r="EL1240" s="1881"/>
      <c r="EM1240" s="1881"/>
    </row>
    <row r="1241" spans="140:143">
      <c r="EJ1241" s="1881"/>
      <c r="EL1241" s="1881"/>
      <c r="EM1241" s="1881"/>
    </row>
    <row r="1242" spans="140:143">
      <c r="EJ1242" s="1881"/>
      <c r="EL1242" s="1881"/>
      <c r="EM1242" s="1881"/>
    </row>
    <row r="1243" spans="140:143">
      <c r="EJ1243" s="1881"/>
      <c r="EL1243" s="1881"/>
      <c r="EM1243" s="1881"/>
    </row>
    <row r="1244" spans="140:143">
      <c r="EJ1244" s="1881"/>
      <c r="EL1244" s="1881"/>
      <c r="EM1244" s="1881"/>
    </row>
    <row r="1245" spans="140:143">
      <c r="EJ1245" s="1881"/>
      <c r="EL1245" s="1881"/>
      <c r="EM1245" s="1881"/>
    </row>
    <row r="1246" spans="140:143">
      <c r="EJ1246" s="1881"/>
      <c r="EL1246" s="1881"/>
      <c r="EM1246" s="1881"/>
    </row>
    <row r="1247" spans="140:143">
      <c r="EJ1247" s="1881"/>
      <c r="EL1247" s="1881"/>
      <c r="EM1247" s="1881"/>
    </row>
    <row r="1248" spans="140:143">
      <c r="EJ1248" s="1881"/>
      <c r="EL1248" s="1881"/>
      <c r="EM1248" s="1881"/>
    </row>
    <row r="1249" spans="140:143">
      <c r="EJ1249" s="1881"/>
      <c r="EL1249" s="1881"/>
      <c r="EM1249" s="1881"/>
    </row>
    <row r="1250" spans="140:143">
      <c r="EJ1250" s="1881"/>
      <c r="EL1250" s="1881"/>
      <c r="EM1250" s="1881"/>
    </row>
    <row r="1251" spans="140:143">
      <c r="EJ1251" s="1881"/>
      <c r="EL1251" s="1881"/>
      <c r="EM1251" s="1881"/>
    </row>
    <row r="1252" spans="140:143">
      <c r="EJ1252" s="1881"/>
      <c r="EL1252" s="1881"/>
      <c r="EM1252" s="1881"/>
    </row>
    <row r="1253" spans="140:143">
      <c r="EJ1253" s="1881"/>
      <c r="EL1253" s="1881"/>
      <c r="EM1253" s="1881"/>
    </row>
    <row r="1254" spans="140:143">
      <c r="EJ1254" s="1881"/>
      <c r="EL1254" s="1881"/>
      <c r="EM1254" s="1881"/>
    </row>
    <row r="1255" spans="140:143">
      <c r="EJ1255" s="1881"/>
      <c r="EL1255" s="1881"/>
      <c r="EM1255" s="1881"/>
    </row>
    <row r="1256" spans="140:143">
      <c r="EJ1256" s="1881"/>
      <c r="EL1256" s="1881"/>
      <c r="EM1256" s="1881"/>
    </row>
    <row r="1257" spans="140:143">
      <c r="EJ1257" s="1881"/>
      <c r="EL1257" s="1881"/>
      <c r="EM1257" s="1881"/>
    </row>
    <row r="1258" spans="140:143">
      <c r="EJ1258" s="1881"/>
      <c r="EL1258" s="1881"/>
      <c r="EM1258" s="1881"/>
    </row>
    <row r="1259" spans="140:143">
      <c r="EJ1259" s="1881"/>
      <c r="EL1259" s="1881"/>
      <c r="EM1259" s="1881"/>
    </row>
    <row r="1260" spans="140:143">
      <c r="EJ1260" s="1881"/>
      <c r="EL1260" s="1881"/>
      <c r="EM1260" s="1881"/>
    </row>
    <row r="1261" spans="140:143">
      <c r="EJ1261" s="1881"/>
      <c r="EL1261" s="1881"/>
      <c r="EM1261" s="1881"/>
    </row>
    <row r="1262" spans="140:143">
      <c r="EJ1262" s="1881"/>
      <c r="EL1262" s="1881"/>
      <c r="EM1262" s="1881"/>
    </row>
    <row r="1263" spans="140:143">
      <c r="EJ1263" s="1881"/>
      <c r="EL1263" s="1881"/>
      <c r="EM1263" s="1881"/>
    </row>
    <row r="1264" spans="140:143">
      <c r="EJ1264" s="1881"/>
      <c r="EL1264" s="1881"/>
      <c r="EM1264" s="1881"/>
    </row>
    <row r="1265" spans="140:143">
      <c r="EJ1265" s="1881"/>
      <c r="EL1265" s="1881"/>
      <c r="EM1265" s="1881"/>
    </row>
    <row r="1266" spans="140:143">
      <c r="EJ1266" s="1881"/>
      <c r="EL1266" s="1881"/>
      <c r="EM1266" s="1881"/>
    </row>
    <row r="1267" spans="140:143">
      <c r="EJ1267" s="1881"/>
      <c r="EL1267" s="1881"/>
      <c r="EM1267" s="1881"/>
    </row>
    <row r="1268" spans="140:143">
      <c r="EJ1268" s="1881"/>
      <c r="EL1268" s="1881"/>
      <c r="EM1268" s="1881"/>
    </row>
    <row r="1269" spans="140:143">
      <c r="EJ1269" s="1881"/>
      <c r="EL1269" s="1881"/>
      <c r="EM1269" s="1881"/>
    </row>
    <row r="1270" spans="140:143">
      <c r="EJ1270" s="1881"/>
      <c r="EL1270" s="1881"/>
      <c r="EM1270" s="1881"/>
    </row>
    <row r="1271" spans="140:143">
      <c r="EJ1271" s="1881"/>
      <c r="EL1271" s="1881"/>
      <c r="EM1271" s="1881"/>
    </row>
    <row r="1272" spans="140:143">
      <c r="EJ1272" s="1881"/>
      <c r="EL1272" s="1881"/>
      <c r="EM1272" s="1881"/>
    </row>
    <row r="1273" spans="140:143">
      <c r="EJ1273" s="1881"/>
      <c r="EL1273" s="1881"/>
      <c r="EM1273" s="1881"/>
    </row>
    <row r="1274" spans="140:143">
      <c r="EJ1274" s="1881"/>
      <c r="EL1274" s="1881"/>
      <c r="EM1274" s="1881"/>
    </row>
    <row r="1275" spans="140:143">
      <c r="EJ1275" s="1881"/>
      <c r="EL1275" s="1881"/>
      <c r="EM1275" s="1881"/>
    </row>
    <row r="1276" spans="140:143">
      <c r="EJ1276" s="1881"/>
      <c r="EL1276" s="1881"/>
      <c r="EM1276" s="1881"/>
    </row>
    <row r="1277" spans="140:143">
      <c r="EJ1277" s="1881"/>
      <c r="EL1277" s="1881"/>
      <c r="EM1277" s="1881"/>
    </row>
    <row r="1278" spans="140:143">
      <c r="EJ1278" s="1881"/>
      <c r="EL1278" s="1881"/>
      <c r="EM1278" s="1881"/>
    </row>
    <row r="1279" spans="140:143">
      <c r="EJ1279" s="1881"/>
      <c r="EL1279" s="1881"/>
      <c r="EM1279" s="1881"/>
    </row>
    <row r="1280" spans="140:143">
      <c r="EJ1280" s="1881"/>
      <c r="EL1280" s="1881"/>
      <c r="EM1280" s="1881"/>
    </row>
    <row r="1281" spans="140:143">
      <c r="EJ1281" s="1881"/>
      <c r="EL1281" s="1881"/>
      <c r="EM1281" s="1881"/>
    </row>
    <row r="1282" spans="140:143">
      <c r="EJ1282" s="1881"/>
      <c r="EL1282" s="1881"/>
      <c r="EM1282" s="1881"/>
    </row>
    <row r="1283" spans="140:143">
      <c r="EJ1283" s="1881"/>
      <c r="EL1283" s="1881"/>
      <c r="EM1283" s="1881"/>
    </row>
    <row r="1284" spans="140:143">
      <c r="EJ1284" s="1881"/>
      <c r="EL1284" s="1881"/>
      <c r="EM1284" s="1881"/>
    </row>
    <row r="1285" spans="140:143">
      <c r="EJ1285" s="1881"/>
      <c r="EL1285" s="1881"/>
      <c r="EM1285" s="1881"/>
    </row>
    <row r="1286" spans="140:143">
      <c r="EJ1286" s="1881"/>
      <c r="EL1286" s="1881"/>
      <c r="EM1286" s="1881"/>
    </row>
    <row r="1287" spans="140:143">
      <c r="EJ1287" s="1881"/>
      <c r="EL1287" s="1881"/>
      <c r="EM1287" s="1881"/>
    </row>
    <row r="1288" spans="140:143">
      <c r="EJ1288" s="1881"/>
      <c r="EL1288" s="1881"/>
      <c r="EM1288" s="1881"/>
    </row>
    <row r="1289" spans="140:143">
      <c r="EJ1289" s="1881"/>
      <c r="EL1289" s="1881"/>
      <c r="EM1289" s="1881"/>
    </row>
    <row r="1290" spans="140:143">
      <c r="EJ1290" s="1881"/>
      <c r="EL1290" s="1881"/>
      <c r="EM1290" s="1881"/>
    </row>
    <row r="1291" spans="140:143">
      <c r="EJ1291" s="1881"/>
      <c r="EL1291" s="1881"/>
      <c r="EM1291" s="1881"/>
    </row>
    <row r="1292" spans="140:143">
      <c r="EJ1292" s="1881"/>
      <c r="EL1292" s="1881"/>
      <c r="EM1292" s="1881"/>
    </row>
    <row r="1293" spans="140:143">
      <c r="EJ1293" s="1881"/>
      <c r="EL1293" s="1881"/>
      <c r="EM1293" s="1881"/>
    </row>
    <row r="1294" spans="140:143">
      <c r="EJ1294" s="1881"/>
      <c r="EL1294" s="1881"/>
      <c r="EM1294" s="1881"/>
    </row>
    <row r="1295" spans="140:143">
      <c r="EJ1295" s="1881"/>
      <c r="EL1295" s="1881"/>
      <c r="EM1295" s="1881"/>
    </row>
    <row r="1296" spans="140:143">
      <c r="EJ1296" s="1881"/>
      <c r="EL1296" s="1881"/>
      <c r="EM1296" s="1881"/>
    </row>
    <row r="1297" spans="140:143">
      <c r="EJ1297" s="1881"/>
      <c r="EL1297" s="1881"/>
      <c r="EM1297" s="1881"/>
    </row>
    <row r="1298" spans="140:143">
      <c r="EJ1298" s="1881"/>
      <c r="EL1298" s="1881"/>
      <c r="EM1298" s="1881"/>
    </row>
    <row r="1299" spans="140:143">
      <c r="EJ1299" s="1881"/>
      <c r="EL1299" s="1881"/>
      <c r="EM1299" s="1881"/>
    </row>
    <row r="1300" spans="140:143">
      <c r="EJ1300" s="1881"/>
      <c r="EL1300" s="1881"/>
      <c r="EM1300" s="1881"/>
    </row>
    <row r="1301" spans="140:143">
      <c r="EJ1301" s="1881"/>
      <c r="EL1301" s="1881"/>
      <c r="EM1301" s="1881"/>
    </row>
    <row r="1302" spans="140:143">
      <c r="EJ1302" s="1881"/>
      <c r="EL1302" s="1881"/>
      <c r="EM1302" s="1881"/>
    </row>
    <row r="1303" spans="140:143">
      <c r="EJ1303" s="1881"/>
      <c r="EL1303" s="1881"/>
      <c r="EM1303" s="1881"/>
    </row>
    <row r="1304" spans="140:143">
      <c r="EJ1304" s="1881"/>
      <c r="EL1304" s="1881"/>
      <c r="EM1304" s="1881"/>
    </row>
    <row r="1305" spans="140:143">
      <c r="EJ1305" s="1881"/>
      <c r="EL1305" s="1881"/>
      <c r="EM1305" s="1881"/>
    </row>
    <row r="1306" spans="140:143">
      <c r="EJ1306" s="1881"/>
      <c r="EL1306" s="1881"/>
      <c r="EM1306" s="1881"/>
    </row>
    <row r="1307" spans="140:143">
      <c r="EJ1307" s="1881"/>
      <c r="EL1307" s="1881"/>
      <c r="EM1307" s="1881"/>
    </row>
    <row r="1308" spans="140:143">
      <c r="EJ1308" s="1881"/>
      <c r="EL1308" s="1881"/>
      <c r="EM1308" s="1881"/>
    </row>
    <row r="1309" spans="140:143">
      <c r="EJ1309" s="1881"/>
      <c r="EL1309" s="1881"/>
      <c r="EM1309" s="1881"/>
    </row>
    <row r="1310" spans="140:143">
      <c r="EJ1310" s="1881"/>
      <c r="EL1310" s="1881"/>
      <c r="EM1310" s="1881"/>
    </row>
    <row r="1311" spans="140:143">
      <c r="EJ1311" s="1881"/>
      <c r="EL1311" s="1881"/>
      <c r="EM1311" s="1881"/>
    </row>
    <row r="1312" spans="140:143">
      <c r="EJ1312" s="1881"/>
      <c r="EL1312" s="1881"/>
      <c r="EM1312" s="1881"/>
    </row>
    <row r="1313" spans="140:143">
      <c r="EJ1313" s="1881"/>
      <c r="EL1313" s="1881"/>
      <c r="EM1313" s="1881"/>
    </row>
    <row r="1314" spans="140:143">
      <c r="EJ1314" s="1881"/>
      <c r="EL1314" s="1881"/>
      <c r="EM1314" s="1881"/>
    </row>
    <row r="1315" spans="140:143">
      <c r="EJ1315" s="1881"/>
      <c r="EL1315" s="1881"/>
      <c r="EM1315" s="1881"/>
    </row>
    <row r="1316" spans="140:143">
      <c r="EJ1316" s="1881"/>
      <c r="EL1316" s="1881"/>
      <c r="EM1316" s="1881"/>
    </row>
    <row r="1317" spans="140:143">
      <c r="EJ1317" s="1881"/>
      <c r="EL1317" s="1881"/>
      <c r="EM1317" s="1881"/>
    </row>
    <row r="1318" spans="140:143">
      <c r="EJ1318" s="1881"/>
      <c r="EL1318" s="1881"/>
      <c r="EM1318" s="1881"/>
    </row>
    <row r="1319" spans="140:143">
      <c r="EJ1319" s="1881"/>
      <c r="EL1319" s="1881"/>
      <c r="EM1319" s="1881"/>
    </row>
    <row r="1320" spans="140:143">
      <c r="EJ1320" s="1881"/>
      <c r="EL1320" s="1881"/>
      <c r="EM1320" s="1881"/>
    </row>
    <row r="1321" spans="140:143">
      <c r="EJ1321" s="1881"/>
      <c r="EL1321" s="1881"/>
      <c r="EM1321" s="1881"/>
    </row>
    <row r="1322" spans="140:143">
      <c r="EJ1322" s="1881"/>
      <c r="EL1322" s="1881"/>
      <c r="EM1322" s="1881"/>
    </row>
    <row r="1323" spans="140:143">
      <c r="EJ1323" s="1881"/>
      <c r="EL1323" s="1881"/>
      <c r="EM1323" s="1881"/>
    </row>
    <row r="1324" spans="140:143">
      <c r="EJ1324" s="1881"/>
      <c r="EL1324" s="1881"/>
      <c r="EM1324" s="1881"/>
    </row>
    <row r="1325" spans="140:143">
      <c r="EJ1325" s="1881"/>
      <c r="EL1325" s="1881"/>
      <c r="EM1325" s="1881"/>
    </row>
    <row r="1326" spans="140:143">
      <c r="EJ1326" s="1881"/>
      <c r="EL1326" s="1881"/>
      <c r="EM1326" s="1881"/>
    </row>
    <row r="1327" spans="140:143">
      <c r="EJ1327" s="1881"/>
      <c r="EL1327" s="1881"/>
      <c r="EM1327" s="1881"/>
    </row>
    <row r="1328" spans="140:143">
      <c r="EJ1328" s="1881"/>
      <c r="EL1328" s="1881"/>
      <c r="EM1328" s="1881"/>
    </row>
    <row r="1329" spans="140:143">
      <c r="EJ1329" s="1881"/>
      <c r="EL1329" s="1881"/>
      <c r="EM1329" s="1881"/>
    </row>
    <row r="1330" spans="140:143">
      <c r="EJ1330" s="1881"/>
      <c r="EL1330" s="1881"/>
      <c r="EM1330" s="1881"/>
    </row>
    <row r="1331" spans="140:143">
      <c r="EJ1331" s="1881"/>
      <c r="EL1331" s="1881"/>
      <c r="EM1331" s="1881"/>
    </row>
    <row r="1332" spans="140:143">
      <c r="EJ1332" s="1881"/>
      <c r="EL1332" s="1881"/>
      <c r="EM1332" s="1881"/>
    </row>
    <row r="1333" spans="140:143">
      <c r="EJ1333" s="1881"/>
      <c r="EL1333" s="1881"/>
      <c r="EM1333" s="1881"/>
    </row>
    <row r="1334" spans="140:143">
      <c r="EJ1334" s="1881"/>
      <c r="EL1334" s="1881"/>
      <c r="EM1334" s="1881"/>
    </row>
    <row r="1335" spans="140:143">
      <c r="EJ1335" s="1881"/>
      <c r="EL1335" s="1881"/>
      <c r="EM1335" s="1881"/>
    </row>
    <row r="1336" spans="140:143">
      <c r="EJ1336" s="1881"/>
      <c r="EL1336" s="1881"/>
      <c r="EM1336" s="1881"/>
    </row>
    <row r="1337" spans="140:143">
      <c r="EJ1337" s="1881"/>
      <c r="EL1337" s="1881"/>
      <c r="EM1337" s="1881"/>
    </row>
    <row r="1338" spans="140:143">
      <c r="EJ1338" s="1881"/>
      <c r="EL1338" s="1881"/>
      <c r="EM1338" s="1881"/>
    </row>
    <row r="1339" spans="140:143">
      <c r="EJ1339" s="1881"/>
      <c r="EL1339" s="1881"/>
      <c r="EM1339" s="1881"/>
    </row>
    <row r="1340" spans="140:143">
      <c r="EJ1340" s="1881"/>
      <c r="EL1340" s="1881"/>
      <c r="EM1340" s="1881"/>
    </row>
    <row r="1341" spans="140:143">
      <c r="EJ1341" s="1881"/>
      <c r="EL1341" s="1881"/>
      <c r="EM1341" s="1881"/>
    </row>
    <row r="1342" spans="140:143">
      <c r="EJ1342" s="1881"/>
      <c r="EL1342" s="1881"/>
      <c r="EM1342" s="1881"/>
    </row>
    <row r="1343" spans="140:143">
      <c r="EJ1343" s="1881"/>
      <c r="EL1343" s="1881"/>
      <c r="EM1343" s="1881"/>
    </row>
    <row r="1344" spans="140:143">
      <c r="EJ1344" s="1881"/>
      <c r="EL1344" s="1881"/>
      <c r="EM1344" s="1881"/>
    </row>
    <row r="1345" spans="140:143">
      <c r="EJ1345" s="1881"/>
      <c r="EL1345" s="1881"/>
      <c r="EM1345" s="1881"/>
    </row>
    <row r="1346" spans="140:143">
      <c r="EJ1346" s="1881"/>
      <c r="EL1346" s="1881"/>
      <c r="EM1346" s="1881"/>
    </row>
    <row r="1347" spans="140:143">
      <c r="EJ1347" s="1881"/>
      <c r="EL1347" s="1881"/>
      <c r="EM1347" s="1881"/>
    </row>
    <row r="1348" spans="140:143">
      <c r="EJ1348" s="1881"/>
      <c r="EL1348" s="1881"/>
      <c r="EM1348" s="1881"/>
    </row>
    <row r="1349" spans="140:143">
      <c r="EJ1349" s="1881"/>
      <c r="EL1349" s="1881"/>
      <c r="EM1349" s="1881"/>
    </row>
    <row r="1350" spans="140:143">
      <c r="EJ1350" s="1881"/>
      <c r="EL1350" s="1881"/>
      <c r="EM1350" s="1881"/>
    </row>
    <row r="1351" spans="140:143">
      <c r="EJ1351" s="1881"/>
      <c r="EL1351" s="1881"/>
      <c r="EM1351" s="1881"/>
    </row>
    <row r="1352" spans="140:143">
      <c r="EJ1352" s="1881"/>
      <c r="EL1352" s="1881"/>
      <c r="EM1352" s="1881"/>
    </row>
    <row r="1353" spans="140:143">
      <c r="EJ1353" s="1881"/>
      <c r="EL1353" s="1881"/>
      <c r="EM1353" s="1881"/>
    </row>
    <row r="1354" spans="140:143">
      <c r="EJ1354" s="1881"/>
      <c r="EL1354" s="1881"/>
      <c r="EM1354" s="1881"/>
    </row>
    <row r="1355" spans="140:143">
      <c r="EJ1355" s="1881"/>
      <c r="EL1355" s="1881"/>
      <c r="EM1355" s="1881"/>
    </row>
    <row r="1356" spans="140:143">
      <c r="EJ1356" s="1881"/>
      <c r="EL1356" s="1881"/>
      <c r="EM1356" s="1881"/>
    </row>
    <row r="1357" spans="140:143">
      <c r="EJ1357" s="1881"/>
      <c r="EL1357" s="1881"/>
      <c r="EM1357" s="1881"/>
    </row>
    <row r="1358" spans="140:143">
      <c r="EJ1358" s="1881"/>
      <c r="EL1358" s="1881"/>
      <c r="EM1358" s="1881"/>
    </row>
    <row r="1359" spans="140:143">
      <c r="EJ1359" s="1881"/>
      <c r="EL1359" s="1881"/>
      <c r="EM1359" s="1881"/>
    </row>
    <row r="1360" spans="140:143">
      <c r="EJ1360" s="1881"/>
      <c r="EL1360" s="1881"/>
      <c r="EM1360" s="1881"/>
    </row>
    <row r="1361" spans="140:143">
      <c r="EJ1361" s="1881"/>
      <c r="EL1361" s="1881"/>
      <c r="EM1361" s="1881"/>
    </row>
    <row r="1362" spans="140:143">
      <c r="EJ1362" s="1881"/>
      <c r="EL1362" s="1881"/>
      <c r="EM1362" s="1881"/>
    </row>
    <row r="1363" spans="140:143">
      <c r="EJ1363" s="1881"/>
      <c r="EL1363" s="1881"/>
      <c r="EM1363" s="1881"/>
    </row>
    <row r="1364" spans="140:143">
      <c r="EJ1364" s="1881"/>
      <c r="EL1364" s="1881"/>
      <c r="EM1364" s="1881"/>
    </row>
    <row r="1365" spans="140:143">
      <c r="EJ1365" s="1881"/>
      <c r="EL1365" s="1881"/>
      <c r="EM1365" s="1881"/>
    </row>
    <row r="1366" spans="140:143">
      <c r="EJ1366" s="1881"/>
      <c r="EL1366" s="1881"/>
      <c r="EM1366" s="1881"/>
    </row>
    <row r="1367" spans="140:143">
      <c r="EJ1367" s="1881"/>
      <c r="EL1367" s="1881"/>
      <c r="EM1367" s="1881"/>
    </row>
    <row r="1368" spans="140:143">
      <c r="EJ1368" s="1881"/>
      <c r="EL1368" s="1881"/>
      <c r="EM1368" s="1881"/>
    </row>
    <row r="1369" spans="140:143">
      <c r="EJ1369" s="1881"/>
      <c r="EL1369" s="1881"/>
      <c r="EM1369" s="1881"/>
    </row>
    <row r="1370" spans="140:143">
      <c r="EJ1370" s="1881"/>
      <c r="EL1370" s="1881"/>
      <c r="EM1370" s="1881"/>
    </row>
    <row r="1371" spans="140:143">
      <c r="EJ1371" s="1881"/>
      <c r="EL1371" s="1881"/>
      <c r="EM1371" s="1881"/>
    </row>
    <row r="1372" spans="140:143">
      <c r="EJ1372" s="1881"/>
      <c r="EL1372" s="1881"/>
      <c r="EM1372" s="1881"/>
    </row>
    <row r="1373" spans="140:143">
      <c r="EJ1373" s="1881"/>
      <c r="EL1373" s="1881"/>
      <c r="EM1373" s="1881"/>
    </row>
    <row r="1374" spans="140:143">
      <c r="EJ1374" s="1881"/>
      <c r="EL1374" s="1881"/>
      <c r="EM1374" s="1881"/>
    </row>
    <row r="1375" spans="140:143">
      <c r="EJ1375" s="1881"/>
      <c r="EL1375" s="1881"/>
      <c r="EM1375" s="1881"/>
    </row>
    <row r="1376" spans="140:143">
      <c r="EJ1376" s="1881"/>
      <c r="EL1376" s="1881"/>
      <c r="EM1376" s="1881"/>
    </row>
    <row r="1377" spans="140:143">
      <c r="EJ1377" s="1881"/>
      <c r="EL1377" s="1881"/>
      <c r="EM1377" s="1881"/>
    </row>
    <row r="1378" spans="140:143">
      <c r="EJ1378" s="1881"/>
      <c r="EL1378" s="1881"/>
      <c r="EM1378" s="1881"/>
    </row>
    <row r="1379" spans="140:143">
      <c r="EJ1379" s="1881"/>
      <c r="EL1379" s="1881"/>
      <c r="EM1379" s="1881"/>
    </row>
    <row r="1380" spans="140:143">
      <c r="EJ1380" s="1881"/>
      <c r="EL1380" s="1881"/>
      <c r="EM1380" s="1881"/>
    </row>
    <row r="1381" spans="140:143">
      <c r="EJ1381" s="1881"/>
      <c r="EL1381" s="1881"/>
      <c r="EM1381" s="1881"/>
    </row>
    <row r="1382" spans="140:143">
      <c r="EJ1382" s="1881"/>
      <c r="EL1382" s="1881"/>
      <c r="EM1382" s="1881"/>
    </row>
    <row r="1383" spans="140:143">
      <c r="EJ1383" s="1881"/>
      <c r="EL1383" s="1881"/>
      <c r="EM1383" s="1881"/>
    </row>
    <row r="1384" spans="140:143">
      <c r="EJ1384" s="1881"/>
      <c r="EL1384" s="1881"/>
      <c r="EM1384" s="1881"/>
    </row>
    <row r="1385" spans="140:143">
      <c r="EJ1385" s="1881"/>
      <c r="EL1385" s="1881"/>
      <c r="EM1385" s="1881"/>
    </row>
    <row r="1386" spans="140:143">
      <c r="EJ1386" s="1881"/>
      <c r="EL1386" s="1881"/>
      <c r="EM1386" s="1881"/>
    </row>
    <row r="1387" spans="140:143">
      <c r="EJ1387" s="1881"/>
      <c r="EL1387" s="1881"/>
      <c r="EM1387" s="1881"/>
    </row>
    <row r="1388" spans="140:143">
      <c r="EJ1388" s="1881"/>
      <c r="EL1388" s="1881"/>
      <c r="EM1388" s="1881"/>
    </row>
    <row r="1389" spans="140:143">
      <c r="EJ1389" s="1881"/>
      <c r="EL1389" s="1881"/>
      <c r="EM1389" s="1881"/>
    </row>
    <row r="1390" spans="140:143">
      <c r="EJ1390" s="1881"/>
      <c r="EL1390" s="1881"/>
      <c r="EM1390" s="1881"/>
    </row>
    <row r="1391" spans="140:143">
      <c r="EJ1391" s="1881"/>
      <c r="EL1391" s="1881"/>
      <c r="EM1391" s="1881"/>
    </row>
    <row r="1392" spans="140:143">
      <c r="EJ1392" s="1881"/>
      <c r="EL1392" s="1881"/>
      <c r="EM1392" s="1881"/>
    </row>
    <row r="1393" spans="140:143">
      <c r="EJ1393" s="1881"/>
      <c r="EL1393" s="1881"/>
      <c r="EM1393" s="1881"/>
    </row>
    <row r="1394" spans="140:143">
      <c r="EJ1394" s="1881"/>
      <c r="EL1394" s="1881"/>
      <c r="EM1394" s="1881"/>
    </row>
    <row r="1395" spans="140:143">
      <c r="EJ1395" s="1881"/>
      <c r="EL1395" s="1881"/>
      <c r="EM1395" s="1881"/>
    </row>
    <row r="1396" spans="140:143">
      <c r="EJ1396" s="1881"/>
      <c r="EL1396" s="1881"/>
      <c r="EM1396" s="1881"/>
    </row>
    <row r="1397" spans="140:143">
      <c r="EJ1397" s="1881"/>
      <c r="EL1397" s="1881"/>
      <c r="EM1397" s="1881"/>
    </row>
    <row r="1398" spans="140:143">
      <c r="EJ1398" s="1881"/>
      <c r="EL1398" s="1881"/>
      <c r="EM1398" s="1881"/>
    </row>
    <row r="1399" spans="140:143">
      <c r="EJ1399" s="1881"/>
      <c r="EL1399" s="1881"/>
      <c r="EM1399" s="1881"/>
    </row>
    <row r="1400" spans="140:143">
      <c r="EJ1400" s="1881"/>
      <c r="EL1400" s="1881"/>
      <c r="EM1400" s="1881"/>
    </row>
    <row r="1401" spans="140:143">
      <c r="EJ1401" s="1881"/>
      <c r="EL1401" s="1881"/>
      <c r="EM1401" s="1881"/>
    </row>
    <row r="1402" spans="140:143">
      <c r="EJ1402" s="1881"/>
      <c r="EL1402" s="1881"/>
      <c r="EM1402" s="1881"/>
    </row>
    <row r="1403" spans="140:143">
      <c r="EJ1403" s="1881"/>
      <c r="EL1403" s="1881"/>
      <c r="EM1403" s="1881"/>
    </row>
    <row r="1404" spans="140:143">
      <c r="EJ1404" s="1881"/>
      <c r="EL1404" s="1881"/>
      <c r="EM1404" s="1881"/>
    </row>
    <row r="1405" spans="140:143">
      <c r="EJ1405" s="1881"/>
      <c r="EL1405" s="1881"/>
      <c r="EM1405" s="1881"/>
    </row>
    <row r="1406" spans="140:143">
      <c r="EJ1406" s="1881"/>
      <c r="EL1406" s="1881"/>
      <c r="EM1406" s="1881"/>
    </row>
    <row r="1407" spans="140:143">
      <c r="EJ1407" s="1881"/>
      <c r="EL1407" s="1881"/>
      <c r="EM1407" s="1881"/>
    </row>
    <row r="1408" spans="140:143">
      <c r="EJ1408" s="1881"/>
      <c r="EL1408" s="1881"/>
      <c r="EM1408" s="1881"/>
    </row>
    <row r="1409" spans="140:143">
      <c r="EJ1409" s="1881"/>
      <c r="EL1409" s="1881"/>
      <c r="EM1409" s="1881"/>
    </row>
    <row r="1410" spans="140:143">
      <c r="EJ1410" s="1881"/>
      <c r="EL1410" s="1881"/>
      <c r="EM1410" s="1881"/>
    </row>
    <row r="1411" spans="140:143">
      <c r="EJ1411" s="1881"/>
      <c r="EL1411" s="1881"/>
      <c r="EM1411" s="1881"/>
    </row>
    <row r="1412" spans="140:143">
      <c r="EJ1412" s="1881"/>
      <c r="EL1412" s="1881"/>
      <c r="EM1412" s="1881"/>
    </row>
    <row r="1413" spans="140:143">
      <c r="EJ1413" s="1881"/>
      <c r="EL1413" s="1881"/>
      <c r="EM1413" s="1881"/>
    </row>
    <row r="1414" spans="140:143">
      <c r="EJ1414" s="1881"/>
      <c r="EL1414" s="1881"/>
      <c r="EM1414" s="1881"/>
    </row>
    <row r="1415" spans="140:143">
      <c r="EJ1415" s="1881"/>
      <c r="EL1415" s="1881"/>
      <c r="EM1415" s="1881"/>
    </row>
    <row r="1416" spans="140:143">
      <c r="EJ1416" s="1881"/>
      <c r="EL1416" s="1881"/>
      <c r="EM1416" s="1881"/>
    </row>
    <row r="1417" spans="140:143">
      <c r="EJ1417" s="1881"/>
      <c r="EL1417" s="1881"/>
      <c r="EM1417" s="1881"/>
    </row>
    <row r="1418" spans="140:143">
      <c r="EJ1418" s="1881"/>
      <c r="EL1418" s="1881"/>
      <c r="EM1418" s="1881"/>
    </row>
    <row r="1419" spans="140:143">
      <c r="EJ1419" s="1881"/>
      <c r="EL1419" s="1881"/>
      <c r="EM1419" s="1881"/>
    </row>
    <row r="1420" spans="140:143">
      <c r="EJ1420" s="1881"/>
      <c r="EL1420" s="1881"/>
      <c r="EM1420" s="1881"/>
    </row>
    <row r="1421" spans="140:143">
      <c r="EJ1421" s="1881"/>
      <c r="EL1421" s="1881"/>
      <c r="EM1421" s="1881"/>
    </row>
    <row r="1422" spans="140:143">
      <c r="EJ1422" s="1881"/>
      <c r="EL1422" s="1881"/>
      <c r="EM1422" s="1881"/>
    </row>
    <row r="1423" spans="140:143">
      <c r="EJ1423" s="1881"/>
      <c r="EL1423" s="1881"/>
      <c r="EM1423" s="1881"/>
    </row>
    <row r="1424" spans="140:143">
      <c r="EJ1424" s="1881"/>
      <c r="EL1424" s="1881"/>
      <c r="EM1424" s="1881"/>
    </row>
    <row r="1425" spans="140:143">
      <c r="EJ1425" s="1881"/>
      <c r="EL1425" s="1881"/>
      <c r="EM1425" s="1881"/>
    </row>
    <row r="1426" spans="140:143">
      <c r="EJ1426" s="1881"/>
      <c r="EL1426" s="1881"/>
      <c r="EM1426" s="1881"/>
    </row>
    <row r="1427" spans="140:143">
      <c r="EJ1427" s="1881"/>
      <c r="EL1427" s="1881"/>
      <c r="EM1427" s="1881"/>
    </row>
    <row r="1428" spans="140:143">
      <c r="EJ1428" s="1881"/>
      <c r="EL1428" s="1881"/>
      <c r="EM1428" s="1881"/>
    </row>
    <row r="1429" spans="140:143">
      <c r="EJ1429" s="1881"/>
      <c r="EL1429" s="1881"/>
      <c r="EM1429" s="1881"/>
    </row>
    <row r="1430" spans="140:143">
      <c r="EJ1430" s="1881"/>
      <c r="EL1430" s="1881"/>
      <c r="EM1430" s="1881"/>
    </row>
    <row r="1431" spans="140:143">
      <c r="EJ1431" s="1881"/>
      <c r="EL1431" s="1881"/>
      <c r="EM1431" s="1881"/>
    </row>
    <row r="1432" spans="140:143">
      <c r="EJ1432" s="1881"/>
      <c r="EL1432" s="1881"/>
      <c r="EM1432" s="1881"/>
    </row>
    <row r="1433" spans="140:143">
      <c r="EJ1433" s="1881"/>
      <c r="EL1433" s="1881"/>
      <c r="EM1433" s="1881"/>
    </row>
    <row r="1434" spans="140:143">
      <c r="EJ1434" s="1881"/>
      <c r="EL1434" s="1881"/>
      <c r="EM1434" s="1881"/>
    </row>
    <row r="1435" spans="140:143">
      <c r="EJ1435" s="1881"/>
      <c r="EL1435" s="1881"/>
      <c r="EM1435" s="1881"/>
    </row>
    <row r="1436" spans="140:143">
      <c r="EJ1436" s="1881"/>
      <c r="EL1436" s="1881"/>
      <c r="EM1436" s="1881"/>
    </row>
    <row r="1437" spans="140:143">
      <c r="EJ1437" s="1881"/>
      <c r="EL1437" s="1881"/>
      <c r="EM1437" s="1881"/>
    </row>
    <row r="1438" spans="140:143">
      <c r="EJ1438" s="1881"/>
      <c r="EL1438" s="1881"/>
      <c r="EM1438" s="1881"/>
    </row>
    <row r="1439" spans="140:143">
      <c r="EJ1439" s="1881"/>
      <c r="EL1439" s="1881"/>
      <c r="EM1439" s="1881"/>
    </row>
    <row r="1440" spans="140:143">
      <c r="EJ1440" s="1881"/>
      <c r="EL1440" s="1881"/>
      <c r="EM1440" s="1881"/>
    </row>
    <row r="1441" spans="140:143">
      <c r="EJ1441" s="1881"/>
      <c r="EL1441" s="1881"/>
      <c r="EM1441" s="1881"/>
    </row>
    <row r="1442" spans="140:143">
      <c r="EJ1442" s="1881"/>
      <c r="EL1442" s="1881"/>
      <c r="EM1442" s="1881"/>
    </row>
    <row r="1443" spans="140:143">
      <c r="EJ1443" s="1881"/>
      <c r="EL1443" s="1881"/>
      <c r="EM1443" s="1881"/>
    </row>
    <row r="1444" spans="140:143">
      <c r="EJ1444" s="1881"/>
      <c r="EL1444" s="1881"/>
      <c r="EM1444" s="1881"/>
    </row>
    <row r="1445" spans="140:143">
      <c r="EJ1445" s="1881"/>
      <c r="EL1445" s="1881"/>
      <c r="EM1445" s="1881"/>
    </row>
    <row r="1446" spans="140:143">
      <c r="EJ1446" s="1881"/>
      <c r="EL1446" s="1881"/>
      <c r="EM1446" s="1881"/>
    </row>
    <row r="1447" spans="140:143">
      <c r="EJ1447" s="1881"/>
      <c r="EL1447" s="1881"/>
      <c r="EM1447" s="1881"/>
    </row>
    <row r="1448" spans="140:143">
      <c r="EJ1448" s="1881"/>
      <c r="EL1448" s="1881"/>
      <c r="EM1448" s="1881"/>
    </row>
    <row r="1449" spans="140:143">
      <c r="EJ1449" s="1881"/>
      <c r="EL1449" s="1881"/>
      <c r="EM1449" s="1881"/>
    </row>
    <row r="1450" spans="140:143">
      <c r="EJ1450" s="1881"/>
      <c r="EL1450" s="1881"/>
      <c r="EM1450" s="1881"/>
    </row>
    <row r="1451" spans="140:143">
      <c r="EJ1451" s="1881"/>
      <c r="EL1451" s="1881"/>
      <c r="EM1451" s="1881"/>
    </row>
    <row r="1452" spans="140:143">
      <c r="EJ1452" s="1881"/>
      <c r="EL1452" s="1881"/>
      <c r="EM1452" s="1881"/>
    </row>
    <row r="1453" spans="140:143">
      <c r="EJ1453" s="1881"/>
      <c r="EL1453" s="1881"/>
      <c r="EM1453" s="1881"/>
    </row>
    <row r="1454" spans="140:143">
      <c r="EJ1454" s="1881"/>
      <c r="EL1454" s="1881"/>
      <c r="EM1454" s="1881"/>
    </row>
    <row r="1455" spans="140:143">
      <c r="EJ1455" s="1881"/>
      <c r="EL1455" s="1881"/>
      <c r="EM1455" s="1881"/>
    </row>
    <row r="1456" spans="140:143">
      <c r="EJ1456" s="1881"/>
      <c r="EL1456" s="1881"/>
      <c r="EM1456" s="1881"/>
    </row>
    <row r="1457" spans="140:143">
      <c r="EJ1457" s="1881"/>
      <c r="EL1457" s="1881"/>
      <c r="EM1457" s="1881"/>
    </row>
    <row r="1458" spans="140:143">
      <c r="EJ1458" s="1881"/>
      <c r="EL1458" s="1881"/>
      <c r="EM1458" s="1881"/>
    </row>
    <row r="1459" spans="140:143">
      <c r="EJ1459" s="1881"/>
      <c r="EL1459" s="1881"/>
      <c r="EM1459" s="1881"/>
    </row>
    <row r="1460" spans="140:143">
      <c r="EJ1460" s="1881"/>
      <c r="EL1460" s="1881"/>
      <c r="EM1460" s="1881"/>
    </row>
    <row r="1461" spans="140:143">
      <c r="EJ1461" s="1881"/>
      <c r="EL1461" s="1881"/>
      <c r="EM1461" s="1881"/>
    </row>
    <row r="1462" spans="140:143">
      <c r="EJ1462" s="1881"/>
      <c r="EL1462" s="1881"/>
      <c r="EM1462" s="1881"/>
    </row>
    <row r="1463" spans="140:143">
      <c r="EJ1463" s="1881"/>
      <c r="EL1463" s="1881"/>
      <c r="EM1463" s="1881"/>
    </row>
    <row r="1464" spans="140:143">
      <c r="EJ1464" s="1881"/>
      <c r="EL1464" s="1881"/>
      <c r="EM1464" s="1881"/>
    </row>
    <row r="1465" spans="140:143">
      <c r="EJ1465" s="1881"/>
      <c r="EL1465" s="1881"/>
      <c r="EM1465" s="1881"/>
    </row>
    <row r="1466" spans="140:143">
      <c r="EJ1466" s="1881"/>
      <c r="EL1466" s="1881"/>
      <c r="EM1466" s="1881"/>
    </row>
    <row r="1467" spans="140:143">
      <c r="EJ1467" s="1881"/>
      <c r="EL1467" s="1881"/>
      <c r="EM1467" s="1881"/>
    </row>
    <row r="1468" spans="140:143">
      <c r="EJ1468" s="1881"/>
      <c r="EL1468" s="1881"/>
      <c r="EM1468" s="1881"/>
    </row>
    <row r="1469" spans="140:143">
      <c r="EJ1469" s="1881"/>
      <c r="EL1469" s="1881"/>
      <c r="EM1469" s="1881"/>
    </row>
    <row r="1470" spans="140:143">
      <c r="EJ1470" s="1881"/>
      <c r="EL1470" s="1881"/>
      <c r="EM1470" s="1881"/>
    </row>
    <row r="1471" spans="140:143">
      <c r="EJ1471" s="1881"/>
      <c r="EL1471" s="1881"/>
      <c r="EM1471" s="1881"/>
    </row>
    <row r="1472" spans="140:143">
      <c r="EJ1472" s="1881"/>
      <c r="EL1472" s="1881"/>
      <c r="EM1472" s="1881"/>
    </row>
    <row r="1473" spans="140:143">
      <c r="EJ1473" s="1881"/>
      <c r="EL1473" s="1881"/>
      <c r="EM1473" s="1881"/>
    </row>
    <row r="1474" spans="140:143">
      <c r="EJ1474" s="1881"/>
      <c r="EL1474" s="1881"/>
      <c r="EM1474" s="1881"/>
    </row>
    <row r="1475" spans="140:143">
      <c r="EJ1475" s="1881"/>
      <c r="EL1475" s="1881"/>
      <c r="EM1475" s="1881"/>
    </row>
    <row r="1476" spans="140:143">
      <c r="EJ1476" s="1881"/>
      <c r="EL1476" s="1881"/>
      <c r="EM1476" s="1881"/>
    </row>
    <row r="1477" spans="140:143">
      <c r="EJ1477" s="1881"/>
      <c r="EL1477" s="1881"/>
      <c r="EM1477" s="1881"/>
    </row>
    <row r="1478" spans="140:143">
      <c r="EJ1478" s="1881"/>
      <c r="EL1478" s="1881"/>
      <c r="EM1478" s="1881"/>
    </row>
    <row r="1479" spans="140:143">
      <c r="EJ1479" s="1881"/>
      <c r="EL1479" s="1881"/>
      <c r="EM1479" s="1881"/>
    </row>
    <row r="1480" spans="140:143">
      <c r="EJ1480" s="1881"/>
      <c r="EL1480" s="1881"/>
      <c r="EM1480" s="1881"/>
    </row>
    <row r="1481" spans="140:143">
      <c r="EJ1481" s="1881"/>
      <c r="EL1481" s="1881"/>
      <c r="EM1481" s="1881"/>
    </row>
    <row r="1482" spans="140:143">
      <c r="EJ1482" s="1881"/>
      <c r="EL1482" s="1881"/>
      <c r="EM1482" s="1881"/>
    </row>
    <row r="1483" spans="140:143">
      <c r="EJ1483" s="1881"/>
      <c r="EL1483" s="1881"/>
      <c r="EM1483" s="1881"/>
    </row>
    <row r="1484" spans="140:143">
      <c r="EJ1484" s="1881"/>
      <c r="EL1484" s="1881"/>
      <c r="EM1484" s="1881"/>
    </row>
    <row r="1485" spans="140:143">
      <c r="EJ1485" s="1881"/>
      <c r="EL1485" s="1881"/>
      <c r="EM1485" s="1881"/>
    </row>
    <row r="1486" spans="140:143">
      <c r="EJ1486" s="1881"/>
      <c r="EL1486" s="1881"/>
      <c r="EM1486" s="1881"/>
    </row>
    <row r="1487" spans="140:143">
      <c r="EJ1487" s="1881"/>
      <c r="EL1487" s="1881"/>
      <c r="EM1487" s="1881"/>
    </row>
    <row r="1488" spans="140:143">
      <c r="EJ1488" s="1881"/>
      <c r="EL1488" s="1881"/>
      <c r="EM1488" s="1881"/>
    </row>
    <row r="1489" spans="140:143">
      <c r="EJ1489" s="1881"/>
      <c r="EL1489" s="1881"/>
      <c r="EM1489" s="1881"/>
    </row>
    <row r="1490" spans="140:143">
      <c r="EJ1490" s="1881"/>
      <c r="EL1490" s="1881"/>
      <c r="EM1490" s="1881"/>
    </row>
    <row r="1491" spans="140:143">
      <c r="EJ1491" s="1881"/>
      <c r="EL1491" s="1881"/>
      <c r="EM1491" s="1881"/>
    </row>
    <row r="1492" spans="140:143">
      <c r="EJ1492" s="1881"/>
      <c r="EL1492" s="1881"/>
      <c r="EM1492" s="1881"/>
    </row>
    <row r="1493" spans="140:143">
      <c r="EJ1493" s="1881"/>
      <c r="EL1493" s="1881"/>
      <c r="EM1493" s="1881"/>
    </row>
    <row r="1494" spans="140:143">
      <c r="EJ1494" s="1881"/>
      <c r="EL1494" s="1881"/>
      <c r="EM1494" s="1881"/>
    </row>
    <row r="1495" spans="140:143">
      <c r="EJ1495" s="1881"/>
      <c r="EL1495" s="1881"/>
      <c r="EM1495" s="1881"/>
    </row>
    <row r="1496" spans="140:143">
      <c r="EJ1496" s="1881"/>
      <c r="EL1496" s="1881"/>
      <c r="EM1496" s="1881"/>
    </row>
    <row r="1497" spans="140:143">
      <c r="EJ1497" s="1881"/>
      <c r="EL1497" s="1881"/>
      <c r="EM1497" s="1881"/>
    </row>
    <row r="1498" spans="140:143">
      <c r="EJ1498" s="1881"/>
      <c r="EL1498" s="1881"/>
      <c r="EM1498" s="1881"/>
    </row>
    <row r="1499" spans="140:143">
      <c r="EJ1499" s="1881"/>
      <c r="EL1499" s="1881"/>
      <c r="EM1499" s="1881"/>
    </row>
    <row r="1500" spans="140:143">
      <c r="EJ1500" s="1881"/>
      <c r="EL1500" s="1881"/>
      <c r="EM1500" s="1881"/>
    </row>
    <row r="1501" spans="140:143">
      <c r="EJ1501" s="1881"/>
      <c r="EL1501" s="1881"/>
      <c r="EM1501" s="1881"/>
    </row>
    <row r="1502" spans="140:143">
      <c r="EJ1502" s="1881"/>
      <c r="EL1502" s="1881"/>
      <c r="EM1502" s="1881"/>
    </row>
    <row r="1503" spans="140:143">
      <c r="EJ1503" s="1881"/>
      <c r="EL1503" s="1881"/>
      <c r="EM1503" s="1881"/>
    </row>
    <row r="1504" spans="140:143">
      <c r="EJ1504" s="1881"/>
      <c r="EL1504" s="1881"/>
      <c r="EM1504" s="1881"/>
    </row>
    <row r="1505" spans="140:143">
      <c r="EJ1505" s="1881"/>
      <c r="EL1505" s="1881"/>
      <c r="EM1505" s="1881"/>
    </row>
    <row r="1506" spans="140:143">
      <c r="EJ1506" s="1881"/>
      <c r="EL1506" s="1881"/>
      <c r="EM1506" s="1881"/>
    </row>
    <row r="1507" spans="140:143">
      <c r="EJ1507" s="1881"/>
      <c r="EL1507" s="1881"/>
      <c r="EM1507" s="1881"/>
    </row>
    <row r="1508" spans="140:143">
      <c r="EJ1508" s="1881"/>
      <c r="EL1508" s="1881"/>
      <c r="EM1508" s="1881"/>
    </row>
    <row r="1509" spans="140:143">
      <c r="EJ1509" s="1881"/>
      <c r="EL1509" s="1881"/>
      <c r="EM1509" s="1881"/>
    </row>
    <row r="1510" spans="140:143">
      <c r="EJ1510" s="1881"/>
      <c r="EL1510" s="1881"/>
      <c r="EM1510" s="1881"/>
    </row>
    <row r="1511" spans="140:143">
      <c r="EJ1511" s="1881"/>
      <c r="EL1511" s="1881"/>
      <c r="EM1511" s="1881"/>
    </row>
    <row r="1512" spans="140:143">
      <c r="EJ1512" s="1881"/>
      <c r="EL1512" s="1881"/>
      <c r="EM1512" s="1881"/>
    </row>
    <row r="1513" spans="140:143">
      <c r="EJ1513" s="1881"/>
      <c r="EL1513" s="1881"/>
      <c r="EM1513" s="1881"/>
    </row>
    <row r="1514" spans="140:143">
      <c r="EJ1514" s="1881"/>
      <c r="EL1514" s="1881"/>
      <c r="EM1514" s="1881"/>
    </row>
    <row r="1515" spans="140:143">
      <c r="EJ1515" s="1881"/>
      <c r="EL1515" s="1881"/>
      <c r="EM1515" s="1881"/>
    </row>
    <row r="1516" spans="140:143">
      <c r="EJ1516" s="1881"/>
      <c r="EL1516" s="1881"/>
      <c r="EM1516" s="1881"/>
    </row>
    <row r="1517" spans="140:143">
      <c r="EJ1517" s="1881"/>
      <c r="EL1517" s="1881"/>
      <c r="EM1517" s="1881"/>
    </row>
    <row r="1518" spans="140:143">
      <c r="EJ1518" s="1881"/>
      <c r="EL1518" s="1881"/>
      <c r="EM1518" s="1881"/>
    </row>
    <row r="1519" spans="140:143">
      <c r="EJ1519" s="1881"/>
      <c r="EL1519" s="1881"/>
      <c r="EM1519" s="1881"/>
    </row>
    <row r="1520" spans="140:143">
      <c r="EJ1520" s="1881"/>
      <c r="EL1520" s="1881"/>
      <c r="EM1520" s="1881"/>
    </row>
    <row r="1521" spans="140:143">
      <c r="EJ1521" s="1881"/>
      <c r="EL1521" s="1881"/>
      <c r="EM1521" s="1881"/>
    </row>
    <row r="1522" spans="140:143">
      <c r="EJ1522" s="1881"/>
      <c r="EL1522" s="1881"/>
      <c r="EM1522" s="1881"/>
    </row>
    <row r="1523" spans="140:143">
      <c r="EJ1523" s="1881"/>
      <c r="EL1523" s="1881"/>
      <c r="EM1523" s="1881"/>
    </row>
    <row r="1524" spans="140:143">
      <c r="EJ1524" s="1881"/>
      <c r="EL1524" s="1881"/>
      <c r="EM1524" s="1881"/>
    </row>
    <row r="1525" spans="140:143">
      <c r="EJ1525" s="1881"/>
      <c r="EL1525" s="1881"/>
      <c r="EM1525" s="1881"/>
    </row>
    <row r="1526" spans="140:143">
      <c r="EJ1526" s="1881"/>
      <c r="EL1526" s="1881"/>
      <c r="EM1526" s="1881"/>
    </row>
    <row r="1527" spans="140:143">
      <c r="EJ1527" s="1881"/>
      <c r="EL1527" s="1881"/>
      <c r="EM1527" s="1881"/>
    </row>
    <row r="1528" spans="140:143">
      <c r="EJ1528" s="1881"/>
      <c r="EL1528" s="1881"/>
      <c r="EM1528" s="1881"/>
    </row>
    <row r="1529" spans="140:143">
      <c r="EJ1529" s="1881"/>
      <c r="EL1529" s="1881"/>
      <c r="EM1529" s="1881"/>
    </row>
    <row r="1530" spans="140:143">
      <c r="EJ1530" s="1881"/>
      <c r="EL1530" s="1881"/>
      <c r="EM1530" s="1881"/>
    </row>
    <row r="1531" spans="140:143">
      <c r="EJ1531" s="1881"/>
      <c r="EL1531" s="1881"/>
      <c r="EM1531" s="1881"/>
    </row>
    <row r="1532" spans="140:143">
      <c r="EJ1532" s="1881"/>
      <c r="EL1532" s="1881"/>
      <c r="EM1532" s="1881"/>
    </row>
    <row r="1533" spans="140:143">
      <c r="EJ1533" s="1881"/>
      <c r="EL1533" s="1881"/>
      <c r="EM1533" s="1881"/>
    </row>
    <row r="1534" spans="140:143">
      <c r="EJ1534" s="1881"/>
      <c r="EL1534" s="1881"/>
      <c r="EM1534" s="1881"/>
    </row>
    <row r="1535" spans="140:143">
      <c r="EJ1535" s="1881"/>
      <c r="EL1535" s="1881"/>
      <c r="EM1535" s="1881"/>
    </row>
    <row r="1536" spans="140:143">
      <c r="EJ1536" s="1881"/>
      <c r="EL1536" s="1881"/>
      <c r="EM1536" s="1881"/>
    </row>
    <row r="1537" spans="140:143">
      <c r="EJ1537" s="1881"/>
      <c r="EL1537" s="1881"/>
      <c r="EM1537" s="1881"/>
    </row>
    <row r="1538" spans="140:143">
      <c r="EJ1538" s="1881"/>
      <c r="EL1538" s="1881"/>
      <c r="EM1538" s="1881"/>
    </row>
    <row r="1539" spans="140:143">
      <c r="EJ1539" s="1881"/>
      <c r="EL1539" s="1881"/>
      <c r="EM1539" s="1881"/>
    </row>
    <row r="1540" spans="140:143">
      <c r="EJ1540" s="1881"/>
      <c r="EL1540" s="1881"/>
      <c r="EM1540" s="1881"/>
    </row>
    <row r="1541" spans="140:143">
      <c r="EJ1541" s="1881"/>
      <c r="EL1541" s="1881"/>
      <c r="EM1541" s="1881"/>
    </row>
    <row r="1542" spans="140:143">
      <c r="EJ1542" s="1881"/>
      <c r="EL1542" s="1881"/>
      <c r="EM1542" s="1881"/>
    </row>
    <row r="1543" spans="140:143">
      <c r="EJ1543" s="1881"/>
      <c r="EL1543" s="1881"/>
      <c r="EM1543" s="1881"/>
    </row>
    <row r="1544" spans="140:143">
      <c r="EJ1544" s="1881"/>
      <c r="EL1544" s="1881"/>
      <c r="EM1544" s="1881"/>
    </row>
    <row r="1545" spans="140:143">
      <c r="EJ1545" s="1881"/>
      <c r="EL1545" s="1881"/>
      <c r="EM1545" s="1881"/>
    </row>
    <row r="1546" spans="140:143">
      <c r="EJ1546" s="1881"/>
      <c r="EL1546" s="1881"/>
      <c r="EM1546" s="1881"/>
    </row>
    <row r="1547" spans="140:143">
      <c r="EJ1547" s="1881"/>
      <c r="EL1547" s="1881"/>
      <c r="EM1547" s="1881"/>
    </row>
    <row r="1548" spans="140:143">
      <c r="EJ1548" s="1881"/>
      <c r="EL1548" s="1881"/>
      <c r="EM1548" s="1881"/>
    </row>
    <row r="1549" spans="140:143">
      <c r="EJ1549" s="1881"/>
      <c r="EL1549" s="1881"/>
      <c r="EM1549" s="1881"/>
    </row>
    <row r="1550" spans="140:143">
      <c r="EJ1550" s="1881"/>
      <c r="EL1550" s="1881"/>
      <c r="EM1550" s="1881"/>
    </row>
    <row r="1551" spans="140:143">
      <c r="EJ1551" s="1881"/>
      <c r="EL1551" s="1881"/>
      <c r="EM1551" s="1881"/>
    </row>
    <row r="1552" spans="140:143">
      <c r="EJ1552" s="1881"/>
      <c r="EL1552" s="1881"/>
      <c r="EM1552" s="1881"/>
    </row>
    <row r="1553" spans="140:143">
      <c r="EJ1553" s="1881"/>
      <c r="EL1553" s="1881"/>
      <c r="EM1553" s="1881"/>
    </row>
    <row r="1554" spans="140:143">
      <c r="EJ1554" s="1881"/>
      <c r="EL1554" s="1881"/>
      <c r="EM1554" s="1881"/>
    </row>
    <row r="1555" spans="140:143">
      <c r="EJ1555" s="1881"/>
      <c r="EL1555" s="1881"/>
      <c r="EM1555" s="1881"/>
    </row>
    <row r="1556" spans="140:143">
      <c r="EJ1556" s="1881"/>
      <c r="EL1556" s="1881"/>
      <c r="EM1556" s="1881"/>
    </row>
    <row r="1557" spans="140:143">
      <c r="EJ1557" s="1881"/>
      <c r="EL1557" s="1881"/>
      <c r="EM1557" s="1881"/>
    </row>
    <row r="1558" spans="140:143">
      <c r="EJ1558" s="1881"/>
      <c r="EL1558" s="1881"/>
      <c r="EM1558" s="1881"/>
    </row>
    <row r="1559" spans="140:143">
      <c r="EJ1559" s="1881"/>
      <c r="EL1559" s="1881"/>
      <c r="EM1559" s="1881"/>
    </row>
    <row r="1560" spans="140:143">
      <c r="EJ1560" s="1881"/>
      <c r="EL1560" s="1881"/>
      <c r="EM1560" s="1881"/>
    </row>
    <row r="1561" spans="140:143">
      <c r="EJ1561" s="1881"/>
      <c r="EL1561" s="1881"/>
      <c r="EM1561" s="1881"/>
    </row>
    <row r="1562" spans="140:143">
      <c r="EJ1562" s="1881"/>
      <c r="EL1562" s="1881"/>
      <c r="EM1562" s="1881"/>
    </row>
    <row r="1563" spans="140:143">
      <c r="EJ1563" s="1881"/>
      <c r="EL1563" s="1881"/>
      <c r="EM1563" s="1881"/>
    </row>
    <row r="1564" spans="140:143">
      <c r="EJ1564" s="1881"/>
      <c r="EL1564" s="1881"/>
      <c r="EM1564" s="1881"/>
    </row>
    <row r="1565" spans="140:143">
      <c r="EJ1565" s="1881"/>
      <c r="EL1565" s="1881"/>
      <c r="EM1565" s="1881"/>
    </row>
    <row r="1566" spans="140:143">
      <c r="EJ1566" s="1881"/>
      <c r="EL1566" s="1881"/>
      <c r="EM1566" s="1881"/>
    </row>
    <row r="1567" spans="140:143">
      <c r="EJ1567" s="1881"/>
      <c r="EL1567" s="1881"/>
      <c r="EM1567" s="1881"/>
    </row>
    <row r="1568" spans="140:143">
      <c r="EJ1568" s="1881"/>
      <c r="EL1568" s="1881"/>
      <c r="EM1568" s="1881"/>
    </row>
    <row r="1569" spans="140:143">
      <c r="EJ1569" s="1881"/>
      <c r="EL1569" s="1881"/>
      <c r="EM1569" s="1881"/>
    </row>
    <row r="1570" spans="140:143">
      <c r="EJ1570" s="1881"/>
      <c r="EL1570" s="1881"/>
      <c r="EM1570" s="1881"/>
    </row>
    <row r="1571" spans="140:143">
      <c r="EJ1571" s="1881"/>
      <c r="EL1571" s="1881"/>
      <c r="EM1571" s="1881"/>
    </row>
    <row r="1572" spans="140:143">
      <c r="EJ1572" s="1881"/>
      <c r="EL1572" s="1881"/>
      <c r="EM1572" s="1881"/>
    </row>
    <row r="1573" spans="140:143">
      <c r="EJ1573" s="1881"/>
      <c r="EL1573" s="1881"/>
      <c r="EM1573" s="1881"/>
    </row>
    <row r="1574" spans="140:143">
      <c r="EJ1574" s="1881"/>
      <c r="EL1574" s="1881"/>
      <c r="EM1574" s="1881"/>
    </row>
    <row r="1575" spans="140:143">
      <c r="EJ1575" s="1881"/>
      <c r="EL1575" s="1881"/>
      <c r="EM1575" s="1881"/>
    </row>
    <row r="1576" spans="140:143">
      <c r="EJ1576" s="1881"/>
      <c r="EL1576" s="1881"/>
      <c r="EM1576" s="1881"/>
    </row>
    <row r="1577" spans="140:143">
      <c r="EJ1577" s="1881"/>
      <c r="EL1577" s="1881"/>
      <c r="EM1577" s="1881"/>
    </row>
    <row r="1578" spans="140:143">
      <c r="EJ1578" s="1881"/>
      <c r="EL1578" s="1881"/>
      <c r="EM1578" s="1881"/>
    </row>
    <row r="1579" spans="140:143">
      <c r="EJ1579" s="1881"/>
      <c r="EL1579" s="1881"/>
      <c r="EM1579" s="1881"/>
    </row>
    <row r="1580" spans="140:143">
      <c r="EJ1580" s="1881"/>
      <c r="EL1580" s="1881"/>
      <c r="EM1580" s="1881"/>
    </row>
    <row r="1581" spans="140:143">
      <c r="EJ1581" s="1881"/>
      <c r="EL1581" s="1881"/>
      <c r="EM1581" s="1881"/>
    </row>
    <row r="1582" spans="140:143">
      <c r="EJ1582" s="1881"/>
      <c r="EL1582" s="1881"/>
      <c r="EM1582" s="1881"/>
    </row>
    <row r="1583" spans="140:143">
      <c r="EJ1583" s="1881"/>
      <c r="EL1583" s="1881"/>
      <c r="EM1583" s="1881"/>
    </row>
    <row r="1584" spans="140:143">
      <c r="EJ1584" s="1881"/>
      <c r="EL1584" s="1881"/>
      <c r="EM1584" s="1881"/>
    </row>
    <row r="1585" spans="140:143">
      <c r="EJ1585" s="1881"/>
      <c r="EL1585" s="1881"/>
      <c r="EM1585" s="1881"/>
    </row>
    <row r="1586" spans="140:143">
      <c r="EJ1586" s="1881"/>
      <c r="EL1586" s="1881"/>
      <c r="EM1586" s="1881"/>
    </row>
    <row r="1587" spans="140:143">
      <c r="EJ1587" s="1881"/>
      <c r="EL1587" s="1881"/>
      <c r="EM1587" s="1881"/>
    </row>
    <row r="1588" spans="140:143">
      <c r="EJ1588" s="1881"/>
      <c r="EL1588" s="1881"/>
      <c r="EM1588" s="1881"/>
    </row>
    <row r="1589" spans="140:143">
      <c r="EJ1589" s="1881"/>
      <c r="EL1589" s="1881"/>
      <c r="EM1589" s="1881"/>
    </row>
    <row r="1590" spans="140:143">
      <c r="EJ1590" s="1881"/>
      <c r="EL1590" s="1881"/>
      <c r="EM1590" s="1881"/>
    </row>
    <row r="1591" spans="140:143">
      <c r="EJ1591" s="1881"/>
      <c r="EL1591" s="1881"/>
      <c r="EM1591" s="1881"/>
    </row>
    <row r="1592" spans="140:143">
      <c r="EJ1592" s="1881"/>
      <c r="EL1592" s="1881"/>
      <c r="EM1592" s="1881"/>
    </row>
    <row r="1593" spans="140:143">
      <c r="EJ1593" s="1881"/>
      <c r="EL1593" s="1881"/>
      <c r="EM1593" s="1881"/>
    </row>
    <row r="1594" spans="140:143">
      <c r="EJ1594" s="1881"/>
      <c r="EL1594" s="1881"/>
      <c r="EM1594" s="1881"/>
    </row>
    <row r="1595" spans="140:143">
      <c r="EJ1595" s="1881"/>
      <c r="EL1595" s="1881"/>
      <c r="EM1595" s="1881"/>
    </row>
    <row r="1596" spans="140:143">
      <c r="EJ1596" s="1881"/>
      <c r="EL1596" s="1881"/>
      <c r="EM1596" s="1881"/>
    </row>
    <row r="1597" spans="140:143">
      <c r="EJ1597" s="1881"/>
      <c r="EL1597" s="1881"/>
      <c r="EM1597" s="1881"/>
    </row>
    <row r="1598" spans="140:143">
      <c r="EJ1598" s="1881"/>
      <c r="EL1598" s="1881"/>
      <c r="EM1598" s="1881"/>
    </row>
    <row r="1599" spans="140:143">
      <c r="EJ1599" s="1881"/>
      <c r="EL1599" s="1881"/>
      <c r="EM1599" s="1881"/>
    </row>
    <row r="1600" spans="140:143">
      <c r="EJ1600" s="1881"/>
      <c r="EL1600" s="1881"/>
      <c r="EM1600" s="1881"/>
    </row>
    <row r="1601" spans="140:143">
      <c r="EJ1601" s="1881"/>
      <c r="EL1601" s="1881"/>
      <c r="EM1601" s="1881"/>
    </row>
    <row r="1602" spans="140:143">
      <c r="EJ1602" s="1881"/>
      <c r="EL1602" s="1881"/>
      <c r="EM1602" s="1881"/>
    </row>
    <row r="1603" spans="140:143">
      <c r="EJ1603" s="1881"/>
      <c r="EL1603" s="1881"/>
      <c r="EM1603" s="1881"/>
    </row>
    <row r="1604" spans="140:143">
      <c r="EJ1604" s="1881"/>
      <c r="EL1604" s="1881"/>
      <c r="EM1604" s="1881"/>
    </row>
    <row r="1605" spans="140:143">
      <c r="EJ1605" s="1881"/>
      <c r="EL1605" s="1881"/>
      <c r="EM1605" s="1881"/>
    </row>
    <row r="1606" spans="140:143">
      <c r="EJ1606" s="1881"/>
      <c r="EL1606" s="1881"/>
      <c r="EM1606" s="1881"/>
    </row>
    <row r="1607" spans="140:143">
      <c r="EJ1607" s="1881"/>
      <c r="EL1607" s="1881"/>
      <c r="EM1607" s="1881"/>
    </row>
    <row r="1608" spans="140:143">
      <c r="EJ1608" s="1881"/>
      <c r="EL1608" s="1881"/>
      <c r="EM1608" s="1881"/>
    </row>
    <row r="1609" spans="140:143">
      <c r="EJ1609" s="1881"/>
      <c r="EL1609" s="1881"/>
      <c r="EM1609" s="1881"/>
    </row>
    <row r="1610" spans="140:143">
      <c r="EJ1610" s="1881"/>
      <c r="EL1610" s="1881"/>
      <c r="EM1610" s="1881"/>
    </row>
    <row r="1611" spans="140:143">
      <c r="EJ1611" s="1881"/>
      <c r="EL1611" s="1881"/>
      <c r="EM1611" s="1881"/>
    </row>
    <row r="1612" spans="140:143">
      <c r="EJ1612" s="1881"/>
      <c r="EL1612" s="1881"/>
      <c r="EM1612" s="1881"/>
    </row>
    <row r="1613" spans="140:143">
      <c r="EJ1613" s="1881"/>
      <c r="EL1613" s="1881"/>
      <c r="EM1613" s="1881"/>
    </row>
    <row r="1614" spans="140:143">
      <c r="EJ1614" s="1881"/>
      <c r="EL1614" s="1881"/>
      <c r="EM1614" s="1881"/>
    </row>
    <row r="1615" spans="140:143">
      <c r="EJ1615" s="1881"/>
      <c r="EL1615" s="1881"/>
      <c r="EM1615" s="1881"/>
    </row>
    <row r="1616" spans="140:143">
      <c r="EJ1616" s="1881"/>
      <c r="EL1616" s="1881"/>
      <c r="EM1616" s="1881"/>
    </row>
    <row r="1617" spans="140:143">
      <c r="EJ1617" s="1881"/>
      <c r="EL1617" s="1881"/>
      <c r="EM1617" s="1881"/>
    </row>
    <row r="1618" spans="140:143">
      <c r="EJ1618" s="1881"/>
      <c r="EL1618" s="1881"/>
      <c r="EM1618" s="1881"/>
    </row>
    <row r="1619" spans="140:143">
      <c r="EJ1619" s="1881"/>
      <c r="EL1619" s="1881"/>
      <c r="EM1619" s="1881"/>
    </row>
    <row r="1620" spans="140:143">
      <c r="EJ1620" s="1881"/>
      <c r="EL1620" s="1881"/>
      <c r="EM1620" s="1881"/>
    </row>
    <row r="1621" spans="140:143">
      <c r="EJ1621" s="1881"/>
      <c r="EL1621" s="1881"/>
      <c r="EM1621" s="1881"/>
    </row>
    <row r="1622" spans="140:143">
      <c r="EJ1622" s="1881"/>
      <c r="EL1622" s="1881"/>
      <c r="EM1622" s="1881"/>
    </row>
    <row r="1623" spans="140:143">
      <c r="EJ1623" s="1881"/>
      <c r="EL1623" s="1881"/>
      <c r="EM1623" s="1881"/>
    </row>
    <row r="1624" spans="140:143">
      <c r="EJ1624" s="1881"/>
      <c r="EL1624" s="1881"/>
      <c r="EM1624" s="1881"/>
    </row>
    <row r="1625" spans="140:143">
      <c r="EJ1625" s="1881"/>
      <c r="EL1625" s="1881"/>
      <c r="EM1625" s="1881"/>
    </row>
    <row r="1626" spans="140:143">
      <c r="EJ1626" s="1881"/>
      <c r="EL1626" s="1881"/>
      <c r="EM1626" s="1881"/>
    </row>
    <row r="1627" spans="140:143">
      <c r="EJ1627" s="1881"/>
      <c r="EL1627" s="1881"/>
      <c r="EM1627" s="1881"/>
    </row>
    <row r="1628" spans="140:143">
      <c r="EJ1628" s="1881"/>
      <c r="EL1628" s="1881"/>
      <c r="EM1628" s="1881"/>
    </row>
    <row r="1629" spans="140:143">
      <c r="EJ1629" s="1881"/>
      <c r="EL1629" s="1881"/>
      <c r="EM1629" s="1881"/>
    </row>
    <row r="1630" spans="140:143">
      <c r="EJ1630" s="1881"/>
      <c r="EL1630" s="1881"/>
      <c r="EM1630" s="1881"/>
    </row>
    <row r="1631" spans="140:143">
      <c r="EJ1631" s="1881"/>
      <c r="EL1631" s="1881"/>
      <c r="EM1631" s="1881"/>
    </row>
    <row r="1632" spans="140:143">
      <c r="EJ1632" s="1881"/>
      <c r="EL1632" s="1881"/>
      <c r="EM1632" s="1881"/>
    </row>
    <row r="1633" spans="140:143">
      <c r="EJ1633" s="1881"/>
      <c r="EL1633" s="1881"/>
      <c r="EM1633" s="1881"/>
    </row>
    <row r="1634" spans="140:143">
      <c r="EJ1634" s="1881"/>
      <c r="EL1634" s="1881"/>
      <c r="EM1634" s="1881"/>
    </row>
    <row r="1635" spans="140:143">
      <c r="EJ1635" s="1881"/>
      <c r="EL1635" s="1881"/>
      <c r="EM1635" s="1881"/>
    </row>
    <row r="1636" spans="140:143">
      <c r="EJ1636" s="1881"/>
      <c r="EL1636" s="1881"/>
      <c r="EM1636" s="1881"/>
    </row>
    <row r="1637" spans="140:143">
      <c r="EJ1637" s="1881"/>
      <c r="EL1637" s="1881"/>
      <c r="EM1637" s="1881"/>
    </row>
    <row r="1638" spans="140:143">
      <c r="EJ1638" s="1881"/>
      <c r="EL1638" s="1881"/>
      <c r="EM1638" s="1881"/>
    </row>
    <row r="1639" spans="140:143">
      <c r="EJ1639" s="1881"/>
      <c r="EL1639" s="1881"/>
      <c r="EM1639" s="1881"/>
    </row>
    <row r="1640" spans="140:143">
      <c r="EJ1640" s="1881"/>
      <c r="EL1640" s="1881"/>
      <c r="EM1640" s="1881"/>
    </row>
    <row r="1641" spans="140:143">
      <c r="EJ1641" s="1881"/>
      <c r="EL1641" s="1881"/>
      <c r="EM1641" s="1881"/>
    </row>
    <row r="1642" spans="140:143">
      <c r="EJ1642" s="1881"/>
      <c r="EL1642" s="1881"/>
      <c r="EM1642" s="1881"/>
    </row>
    <row r="1643" spans="140:143">
      <c r="EJ1643" s="1881"/>
      <c r="EL1643" s="1881"/>
      <c r="EM1643" s="1881"/>
    </row>
    <row r="1644" spans="140:143">
      <c r="EJ1644" s="1881"/>
      <c r="EL1644" s="1881"/>
      <c r="EM1644" s="1881"/>
    </row>
    <row r="1645" spans="140:143">
      <c r="EJ1645" s="1881"/>
      <c r="EL1645" s="1881"/>
      <c r="EM1645" s="1881"/>
    </row>
    <row r="1646" spans="140:143">
      <c r="EJ1646" s="1881"/>
      <c r="EL1646" s="1881"/>
      <c r="EM1646" s="1881"/>
    </row>
    <row r="1647" spans="140:143">
      <c r="EJ1647" s="1881"/>
      <c r="EL1647" s="1881"/>
      <c r="EM1647" s="1881"/>
    </row>
    <row r="1648" spans="140:143">
      <c r="EJ1648" s="1881"/>
      <c r="EL1648" s="1881"/>
      <c r="EM1648" s="1881"/>
    </row>
    <row r="1649" spans="140:143">
      <c r="EJ1649" s="1881"/>
      <c r="EL1649" s="1881"/>
      <c r="EM1649" s="1881"/>
    </row>
    <row r="1650" spans="140:143">
      <c r="EJ1650" s="1881"/>
      <c r="EL1650" s="1881"/>
      <c r="EM1650" s="1881"/>
    </row>
    <row r="1651" spans="140:143">
      <c r="EJ1651" s="1881"/>
      <c r="EL1651" s="1881"/>
      <c r="EM1651" s="1881"/>
    </row>
    <row r="1652" spans="140:143">
      <c r="EJ1652" s="1881"/>
      <c r="EL1652" s="1881"/>
      <c r="EM1652" s="1881"/>
    </row>
    <row r="1653" spans="140:143">
      <c r="EJ1653" s="1881"/>
      <c r="EL1653" s="1881"/>
      <c r="EM1653" s="1881"/>
    </row>
    <row r="1654" spans="140:143">
      <c r="EJ1654" s="1881"/>
      <c r="EL1654" s="1881"/>
      <c r="EM1654" s="1881"/>
    </row>
    <row r="1655" spans="140:143">
      <c r="EJ1655" s="1881"/>
      <c r="EL1655" s="1881"/>
      <c r="EM1655" s="1881"/>
    </row>
    <row r="1656" spans="140:143">
      <c r="EJ1656" s="1881"/>
      <c r="EL1656" s="1881"/>
      <c r="EM1656" s="1881"/>
    </row>
    <row r="1657" spans="140:143">
      <c r="EJ1657" s="1881"/>
      <c r="EL1657" s="1881"/>
      <c r="EM1657" s="1881"/>
    </row>
    <row r="1658" spans="140:143">
      <c r="EJ1658" s="1881"/>
      <c r="EL1658" s="1881"/>
      <c r="EM1658" s="1881"/>
    </row>
    <row r="1659" spans="140:143">
      <c r="EJ1659" s="1881"/>
      <c r="EL1659" s="1881"/>
      <c r="EM1659" s="1881"/>
    </row>
    <row r="1660" spans="140:143">
      <c r="EJ1660" s="1881"/>
      <c r="EL1660" s="1881"/>
      <c r="EM1660" s="1881"/>
    </row>
    <row r="1661" spans="140:143">
      <c r="EJ1661" s="1881"/>
      <c r="EL1661" s="1881"/>
      <c r="EM1661" s="1881"/>
    </row>
    <row r="1662" spans="140:143">
      <c r="EJ1662" s="1881"/>
      <c r="EL1662" s="1881"/>
      <c r="EM1662" s="1881"/>
    </row>
    <row r="1663" spans="140:143">
      <c r="EJ1663" s="1881"/>
      <c r="EL1663" s="1881"/>
      <c r="EM1663" s="1881"/>
    </row>
    <row r="1664" spans="140:143">
      <c r="EJ1664" s="1881"/>
      <c r="EL1664" s="1881"/>
      <c r="EM1664" s="1881"/>
    </row>
    <row r="1665" spans="140:143">
      <c r="EJ1665" s="1881"/>
      <c r="EL1665" s="1881"/>
      <c r="EM1665" s="1881"/>
    </row>
    <row r="1666" spans="140:143">
      <c r="EJ1666" s="1881"/>
      <c r="EL1666" s="1881"/>
      <c r="EM1666" s="1881"/>
    </row>
    <row r="1667" spans="140:143">
      <c r="EJ1667" s="1881"/>
      <c r="EL1667" s="1881"/>
      <c r="EM1667" s="1881"/>
    </row>
    <row r="1668" spans="140:143">
      <c r="EJ1668" s="1881"/>
      <c r="EL1668" s="1881"/>
      <c r="EM1668" s="1881"/>
    </row>
    <row r="1669" spans="140:143">
      <c r="EJ1669" s="1881"/>
      <c r="EL1669" s="1881"/>
      <c r="EM1669" s="1881"/>
    </row>
    <row r="1670" spans="140:143">
      <c r="EJ1670" s="1881"/>
      <c r="EL1670" s="1881"/>
      <c r="EM1670" s="1881"/>
    </row>
    <row r="1671" spans="140:143">
      <c r="EJ1671" s="1881"/>
      <c r="EL1671" s="1881"/>
      <c r="EM1671" s="1881"/>
    </row>
    <row r="1672" spans="140:143">
      <c r="EJ1672" s="1881"/>
      <c r="EL1672" s="1881"/>
      <c r="EM1672" s="1881"/>
    </row>
    <row r="1673" spans="140:143">
      <c r="EJ1673" s="1881"/>
      <c r="EL1673" s="1881"/>
      <c r="EM1673" s="1881"/>
    </row>
    <row r="1674" spans="140:143">
      <c r="EJ1674" s="1881"/>
      <c r="EL1674" s="1881"/>
      <c r="EM1674" s="1881"/>
    </row>
    <row r="1675" spans="140:143">
      <c r="EJ1675" s="1881"/>
      <c r="EL1675" s="1881"/>
      <c r="EM1675" s="1881"/>
    </row>
    <row r="1676" spans="140:143">
      <c r="EJ1676" s="1881"/>
      <c r="EL1676" s="1881"/>
      <c r="EM1676" s="1881"/>
    </row>
    <row r="1677" spans="140:143">
      <c r="EJ1677" s="1881"/>
      <c r="EL1677" s="1881"/>
      <c r="EM1677" s="1881"/>
    </row>
    <row r="1678" spans="140:143">
      <c r="EJ1678" s="1881"/>
      <c r="EL1678" s="1881"/>
      <c r="EM1678" s="1881"/>
    </row>
    <row r="1679" spans="140:143">
      <c r="EJ1679" s="1881"/>
      <c r="EL1679" s="1881"/>
      <c r="EM1679" s="1881"/>
    </row>
    <row r="1680" spans="140:143">
      <c r="EJ1680" s="1881"/>
      <c r="EL1680" s="1881"/>
      <c r="EM1680" s="1881"/>
    </row>
    <row r="1681" spans="140:143">
      <c r="EJ1681" s="1881"/>
      <c r="EL1681" s="1881"/>
      <c r="EM1681" s="1881"/>
    </row>
    <row r="1682" spans="140:143">
      <c r="EJ1682" s="1881"/>
      <c r="EL1682" s="1881"/>
      <c r="EM1682" s="1881"/>
    </row>
    <row r="1683" spans="140:143">
      <c r="EJ1683" s="1881"/>
      <c r="EL1683" s="1881"/>
      <c r="EM1683" s="1881"/>
    </row>
    <row r="1684" spans="140:143">
      <c r="EJ1684" s="1881"/>
      <c r="EL1684" s="1881"/>
      <c r="EM1684" s="1881"/>
    </row>
    <row r="1685" spans="140:143">
      <c r="EJ1685" s="1881"/>
      <c r="EL1685" s="1881"/>
      <c r="EM1685" s="1881"/>
    </row>
    <row r="1686" spans="140:143">
      <c r="EJ1686" s="1881"/>
      <c r="EL1686" s="1881"/>
      <c r="EM1686" s="1881"/>
    </row>
    <row r="1687" spans="140:143">
      <c r="EJ1687" s="1881"/>
      <c r="EL1687" s="1881"/>
      <c r="EM1687" s="1881"/>
    </row>
    <row r="1688" spans="140:143">
      <c r="EJ1688" s="1881"/>
      <c r="EL1688" s="1881"/>
      <c r="EM1688" s="1881"/>
    </row>
    <row r="1689" spans="140:143">
      <c r="EJ1689" s="1881"/>
      <c r="EL1689" s="1881"/>
      <c r="EM1689" s="1881"/>
    </row>
    <row r="1690" spans="140:143">
      <c r="EJ1690" s="1881"/>
      <c r="EL1690" s="1881"/>
      <c r="EM1690" s="1881"/>
    </row>
    <row r="1691" spans="140:143">
      <c r="EJ1691" s="1881"/>
      <c r="EL1691" s="1881"/>
      <c r="EM1691" s="1881"/>
    </row>
    <row r="1692" spans="140:143">
      <c r="EJ1692" s="1881"/>
      <c r="EL1692" s="1881"/>
      <c r="EM1692" s="1881"/>
    </row>
    <row r="1693" spans="140:143">
      <c r="EJ1693" s="1881"/>
      <c r="EL1693" s="1881"/>
      <c r="EM1693" s="1881"/>
    </row>
    <row r="1694" spans="140:143">
      <c r="EJ1694" s="1881"/>
      <c r="EL1694" s="1881"/>
      <c r="EM1694" s="1881"/>
    </row>
    <row r="1695" spans="140:143">
      <c r="EJ1695" s="1881"/>
      <c r="EL1695" s="1881"/>
      <c r="EM1695" s="1881"/>
    </row>
    <row r="1696" spans="140:143">
      <c r="EJ1696" s="1881"/>
      <c r="EL1696" s="1881"/>
      <c r="EM1696" s="1881"/>
    </row>
    <row r="1697" spans="140:143">
      <c r="EJ1697" s="1881"/>
      <c r="EL1697" s="1881"/>
      <c r="EM1697" s="1881"/>
    </row>
    <row r="1698" spans="140:143">
      <c r="EJ1698" s="1881"/>
      <c r="EL1698" s="1881"/>
      <c r="EM1698" s="1881"/>
    </row>
    <row r="1699" spans="140:143">
      <c r="EJ1699" s="1881"/>
      <c r="EL1699" s="1881"/>
      <c r="EM1699" s="1881"/>
    </row>
    <row r="1700" spans="140:143">
      <c r="EJ1700" s="1881"/>
      <c r="EL1700" s="1881"/>
      <c r="EM1700" s="1881"/>
    </row>
    <row r="1701" spans="140:143">
      <c r="EJ1701" s="1881"/>
      <c r="EL1701" s="1881"/>
      <c r="EM1701" s="1881"/>
    </row>
    <row r="1702" spans="140:143">
      <c r="EJ1702" s="1881"/>
      <c r="EL1702" s="1881"/>
      <c r="EM1702" s="1881"/>
    </row>
    <row r="1703" spans="140:143">
      <c r="EJ1703" s="1881"/>
      <c r="EL1703" s="1881"/>
      <c r="EM1703" s="1881"/>
    </row>
    <row r="1704" spans="140:143">
      <c r="EJ1704" s="1881"/>
      <c r="EL1704" s="1881"/>
      <c r="EM1704" s="1881"/>
    </row>
    <row r="1705" spans="140:143">
      <c r="EJ1705" s="1881"/>
      <c r="EL1705" s="1881"/>
      <c r="EM1705" s="1881"/>
    </row>
    <row r="1706" spans="140:143">
      <c r="EJ1706" s="1881"/>
      <c r="EL1706" s="1881"/>
      <c r="EM1706" s="1881"/>
    </row>
    <row r="1707" spans="140:143">
      <c r="EJ1707" s="1881"/>
      <c r="EL1707" s="1881"/>
      <c r="EM1707" s="1881"/>
    </row>
    <row r="1708" spans="140:143">
      <c r="EJ1708" s="1881"/>
      <c r="EL1708" s="1881"/>
      <c r="EM1708" s="1881"/>
    </row>
    <row r="1709" spans="140:143">
      <c r="EJ1709" s="1881"/>
      <c r="EL1709" s="1881"/>
      <c r="EM1709" s="1881"/>
    </row>
    <row r="1710" spans="140:143">
      <c r="EJ1710" s="1881"/>
      <c r="EL1710" s="1881"/>
      <c r="EM1710" s="1881"/>
    </row>
    <row r="1711" spans="140:143">
      <c r="EJ1711" s="1881"/>
      <c r="EL1711" s="1881"/>
      <c r="EM1711" s="1881"/>
    </row>
    <row r="1712" spans="140:143">
      <c r="EJ1712" s="1881"/>
      <c r="EL1712" s="1881"/>
      <c r="EM1712" s="1881"/>
    </row>
    <row r="1713" spans="140:143">
      <c r="EJ1713" s="1881"/>
      <c r="EL1713" s="1881"/>
      <c r="EM1713" s="1881"/>
    </row>
    <row r="1714" spans="140:143">
      <c r="EJ1714" s="1881"/>
      <c r="EL1714" s="1881"/>
      <c r="EM1714" s="1881"/>
    </row>
    <row r="1715" spans="140:143">
      <c r="EJ1715" s="1881"/>
      <c r="EL1715" s="1881"/>
      <c r="EM1715" s="1881"/>
    </row>
    <row r="1716" spans="140:143">
      <c r="EJ1716" s="1881"/>
      <c r="EL1716" s="1881"/>
      <c r="EM1716" s="1881"/>
    </row>
    <row r="1717" spans="140:143">
      <c r="EJ1717" s="1881"/>
      <c r="EL1717" s="1881"/>
      <c r="EM1717" s="1881"/>
    </row>
    <row r="1718" spans="140:143">
      <c r="EJ1718" s="1881"/>
      <c r="EL1718" s="1881"/>
      <c r="EM1718" s="1881"/>
    </row>
    <row r="1719" spans="140:143">
      <c r="EJ1719" s="1881"/>
      <c r="EL1719" s="1881"/>
      <c r="EM1719" s="1881"/>
    </row>
    <row r="1720" spans="140:143">
      <c r="EJ1720" s="1881"/>
      <c r="EL1720" s="1881"/>
      <c r="EM1720" s="1881"/>
    </row>
    <row r="1721" spans="140:143">
      <c r="EJ1721" s="1881"/>
      <c r="EL1721" s="1881"/>
      <c r="EM1721" s="1881"/>
    </row>
    <row r="1722" spans="140:143">
      <c r="EJ1722" s="1881"/>
      <c r="EL1722" s="1881"/>
      <c r="EM1722" s="1881"/>
    </row>
    <row r="1723" spans="140:143">
      <c r="EJ1723" s="1881"/>
      <c r="EL1723" s="1881"/>
      <c r="EM1723" s="1881"/>
    </row>
    <row r="1724" spans="140:143">
      <c r="EJ1724" s="1881"/>
      <c r="EL1724" s="1881"/>
      <c r="EM1724" s="1881"/>
    </row>
    <row r="1725" spans="140:143">
      <c r="EJ1725" s="1881"/>
      <c r="EL1725" s="1881"/>
      <c r="EM1725" s="1881"/>
    </row>
    <row r="1726" spans="140:143">
      <c r="EJ1726" s="1881"/>
      <c r="EL1726" s="1881"/>
      <c r="EM1726" s="1881"/>
    </row>
    <row r="1727" spans="140:143">
      <c r="EJ1727" s="1881"/>
      <c r="EL1727" s="1881"/>
      <c r="EM1727" s="1881"/>
    </row>
    <row r="1728" spans="140:143">
      <c r="EJ1728" s="1881"/>
      <c r="EL1728" s="1881"/>
      <c r="EM1728" s="1881"/>
    </row>
    <row r="1729" spans="140:143">
      <c r="EJ1729" s="1881"/>
      <c r="EL1729" s="1881"/>
      <c r="EM1729" s="1881"/>
    </row>
    <row r="1730" spans="140:143">
      <c r="EJ1730" s="1881"/>
      <c r="EL1730" s="1881"/>
      <c r="EM1730" s="1881"/>
    </row>
    <row r="1731" spans="140:143">
      <c r="EJ1731" s="1881"/>
      <c r="EL1731" s="1881"/>
      <c r="EM1731" s="1881"/>
    </row>
    <row r="1732" spans="140:143">
      <c r="EJ1732" s="1881"/>
      <c r="EL1732" s="1881"/>
      <c r="EM1732" s="1881"/>
    </row>
    <row r="1733" spans="140:143">
      <c r="EJ1733" s="1881"/>
      <c r="EL1733" s="1881"/>
      <c r="EM1733" s="1881"/>
    </row>
    <row r="1734" spans="140:143">
      <c r="EJ1734" s="1881"/>
      <c r="EL1734" s="1881"/>
      <c r="EM1734" s="1881"/>
    </row>
    <row r="1735" spans="140:143">
      <c r="EJ1735" s="1881"/>
      <c r="EL1735" s="1881"/>
      <c r="EM1735" s="1881"/>
    </row>
    <row r="1736" spans="140:143">
      <c r="EJ1736" s="1881"/>
      <c r="EL1736" s="1881"/>
      <c r="EM1736" s="1881"/>
    </row>
    <row r="1737" spans="140:143">
      <c r="EJ1737" s="1881"/>
      <c r="EL1737" s="1881"/>
      <c r="EM1737" s="1881"/>
    </row>
    <row r="1738" spans="140:143">
      <c r="EJ1738" s="1881"/>
      <c r="EL1738" s="1881"/>
      <c r="EM1738" s="1881"/>
    </row>
    <row r="1739" spans="140:143">
      <c r="EJ1739" s="1881"/>
      <c r="EL1739" s="1881"/>
      <c r="EM1739" s="1881"/>
    </row>
    <row r="1740" spans="140:143">
      <c r="EJ1740" s="1881"/>
      <c r="EL1740" s="1881"/>
      <c r="EM1740" s="1881"/>
    </row>
    <row r="1741" spans="140:143">
      <c r="EJ1741" s="1881"/>
      <c r="EL1741" s="1881"/>
      <c r="EM1741" s="1881"/>
    </row>
    <row r="1742" spans="140:143">
      <c r="EJ1742" s="1881"/>
      <c r="EL1742" s="1881"/>
      <c r="EM1742" s="1881"/>
    </row>
    <row r="1743" spans="140:143">
      <c r="EJ1743" s="1881"/>
      <c r="EL1743" s="1881"/>
      <c r="EM1743" s="1881"/>
    </row>
    <row r="1744" spans="140:143">
      <c r="EJ1744" s="1881"/>
      <c r="EL1744" s="1881"/>
      <c r="EM1744" s="1881"/>
    </row>
    <row r="1745" spans="140:143">
      <c r="EJ1745" s="1881"/>
      <c r="EL1745" s="1881"/>
      <c r="EM1745" s="1881"/>
    </row>
    <row r="1746" spans="140:143">
      <c r="EJ1746" s="1881"/>
      <c r="EL1746" s="1881"/>
      <c r="EM1746" s="1881"/>
    </row>
    <row r="1747" spans="140:143">
      <c r="EJ1747" s="1881"/>
      <c r="EL1747" s="1881"/>
      <c r="EM1747" s="1881"/>
    </row>
    <row r="1748" spans="140:143">
      <c r="EJ1748" s="1881"/>
      <c r="EL1748" s="1881"/>
      <c r="EM1748" s="1881"/>
    </row>
    <row r="1749" spans="140:143">
      <c r="EJ1749" s="1881"/>
      <c r="EL1749" s="1881"/>
      <c r="EM1749" s="1881"/>
    </row>
    <row r="1750" spans="140:143">
      <c r="EJ1750" s="1881"/>
      <c r="EL1750" s="1881"/>
      <c r="EM1750" s="1881"/>
    </row>
    <row r="1751" spans="140:143">
      <c r="EJ1751" s="1881"/>
      <c r="EL1751" s="1881"/>
      <c r="EM1751" s="1881"/>
    </row>
    <row r="1752" spans="140:143">
      <c r="EJ1752" s="1881"/>
      <c r="EL1752" s="1881"/>
      <c r="EM1752" s="1881"/>
    </row>
    <row r="1753" spans="140:143">
      <c r="EJ1753" s="1881"/>
      <c r="EL1753" s="1881"/>
      <c r="EM1753" s="1881"/>
    </row>
    <row r="1754" spans="140:143">
      <c r="EJ1754" s="1881"/>
      <c r="EL1754" s="1881"/>
      <c r="EM1754" s="1881"/>
    </row>
    <row r="1755" spans="140:143">
      <c r="EJ1755" s="1881"/>
      <c r="EL1755" s="1881"/>
      <c r="EM1755" s="1881"/>
    </row>
    <row r="1756" spans="140:143">
      <c r="EJ1756" s="1881"/>
      <c r="EL1756" s="1881"/>
      <c r="EM1756" s="1881"/>
    </row>
    <row r="1757" spans="140:143">
      <c r="EJ1757" s="1881"/>
      <c r="EL1757" s="1881"/>
      <c r="EM1757" s="1881"/>
    </row>
    <row r="1758" spans="140:143">
      <c r="EJ1758" s="1881"/>
      <c r="EL1758" s="1881"/>
      <c r="EM1758" s="1881"/>
    </row>
    <row r="1759" spans="140:143">
      <c r="EJ1759" s="1881"/>
      <c r="EL1759" s="1881"/>
      <c r="EM1759" s="1881"/>
    </row>
    <row r="1760" spans="140:143">
      <c r="EJ1760" s="1881"/>
      <c r="EL1760" s="1881"/>
      <c r="EM1760" s="1881"/>
    </row>
    <row r="1761" spans="140:143">
      <c r="EJ1761" s="1881"/>
      <c r="EL1761" s="1881"/>
      <c r="EM1761" s="1881"/>
    </row>
    <row r="1762" spans="140:143">
      <c r="EJ1762" s="1881"/>
      <c r="EL1762" s="1881"/>
      <c r="EM1762" s="1881"/>
    </row>
    <row r="1763" spans="140:143">
      <c r="EJ1763" s="1881"/>
      <c r="EL1763" s="1881"/>
      <c r="EM1763" s="1881"/>
    </row>
    <row r="1764" spans="140:143">
      <c r="EJ1764" s="1881"/>
      <c r="EL1764" s="1881"/>
      <c r="EM1764" s="1881"/>
    </row>
    <row r="1765" spans="140:143">
      <c r="EJ1765" s="1881"/>
      <c r="EL1765" s="1881"/>
      <c r="EM1765" s="1881"/>
    </row>
    <row r="1766" spans="140:143">
      <c r="EJ1766" s="1881"/>
      <c r="EL1766" s="1881"/>
      <c r="EM1766" s="1881"/>
    </row>
    <row r="1767" spans="140:143">
      <c r="EJ1767" s="1881"/>
      <c r="EL1767" s="1881"/>
      <c r="EM1767" s="1881"/>
    </row>
    <row r="1768" spans="140:143">
      <c r="EJ1768" s="1881"/>
      <c r="EL1768" s="1881"/>
      <c r="EM1768" s="1881"/>
    </row>
    <row r="1769" spans="140:143">
      <c r="EJ1769" s="1881"/>
      <c r="EL1769" s="1881"/>
      <c r="EM1769" s="1881"/>
    </row>
    <row r="1770" spans="140:143">
      <c r="EJ1770" s="1881"/>
      <c r="EL1770" s="1881"/>
      <c r="EM1770" s="1881"/>
    </row>
    <row r="1771" spans="140:143">
      <c r="EJ1771" s="1881"/>
      <c r="EL1771" s="1881"/>
      <c r="EM1771" s="1881"/>
    </row>
    <row r="1772" spans="140:143">
      <c r="EJ1772" s="1881"/>
      <c r="EL1772" s="1881"/>
      <c r="EM1772" s="1881"/>
    </row>
    <row r="1773" spans="140:143">
      <c r="EJ1773" s="1881"/>
      <c r="EL1773" s="1881"/>
      <c r="EM1773" s="1881"/>
    </row>
    <row r="1774" spans="140:143">
      <c r="EJ1774" s="1881"/>
      <c r="EL1774" s="1881"/>
      <c r="EM1774" s="1881"/>
    </row>
    <row r="1775" spans="140:143">
      <c r="EJ1775" s="1881"/>
      <c r="EL1775" s="1881"/>
      <c r="EM1775" s="1881"/>
    </row>
    <row r="1776" spans="140:143">
      <c r="EJ1776" s="1881"/>
      <c r="EL1776" s="1881"/>
      <c r="EM1776" s="1881"/>
    </row>
    <row r="1777" spans="140:143">
      <c r="EJ1777" s="1881"/>
      <c r="EL1777" s="1881"/>
      <c r="EM1777" s="1881"/>
    </row>
    <row r="1778" spans="140:143">
      <c r="EJ1778" s="1881"/>
      <c r="EL1778" s="1881"/>
      <c r="EM1778" s="1881"/>
    </row>
    <row r="1779" spans="140:143">
      <c r="EJ1779" s="1881"/>
      <c r="EL1779" s="1881"/>
      <c r="EM1779" s="1881"/>
    </row>
    <row r="1780" spans="140:143">
      <c r="EJ1780" s="1881"/>
      <c r="EL1780" s="1881"/>
      <c r="EM1780" s="1881"/>
    </row>
    <row r="1781" spans="140:143">
      <c r="EJ1781" s="1881"/>
      <c r="EL1781" s="1881"/>
      <c r="EM1781" s="1881"/>
    </row>
    <row r="1782" spans="140:143">
      <c r="EJ1782" s="1881"/>
      <c r="EL1782" s="1881"/>
      <c r="EM1782" s="1881"/>
    </row>
    <row r="1783" spans="140:143">
      <c r="EJ1783" s="1881"/>
      <c r="EL1783" s="1881"/>
      <c r="EM1783" s="1881"/>
    </row>
    <row r="1784" spans="140:143">
      <c r="EJ1784" s="1881"/>
      <c r="EL1784" s="1881"/>
      <c r="EM1784" s="1881"/>
    </row>
    <row r="1785" spans="140:143">
      <c r="EJ1785" s="1881"/>
      <c r="EL1785" s="1881"/>
      <c r="EM1785" s="1881"/>
    </row>
    <row r="1786" spans="140:143">
      <c r="EJ1786" s="1881"/>
      <c r="EL1786" s="1881"/>
      <c r="EM1786" s="1881"/>
    </row>
    <row r="1787" spans="140:143">
      <c r="EJ1787" s="1881"/>
      <c r="EL1787" s="1881"/>
      <c r="EM1787" s="1881"/>
    </row>
    <row r="1788" spans="140:143">
      <c r="EJ1788" s="1881"/>
      <c r="EL1788" s="1881"/>
      <c r="EM1788" s="1881"/>
    </row>
    <row r="1789" spans="140:143">
      <c r="EJ1789" s="1881"/>
      <c r="EL1789" s="1881"/>
      <c r="EM1789" s="1881"/>
    </row>
    <row r="1790" spans="140:143">
      <c r="EJ1790" s="1881"/>
      <c r="EL1790" s="1881"/>
      <c r="EM1790" s="1881"/>
    </row>
    <row r="1791" spans="140:143">
      <c r="EJ1791" s="1881"/>
      <c r="EL1791" s="1881"/>
      <c r="EM1791" s="1881"/>
    </row>
    <row r="1792" spans="140:143">
      <c r="EJ1792" s="1881"/>
      <c r="EL1792" s="1881"/>
      <c r="EM1792" s="1881"/>
    </row>
    <row r="1793" spans="140:143">
      <c r="EJ1793" s="1881"/>
      <c r="EL1793" s="1881"/>
      <c r="EM1793" s="1881"/>
    </row>
    <row r="1794" spans="140:143">
      <c r="EJ1794" s="1881"/>
      <c r="EL1794" s="1881"/>
      <c r="EM1794" s="1881"/>
    </row>
    <row r="1795" spans="140:143">
      <c r="EJ1795" s="1881"/>
      <c r="EL1795" s="1881"/>
      <c r="EM1795" s="1881"/>
    </row>
    <row r="1796" spans="140:143">
      <c r="EJ1796" s="1881"/>
      <c r="EL1796" s="1881"/>
      <c r="EM1796" s="1881"/>
    </row>
    <row r="1797" spans="140:143">
      <c r="EJ1797" s="1881"/>
      <c r="EL1797" s="1881"/>
      <c r="EM1797" s="1881"/>
    </row>
    <row r="1798" spans="140:143">
      <c r="EJ1798" s="1881"/>
      <c r="EL1798" s="1881"/>
      <c r="EM1798" s="1881"/>
    </row>
    <row r="1799" spans="140:143">
      <c r="EJ1799" s="1881"/>
      <c r="EL1799" s="1881"/>
      <c r="EM1799" s="1881"/>
    </row>
    <row r="1800" spans="140:143">
      <c r="EJ1800" s="1881"/>
      <c r="EL1800" s="1881"/>
      <c r="EM1800" s="1881"/>
    </row>
    <row r="1801" spans="140:143">
      <c r="EJ1801" s="1881"/>
      <c r="EL1801" s="1881"/>
      <c r="EM1801" s="1881"/>
    </row>
    <row r="1802" spans="140:143">
      <c r="EJ1802" s="1881"/>
      <c r="EL1802" s="1881"/>
      <c r="EM1802" s="1881"/>
    </row>
    <row r="1803" spans="140:143">
      <c r="EJ1803" s="1881"/>
      <c r="EL1803" s="1881"/>
      <c r="EM1803" s="1881"/>
    </row>
    <row r="1804" spans="140:143">
      <c r="EJ1804" s="1881"/>
      <c r="EL1804" s="1881"/>
      <c r="EM1804" s="1881"/>
    </row>
    <row r="1805" spans="140:143">
      <c r="EJ1805" s="1881"/>
      <c r="EL1805" s="1881"/>
      <c r="EM1805" s="1881"/>
    </row>
    <row r="1806" spans="140:143">
      <c r="EJ1806" s="1881"/>
      <c r="EL1806" s="1881"/>
      <c r="EM1806" s="1881"/>
    </row>
    <row r="1807" spans="140:143">
      <c r="EJ1807" s="1881"/>
      <c r="EL1807" s="1881"/>
      <c r="EM1807" s="1881"/>
    </row>
    <row r="1808" spans="140:143">
      <c r="EJ1808" s="1881"/>
      <c r="EL1808" s="1881"/>
      <c r="EM1808" s="1881"/>
    </row>
    <row r="1809" spans="140:143">
      <c r="EJ1809" s="1881"/>
      <c r="EL1809" s="1881"/>
      <c r="EM1809" s="1881"/>
    </row>
    <row r="1810" spans="140:143">
      <c r="EJ1810" s="1881"/>
      <c r="EL1810" s="1881"/>
      <c r="EM1810" s="1881"/>
    </row>
    <row r="1811" spans="140:143">
      <c r="EJ1811" s="1881"/>
      <c r="EL1811" s="1881"/>
      <c r="EM1811" s="1881"/>
    </row>
    <row r="1812" spans="140:143">
      <c r="EJ1812" s="1881"/>
      <c r="EL1812" s="1881"/>
      <c r="EM1812" s="1881"/>
    </row>
    <row r="1813" spans="140:143">
      <c r="EJ1813" s="1881"/>
      <c r="EL1813" s="1881"/>
      <c r="EM1813" s="1881"/>
    </row>
    <row r="1814" spans="140:143">
      <c r="EJ1814" s="1881"/>
      <c r="EL1814" s="1881"/>
      <c r="EM1814" s="1881"/>
    </row>
    <row r="1815" spans="140:143">
      <c r="EJ1815" s="1881"/>
      <c r="EL1815" s="1881"/>
      <c r="EM1815" s="1881"/>
    </row>
    <row r="1816" spans="140:143">
      <c r="EJ1816" s="1881"/>
      <c r="EL1816" s="1881"/>
      <c r="EM1816" s="1881"/>
    </row>
    <row r="1817" spans="140:143">
      <c r="EJ1817" s="1881"/>
      <c r="EL1817" s="1881"/>
      <c r="EM1817" s="1881"/>
    </row>
    <row r="1818" spans="140:143">
      <c r="EJ1818" s="1881"/>
      <c r="EL1818" s="1881"/>
      <c r="EM1818" s="1881"/>
    </row>
    <row r="1819" spans="140:143">
      <c r="EJ1819" s="1881"/>
      <c r="EL1819" s="1881"/>
      <c r="EM1819" s="1881"/>
    </row>
    <row r="1820" spans="140:143">
      <c r="EJ1820" s="1881"/>
      <c r="EL1820" s="1881"/>
      <c r="EM1820" s="1881"/>
    </row>
    <row r="1821" spans="140:143">
      <c r="EJ1821" s="1881"/>
      <c r="EL1821" s="1881"/>
      <c r="EM1821" s="1881"/>
    </row>
    <row r="1822" spans="140:143">
      <c r="EJ1822" s="1881"/>
      <c r="EL1822" s="1881"/>
      <c r="EM1822" s="1881"/>
    </row>
    <row r="1823" spans="140:143">
      <c r="EJ1823" s="1881"/>
      <c r="EL1823" s="1881"/>
      <c r="EM1823" s="1881"/>
    </row>
    <row r="1824" spans="140:143">
      <c r="EJ1824" s="1881"/>
      <c r="EL1824" s="1881"/>
      <c r="EM1824" s="1881"/>
    </row>
    <row r="1825" spans="140:143">
      <c r="EJ1825" s="1881"/>
      <c r="EL1825" s="1881"/>
      <c r="EM1825" s="1881"/>
    </row>
    <row r="1826" spans="140:143">
      <c r="EJ1826" s="1881"/>
      <c r="EL1826" s="1881"/>
      <c r="EM1826" s="1881"/>
    </row>
    <row r="1827" spans="140:143">
      <c r="EJ1827" s="1881"/>
      <c r="EL1827" s="1881"/>
      <c r="EM1827" s="1881"/>
    </row>
    <row r="1828" spans="140:143">
      <c r="EJ1828" s="1881"/>
      <c r="EL1828" s="1881"/>
      <c r="EM1828" s="1881"/>
    </row>
    <row r="1829" spans="140:143">
      <c r="EJ1829" s="1881"/>
      <c r="EL1829" s="1881"/>
      <c r="EM1829" s="1881"/>
    </row>
    <row r="1830" spans="140:143">
      <c r="EJ1830" s="1881"/>
      <c r="EL1830" s="1881"/>
      <c r="EM1830" s="1881"/>
    </row>
    <row r="1831" spans="140:143">
      <c r="EJ1831" s="1881"/>
      <c r="EL1831" s="1881"/>
      <c r="EM1831" s="1881"/>
    </row>
    <row r="1832" spans="140:143">
      <c r="EJ1832" s="1881"/>
      <c r="EL1832" s="1881"/>
      <c r="EM1832" s="1881"/>
    </row>
    <row r="1833" spans="140:143">
      <c r="EJ1833" s="1881"/>
      <c r="EL1833" s="1881"/>
      <c r="EM1833" s="1881"/>
    </row>
    <row r="1834" spans="140:143">
      <c r="EJ1834" s="1881"/>
      <c r="EL1834" s="1881"/>
      <c r="EM1834" s="1881"/>
    </row>
    <row r="1835" spans="140:143">
      <c r="EJ1835" s="1881"/>
      <c r="EL1835" s="1881"/>
      <c r="EM1835" s="1881"/>
    </row>
    <row r="1836" spans="140:143">
      <c r="EJ1836" s="1881"/>
      <c r="EL1836" s="1881"/>
      <c r="EM1836" s="1881"/>
    </row>
    <row r="1837" spans="140:143">
      <c r="EJ1837" s="1881"/>
      <c r="EL1837" s="1881"/>
      <c r="EM1837" s="1881"/>
    </row>
    <row r="1838" spans="140:143">
      <c r="EJ1838" s="1881"/>
      <c r="EL1838" s="1881"/>
      <c r="EM1838" s="1881"/>
    </row>
    <row r="1839" spans="140:143">
      <c r="EJ1839" s="1881"/>
      <c r="EL1839" s="1881"/>
      <c r="EM1839" s="1881"/>
    </row>
    <row r="1840" spans="140:143">
      <c r="EJ1840" s="1881"/>
      <c r="EL1840" s="1881"/>
      <c r="EM1840" s="1881"/>
    </row>
    <row r="1841" spans="140:143">
      <c r="EJ1841" s="1881"/>
      <c r="EL1841" s="1881"/>
      <c r="EM1841" s="1881"/>
    </row>
    <row r="1842" spans="140:143">
      <c r="EJ1842" s="1881"/>
      <c r="EL1842" s="1881"/>
      <c r="EM1842" s="1881"/>
    </row>
    <row r="1843" spans="140:143">
      <c r="EJ1843" s="1881"/>
      <c r="EL1843" s="1881"/>
      <c r="EM1843" s="1881"/>
    </row>
    <row r="1844" spans="140:143">
      <c r="EJ1844" s="1881"/>
      <c r="EL1844" s="1881"/>
      <c r="EM1844" s="1881"/>
    </row>
    <row r="1845" spans="140:143">
      <c r="EJ1845" s="1881"/>
      <c r="EL1845" s="1881"/>
      <c r="EM1845" s="1881"/>
    </row>
    <row r="1846" spans="140:143">
      <c r="EJ1846" s="1881"/>
      <c r="EL1846" s="1881"/>
      <c r="EM1846" s="1881"/>
    </row>
    <row r="1847" spans="140:143">
      <c r="EJ1847" s="1881"/>
      <c r="EL1847" s="1881"/>
      <c r="EM1847" s="1881"/>
    </row>
    <row r="1848" spans="140:143">
      <c r="EJ1848" s="1881"/>
      <c r="EL1848" s="1881"/>
      <c r="EM1848" s="1881"/>
    </row>
    <row r="1849" spans="140:143">
      <c r="EJ1849" s="1881"/>
      <c r="EL1849" s="1881"/>
      <c r="EM1849" s="1881"/>
    </row>
    <row r="1850" spans="140:143">
      <c r="EJ1850" s="1881"/>
      <c r="EL1850" s="1881"/>
      <c r="EM1850" s="1881"/>
    </row>
    <row r="1851" spans="140:143">
      <c r="EJ1851" s="1881"/>
      <c r="EL1851" s="1881"/>
      <c r="EM1851" s="1881"/>
    </row>
    <row r="1852" spans="140:143">
      <c r="EJ1852" s="1881"/>
      <c r="EL1852" s="1881"/>
      <c r="EM1852" s="1881"/>
    </row>
    <row r="1853" spans="140:143">
      <c r="EJ1853" s="1881"/>
      <c r="EL1853" s="1881"/>
      <c r="EM1853" s="1881"/>
    </row>
    <row r="1854" spans="140:143">
      <c r="EJ1854" s="1881"/>
      <c r="EL1854" s="1881"/>
      <c r="EM1854" s="1881"/>
    </row>
    <row r="1855" spans="140:143">
      <c r="EJ1855" s="1881"/>
      <c r="EL1855" s="1881"/>
      <c r="EM1855" s="1881"/>
    </row>
    <row r="1856" spans="140:143">
      <c r="EJ1856" s="1881"/>
      <c r="EL1856" s="1881"/>
      <c r="EM1856" s="1881"/>
    </row>
    <row r="1857" spans="140:143">
      <c r="EJ1857" s="1881"/>
      <c r="EL1857" s="1881"/>
      <c r="EM1857" s="1881"/>
    </row>
    <row r="1858" spans="140:143">
      <c r="EJ1858" s="1881"/>
      <c r="EL1858" s="1881"/>
      <c r="EM1858" s="1881"/>
    </row>
    <row r="1859" spans="140:143">
      <c r="EJ1859" s="1881"/>
      <c r="EL1859" s="1881"/>
      <c r="EM1859" s="1881"/>
    </row>
    <row r="1860" spans="140:143">
      <c r="EJ1860" s="1881"/>
      <c r="EL1860" s="1881"/>
      <c r="EM1860" s="1881"/>
    </row>
    <row r="1861" spans="140:143">
      <c r="EJ1861" s="1881"/>
      <c r="EL1861" s="1881"/>
      <c r="EM1861" s="1881"/>
    </row>
    <row r="1862" spans="140:143">
      <c r="EJ1862" s="1881"/>
      <c r="EL1862" s="1881"/>
      <c r="EM1862" s="1881"/>
    </row>
    <row r="1863" spans="140:143">
      <c r="EJ1863" s="1881"/>
      <c r="EL1863" s="1881"/>
      <c r="EM1863" s="1881"/>
    </row>
    <row r="1864" spans="140:143">
      <c r="EJ1864" s="1881"/>
      <c r="EL1864" s="1881"/>
      <c r="EM1864" s="1881"/>
    </row>
    <row r="1865" spans="140:143">
      <c r="EJ1865" s="1881"/>
      <c r="EL1865" s="1881"/>
      <c r="EM1865" s="1881"/>
    </row>
    <row r="1866" spans="140:143">
      <c r="EJ1866" s="1881"/>
      <c r="EL1866" s="1881"/>
      <c r="EM1866" s="1881"/>
    </row>
    <row r="1867" spans="140:143">
      <c r="EJ1867" s="1881"/>
      <c r="EL1867" s="1881"/>
      <c r="EM1867" s="1881"/>
    </row>
    <row r="1868" spans="140:143">
      <c r="EJ1868" s="1881"/>
      <c r="EL1868" s="1881"/>
      <c r="EM1868" s="1881"/>
    </row>
    <row r="1869" spans="140:143">
      <c r="EJ1869" s="1881"/>
      <c r="EL1869" s="1881"/>
      <c r="EM1869" s="1881"/>
    </row>
    <row r="1870" spans="140:143">
      <c r="EJ1870" s="1881"/>
      <c r="EL1870" s="1881"/>
      <c r="EM1870" s="1881"/>
    </row>
    <row r="1871" spans="140:143">
      <c r="EJ1871" s="1881"/>
      <c r="EL1871" s="1881"/>
      <c r="EM1871" s="1881"/>
    </row>
    <row r="1872" spans="140:143">
      <c r="EJ1872" s="1881"/>
      <c r="EL1872" s="1881"/>
      <c r="EM1872" s="1881"/>
    </row>
    <row r="1873" spans="140:143">
      <c r="EJ1873" s="1881"/>
      <c r="EL1873" s="1881"/>
      <c r="EM1873" s="1881"/>
    </row>
    <row r="1874" spans="140:143">
      <c r="EJ1874" s="1881"/>
      <c r="EL1874" s="1881"/>
      <c r="EM1874" s="1881"/>
    </row>
    <row r="1875" spans="140:143">
      <c r="EJ1875" s="1881"/>
      <c r="EL1875" s="1881"/>
      <c r="EM1875" s="1881"/>
    </row>
    <row r="1876" spans="140:143">
      <c r="EJ1876" s="1881"/>
      <c r="EL1876" s="1881"/>
      <c r="EM1876" s="1881"/>
    </row>
    <row r="1877" spans="140:143">
      <c r="EJ1877" s="1881"/>
      <c r="EL1877" s="1881"/>
      <c r="EM1877" s="1881"/>
    </row>
    <row r="1878" spans="140:143">
      <c r="EJ1878" s="1881"/>
      <c r="EL1878" s="1881"/>
      <c r="EM1878" s="1881"/>
    </row>
    <row r="1879" spans="140:143">
      <c r="EJ1879" s="1881"/>
      <c r="EL1879" s="1881"/>
      <c r="EM1879" s="1881"/>
    </row>
    <row r="1880" spans="140:143">
      <c r="EJ1880" s="1881"/>
      <c r="EL1880" s="1881"/>
      <c r="EM1880" s="1881"/>
    </row>
    <row r="1881" spans="140:143">
      <c r="EJ1881" s="1881"/>
      <c r="EL1881" s="1881"/>
      <c r="EM1881" s="1881"/>
    </row>
    <row r="1882" spans="140:143">
      <c r="EJ1882" s="1881"/>
      <c r="EL1882" s="1881"/>
      <c r="EM1882" s="1881"/>
    </row>
    <row r="1883" spans="140:143">
      <c r="EJ1883" s="1881"/>
      <c r="EL1883" s="1881"/>
      <c r="EM1883" s="1881"/>
    </row>
    <row r="1884" spans="140:143">
      <c r="EJ1884" s="1881"/>
      <c r="EL1884" s="1881"/>
      <c r="EM1884" s="1881"/>
    </row>
    <row r="1885" spans="140:143">
      <c r="EJ1885" s="1881"/>
      <c r="EL1885" s="1881"/>
      <c r="EM1885" s="1881"/>
    </row>
    <row r="1886" spans="140:143">
      <c r="EJ1886" s="1881"/>
      <c r="EL1886" s="1881"/>
      <c r="EM1886" s="1881"/>
    </row>
    <row r="1887" spans="140:143">
      <c r="EJ1887" s="1881"/>
      <c r="EL1887" s="1881"/>
      <c r="EM1887" s="1881"/>
    </row>
    <row r="1888" spans="140:143">
      <c r="EJ1888" s="1881"/>
      <c r="EL1888" s="1881"/>
      <c r="EM1888" s="1881"/>
    </row>
    <row r="1889" spans="140:143">
      <c r="EJ1889" s="1881"/>
      <c r="EL1889" s="1881"/>
      <c r="EM1889" s="1881"/>
    </row>
    <row r="1890" spans="140:143">
      <c r="EJ1890" s="1881"/>
      <c r="EL1890" s="1881"/>
      <c r="EM1890" s="1881"/>
    </row>
    <row r="1891" spans="140:143">
      <c r="EJ1891" s="1881"/>
      <c r="EL1891" s="1881"/>
      <c r="EM1891" s="1881"/>
    </row>
    <row r="1892" spans="140:143">
      <c r="EJ1892" s="1881"/>
      <c r="EL1892" s="1881"/>
      <c r="EM1892" s="1881"/>
    </row>
    <row r="1893" spans="140:143">
      <c r="EJ1893" s="1881"/>
      <c r="EL1893" s="1881"/>
      <c r="EM1893" s="1881"/>
    </row>
    <row r="1894" spans="140:143">
      <c r="EJ1894" s="1881"/>
      <c r="EL1894" s="1881"/>
      <c r="EM1894" s="1881"/>
    </row>
    <row r="1895" spans="140:143">
      <c r="EJ1895" s="1881"/>
      <c r="EL1895" s="1881"/>
      <c r="EM1895" s="1881"/>
    </row>
    <row r="1896" spans="140:143">
      <c r="EJ1896" s="1881"/>
      <c r="EL1896" s="1881"/>
      <c r="EM1896" s="1881"/>
    </row>
    <row r="1897" spans="140:143">
      <c r="EJ1897" s="1881"/>
      <c r="EL1897" s="1881"/>
      <c r="EM1897" s="1881"/>
    </row>
    <row r="1898" spans="140:143">
      <c r="EJ1898" s="1881"/>
      <c r="EL1898" s="1881"/>
      <c r="EM1898" s="1881"/>
    </row>
    <row r="1899" spans="140:143">
      <c r="EJ1899" s="1881"/>
      <c r="EL1899" s="1881"/>
      <c r="EM1899" s="1881"/>
    </row>
    <row r="1900" spans="140:143">
      <c r="EJ1900" s="1881"/>
      <c r="EL1900" s="1881"/>
      <c r="EM1900" s="1881"/>
    </row>
    <row r="1901" spans="140:143">
      <c r="EJ1901" s="1881"/>
      <c r="EL1901" s="1881"/>
      <c r="EM1901" s="1881"/>
    </row>
    <row r="1902" spans="140:143">
      <c r="EJ1902" s="1881"/>
      <c r="EL1902" s="1881"/>
      <c r="EM1902" s="1881"/>
    </row>
    <row r="1903" spans="140:143">
      <c r="EJ1903" s="1881"/>
      <c r="EL1903" s="1881"/>
      <c r="EM1903" s="1881"/>
    </row>
    <row r="1904" spans="140:143">
      <c r="EJ1904" s="1881"/>
      <c r="EL1904" s="1881"/>
      <c r="EM1904" s="1881"/>
    </row>
    <row r="1905" spans="140:143">
      <c r="EJ1905" s="1881"/>
      <c r="EL1905" s="1881"/>
      <c r="EM1905" s="1881"/>
    </row>
    <row r="1906" spans="140:143">
      <c r="EJ1906" s="1881"/>
      <c r="EL1906" s="1881"/>
      <c r="EM1906" s="1881"/>
    </row>
    <row r="1907" spans="140:143">
      <c r="EJ1907" s="1881"/>
      <c r="EL1907" s="1881"/>
      <c r="EM1907" s="1881"/>
    </row>
    <row r="1908" spans="140:143">
      <c r="EJ1908" s="1881"/>
      <c r="EL1908" s="1881"/>
      <c r="EM1908" s="1881"/>
    </row>
    <row r="1909" spans="140:143">
      <c r="EJ1909" s="1881"/>
      <c r="EL1909" s="1881"/>
      <c r="EM1909" s="1881"/>
    </row>
    <row r="1910" spans="140:143">
      <c r="EJ1910" s="1881"/>
      <c r="EL1910" s="1881"/>
      <c r="EM1910" s="1881"/>
    </row>
    <row r="1911" spans="140:143">
      <c r="EJ1911" s="1881"/>
      <c r="EL1911" s="1881"/>
      <c r="EM1911" s="1881"/>
    </row>
    <row r="1912" spans="140:143">
      <c r="EJ1912" s="1881"/>
      <c r="EL1912" s="1881"/>
      <c r="EM1912" s="1881"/>
    </row>
    <row r="1913" spans="140:143">
      <c r="EJ1913" s="1881"/>
      <c r="EL1913" s="1881"/>
      <c r="EM1913" s="1881"/>
    </row>
    <row r="1914" spans="140:143">
      <c r="EJ1914" s="1881"/>
      <c r="EL1914" s="1881"/>
      <c r="EM1914" s="1881"/>
    </row>
    <row r="1915" spans="140:143">
      <c r="EJ1915" s="1881"/>
      <c r="EL1915" s="1881"/>
      <c r="EM1915" s="1881"/>
    </row>
    <row r="1916" spans="140:143">
      <c r="EJ1916" s="1881"/>
      <c r="EL1916" s="1881"/>
      <c r="EM1916" s="1881"/>
    </row>
    <row r="1917" spans="140:143">
      <c r="EJ1917" s="1881"/>
      <c r="EL1917" s="1881"/>
      <c r="EM1917" s="1881"/>
    </row>
    <row r="1918" spans="140:143">
      <c r="EJ1918" s="1881"/>
      <c r="EL1918" s="1881"/>
      <c r="EM1918" s="1881"/>
    </row>
    <row r="1919" spans="140:143">
      <c r="EJ1919" s="1881"/>
      <c r="EL1919" s="1881"/>
      <c r="EM1919" s="1881"/>
    </row>
    <row r="1920" spans="140:143">
      <c r="EJ1920" s="1881"/>
      <c r="EL1920" s="1881"/>
      <c r="EM1920" s="1881"/>
    </row>
    <row r="1921" spans="140:143">
      <c r="EJ1921" s="1881"/>
      <c r="EL1921" s="1881"/>
      <c r="EM1921" s="1881"/>
    </row>
    <row r="1922" spans="140:143">
      <c r="EJ1922" s="1881"/>
      <c r="EL1922" s="1881"/>
      <c r="EM1922" s="1881"/>
    </row>
    <row r="1923" spans="140:143">
      <c r="EJ1923" s="1881"/>
      <c r="EL1923" s="1881"/>
      <c r="EM1923" s="1881"/>
    </row>
    <row r="1924" spans="140:143">
      <c r="EJ1924" s="1881"/>
      <c r="EL1924" s="1881"/>
      <c r="EM1924" s="1881"/>
    </row>
    <row r="1925" spans="140:143">
      <c r="EJ1925" s="1881"/>
      <c r="EL1925" s="1881"/>
      <c r="EM1925" s="1881"/>
    </row>
    <row r="1926" spans="140:143">
      <c r="EJ1926" s="1881"/>
      <c r="EL1926" s="1881"/>
      <c r="EM1926" s="1881"/>
    </row>
    <row r="1927" spans="140:143">
      <c r="EJ1927" s="1881"/>
      <c r="EL1927" s="1881"/>
      <c r="EM1927" s="1881"/>
    </row>
    <row r="1928" spans="140:143">
      <c r="EJ1928" s="1881"/>
      <c r="EL1928" s="1881"/>
      <c r="EM1928" s="1881"/>
    </row>
    <row r="1929" spans="140:143">
      <c r="EJ1929" s="1881"/>
      <c r="EL1929" s="1881"/>
      <c r="EM1929" s="1881"/>
    </row>
    <row r="1930" spans="140:143">
      <c r="EJ1930" s="1881"/>
      <c r="EL1930" s="1881"/>
      <c r="EM1930" s="1881"/>
    </row>
    <row r="1931" spans="140:143">
      <c r="EJ1931" s="1881"/>
      <c r="EL1931" s="1881"/>
      <c r="EM1931" s="1881"/>
    </row>
    <row r="1932" spans="140:143">
      <c r="EJ1932" s="1881"/>
      <c r="EL1932" s="1881"/>
      <c r="EM1932" s="1881"/>
    </row>
    <row r="1933" spans="140:143">
      <c r="EJ1933" s="1881"/>
      <c r="EL1933" s="1881"/>
      <c r="EM1933" s="1881"/>
    </row>
    <row r="1934" spans="140:143">
      <c r="EJ1934" s="1881"/>
      <c r="EL1934" s="1881"/>
      <c r="EM1934" s="1881"/>
    </row>
    <row r="1935" spans="140:143">
      <c r="EJ1935" s="1881"/>
      <c r="EL1935" s="1881"/>
      <c r="EM1935" s="1881"/>
    </row>
    <row r="1936" spans="140:143">
      <c r="EJ1936" s="1881"/>
      <c r="EL1936" s="1881"/>
      <c r="EM1936" s="1881"/>
    </row>
    <row r="1937" spans="140:143">
      <c r="EJ1937" s="1881"/>
      <c r="EL1937" s="1881"/>
      <c r="EM1937" s="1881"/>
    </row>
    <row r="1938" spans="140:143">
      <c r="EJ1938" s="1881"/>
      <c r="EL1938" s="1881"/>
      <c r="EM1938" s="1881"/>
    </row>
    <row r="1939" spans="140:143">
      <c r="EJ1939" s="1881"/>
      <c r="EL1939" s="1881"/>
      <c r="EM1939" s="1881"/>
    </row>
    <row r="1940" spans="140:143">
      <c r="EJ1940" s="1881"/>
      <c r="EL1940" s="1881"/>
      <c r="EM1940" s="1881"/>
    </row>
    <row r="1941" spans="140:143">
      <c r="EJ1941" s="1881"/>
      <c r="EL1941" s="1881"/>
      <c r="EM1941" s="1881"/>
    </row>
    <row r="1942" spans="140:143">
      <c r="EJ1942" s="1881"/>
      <c r="EL1942" s="1881"/>
      <c r="EM1942" s="1881"/>
    </row>
    <row r="1943" spans="140:143">
      <c r="EJ1943" s="1881"/>
      <c r="EL1943" s="1881"/>
      <c r="EM1943" s="1881"/>
    </row>
    <row r="1944" spans="140:143">
      <c r="EJ1944" s="1881"/>
      <c r="EL1944" s="1881"/>
      <c r="EM1944" s="1881"/>
    </row>
    <row r="1945" spans="140:143">
      <c r="EJ1945" s="1881"/>
      <c r="EL1945" s="1881"/>
      <c r="EM1945" s="1881"/>
    </row>
    <row r="1946" spans="140:143">
      <c r="EJ1946" s="1881"/>
      <c r="EL1946" s="1881"/>
      <c r="EM1946" s="1881"/>
    </row>
    <row r="1947" spans="140:143">
      <c r="EJ1947" s="1881"/>
      <c r="EL1947" s="1881"/>
      <c r="EM1947" s="1881"/>
    </row>
    <row r="1948" spans="140:143">
      <c r="EJ1948" s="1881"/>
      <c r="EL1948" s="1881"/>
      <c r="EM1948" s="1881"/>
    </row>
    <row r="1949" spans="140:143">
      <c r="EJ1949" s="1881"/>
      <c r="EL1949" s="1881"/>
      <c r="EM1949" s="1881"/>
    </row>
    <row r="1950" spans="140:143">
      <c r="EJ1950" s="1881"/>
      <c r="EL1950" s="1881"/>
      <c r="EM1950" s="1881"/>
    </row>
    <row r="1951" spans="140:143">
      <c r="EJ1951" s="1881"/>
      <c r="EL1951" s="1881"/>
      <c r="EM1951" s="1881"/>
    </row>
    <row r="1952" spans="140:143">
      <c r="EJ1952" s="1881"/>
      <c r="EL1952" s="1881"/>
      <c r="EM1952" s="1881"/>
    </row>
    <row r="1953" spans="140:143">
      <c r="EJ1953" s="1881"/>
      <c r="EL1953" s="1881"/>
      <c r="EM1953" s="1881"/>
    </row>
    <row r="1954" spans="140:143">
      <c r="EJ1954" s="1881"/>
      <c r="EL1954" s="1881"/>
      <c r="EM1954" s="1881"/>
    </row>
    <row r="1955" spans="140:143">
      <c r="EJ1955" s="1881"/>
      <c r="EL1955" s="1881"/>
      <c r="EM1955" s="1881"/>
    </row>
    <row r="1956" spans="140:143">
      <c r="EJ1956" s="1881"/>
      <c r="EL1956" s="1881"/>
      <c r="EM1956" s="1881"/>
    </row>
    <row r="1957" spans="140:143">
      <c r="EJ1957" s="1881"/>
      <c r="EL1957" s="1881"/>
      <c r="EM1957" s="1881"/>
    </row>
    <row r="1958" spans="140:143">
      <c r="EJ1958" s="1881"/>
      <c r="EL1958" s="1881"/>
      <c r="EM1958" s="1881"/>
    </row>
    <row r="1959" spans="140:143">
      <c r="EJ1959" s="1881"/>
      <c r="EL1959" s="1881"/>
      <c r="EM1959" s="1881"/>
    </row>
    <row r="1960" spans="140:143">
      <c r="EJ1960" s="1881"/>
      <c r="EL1960" s="1881"/>
      <c r="EM1960" s="1881"/>
    </row>
    <row r="1961" spans="140:143">
      <c r="EJ1961" s="1881"/>
      <c r="EL1961" s="1881"/>
      <c r="EM1961" s="1881"/>
    </row>
    <row r="1962" spans="140:143">
      <c r="EJ1962" s="1881"/>
      <c r="EL1962" s="1881"/>
      <c r="EM1962" s="1881"/>
    </row>
    <row r="1963" spans="140:143">
      <c r="EJ1963" s="1881"/>
      <c r="EL1963" s="1881"/>
      <c r="EM1963" s="1881"/>
    </row>
    <row r="1964" spans="140:143">
      <c r="EJ1964" s="1881"/>
      <c r="EL1964" s="1881"/>
      <c r="EM1964" s="1881"/>
    </row>
    <row r="1965" spans="140:143">
      <c r="EJ1965" s="1881"/>
      <c r="EL1965" s="1881"/>
      <c r="EM1965" s="1881"/>
    </row>
    <row r="1966" spans="140:143">
      <c r="EJ1966" s="1881"/>
      <c r="EL1966" s="1881"/>
      <c r="EM1966" s="1881"/>
    </row>
    <row r="1967" spans="140:143">
      <c r="EJ1967" s="1881"/>
      <c r="EL1967" s="1881"/>
      <c r="EM1967" s="1881"/>
    </row>
    <row r="1968" spans="140:143">
      <c r="EJ1968" s="1881"/>
      <c r="EL1968" s="1881"/>
      <c r="EM1968" s="1881"/>
    </row>
    <row r="1969" spans="140:143">
      <c r="EJ1969" s="1881"/>
      <c r="EL1969" s="1881"/>
      <c r="EM1969" s="1881"/>
    </row>
    <row r="1970" spans="140:143">
      <c r="EJ1970" s="1881"/>
      <c r="EL1970" s="1881"/>
      <c r="EM1970" s="1881"/>
    </row>
    <row r="1971" spans="140:143">
      <c r="EJ1971" s="1881"/>
      <c r="EL1971" s="1881"/>
      <c r="EM1971" s="1881"/>
    </row>
    <row r="1972" spans="140:143">
      <c r="EJ1972" s="1881"/>
      <c r="EL1972" s="1881"/>
      <c r="EM1972" s="1881"/>
    </row>
    <row r="1973" spans="140:143">
      <c r="EJ1973" s="1881"/>
      <c r="EL1973" s="1881"/>
      <c r="EM1973" s="1881"/>
    </row>
    <row r="1974" spans="140:143">
      <c r="EJ1974" s="1881"/>
      <c r="EL1974" s="1881"/>
      <c r="EM1974" s="1881"/>
    </row>
    <row r="1975" spans="140:143">
      <c r="EJ1975" s="1881"/>
      <c r="EL1975" s="1881"/>
      <c r="EM1975" s="1881"/>
    </row>
    <row r="1976" spans="140:143">
      <c r="EJ1976" s="1881"/>
      <c r="EL1976" s="1881"/>
      <c r="EM1976" s="1881"/>
    </row>
    <row r="1977" spans="140:143">
      <c r="EJ1977" s="1881"/>
      <c r="EL1977" s="1881"/>
      <c r="EM1977" s="1881"/>
    </row>
    <row r="1978" spans="140:143">
      <c r="EJ1978" s="1881"/>
      <c r="EL1978" s="1881"/>
      <c r="EM1978" s="1881"/>
    </row>
    <row r="1979" spans="140:143">
      <c r="EJ1979" s="1881"/>
      <c r="EL1979" s="1881"/>
      <c r="EM1979" s="1881"/>
    </row>
    <row r="1980" spans="140:143">
      <c r="EJ1980" s="1881"/>
      <c r="EL1980" s="1881"/>
      <c r="EM1980" s="1881"/>
    </row>
    <row r="1981" spans="140:143">
      <c r="EJ1981" s="1881"/>
      <c r="EL1981" s="1881"/>
      <c r="EM1981" s="1881"/>
    </row>
    <row r="1982" spans="140:143">
      <c r="EJ1982" s="1881"/>
      <c r="EL1982" s="1881"/>
      <c r="EM1982" s="1881"/>
    </row>
    <row r="1983" spans="140:143">
      <c r="EJ1983" s="1881"/>
      <c r="EL1983" s="1881"/>
      <c r="EM1983" s="1881"/>
    </row>
    <row r="1984" spans="140:143">
      <c r="EJ1984" s="1881"/>
      <c r="EL1984" s="1881"/>
      <c r="EM1984" s="1881"/>
    </row>
    <row r="1985" spans="140:143">
      <c r="EJ1985" s="1881"/>
      <c r="EL1985" s="1881"/>
      <c r="EM1985" s="1881"/>
    </row>
    <row r="1986" spans="140:143">
      <c r="EJ1986" s="1881"/>
      <c r="EL1986" s="1881"/>
      <c r="EM1986" s="1881"/>
    </row>
    <row r="1987" spans="140:143">
      <c r="EJ1987" s="1881"/>
      <c r="EL1987" s="1881"/>
      <c r="EM1987" s="1881"/>
    </row>
    <row r="1988" spans="140:143">
      <c r="EJ1988" s="1881"/>
      <c r="EL1988" s="1881"/>
      <c r="EM1988" s="1881"/>
    </row>
    <row r="1989" spans="140:143">
      <c r="EJ1989" s="1881"/>
      <c r="EL1989" s="1881"/>
      <c r="EM1989" s="1881"/>
    </row>
    <row r="1990" spans="140:143">
      <c r="EJ1990" s="1881"/>
      <c r="EL1990" s="1881"/>
      <c r="EM1990" s="1881"/>
    </row>
    <row r="1991" spans="140:143">
      <c r="EJ1991" s="1881"/>
      <c r="EL1991" s="1881"/>
      <c r="EM1991" s="1881"/>
    </row>
    <row r="1992" spans="140:143">
      <c r="EJ1992" s="1881"/>
      <c r="EL1992" s="1881"/>
      <c r="EM1992" s="1881"/>
    </row>
    <row r="1993" spans="140:143">
      <c r="EJ1993" s="1881"/>
      <c r="EL1993" s="1881"/>
      <c r="EM1993" s="1881"/>
    </row>
    <row r="1994" spans="140:143">
      <c r="EJ1994" s="1881"/>
      <c r="EL1994" s="1881"/>
      <c r="EM1994" s="1881"/>
    </row>
    <row r="1995" spans="140:143">
      <c r="EJ1995" s="1881"/>
      <c r="EL1995" s="1881"/>
      <c r="EM1995" s="1881"/>
    </row>
    <row r="1996" spans="140:143">
      <c r="EJ1996" s="1881"/>
      <c r="EL1996" s="1881"/>
      <c r="EM1996" s="1881"/>
    </row>
    <row r="1997" spans="140:143">
      <c r="EJ1997" s="1881"/>
      <c r="EL1997" s="1881"/>
      <c r="EM1997" s="1881"/>
    </row>
    <row r="1998" spans="140:143">
      <c r="EJ1998" s="1881"/>
      <c r="EL1998" s="1881"/>
      <c r="EM1998" s="1881"/>
    </row>
    <row r="1999" spans="140:143">
      <c r="EJ1999" s="1881"/>
      <c r="EL1999" s="1881"/>
      <c r="EM1999" s="1881"/>
    </row>
    <row r="2000" spans="140:143">
      <c r="EJ2000" s="1881"/>
      <c r="EL2000" s="1881"/>
      <c r="EM2000" s="1881"/>
    </row>
    <row r="2001" spans="140:143">
      <c r="EJ2001" s="1881"/>
      <c r="EL2001" s="1881"/>
      <c r="EM2001" s="1881"/>
    </row>
    <row r="2002" spans="140:143">
      <c r="EJ2002" s="1881"/>
      <c r="EL2002" s="1881"/>
      <c r="EM2002" s="1881"/>
    </row>
    <row r="2003" spans="140:143">
      <c r="EJ2003" s="1881"/>
      <c r="EL2003" s="1881"/>
      <c r="EM2003" s="1881"/>
    </row>
    <row r="2004" spans="140:143">
      <c r="EJ2004" s="1881"/>
      <c r="EL2004" s="1881"/>
      <c r="EM2004" s="1881"/>
    </row>
    <row r="2005" spans="140:143">
      <c r="EJ2005" s="1881"/>
      <c r="EL2005" s="1881"/>
      <c r="EM2005" s="1881"/>
    </row>
    <row r="2006" spans="140:143">
      <c r="EJ2006" s="1881"/>
      <c r="EL2006" s="1881"/>
      <c r="EM2006" s="1881"/>
    </row>
    <row r="2007" spans="140:143">
      <c r="EJ2007" s="1881"/>
      <c r="EL2007" s="1881"/>
      <c r="EM2007" s="1881"/>
    </row>
    <row r="2008" spans="140:143">
      <c r="EJ2008" s="1881"/>
      <c r="EL2008" s="1881"/>
      <c r="EM2008" s="1881"/>
    </row>
    <row r="2009" spans="140:143">
      <c r="EJ2009" s="1881"/>
      <c r="EL2009" s="1881"/>
      <c r="EM2009" s="1881"/>
    </row>
    <row r="2010" spans="140:143">
      <c r="EJ2010" s="1881"/>
      <c r="EL2010" s="1881"/>
      <c r="EM2010" s="1881"/>
    </row>
    <row r="2011" spans="140:143">
      <c r="EJ2011" s="1881"/>
      <c r="EL2011" s="1881"/>
      <c r="EM2011" s="1881"/>
    </row>
    <row r="2012" spans="140:143">
      <c r="EJ2012" s="1881"/>
      <c r="EL2012" s="1881"/>
      <c r="EM2012" s="1881"/>
    </row>
    <row r="2013" spans="140:143">
      <c r="EJ2013" s="1881"/>
      <c r="EL2013" s="1881"/>
      <c r="EM2013" s="1881"/>
    </row>
    <row r="2014" spans="140:143">
      <c r="EJ2014" s="1881"/>
      <c r="EL2014" s="1881"/>
      <c r="EM2014" s="1881"/>
    </row>
    <row r="2015" spans="140:143">
      <c r="EJ2015" s="1881"/>
      <c r="EL2015" s="1881"/>
      <c r="EM2015" s="1881"/>
    </row>
    <row r="2016" spans="140:143">
      <c r="EJ2016" s="1881"/>
      <c r="EL2016" s="1881"/>
      <c r="EM2016" s="1881"/>
    </row>
    <row r="2017" spans="140:143">
      <c r="EJ2017" s="1881"/>
      <c r="EL2017" s="1881"/>
      <c r="EM2017" s="1881"/>
    </row>
    <row r="2018" spans="140:143">
      <c r="EJ2018" s="1881"/>
      <c r="EL2018" s="1881"/>
      <c r="EM2018" s="1881"/>
    </row>
    <row r="2019" spans="140:143">
      <c r="EJ2019" s="1881"/>
      <c r="EL2019" s="1881"/>
      <c r="EM2019" s="1881"/>
    </row>
    <row r="2020" spans="140:143">
      <c r="EJ2020" s="1881"/>
      <c r="EL2020" s="1881"/>
      <c r="EM2020" s="1881"/>
    </row>
    <row r="2021" spans="140:143">
      <c r="EJ2021" s="1881"/>
      <c r="EL2021" s="1881"/>
      <c r="EM2021" s="1881"/>
    </row>
    <row r="2022" spans="140:143">
      <c r="EJ2022" s="1881"/>
      <c r="EL2022" s="1881"/>
      <c r="EM2022" s="1881"/>
    </row>
    <row r="2023" spans="140:143">
      <c r="EJ2023" s="1881"/>
      <c r="EL2023" s="1881"/>
      <c r="EM2023" s="1881"/>
    </row>
    <row r="2024" spans="140:143">
      <c r="EJ2024" s="1881"/>
      <c r="EL2024" s="1881"/>
      <c r="EM2024" s="1881"/>
    </row>
    <row r="2025" spans="140:143">
      <c r="EJ2025" s="1881"/>
      <c r="EL2025" s="1881"/>
      <c r="EM2025" s="1881"/>
    </row>
    <row r="2026" spans="140:143">
      <c r="EJ2026" s="1881"/>
      <c r="EL2026" s="1881"/>
      <c r="EM2026" s="1881"/>
    </row>
    <row r="2027" spans="140:143">
      <c r="EJ2027" s="1881"/>
      <c r="EL2027" s="1881"/>
      <c r="EM2027" s="1881"/>
    </row>
    <row r="2028" spans="140:143">
      <c r="EJ2028" s="1881"/>
      <c r="EL2028" s="1881"/>
      <c r="EM2028" s="1881"/>
    </row>
    <row r="2029" spans="140:143">
      <c r="EJ2029" s="1881"/>
      <c r="EL2029" s="1881"/>
      <c r="EM2029" s="1881"/>
    </row>
    <row r="2030" spans="140:143">
      <c r="EJ2030" s="1881"/>
      <c r="EL2030" s="1881"/>
      <c r="EM2030" s="1881"/>
    </row>
    <row r="2031" spans="140:143">
      <c r="EJ2031" s="1881"/>
      <c r="EL2031" s="1881"/>
      <c r="EM2031" s="1881"/>
    </row>
    <row r="2032" spans="140:143">
      <c r="EJ2032" s="1881"/>
      <c r="EL2032" s="1881"/>
      <c r="EM2032" s="1881"/>
    </row>
    <row r="2033" spans="140:143">
      <c r="EJ2033" s="1881"/>
      <c r="EL2033" s="1881"/>
      <c r="EM2033" s="1881"/>
    </row>
    <row r="2034" spans="140:143">
      <c r="EJ2034" s="1881"/>
      <c r="EL2034" s="1881"/>
      <c r="EM2034" s="1881"/>
    </row>
    <row r="2035" spans="140:143">
      <c r="EJ2035" s="1881"/>
      <c r="EL2035" s="1881"/>
      <c r="EM2035" s="1881"/>
    </row>
    <row r="2036" spans="140:143">
      <c r="EJ2036" s="1881"/>
      <c r="EL2036" s="1881"/>
      <c r="EM2036" s="1881"/>
    </row>
    <row r="2037" spans="140:143">
      <c r="EJ2037" s="1881"/>
      <c r="EL2037" s="1881"/>
      <c r="EM2037" s="1881"/>
    </row>
    <row r="2038" spans="140:143">
      <c r="EJ2038" s="1881"/>
      <c r="EL2038" s="1881"/>
      <c r="EM2038" s="1881"/>
    </row>
    <row r="2039" spans="140:143">
      <c r="EJ2039" s="1881"/>
      <c r="EL2039" s="1881"/>
      <c r="EM2039" s="1881"/>
    </row>
    <row r="2040" spans="140:143">
      <c r="EJ2040" s="1881"/>
      <c r="EL2040" s="1881"/>
      <c r="EM2040" s="1881"/>
    </row>
    <row r="2041" spans="140:143">
      <c r="EJ2041" s="1881"/>
      <c r="EL2041" s="1881"/>
      <c r="EM2041" s="1881"/>
    </row>
    <row r="2042" spans="140:143">
      <c r="EJ2042" s="1881"/>
      <c r="EL2042" s="1881"/>
      <c r="EM2042" s="1881"/>
    </row>
    <row r="2043" spans="140:143">
      <c r="EJ2043" s="1881"/>
      <c r="EL2043" s="1881"/>
      <c r="EM2043" s="1881"/>
    </row>
    <row r="2044" spans="140:143">
      <c r="EJ2044" s="1881"/>
      <c r="EL2044" s="1881"/>
      <c r="EM2044" s="1881"/>
    </row>
    <row r="2045" spans="140:143">
      <c r="EJ2045" s="1881"/>
      <c r="EL2045" s="1881"/>
      <c r="EM2045" s="1881"/>
    </row>
    <row r="2046" spans="140:143">
      <c r="EJ2046" s="1881"/>
      <c r="EL2046" s="1881"/>
      <c r="EM2046" s="1881"/>
    </row>
    <row r="2047" spans="140:143">
      <c r="EJ2047" s="1881"/>
      <c r="EL2047" s="1881"/>
      <c r="EM2047" s="1881"/>
    </row>
    <row r="2048" spans="140:143">
      <c r="EJ2048" s="1881"/>
      <c r="EL2048" s="1881"/>
      <c r="EM2048" s="1881"/>
    </row>
    <row r="2049" spans="140:143">
      <c r="EJ2049" s="1881"/>
      <c r="EL2049" s="1881"/>
      <c r="EM2049" s="1881"/>
    </row>
    <row r="2050" spans="140:143">
      <c r="EJ2050" s="1881"/>
      <c r="EL2050" s="1881"/>
      <c r="EM2050" s="1881"/>
    </row>
    <row r="2051" spans="140:143">
      <c r="EJ2051" s="1881"/>
      <c r="EL2051" s="1881"/>
      <c r="EM2051" s="1881"/>
    </row>
    <row r="2052" spans="140:143">
      <c r="EJ2052" s="1881"/>
      <c r="EL2052" s="1881"/>
      <c r="EM2052" s="1881"/>
    </row>
    <row r="2053" spans="140:143">
      <c r="EJ2053" s="1881"/>
      <c r="EL2053" s="1881"/>
      <c r="EM2053" s="1881"/>
    </row>
    <row r="2054" spans="140:143">
      <c r="EJ2054" s="1881"/>
      <c r="EL2054" s="1881"/>
      <c r="EM2054" s="1881"/>
    </row>
    <row r="2055" spans="140:143">
      <c r="EJ2055" s="1881"/>
      <c r="EL2055" s="1881"/>
      <c r="EM2055" s="1881"/>
    </row>
    <row r="2056" spans="140:143">
      <c r="EJ2056" s="1881"/>
      <c r="EL2056" s="1881"/>
      <c r="EM2056" s="1881"/>
    </row>
    <row r="2057" spans="140:143">
      <c r="EJ2057" s="1881"/>
      <c r="EL2057" s="1881"/>
      <c r="EM2057" s="1881"/>
    </row>
    <row r="2058" spans="140:143">
      <c r="EJ2058" s="1881"/>
      <c r="EL2058" s="1881"/>
      <c r="EM2058" s="1881"/>
    </row>
    <row r="2059" spans="140:143">
      <c r="EJ2059" s="1881"/>
      <c r="EL2059" s="1881"/>
      <c r="EM2059" s="1881"/>
    </row>
    <row r="2060" spans="140:143">
      <c r="EJ2060" s="1881"/>
      <c r="EL2060" s="1881"/>
      <c r="EM2060" s="1881"/>
    </row>
    <row r="2061" spans="140:143">
      <c r="EJ2061" s="1881"/>
      <c r="EL2061" s="1881"/>
      <c r="EM2061" s="1881"/>
    </row>
    <row r="2062" spans="140:143">
      <c r="EJ2062" s="1881"/>
      <c r="EL2062" s="1881"/>
      <c r="EM2062" s="1881"/>
    </row>
    <row r="2063" spans="140:143">
      <c r="EJ2063" s="1881"/>
      <c r="EL2063" s="1881"/>
      <c r="EM2063" s="1881"/>
    </row>
    <row r="2064" spans="140:143">
      <c r="EJ2064" s="1881"/>
      <c r="EL2064" s="1881"/>
      <c r="EM2064" s="1881"/>
    </row>
    <row r="2065" spans="140:143">
      <c r="EJ2065" s="1881"/>
      <c r="EL2065" s="1881"/>
      <c r="EM2065" s="1881"/>
    </row>
    <row r="2066" spans="140:143">
      <c r="EJ2066" s="1881"/>
      <c r="EL2066" s="1881"/>
      <c r="EM2066" s="1881"/>
    </row>
    <row r="2067" spans="140:143">
      <c r="EJ2067" s="1881"/>
      <c r="EL2067" s="1881"/>
      <c r="EM2067" s="1881"/>
    </row>
    <row r="2068" spans="140:143">
      <c r="EJ2068" s="1881"/>
      <c r="EL2068" s="1881"/>
      <c r="EM2068" s="1881"/>
    </row>
    <row r="2069" spans="140:143">
      <c r="EJ2069" s="1881"/>
      <c r="EL2069" s="1881"/>
      <c r="EM2069" s="1881"/>
    </row>
    <row r="2070" spans="140:143">
      <c r="EJ2070" s="1881"/>
      <c r="EL2070" s="1881"/>
      <c r="EM2070" s="1881"/>
    </row>
    <row r="2071" spans="140:143">
      <c r="EJ2071" s="1881"/>
      <c r="EL2071" s="1881"/>
      <c r="EM2071" s="1881"/>
    </row>
    <row r="2072" spans="140:143">
      <c r="EJ2072" s="1881"/>
      <c r="EL2072" s="1881"/>
      <c r="EM2072" s="1881"/>
    </row>
    <row r="2073" spans="140:143">
      <c r="EJ2073" s="1881"/>
      <c r="EL2073" s="1881"/>
      <c r="EM2073" s="1881"/>
    </row>
    <row r="2074" spans="140:143">
      <c r="EJ2074" s="1881"/>
      <c r="EL2074" s="1881"/>
      <c r="EM2074" s="1881"/>
    </row>
    <row r="2075" spans="140:143">
      <c r="EJ2075" s="1881"/>
      <c r="EL2075" s="1881"/>
      <c r="EM2075" s="1881"/>
    </row>
    <row r="2076" spans="140:143">
      <c r="EJ2076" s="1881"/>
      <c r="EL2076" s="1881"/>
      <c r="EM2076" s="1881"/>
    </row>
    <row r="2077" spans="140:143">
      <c r="EJ2077" s="1881"/>
      <c r="EL2077" s="1881"/>
      <c r="EM2077" s="1881"/>
    </row>
    <row r="2078" spans="140:143">
      <c r="EJ2078" s="1881"/>
      <c r="EL2078" s="1881"/>
      <c r="EM2078" s="1881"/>
    </row>
    <row r="2079" spans="140:143">
      <c r="EJ2079" s="1881"/>
      <c r="EL2079" s="1881"/>
      <c r="EM2079" s="1881"/>
    </row>
    <row r="2080" spans="140:143">
      <c r="EJ2080" s="1881"/>
      <c r="EL2080" s="1881"/>
      <c r="EM2080" s="1881"/>
    </row>
    <row r="2081" spans="140:143">
      <c r="EJ2081" s="1881"/>
      <c r="EL2081" s="1881"/>
      <c r="EM2081" s="1881"/>
    </row>
    <row r="2082" spans="140:143">
      <c r="EJ2082" s="1881"/>
      <c r="EL2082" s="1881"/>
      <c r="EM2082" s="1881"/>
    </row>
    <row r="2083" spans="140:143">
      <c r="EJ2083" s="1881"/>
      <c r="EL2083" s="1881"/>
      <c r="EM2083" s="1881"/>
    </row>
    <row r="2084" spans="140:143">
      <c r="EJ2084" s="1881"/>
      <c r="EL2084" s="1881"/>
      <c r="EM2084" s="1881"/>
    </row>
    <row r="2085" spans="140:143">
      <c r="EJ2085" s="1881"/>
      <c r="EL2085" s="1881"/>
      <c r="EM2085" s="1881"/>
    </row>
    <row r="2086" spans="140:143">
      <c r="EJ2086" s="1881"/>
      <c r="EL2086" s="1881"/>
      <c r="EM2086" s="1881"/>
    </row>
    <row r="2087" spans="140:143">
      <c r="EJ2087" s="1881"/>
      <c r="EL2087" s="1881"/>
      <c r="EM2087" s="1881"/>
    </row>
    <row r="2088" spans="140:143">
      <c r="EJ2088" s="1881"/>
      <c r="EL2088" s="1881"/>
      <c r="EM2088" s="1881"/>
    </row>
    <row r="2089" spans="140:143">
      <c r="EJ2089" s="1881"/>
      <c r="EL2089" s="1881"/>
      <c r="EM2089" s="1881"/>
    </row>
    <row r="2090" spans="140:143">
      <c r="EJ2090" s="1881"/>
      <c r="EL2090" s="1881"/>
      <c r="EM2090" s="1881"/>
    </row>
    <row r="2091" spans="140:143">
      <c r="EJ2091" s="1881"/>
      <c r="EL2091" s="1881"/>
      <c r="EM2091" s="1881"/>
    </row>
    <row r="2092" spans="140:143">
      <c r="EJ2092" s="1881"/>
      <c r="EL2092" s="1881"/>
      <c r="EM2092" s="1881"/>
    </row>
    <row r="2093" spans="140:143">
      <c r="EJ2093" s="1881"/>
      <c r="EL2093" s="1881"/>
      <c r="EM2093" s="1881"/>
    </row>
    <row r="2094" spans="140:143">
      <c r="EJ2094" s="1881"/>
      <c r="EL2094" s="1881"/>
      <c r="EM2094" s="1881"/>
    </row>
    <row r="2095" spans="140:143">
      <c r="EJ2095" s="1881"/>
      <c r="EL2095" s="1881"/>
      <c r="EM2095" s="1881"/>
    </row>
    <row r="2096" spans="140:143">
      <c r="EJ2096" s="1881"/>
      <c r="EL2096" s="1881"/>
      <c r="EM2096" s="1881"/>
    </row>
    <row r="2097" spans="140:143">
      <c r="EJ2097" s="1881"/>
      <c r="EL2097" s="1881"/>
      <c r="EM2097" s="1881"/>
    </row>
    <row r="2098" spans="140:143">
      <c r="EJ2098" s="1881"/>
      <c r="EL2098" s="1881"/>
      <c r="EM2098" s="1881"/>
    </row>
    <row r="2099" spans="140:143">
      <c r="EJ2099" s="1881"/>
      <c r="EL2099" s="1881"/>
      <c r="EM2099" s="1881"/>
    </row>
    <row r="2100" spans="140:143">
      <c r="EJ2100" s="1881"/>
      <c r="EL2100" s="1881"/>
      <c r="EM2100" s="1881"/>
    </row>
    <row r="2101" spans="140:143">
      <c r="EJ2101" s="1881"/>
      <c r="EL2101" s="1881"/>
      <c r="EM2101" s="1881"/>
    </row>
    <row r="2102" spans="140:143">
      <c r="EJ2102" s="1881"/>
      <c r="EL2102" s="1881"/>
      <c r="EM2102" s="1881"/>
    </row>
    <row r="2103" spans="140:143">
      <c r="EJ2103" s="1881"/>
      <c r="EL2103" s="1881"/>
      <c r="EM2103" s="1881"/>
    </row>
    <row r="2104" spans="140:143">
      <c r="EJ2104" s="1881"/>
      <c r="EL2104" s="1881"/>
      <c r="EM2104" s="1881"/>
    </row>
    <row r="2105" spans="140:143">
      <c r="EJ2105" s="1881"/>
      <c r="EL2105" s="1881"/>
      <c r="EM2105" s="1881"/>
    </row>
    <row r="2106" spans="140:143">
      <c r="EJ2106" s="1881"/>
      <c r="EL2106" s="1881"/>
      <c r="EM2106" s="1881"/>
    </row>
    <row r="2107" spans="140:143">
      <c r="EJ2107" s="1881"/>
      <c r="EL2107" s="1881"/>
      <c r="EM2107" s="1881"/>
    </row>
    <row r="2108" spans="140:143">
      <c r="EJ2108" s="1881"/>
      <c r="EL2108" s="1881"/>
      <c r="EM2108" s="1881"/>
    </row>
    <row r="2109" spans="140:143">
      <c r="EJ2109" s="1881"/>
      <c r="EL2109" s="1881"/>
      <c r="EM2109" s="1881"/>
    </row>
    <row r="2110" spans="140:143">
      <c r="EJ2110" s="1881"/>
      <c r="EL2110" s="1881"/>
      <c r="EM2110" s="1881"/>
    </row>
    <row r="2111" spans="140:143">
      <c r="EJ2111" s="1881"/>
      <c r="EL2111" s="1881"/>
      <c r="EM2111" s="1881"/>
    </row>
    <row r="2112" spans="140:143">
      <c r="EJ2112" s="1881"/>
      <c r="EL2112" s="1881"/>
      <c r="EM2112" s="1881"/>
    </row>
    <row r="2113" spans="140:143">
      <c r="EJ2113" s="1881"/>
      <c r="EL2113" s="1881"/>
      <c r="EM2113" s="1881"/>
    </row>
    <row r="2114" spans="140:143">
      <c r="EJ2114" s="1881"/>
      <c r="EL2114" s="1881"/>
      <c r="EM2114" s="1881"/>
    </row>
    <row r="2115" spans="140:143">
      <c r="EJ2115" s="1881"/>
      <c r="EL2115" s="1881"/>
      <c r="EM2115" s="1881"/>
    </row>
    <row r="2116" spans="140:143">
      <c r="EJ2116" s="1881"/>
      <c r="EL2116" s="1881"/>
      <c r="EM2116" s="1881"/>
    </row>
    <row r="2117" spans="140:143">
      <c r="EJ2117" s="1881"/>
      <c r="EL2117" s="1881"/>
      <c r="EM2117" s="1881"/>
    </row>
    <row r="2118" spans="140:143">
      <c r="EJ2118" s="1881"/>
      <c r="EL2118" s="1881"/>
      <c r="EM2118" s="1881"/>
    </row>
    <row r="2119" spans="140:143">
      <c r="EJ2119" s="1881"/>
      <c r="EL2119" s="1881"/>
      <c r="EM2119" s="1881"/>
    </row>
    <row r="2120" spans="140:143">
      <c r="EJ2120" s="1881"/>
      <c r="EL2120" s="1881"/>
      <c r="EM2120" s="1881"/>
    </row>
    <row r="2121" spans="140:143">
      <c r="EJ2121" s="1881"/>
      <c r="EL2121" s="1881"/>
      <c r="EM2121" s="1881"/>
    </row>
    <row r="2122" spans="140:143">
      <c r="EJ2122" s="1881"/>
      <c r="EL2122" s="1881"/>
      <c r="EM2122" s="1881"/>
    </row>
    <row r="2123" spans="140:143">
      <c r="EJ2123" s="1881"/>
      <c r="EL2123" s="1881"/>
      <c r="EM2123" s="1881"/>
    </row>
    <row r="2124" spans="140:143">
      <c r="EJ2124" s="1881"/>
      <c r="EL2124" s="1881"/>
      <c r="EM2124" s="1881"/>
    </row>
    <row r="2125" spans="140:143">
      <c r="EJ2125" s="1881"/>
      <c r="EL2125" s="1881"/>
      <c r="EM2125" s="1881"/>
    </row>
    <row r="2126" spans="140:143">
      <c r="EJ2126" s="1881"/>
      <c r="EL2126" s="1881"/>
      <c r="EM2126" s="1881"/>
    </row>
    <row r="2127" spans="140:143">
      <c r="EJ2127" s="1881"/>
      <c r="EL2127" s="1881"/>
      <c r="EM2127" s="1881"/>
    </row>
    <row r="2128" spans="140:143">
      <c r="EJ2128" s="1881"/>
      <c r="EL2128" s="1881"/>
      <c r="EM2128" s="1881"/>
    </row>
    <row r="2129" spans="140:143">
      <c r="EJ2129" s="1881"/>
      <c r="EL2129" s="1881"/>
      <c r="EM2129" s="1881"/>
    </row>
    <row r="2130" spans="140:143">
      <c r="EJ2130" s="1881"/>
      <c r="EL2130" s="1881"/>
      <c r="EM2130" s="1881"/>
    </row>
    <row r="2131" spans="140:143">
      <c r="EJ2131" s="1881"/>
      <c r="EL2131" s="1881"/>
      <c r="EM2131" s="1881"/>
    </row>
    <row r="2132" spans="140:143">
      <c r="EJ2132" s="1881"/>
      <c r="EL2132" s="1881"/>
      <c r="EM2132" s="1881"/>
    </row>
    <row r="2133" spans="140:143">
      <c r="EJ2133" s="1881"/>
      <c r="EL2133" s="1881"/>
      <c r="EM2133" s="1881"/>
    </row>
    <row r="2134" spans="140:143">
      <c r="EJ2134" s="1881"/>
      <c r="EL2134" s="1881"/>
      <c r="EM2134" s="1881"/>
    </row>
    <row r="2135" spans="140:143">
      <c r="EJ2135" s="1881"/>
      <c r="EL2135" s="1881"/>
      <c r="EM2135" s="1881"/>
    </row>
    <row r="2136" spans="140:143">
      <c r="EJ2136" s="1881"/>
      <c r="EL2136" s="1881"/>
      <c r="EM2136" s="1881"/>
    </row>
    <row r="2137" spans="140:143">
      <c r="EJ2137" s="1881"/>
      <c r="EL2137" s="1881"/>
      <c r="EM2137" s="1881"/>
    </row>
    <row r="2138" spans="140:143">
      <c r="EJ2138" s="1881"/>
      <c r="EL2138" s="1881"/>
      <c r="EM2138" s="1881"/>
    </row>
    <row r="2139" spans="140:143">
      <c r="EJ2139" s="1881"/>
      <c r="EL2139" s="1881"/>
      <c r="EM2139" s="1881"/>
    </row>
    <row r="2140" spans="140:143">
      <c r="EJ2140" s="1881"/>
      <c r="EL2140" s="1881"/>
      <c r="EM2140" s="1881"/>
    </row>
    <row r="2141" spans="140:143">
      <c r="EJ2141" s="1881"/>
      <c r="EL2141" s="1881"/>
      <c r="EM2141" s="1881"/>
    </row>
    <row r="2142" spans="140:143">
      <c r="EJ2142" s="1881"/>
      <c r="EL2142" s="1881"/>
      <c r="EM2142" s="1881"/>
    </row>
    <row r="2143" spans="140:143">
      <c r="EJ2143" s="1881"/>
      <c r="EL2143" s="1881"/>
      <c r="EM2143" s="1881"/>
    </row>
    <row r="2144" spans="140:143">
      <c r="EJ2144" s="1881"/>
      <c r="EL2144" s="1881"/>
      <c r="EM2144" s="1881"/>
    </row>
    <row r="2145" spans="140:143">
      <c r="EJ2145" s="1881"/>
      <c r="EL2145" s="1881"/>
      <c r="EM2145" s="1881"/>
    </row>
    <row r="2146" spans="140:143">
      <c r="EJ2146" s="1881"/>
      <c r="EL2146" s="1881"/>
      <c r="EM2146" s="1881"/>
    </row>
    <row r="2147" spans="140:143">
      <c r="EJ2147" s="1881"/>
      <c r="EL2147" s="1881"/>
      <c r="EM2147" s="1881"/>
    </row>
    <row r="2148" spans="140:143">
      <c r="EJ2148" s="1881"/>
      <c r="EL2148" s="1881"/>
      <c r="EM2148" s="1881"/>
    </row>
    <row r="2149" spans="140:143">
      <c r="EJ2149" s="1881"/>
      <c r="EL2149" s="1881"/>
      <c r="EM2149" s="1881"/>
    </row>
    <row r="2150" spans="140:143">
      <c r="EJ2150" s="1881"/>
      <c r="EL2150" s="1881"/>
      <c r="EM2150" s="1881"/>
    </row>
    <row r="2151" spans="140:143">
      <c r="EJ2151" s="1881"/>
      <c r="EL2151" s="1881"/>
      <c r="EM2151" s="1881"/>
    </row>
    <row r="2152" spans="140:143">
      <c r="EJ2152" s="1881"/>
      <c r="EL2152" s="1881"/>
      <c r="EM2152" s="1881"/>
    </row>
    <row r="2153" spans="140:143">
      <c r="EJ2153" s="1881"/>
      <c r="EL2153" s="1881"/>
      <c r="EM2153" s="1881"/>
    </row>
    <row r="2154" spans="140:143">
      <c r="EJ2154" s="1881"/>
      <c r="EL2154" s="1881"/>
      <c r="EM2154" s="1881"/>
    </row>
    <row r="2155" spans="140:143">
      <c r="EJ2155" s="1881"/>
      <c r="EL2155" s="1881"/>
      <c r="EM2155" s="1881"/>
    </row>
    <row r="2156" spans="140:143">
      <c r="EJ2156" s="1881"/>
      <c r="EL2156" s="1881"/>
      <c r="EM2156" s="1881"/>
    </row>
    <row r="2157" spans="140:143">
      <c r="EJ2157" s="1881"/>
      <c r="EL2157" s="1881"/>
      <c r="EM2157" s="1881"/>
    </row>
    <row r="2158" spans="140:143">
      <c r="EJ2158" s="1881"/>
      <c r="EL2158" s="1881"/>
      <c r="EM2158" s="1881"/>
    </row>
    <row r="2159" spans="140:143">
      <c r="EJ2159" s="1881"/>
      <c r="EL2159" s="1881"/>
      <c r="EM2159" s="1881"/>
    </row>
    <row r="2160" spans="140:143">
      <c r="EJ2160" s="1881"/>
      <c r="EL2160" s="1881"/>
      <c r="EM2160" s="1881"/>
    </row>
    <row r="2161" spans="140:143">
      <c r="EJ2161" s="1881"/>
      <c r="EL2161" s="1881"/>
      <c r="EM2161" s="1881"/>
    </row>
    <row r="2162" spans="140:143">
      <c r="EJ2162" s="1881"/>
      <c r="EL2162" s="1881"/>
      <c r="EM2162" s="1881"/>
    </row>
    <row r="2163" spans="140:143">
      <c r="EJ2163" s="1881"/>
      <c r="EL2163" s="1881"/>
      <c r="EM2163" s="1881"/>
    </row>
    <row r="2164" spans="140:143">
      <c r="EJ2164" s="1881"/>
      <c r="EL2164" s="1881"/>
      <c r="EM2164" s="1881"/>
    </row>
    <row r="2165" spans="140:143">
      <c r="EJ2165" s="1881"/>
      <c r="EL2165" s="1881"/>
      <c r="EM2165" s="1881"/>
    </row>
    <row r="2166" spans="140:143">
      <c r="EJ2166" s="1881"/>
      <c r="EL2166" s="1881"/>
      <c r="EM2166" s="1881"/>
    </row>
    <row r="2167" spans="140:143">
      <c r="EJ2167" s="1881"/>
      <c r="EL2167" s="1881"/>
      <c r="EM2167" s="1881"/>
    </row>
    <row r="2168" spans="140:143">
      <c r="EJ2168" s="1881"/>
      <c r="EL2168" s="1881"/>
      <c r="EM2168" s="1881"/>
    </row>
    <row r="2169" spans="140:143">
      <c r="EJ2169" s="1881"/>
      <c r="EL2169" s="1881"/>
      <c r="EM2169" s="1881"/>
    </row>
    <row r="2170" spans="140:143">
      <c r="EJ2170" s="1881"/>
      <c r="EL2170" s="1881"/>
      <c r="EM2170" s="1881"/>
    </row>
    <row r="2171" spans="140:143">
      <c r="EJ2171" s="1881"/>
      <c r="EL2171" s="1881"/>
      <c r="EM2171" s="1881"/>
    </row>
    <row r="2172" spans="140:143">
      <c r="EJ2172" s="1881"/>
      <c r="EL2172" s="1881"/>
      <c r="EM2172" s="1881"/>
    </row>
    <row r="2173" spans="140:143">
      <c r="EJ2173" s="1881"/>
      <c r="EL2173" s="1881"/>
      <c r="EM2173" s="1881"/>
    </row>
    <row r="2174" spans="140:143">
      <c r="EJ2174" s="1881"/>
      <c r="EL2174" s="1881"/>
      <c r="EM2174" s="1881"/>
    </row>
    <row r="2175" spans="140:143">
      <c r="EJ2175" s="1881"/>
      <c r="EL2175" s="1881"/>
      <c r="EM2175" s="1881"/>
    </row>
    <row r="2176" spans="140:143">
      <c r="EJ2176" s="1881"/>
      <c r="EL2176" s="1881"/>
      <c r="EM2176" s="1881"/>
    </row>
    <row r="2177" spans="140:143">
      <c r="EJ2177" s="1881"/>
      <c r="EL2177" s="1881"/>
      <c r="EM2177" s="1881"/>
    </row>
    <row r="2178" spans="140:143">
      <c r="EJ2178" s="1881"/>
      <c r="EL2178" s="1881"/>
      <c r="EM2178" s="1881"/>
    </row>
    <row r="2179" spans="140:143">
      <c r="EJ2179" s="1881"/>
      <c r="EL2179" s="1881"/>
      <c r="EM2179" s="1881"/>
    </row>
    <row r="2180" spans="140:143">
      <c r="EJ2180" s="1881"/>
      <c r="EL2180" s="1881"/>
      <c r="EM2180" s="1881"/>
    </row>
    <row r="2181" spans="140:143">
      <c r="EJ2181" s="1881"/>
      <c r="EL2181" s="1881"/>
      <c r="EM2181" s="1881"/>
    </row>
    <row r="2182" spans="140:143">
      <c r="EJ2182" s="1881"/>
      <c r="EL2182" s="1881"/>
      <c r="EM2182" s="1881"/>
    </row>
    <row r="2183" spans="140:143">
      <c r="EJ2183" s="1881"/>
      <c r="EL2183" s="1881"/>
      <c r="EM2183" s="1881"/>
    </row>
    <row r="2184" spans="140:143">
      <c r="EJ2184" s="1881"/>
      <c r="EL2184" s="1881"/>
      <c r="EM2184" s="1881"/>
    </row>
    <row r="2185" spans="140:143">
      <c r="EJ2185" s="1881"/>
      <c r="EL2185" s="1881"/>
      <c r="EM2185" s="1881"/>
    </row>
    <row r="2186" spans="140:143">
      <c r="EJ2186" s="1881"/>
      <c r="EL2186" s="1881"/>
      <c r="EM2186" s="1881"/>
    </row>
    <row r="2187" spans="140:143">
      <c r="EJ2187" s="1881"/>
      <c r="EL2187" s="1881"/>
      <c r="EM2187" s="1881"/>
    </row>
    <row r="2188" spans="140:143">
      <c r="EJ2188" s="1881"/>
      <c r="EL2188" s="1881"/>
      <c r="EM2188" s="1881"/>
    </row>
    <row r="2189" spans="140:143">
      <c r="EJ2189" s="1881"/>
      <c r="EL2189" s="1881"/>
      <c r="EM2189" s="1881"/>
    </row>
    <row r="2190" spans="140:143">
      <c r="EJ2190" s="1881"/>
      <c r="EL2190" s="1881"/>
      <c r="EM2190" s="1881"/>
    </row>
    <row r="2191" spans="140:143">
      <c r="EJ2191" s="1881"/>
      <c r="EL2191" s="1881"/>
      <c r="EM2191" s="1881"/>
    </row>
    <row r="2192" spans="140:143">
      <c r="EJ2192" s="1881"/>
      <c r="EL2192" s="1881"/>
      <c r="EM2192" s="1881"/>
    </row>
    <row r="2193" spans="140:143">
      <c r="EJ2193" s="1881"/>
      <c r="EL2193" s="1881"/>
      <c r="EM2193" s="1881"/>
    </row>
    <row r="2194" spans="140:143">
      <c r="EJ2194" s="1881"/>
      <c r="EL2194" s="1881"/>
      <c r="EM2194" s="1881"/>
    </row>
    <row r="2195" spans="140:143">
      <c r="EJ2195" s="1881"/>
      <c r="EL2195" s="1881"/>
      <c r="EM2195" s="1881"/>
    </row>
    <row r="2196" spans="140:143">
      <c r="EJ2196" s="1881"/>
      <c r="EL2196" s="1881"/>
      <c r="EM2196" s="1881"/>
    </row>
    <row r="2197" spans="140:143">
      <c r="EJ2197" s="1881"/>
      <c r="EL2197" s="1881"/>
      <c r="EM2197" s="1881"/>
    </row>
    <row r="2198" spans="140:143">
      <c r="EJ2198" s="1881"/>
      <c r="EL2198" s="1881"/>
      <c r="EM2198" s="1881"/>
    </row>
    <row r="2199" spans="140:143">
      <c r="EJ2199" s="1881"/>
      <c r="EL2199" s="1881"/>
      <c r="EM2199" s="1881"/>
    </row>
    <row r="2200" spans="140:143">
      <c r="EJ2200" s="1881"/>
      <c r="EL2200" s="1881"/>
      <c r="EM2200" s="1881"/>
    </row>
    <row r="2201" spans="140:143">
      <c r="EJ2201" s="1881"/>
      <c r="EL2201" s="1881"/>
      <c r="EM2201" s="1881"/>
    </row>
    <row r="2202" spans="140:143">
      <c r="EJ2202" s="1881"/>
      <c r="EL2202" s="1881"/>
      <c r="EM2202" s="1881"/>
    </row>
    <row r="2203" spans="140:143">
      <c r="EJ2203" s="1881"/>
      <c r="EL2203" s="1881"/>
      <c r="EM2203" s="1881"/>
    </row>
    <row r="2204" spans="140:143">
      <c r="EJ2204" s="1881"/>
      <c r="EL2204" s="1881"/>
      <c r="EM2204" s="1881"/>
    </row>
    <row r="2205" spans="140:143">
      <c r="EJ2205" s="1881"/>
      <c r="EL2205" s="1881"/>
      <c r="EM2205" s="1881"/>
    </row>
    <row r="2206" spans="140:143">
      <c r="EJ2206" s="1881"/>
      <c r="EL2206" s="1881"/>
      <c r="EM2206" s="1881"/>
    </row>
    <row r="2207" spans="140:143">
      <c r="EJ2207" s="1881"/>
      <c r="EL2207" s="1881"/>
      <c r="EM2207" s="1881"/>
    </row>
    <row r="2208" spans="140:143">
      <c r="EJ2208" s="1881"/>
      <c r="EL2208" s="1881"/>
      <c r="EM2208" s="1881"/>
    </row>
    <row r="2209" spans="140:143">
      <c r="EJ2209" s="1881"/>
      <c r="EL2209" s="1881"/>
      <c r="EM2209" s="1881"/>
    </row>
    <row r="2210" spans="140:143">
      <c r="EJ2210" s="1881"/>
      <c r="EL2210" s="1881"/>
      <c r="EM2210" s="1881"/>
    </row>
    <row r="2211" spans="140:143">
      <c r="EJ2211" s="1881"/>
      <c r="EL2211" s="1881"/>
      <c r="EM2211" s="1881"/>
    </row>
    <row r="2212" spans="140:143">
      <c r="EJ2212" s="1881"/>
      <c r="EL2212" s="1881"/>
      <c r="EM2212" s="1881"/>
    </row>
    <row r="2213" spans="140:143">
      <c r="EJ2213" s="1881"/>
      <c r="EL2213" s="1881"/>
      <c r="EM2213" s="1881"/>
    </row>
    <row r="2214" spans="140:143">
      <c r="EJ2214" s="1881"/>
      <c r="EL2214" s="1881"/>
      <c r="EM2214" s="1881"/>
    </row>
    <row r="2215" spans="140:143">
      <c r="EJ2215" s="1881"/>
      <c r="EL2215" s="1881"/>
      <c r="EM2215" s="1881"/>
    </row>
    <row r="2216" spans="140:143">
      <c r="EJ2216" s="1881"/>
      <c r="EL2216" s="1881"/>
      <c r="EM2216" s="1881"/>
    </row>
    <row r="2217" spans="140:143">
      <c r="EJ2217" s="1881"/>
      <c r="EL2217" s="1881"/>
      <c r="EM2217" s="1881"/>
    </row>
    <row r="2218" spans="140:143">
      <c r="EJ2218" s="1881"/>
      <c r="EL2218" s="1881"/>
      <c r="EM2218" s="1881"/>
    </row>
    <row r="2219" spans="140:143">
      <c r="EJ2219" s="1881"/>
      <c r="EL2219" s="1881"/>
      <c r="EM2219" s="1881"/>
    </row>
    <row r="2220" spans="140:143">
      <c r="EJ2220" s="1881"/>
      <c r="EL2220" s="1881"/>
      <c r="EM2220" s="1881"/>
    </row>
    <row r="2221" spans="140:143">
      <c r="EJ2221" s="1881"/>
      <c r="EL2221" s="1881"/>
      <c r="EM2221" s="1881"/>
    </row>
    <row r="2222" spans="140:143">
      <c r="EJ2222" s="1881"/>
      <c r="EL2222" s="1881"/>
      <c r="EM2222" s="1881"/>
    </row>
    <row r="2223" spans="140:143">
      <c r="EJ2223" s="1881"/>
      <c r="EL2223" s="1881"/>
      <c r="EM2223" s="1881"/>
    </row>
    <row r="2224" spans="140:143">
      <c r="EJ2224" s="1881"/>
      <c r="EL2224" s="1881"/>
      <c r="EM2224" s="1881"/>
    </row>
    <row r="2225" spans="140:143">
      <c r="EJ2225" s="1881"/>
      <c r="EL2225" s="1881"/>
      <c r="EM2225" s="1881"/>
    </row>
    <row r="2226" spans="140:143">
      <c r="EJ2226" s="1881"/>
      <c r="EL2226" s="1881"/>
      <c r="EM2226" s="1881"/>
    </row>
    <row r="2227" spans="140:143">
      <c r="EJ2227" s="1881"/>
      <c r="EL2227" s="1881"/>
      <c r="EM2227" s="1881"/>
    </row>
    <row r="2228" spans="140:143">
      <c r="EJ2228" s="1881"/>
      <c r="EL2228" s="1881"/>
      <c r="EM2228" s="1881"/>
    </row>
    <row r="2229" spans="140:143">
      <c r="EJ2229" s="1881"/>
      <c r="EL2229" s="1881"/>
      <c r="EM2229" s="1881"/>
    </row>
    <row r="2230" spans="140:143">
      <c r="EJ2230" s="1881"/>
      <c r="EL2230" s="1881"/>
      <c r="EM2230" s="1881"/>
    </row>
    <row r="2231" spans="140:143">
      <c r="EJ2231" s="1881"/>
      <c r="EL2231" s="1881"/>
      <c r="EM2231" s="1881"/>
    </row>
    <row r="2232" spans="140:143">
      <c r="EJ2232" s="1881"/>
      <c r="EL2232" s="1881"/>
      <c r="EM2232" s="1881"/>
    </row>
    <row r="2233" spans="140:143">
      <c r="EJ2233" s="1881"/>
      <c r="EL2233" s="1881"/>
      <c r="EM2233" s="1881"/>
    </row>
    <row r="2234" spans="140:143">
      <c r="EJ2234" s="1881"/>
      <c r="EL2234" s="1881"/>
      <c r="EM2234" s="1881"/>
    </row>
    <row r="2235" spans="140:143">
      <c r="EJ2235" s="1881"/>
      <c r="EL2235" s="1881"/>
      <c r="EM2235" s="1881"/>
    </row>
    <row r="2236" spans="140:143">
      <c r="EJ2236" s="1881"/>
      <c r="EL2236" s="1881"/>
      <c r="EM2236" s="1881"/>
    </row>
    <row r="2237" spans="140:143">
      <c r="EJ2237" s="1881"/>
      <c r="EL2237" s="1881"/>
      <c r="EM2237" s="1881"/>
    </row>
    <row r="2238" spans="140:143">
      <c r="EJ2238" s="1881"/>
      <c r="EL2238" s="1881"/>
      <c r="EM2238" s="1881"/>
    </row>
    <row r="2239" spans="140:143">
      <c r="EJ2239" s="1881"/>
      <c r="EL2239" s="1881"/>
      <c r="EM2239" s="1881"/>
    </row>
    <row r="2240" spans="140:143">
      <c r="EJ2240" s="1881"/>
      <c r="EL2240" s="1881"/>
      <c r="EM2240" s="1881"/>
    </row>
    <row r="2241" spans="140:143">
      <c r="EJ2241" s="1881"/>
      <c r="EL2241" s="1881"/>
      <c r="EM2241" s="1881"/>
    </row>
    <row r="2242" spans="140:143">
      <c r="EJ2242" s="1881"/>
      <c r="EL2242" s="1881"/>
      <c r="EM2242" s="1881"/>
    </row>
    <row r="2243" spans="140:143">
      <c r="EJ2243" s="1881"/>
      <c r="EL2243" s="1881"/>
      <c r="EM2243" s="1881"/>
    </row>
    <row r="2244" spans="140:143">
      <c r="EJ2244" s="1881"/>
      <c r="EL2244" s="1881"/>
      <c r="EM2244" s="1881"/>
    </row>
    <row r="2245" spans="140:143">
      <c r="EJ2245" s="1881"/>
      <c r="EL2245" s="1881"/>
      <c r="EM2245" s="1881"/>
    </row>
    <row r="2246" spans="140:143">
      <c r="EJ2246" s="1881"/>
      <c r="EL2246" s="1881"/>
      <c r="EM2246" s="1881"/>
    </row>
    <row r="2247" spans="140:143">
      <c r="EJ2247" s="1881"/>
      <c r="EL2247" s="1881"/>
      <c r="EM2247" s="1881"/>
    </row>
    <row r="2248" spans="140:143">
      <c r="EJ2248" s="1881"/>
      <c r="EL2248" s="1881"/>
      <c r="EM2248" s="1881"/>
    </row>
    <row r="2249" spans="140:143">
      <c r="EJ2249" s="1881"/>
      <c r="EL2249" s="1881"/>
      <c r="EM2249" s="1881"/>
    </row>
    <row r="2250" spans="140:143">
      <c r="EJ2250" s="1881"/>
      <c r="EL2250" s="1881"/>
      <c r="EM2250" s="1881"/>
    </row>
    <row r="2251" spans="140:143">
      <c r="EJ2251" s="1881"/>
      <c r="EL2251" s="1881"/>
      <c r="EM2251" s="1881"/>
    </row>
    <row r="2252" spans="140:143">
      <c r="EJ2252" s="1881"/>
      <c r="EL2252" s="1881"/>
      <c r="EM2252" s="1881"/>
    </row>
    <row r="2253" spans="140:143">
      <c r="EJ2253" s="1881"/>
      <c r="EL2253" s="1881"/>
      <c r="EM2253" s="1881"/>
    </row>
    <row r="2254" spans="140:143">
      <c r="EJ2254" s="1881"/>
      <c r="EL2254" s="1881"/>
      <c r="EM2254" s="1881"/>
    </row>
    <row r="2255" spans="140:143">
      <c r="EJ2255" s="1881"/>
      <c r="EL2255" s="1881"/>
      <c r="EM2255" s="1881"/>
    </row>
    <row r="2256" spans="140:143">
      <c r="EJ2256" s="1881"/>
      <c r="EL2256" s="1881"/>
      <c r="EM2256" s="1881"/>
    </row>
    <row r="2257" spans="140:143">
      <c r="EJ2257" s="1881"/>
      <c r="EL2257" s="1881"/>
      <c r="EM2257" s="1881"/>
    </row>
    <row r="2258" spans="140:143">
      <c r="EJ2258" s="1881"/>
      <c r="EL2258" s="1881"/>
      <c r="EM2258" s="1881"/>
    </row>
    <row r="2259" spans="140:143">
      <c r="EJ2259" s="1881"/>
      <c r="EL2259" s="1881"/>
      <c r="EM2259" s="1881"/>
    </row>
    <row r="2260" spans="140:143">
      <c r="EJ2260" s="1881"/>
      <c r="EL2260" s="1881"/>
      <c r="EM2260" s="1881"/>
    </row>
    <row r="2261" spans="140:143">
      <c r="EJ2261" s="1881"/>
      <c r="EL2261" s="1881"/>
      <c r="EM2261" s="1881"/>
    </row>
    <row r="2262" spans="140:143">
      <c r="EJ2262" s="1881"/>
      <c r="EL2262" s="1881"/>
      <c r="EM2262" s="1881"/>
    </row>
    <row r="2263" spans="140:143">
      <c r="EJ2263" s="1881"/>
      <c r="EL2263" s="1881"/>
      <c r="EM2263" s="1881"/>
    </row>
    <row r="2264" spans="140:143">
      <c r="EJ2264" s="1881"/>
      <c r="EL2264" s="1881"/>
      <c r="EM2264" s="1881"/>
    </row>
    <row r="2265" spans="140:143">
      <c r="EJ2265" s="1881"/>
      <c r="EL2265" s="1881"/>
      <c r="EM2265" s="1881"/>
    </row>
    <row r="2266" spans="140:143">
      <c r="EJ2266" s="1881"/>
      <c r="EL2266" s="1881"/>
      <c r="EM2266" s="1881"/>
    </row>
    <row r="2267" spans="140:143">
      <c r="EJ2267" s="1881"/>
      <c r="EL2267" s="1881"/>
      <c r="EM2267" s="1881"/>
    </row>
    <row r="2268" spans="140:143">
      <c r="EJ2268" s="1881"/>
      <c r="EL2268" s="1881"/>
      <c r="EM2268" s="1881"/>
    </row>
    <row r="2269" spans="140:143">
      <c r="EJ2269" s="1881"/>
      <c r="EL2269" s="1881"/>
      <c r="EM2269" s="1881"/>
    </row>
    <row r="2270" spans="140:143">
      <c r="EJ2270" s="1881"/>
      <c r="EL2270" s="1881"/>
      <c r="EM2270" s="1881"/>
    </row>
    <row r="2271" spans="140:143">
      <c r="EJ2271" s="1881"/>
      <c r="EL2271" s="1881"/>
      <c r="EM2271" s="1881"/>
    </row>
    <row r="2272" spans="140:143">
      <c r="EJ2272" s="1881"/>
      <c r="EL2272" s="1881"/>
      <c r="EM2272" s="1881"/>
    </row>
    <row r="2273" spans="140:143">
      <c r="EJ2273" s="1881"/>
      <c r="EL2273" s="1881"/>
      <c r="EM2273" s="1881"/>
    </row>
    <row r="2274" spans="140:143">
      <c r="EJ2274" s="1881"/>
      <c r="EL2274" s="1881"/>
      <c r="EM2274" s="1881"/>
    </row>
    <row r="2275" spans="140:143">
      <c r="EJ2275" s="1881"/>
      <c r="EL2275" s="1881"/>
      <c r="EM2275" s="1881"/>
    </row>
    <row r="2276" spans="140:143">
      <c r="EJ2276" s="1881"/>
      <c r="EL2276" s="1881"/>
      <c r="EM2276" s="1881"/>
    </row>
    <row r="2277" spans="140:143">
      <c r="EJ2277" s="1881"/>
      <c r="EL2277" s="1881"/>
      <c r="EM2277" s="1881"/>
    </row>
    <row r="2278" spans="140:143">
      <c r="EJ2278" s="1881"/>
      <c r="EL2278" s="1881"/>
      <c r="EM2278" s="1881"/>
    </row>
    <row r="2279" spans="140:143">
      <c r="EJ2279" s="1881"/>
      <c r="EL2279" s="1881"/>
      <c r="EM2279" s="1881"/>
    </row>
    <row r="2280" spans="140:143">
      <c r="EJ2280" s="1881"/>
      <c r="EL2280" s="1881"/>
      <c r="EM2280" s="1881"/>
    </row>
    <row r="2281" spans="140:143">
      <c r="EJ2281" s="1881"/>
      <c r="EL2281" s="1881"/>
      <c r="EM2281" s="1881"/>
    </row>
    <row r="2282" spans="140:143">
      <c r="EJ2282" s="1881"/>
      <c r="EL2282" s="1881"/>
      <c r="EM2282" s="1881"/>
    </row>
    <row r="2283" spans="140:143">
      <c r="EJ2283" s="1881"/>
      <c r="EL2283" s="1881"/>
      <c r="EM2283" s="1881"/>
    </row>
    <row r="2284" spans="140:143">
      <c r="EJ2284" s="1881"/>
      <c r="EL2284" s="1881"/>
      <c r="EM2284" s="1881"/>
    </row>
    <row r="2285" spans="140:143">
      <c r="EJ2285" s="1881"/>
      <c r="EL2285" s="1881"/>
      <c r="EM2285" s="1881"/>
    </row>
    <row r="2286" spans="140:143">
      <c r="EJ2286" s="1881"/>
      <c r="EL2286" s="1881"/>
      <c r="EM2286" s="1881"/>
    </row>
    <row r="2287" spans="140:143">
      <c r="EJ2287" s="1881"/>
      <c r="EL2287" s="1881"/>
      <c r="EM2287" s="1881"/>
    </row>
    <row r="2288" spans="140:143">
      <c r="EJ2288" s="1881"/>
      <c r="EL2288" s="1881"/>
      <c r="EM2288" s="1881"/>
    </row>
    <row r="2289" spans="140:143">
      <c r="EJ2289" s="1881"/>
      <c r="EL2289" s="1881"/>
      <c r="EM2289" s="1881"/>
    </row>
    <row r="2290" spans="140:143">
      <c r="EJ2290" s="1881"/>
      <c r="EL2290" s="1881"/>
      <c r="EM2290" s="1881"/>
    </row>
    <row r="2291" spans="140:143">
      <c r="EJ2291" s="1881"/>
      <c r="EL2291" s="1881"/>
      <c r="EM2291" s="1881"/>
    </row>
    <row r="2292" spans="140:143">
      <c r="EJ2292" s="1881"/>
      <c r="EL2292" s="1881"/>
      <c r="EM2292" s="1881"/>
    </row>
    <row r="2293" spans="140:143">
      <c r="EJ2293" s="1881"/>
      <c r="EL2293" s="1881"/>
      <c r="EM2293" s="1881"/>
    </row>
    <row r="2294" spans="140:143">
      <c r="EJ2294" s="1881"/>
      <c r="EL2294" s="1881"/>
      <c r="EM2294" s="1881"/>
    </row>
    <row r="2295" spans="140:143">
      <c r="EJ2295" s="1881"/>
      <c r="EL2295" s="1881"/>
      <c r="EM2295" s="1881"/>
    </row>
    <row r="2296" spans="140:143">
      <c r="EJ2296" s="1881"/>
      <c r="EL2296" s="1881"/>
      <c r="EM2296" s="1881"/>
    </row>
    <row r="2297" spans="140:143">
      <c r="EJ2297" s="1881"/>
      <c r="EL2297" s="1881"/>
      <c r="EM2297" s="1881"/>
    </row>
    <row r="2298" spans="140:143">
      <c r="EJ2298" s="1881"/>
      <c r="EL2298" s="1881"/>
      <c r="EM2298" s="1881"/>
    </row>
    <row r="2299" spans="140:143">
      <c r="EJ2299" s="1881"/>
      <c r="EL2299" s="1881"/>
      <c r="EM2299" s="1881"/>
    </row>
    <row r="2300" spans="140:143">
      <c r="EJ2300" s="1881"/>
      <c r="EL2300" s="1881"/>
      <c r="EM2300" s="1881"/>
    </row>
    <row r="2301" spans="140:143">
      <c r="EJ2301" s="1881"/>
      <c r="EL2301" s="1881"/>
      <c r="EM2301" s="1881"/>
    </row>
    <row r="2302" spans="140:143">
      <c r="EJ2302" s="1881"/>
      <c r="EL2302" s="1881"/>
      <c r="EM2302" s="1881"/>
    </row>
    <row r="2303" spans="140:143">
      <c r="EJ2303" s="1881"/>
      <c r="EL2303" s="1881"/>
      <c r="EM2303" s="1881"/>
    </row>
    <row r="2304" spans="140:143">
      <c r="EJ2304" s="1881"/>
      <c r="EL2304" s="1881"/>
      <c r="EM2304" s="1881"/>
    </row>
    <row r="2305" spans="140:143">
      <c r="EJ2305" s="1881"/>
      <c r="EL2305" s="1881"/>
      <c r="EM2305" s="1881"/>
    </row>
    <row r="2306" spans="140:143">
      <c r="EJ2306" s="1881"/>
      <c r="EL2306" s="1881"/>
      <c r="EM2306" s="1881"/>
    </row>
    <row r="2307" spans="140:143">
      <c r="EJ2307" s="1881"/>
      <c r="EL2307" s="1881"/>
      <c r="EM2307" s="1881"/>
    </row>
    <row r="2308" spans="140:143">
      <c r="EJ2308" s="1881"/>
      <c r="EL2308" s="1881"/>
      <c r="EM2308" s="1881"/>
    </row>
    <row r="2309" spans="140:143">
      <c r="EJ2309" s="1881"/>
      <c r="EL2309" s="1881"/>
      <c r="EM2309" s="1881"/>
    </row>
    <row r="2310" spans="140:143">
      <c r="EJ2310" s="1881"/>
      <c r="EL2310" s="1881"/>
      <c r="EM2310" s="1881"/>
    </row>
    <row r="2311" spans="140:143">
      <c r="EJ2311" s="1881"/>
      <c r="EL2311" s="1881"/>
      <c r="EM2311" s="1881"/>
    </row>
    <row r="2312" spans="140:143">
      <c r="EJ2312" s="1881"/>
      <c r="EL2312" s="1881"/>
      <c r="EM2312" s="1881"/>
    </row>
    <row r="2313" spans="140:143">
      <c r="EJ2313" s="1881"/>
      <c r="EL2313" s="1881"/>
      <c r="EM2313" s="1881"/>
    </row>
    <row r="2314" spans="140:143">
      <c r="EJ2314" s="1881"/>
      <c r="EL2314" s="1881"/>
      <c r="EM2314" s="1881"/>
    </row>
    <row r="2315" spans="140:143">
      <c r="EJ2315" s="1881"/>
      <c r="EL2315" s="1881"/>
      <c r="EM2315" s="1881"/>
    </row>
    <row r="2316" spans="140:143">
      <c r="EJ2316" s="1881"/>
      <c r="EL2316" s="1881"/>
      <c r="EM2316" s="1881"/>
    </row>
    <row r="2317" spans="140:143">
      <c r="EJ2317" s="1881"/>
      <c r="EL2317" s="1881"/>
      <c r="EM2317" s="1881"/>
    </row>
    <row r="2318" spans="140:143">
      <c r="EJ2318" s="1881"/>
      <c r="EL2318" s="1881"/>
      <c r="EM2318" s="1881"/>
    </row>
    <row r="2319" spans="140:143">
      <c r="EJ2319" s="1881"/>
      <c r="EL2319" s="1881"/>
      <c r="EM2319" s="1881"/>
    </row>
    <row r="2320" spans="140:143">
      <c r="EJ2320" s="1881"/>
      <c r="EL2320" s="1881"/>
      <c r="EM2320" s="1881"/>
    </row>
    <row r="2321" spans="140:143">
      <c r="EJ2321" s="1881"/>
      <c r="EL2321" s="1881"/>
      <c r="EM2321" s="1881"/>
    </row>
    <row r="2322" spans="140:143">
      <c r="EJ2322" s="1881"/>
      <c r="EL2322" s="1881"/>
      <c r="EM2322" s="1881"/>
    </row>
    <row r="2323" spans="140:143">
      <c r="EJ2323" s="1881"/>
      <c r="EL2323" s="1881"/>
      <c r="EM2323" s="1881"/>
    </row>
    <row r="2324" spans="140:143">
      <c r="EJ2324" s="1881"/>
      <c r="EL2324" s="1881"/>
      <c r="EM2324" s="1881"/>
    </row>
    <row r="2325" spans="140:143">
      <c r="EJ2325" s="1881"/>
      <c r="EL2325" s="1881"/>
      <c r="EM2325" s="1881"/>
    </row>
    <row r="2326" spans="140:143">
      <c r="EJ2326" s="1881"/>
      <c r="EL2326" s="1881"/>
      <c r="EM2326" s="1881"/>
    </row>
    <row r="2327" spans="140:143">
      <c r="EJ2327" s="1881"/>
      <c r="EL2327" s="1881"/>
      <c r="EM2327" s="1881"/>
    </row>
    <row r="2328" spans="140:143">
      <c r="EJ2328" s="1881"/>
      <c r="EL2328" s="1881"/>
      <c r="EM2328" s="1881"/>
    </row>
    <row r="2329" spans="140:143">
      <c r="EJ2329" s="1881"/>
      <c r="EL2329" s="1881"/>
      <c r="EM2329" s="1881"/>
    </row>
    <row r="2330" spans="140:143">
      <c r="EJ2330" s="1881"/>
      <c r="EL2330" s="1881"/>
      <c r="EM2330" s="1881"/>
    </row>
    <row r="2331" spans="140:143">
      <c r="EJ2331" s="1881"/>
      <c r="EL2331" s="1881"/>
      <c r="EM2331" s="1881"/>
    </row>
    <row r="2332" spans="140:143">
      <c r="EJ2332" s="1881"/>
      <c r="EL2332" s="1881"/>
      <c r="EM2332" s="1881"/>
    </row>
    <row r="2333" spans="140:143">
      <c r="EJ2333" s="1881"/>
      <c r="EL2333" s="1881"/>
      <c r="EM2333" s="1881"/>
    </row>
    <row r="2334" spans="140:143">
      <c r="EJ2334" s="1881"/>
      <c r="EL2334" s="1881"/>
      <c r="EM2334" s="1881"/>
    </row>
    <row r="2335" spans="140:143">
      <c r="EJ2335" s="1881"/>
      <c r="EL2335" s="1881"/>
      <c r="EM2335" s="1881"/>
    </row>
    <row r="2336" spans="140:143">
      <c r="EJ2336" s="1881"/>
      <c r="EL2336" s="1881"/>
      <c r="EM2336" s="1881"/>
    </row>
    <row r="2337" spans="140:143">
      <c r="EJ2337" s="1881"/>
      <c r="EL2337" s="1881"/>
      <c r="EM2337" s="1881"/>
    </row>
    <row r="2338" spans="140:143">
      <c r="EJ2338" s="1881"/>
      <c r="EL2338" s="1881"/>
      <c r="EM2338" s="1881"/>
    </row>
    <row r="2339" spans="140:143">
      <c r="EJ2339" s="1881"/>
      <c r="EL2339" s="1881"/>
      <c r="EM2339" s="1881"/>
    </row>
    <row r="2340" spans="140:143">
      <c r="EJ2340" s="1881"/>
      <c r="EL2340" s="1881"/>
      <c r="EM2340" s="1881"/>
    </row>
    <row r="2341" spans="140:143">
      <c r="EJ2341" s="1881"/>
      <c r="EL2341" s="1881"/>
      <c r="EM2341" s="1881"/>
    </row>
    <row r="2342" spans="140:143">
      <c r="EJ2342" s="1881"/>
      <c r="EL2342" s="1881"/>
      <c r="EM2342" s="1881"/>
    </row>
    <row r="2343" spans="140:143">
      <c r="EJ2343" s="1881"/>
      <c r="EL2343" s="1881"/>
      <c r="EM2343" s="1881"/>
    </row>
    <row r="2344" spans="140:143">
      <c r="EJ2344" s="1881"/>
      <c r="EL2344" s="1881"/>
      <c r="EM2344" s="1881"/>
    </row>
    <row r="2345" spans="140:143">
      <c r="EJ2345" s="1881"/>
      <c r="EL2345" s="1881"/>
      <c r="EM2345" s="1881"/>
    </row>
    <row r="2346" spans="140:143">
      <c r="EJ2346" s="1881"/>
      <c r="EL2346" s="1881"/>
      <c r="EM2346" s="1881"/>
    </row>
    <row r="2347" spans="140:143">
      <c r="EJ2347" s="1881"/>
      <c r="EL2347" s="1881"/>
      <c r="EM2347" s="1881"/>
    </row>
    <row r="2348" spans="140:143">
      <c r="EJ2348" s="1881"/>
      <c r="EL2348" s="1881"/>
      <c r="EM2348" s="1881"/>
    </row>
    <row r="2349" spans="140:143">
      <c r="EJ2349" s="1881"/>
      <c r="EL2349" s="1881"/>
      <c r="EM2349" s="1881"/>
    </row>
    <row r="2350" spans="140:143">
      <c r="EJ2350" s="1881"/>
      <c r="EL2350" s="1881"/>
      <c r="EM2350" s="1881"/>
    </row>
    <row r="2351" spans="140:143">
      <c r="EJ2351" s="1881"/>
      <c r="EL2351" s="1881"/>
      <c r="EM2351" s="1881"/>
    </row>
    <row r="2352" spans="140:143">
      <c r="EJ2352" s="1881"/>
      <c r="EL2352" s="1881"/>
      <c r="EM2352" s="1881"/>
    </row>
    <row r="2353" spans="140:143">
      <c r="EJ2353" s="1881"/>
      <c r="EL2353" s="1881"/>
      <c r="EM2353" s="1881"/>
    </row>
    <row r="2354" spans="140:143">
      <c r="EJ2354" s="1881"/>
      <c r="EL2354" s="1881"/>
      <c r="EM2354" s="1881"/>
    </row>
    <row r="2355" spans="140:143">
      <c r="EJ2355" s="1881"/>
      <c r="EL2355" s="1881"/>
      <c r="EM2355" s="1881"/>
    </row>
    <row r="2356" spans="140:143">
      <c r="EJ2356" s="1881"/>
      <c r="EL2356" s="1881"/>
      <c r="EM2356" s="1881"/>
    </row>
    <row r="2357" spans="140:143">
      <c r="EJ2357" s="1881"/>
      <c r="EL2357" s="1881"/>
      <c r="EM2357" s="1881"/>
    </row>
    <row r="2358" spans="140:143">
      <c r="EJ2358" s="1881"/>
      <c r="EL2358" s="1881"/>
      <c r="EM2358" s="1881"/>
    </row>
    <row r="2359" spans="140:143">
      <c r="EJ2359" s="1881"/>
      <c r="EL2359" s="1881"/>
      <c r="EM2359" s="1881"/>
    </row>
    <row r="2360" spans="140:143">
      <c r="EJ2360" s="1881"/>
      <c r="EL2360" s="1881"/>
      <c r="EM2360" s="1881"/>
    </row>
    <row r="2361" spans="140:143">
      <c r="EJ2361" s="1881"/>
      <c r="EL2361" s="1881"/>
      <c r="EM2361" s="1881"/>
    </row>
    <row r="2362" spans="140:143">
      <c r="EJ2362" s="1881"/>
      <c r="EL2362" s="1881"/>
      <c r="EM2362" s="1881"/>
    </row>
    <row r="2363" spans="140:143">
      <c r="EJ2363" s="1881"/>
      <c r="EL2363" s="1881"/>
      <c r="EM2363" s="1881"/>
    </row>
    <row r="2364" spans="140:143">
      <c r="EJ2364" s="1881"/>
      <c r="EL2364" s="1881"/>
      <c r="EM2364" s="1881"/>
    </row>
    <row r="2365" spans="140:143">
      <c r="EJ2365" s="1881"/>
      <c r="EL2365" s="1881"/>
      <c r="EM2365" s="1881"/>
    </row>
    <row r="2366" spans="140:143">
      <c r="EJ2366" s="1881"/>
      <c r="EL2366" s="1881"/>
      <c r="EM2366" s="1881"/>
    </row>
    <row r="2367" spans="140:143">
      <c r="EJ2367" s="1881"/>
      <c r="EL2367" s="1881"/>
      <c r="EM2367" s="1881"/>
    </row>
    <row r="2368" spans="140:143">
      <c r="EJ2368" s="1881"/>
      <c r="EL2368" s="1881"/>
      <c r="EM2368" s="1881"/>
    </row>
    <row r="2369" spans="140:143">
      <c r="EJ2369" s="1881"/>
      <c r="EL2369" s="1881"/>
      <c r="EM2369" s="1881"/>
    </row>
    <row r="2370" spans="140:143">
      <c r="EJ2370" s="1881"/>
      <c r="EL2370" s="1881"/>
      <c r="EM2370" s="1881"/>
    </row>
    <row r="2371" spans="140:143">
      <c r="EJ2371" s="1881"/>
      <c r="EL2371" s="1881"/>
      <c r="EM2371" s="1881"/>
    </row>
    <row r="2372" spans="140:143">
      <c r="EJ2372" s="1881"/>
      <c r="EL2372" s="1881"/>
      <c r="EM2372" s="1881"/>
    </row>
    <row r="2373" spans="140:143">
      <c r="EJ2373" s="1881"/>
      <c r="EL2373" s="1881"/>
      <c r="EM2373" s="1881"/>
    </row>
    <row r="2374" spans="140:143">
      <c r="EJ2374" s="1881"/>
      <c r="EL2374" s="1881"/>
      <c r="EM2374" s="1881"/>
    </row>
    <row r="2375" spans="140:143">
      <c r="EJ2375" s="1881"/>
      <c r="EL2375" s="1881"/>
      <c r="EM2375" s="1881"/>
    </row>
    <row r="2376" spans="140:143">
      <c r="EJ2376" s="1881"/>
      <c r="EL2376" s="1881"/>
      <c r="EM2376" s="1881"/>
    </row>
    <row r="2377" spans="140:143">
      <c r="EJ2377" s="1881"/>
      <c r="EL2377" s="1881"/>
      <c r="EM2377" s="1881"/>
    </row>
    <row r="2378" spans="140:143">
      <c r="EJ2378" s="1881"/>
      <c r="EL2378" s="1881"/>
      <c r="EM2378" s="1881"/>
    </row>
    <row r="2379" spans="140:143">
      <c r="EJ2379" s="1881"/>
      <c r="EL2379" s="1881"/>
      <c r="EM2379" s="1881"/>
    </row>
    <row r="2380" spans="140:143">
      <c r="EJ2380" s="1881"/>
      <c r="EL2380" s="1881"/>
      <c r="EM2380" s="1881"/>
    </row>
    <row r="2381" spans="140:143">
      <c r="EJ2381" s="1881"/>
      <c r="EL2381" s="1881"/>
      <c r="EM2381" s="1881"/>
    </row>
    <row r="2382" spans="140:143">
      <c r="EJ2382" s="1881"/>
      <c r="EL2382" s="1881"/>
      <c r="EM2382" s="1881"/>
    </row>
    <row r="2383" spans="140:143">
      <c r="EJ2383" s="1881"/>
      <c r="EL2383" s="1881"/>
      <c r="EM2383" s="1881"/>
    </row>
    <row r="2384" spans="140:143">
      <c r="EJ2384" s="1881"/>
      <c r="EL2384" s="1881"/>
      <c r="EM2384" s="1881"/>
    </row>
    <row r="2385" spans="140:143">
      <c r="EJ2385" s="1881"/>
      <c r="EL2385" s="1881"/>
      <c r="EM2385" s="1881"/>
    </row>
    <row r="2386" spans="140:143">
      <c r="EJ2386" s="1881"/>
      <c r="EL2386" s="1881"/>
      <c r="EM2386" s="1881"/>
    </row>
    <row r="2387" spans="140:143">
      <c r="EJ2387" s="1881"/>
      <c r="EL2387" s="1881"/>
      <c r="EM2387" s="1881"/>
    </row>
    <row r="2388" spans="140:143">
      <c r="EJ2388" s="1881"/>
      <c r="EL2388" s="1881"/>
      <c r="EM2388" s="1881"/>
    </row>
    <row r="2389" spans="140:143">
      <c r="EJ2389" s="1881"/>
      <c r="EL2389" s="1881"/>
      <c r="EM2389" s="1881"/>
    </row>
    <row r="2390" spans="140:143">
      <c r="EJ2390" s="1881"/>
      <c r="EL2390" s="1881"/>
      <c r="EM2390" s="1881"/>
    </row>
    <row r="2391" spans="140:143">
      <c r="EJ2391" s="1881"/>
      <c r="EL2391" s="1881"/>
      <c r="EM2391" s="1881"/>
    </row>
    <row r="2392" spans="140:143">
      <c r="EJ2392" s="1881"/>
      <c r="EL2392" s="1881"/>
      <c r="EM2392" s="1881"/>
    </row>
    <row r="2393" spans="140:143">
      <c r="EJ2393" s="1881"/>
      <c r="EL2393" s="1881"/>
      <c r="EM2393" s="1881"/>
    </row>
    <row r="2394" spans="140:143">
      <c r="EJ2394" s="1881"/>
      <c r="EL2394" s="1881"/>
      <c r="EM2394" s="1881"/>
    </row>
    <row r="2395" spans="140:143">
      <c r="EJ2395" s="1881"/>
      <c r="EL2395" s="1881"/>
      <c r="EM2395" s="1881"/>
    </row>
    <row r="2396" spans="140:143">
      <c r="EJ2396" s="1881"/>
      <c r="EL2396" s="1881"/>
      <c r="EM2396" s="1881"/>
    </row>
    <row r="2397" spans="140:143">
      <c r="EJ2397" s="1881"/>
      <c r="EL2397" s="1881"/>
      <c r="EM2397" s="1881"/>
    </row>
    <row r="2398" spans="140:143">
      <c r="EJ2398" s="1881"/>
      <c r="EL2398" s="1881"/>
      <c r="EM2398" s="1881"/>
    </row>
    <row r="2399" spans="140:143">
      <c r="EJ2399" s="1881"/>
      <c r="EL2399" s="1881"/>
      <c r="EM2399" s="1881"/>
    </row>
    <row r="2400" spans="140:143">
      <c r="EJ2400" s="1881"/>
      <c r="EL2400" s="1881"/>
      <c r="EM2400" s="1881"/>
    </row>
    <row r="2401" spans="140:143">
      <c r="EJ2401" s="1881"/>
      <c r="EL2401" s="1881"/>
      <c r="EM2401" s="1881"/>
    </row>
    <row r="2402" spans="140:143">
      <c r="EJ2402" s="1881"/>
      <c r="EL2402" s="1881"/>
      <c r="EM2402" s="1881"/>
    </row>
    <row r="2403" spans="140:143">
      <c r="EJ2403" s="1881"/>
      <c r="EL2403" s="1881"/>
      <c r="EM2403" s="1881"/>
    </row>
    <row r="2404" spans="140:143">
      <c r="EJ2404" s="1881"/>
      <c r="EL2404" s="1881"/>
      <c r="EM2404" s="1881"/>
    </row>
    <row r="2405" spans="140:143">
      <c r="EJ2405" s="1881"/>
      <c r="EL2405" s="1881"/>
      <c r="EM2405" s="1881"/>
    </row>
    <row r="2406" spans="140:143">
      <c r="EJ2406" s="1881"/>
      <c r="EL2406" s="1881"/>
      <c r="EM2406" s="1881"/>
    </row>
    <row r="2407" spans="140:143">
      <c r="EJ2407" s="1881"/>
      <c r="EL2407" s="1881"/>
      <c r="EM2407" s="1881"/>
    </row>
    <row r="2408" spans="140:143">
      <c r="EJ2408" s="1881"/>
      <c r="EL2408" s="1881"/>
      <c r="EM2408" s="1881"/>
    </row>
    <row r="2409" spans="140:143">
      <c r="EJ2409" s="1881"/>
      <c r="EL2409" s="1881"/>
      <c r="EM2409" s="1881"/>
    </row>
    <row r="2410" spans="140:143">
      <c r="EJ2410" s="1881"/>
      <c r="EL2410" s="1881"/>
      <c r="EM2410" s="1881"/>
    </row>
    <row r="2411" spans="140:143">
      <c r="EJ2411" s="1881"/>
      <c r="EL2411" s="1881"/>
      <c r="EM2411" s="1881"/>
    </row>
    <row r="2412" spans="140:143">
      <c r="EJ2412" s="1881"/>
      <c r="EL2412" s="1881"/>
      <c r="EM2412" s="1881"/>
    </row>
    <row r="2413" spans="140:143">
      <c r="EJ2413" s="1881"/>
      <c r="EL2413" s="1881"/>
      <c r="EM2413" s="1881"/>
    </row>
    <row r="2414" spans="140:143">
      <c r="EJ2414" s="1881"/>
      <c r="EL2414" s="1881"/>
      <c r="EM2414" s="1881"/>
    </row>
    <row r="2415" spans="140:143">
      <c r="EJ2415" s="1881"/>
      <c r="EL2415" s="1881"/>
      <c r="EM2415" s="1881"/>
    </row>
    <row r="2416" spans="140:143">
      <c r="EJ2416" s="1881"/>
      <c r="EL2416" s="1881"/>
      <c r="EM2416" s="1881"/>
    </row>
    <row r="2417" spans="140:143">
      <c r="EJ2417" s="1881"/>
      <c r="EL2417" s="1881"/>
      <c r="EM2417" s="1881"/>
    </row>
    <row r="2418" spans="140:143">
      <c r="EJ2418" s="1881"/>
      <c r="EL2418" s="1881"/>
      <c r="EM2418" s="1881"/>
    </row>
    <row r="2419" spans="140:143">
      <c r="EJ2419" s="1881"/>
      <c r="EL2419" s="1881"/>
      <c r="EM2419" s="1881"/>
    </row>
    <row r="2420" spans="140:143">
      <c r="EJ2420" s="1881"/>
      <c r="EL2420" s="1881"/>
      <c r="EM2420" s="1881"/>
    </row>
    <row r="2421" spans="140:143">
      <c r="EJ2421" s="1881"/>
      <c r="EL2421" s="1881"/>
      <c r="EM2421" s="1881"/>
    </row>
    <row r="2422" spans="140:143">
      <c r="EJ2422" s="1881"/>
      <c r="EL2422" s="1881"/>
      <c r="EM2422" s="1881"/>
    </row>
    <row r="2423" spans="140:143">
      <c r="EJ2423" s="1881"/>
      <c r="EL2423" s="1881"/>
      <c r="EM2423" s="1881"/>
    </row>
    <row r="2424" spans="140:143">
      <c r="EJ2424" s="1881"/>
      <c r="EL2424" s="1881"/>
      <c r="EM2424" s="1881"/>
    </row>
    <row r="2425" spans="140:143">
      <c r="EJ2425" s="1881"/>
      <c r="EL2425" s="1881"/>
      <c r="EM2425" s="1881"/>
    </row>
    <row r="2426" spans="140:143">
      <c r="EJ2426" s="1881"/>
      <c r="EL2426" s="1881"/>
      <c r="EM2426" s="1881"/>
    </row>
    <row r="2427" spans="140:143">
      <c r="EJ2427" s="1881"/>
      <c r="EL2427" s="1881"/>
      <c r="EM2427" s="1881"/>
    </row>
    <row r="2428" spans="140:143">
      <c r="EJ2428" s="1881"/>
      <c r="EL2428" s="1881"/>
      <c r="EM2428" s="1881"/>
    </row>
    <row r="2429" spans="140:143">
      <c r="EJ2429" s="1881"/>
      <c r="EL2429" s="1881"/>
      <c r="EM2429" s="1881"/>
    </row>
    <row r="2430" spans="140:143">
      <c r="EJ2430" s="1881"/>
      <c r="EL2430" s="1881"/>
      <c r="EM2430" s="1881"/>
    </row>
    <row r="2431" spans="140:143">
      <c r="EJ2431" s="1881"/>
      <c r="EL2431" s="1881"/>
      <c r="EM2431" s="1881"/>
    </row>
    <row r="2432" spans="140:143">
      <c r="EJ2432" s="1881"/>
      <c r="EL2432" s="1881"/>
      <c r="EM2432" s="1881"/>
    </row>
    <row r="2433" spans="140:143">
      <c r="EJ2433" s="1881"/>
      <c r="EL2433" s="1881"/>
      <c r="EM2433" s="1881"/>
    </row>
    <row r="2434" spans="140:143">
      <c r="EJ2434" s="1881"/>
      <c r="EL2434" s="1881"/>
      <c r="EM2434" s="1881"/>
    </row>
    <row r="2435" spans="140:143">
      <c r="EJ2435" s="1881"/>
      <c r="EL2435" s="1881"/>
      <c r="EM2435" s="1881"/>
    </row>
    <row r="2436" spans="140:143">
      <c r="EJ2436" s="1881"/>
      <c r="EL2436" s="1881"/>
      <c r="EM2436" s="1881"/>
    </row>
    <row r="2437" spans="140:143">
      <c r="EJ2437" s="1881"/>
      <c r="EL2437" s="1881"/>
      <c r="EM2437" s="1881"/>
    </row>
    <row r="2438" spans="140:143">
      <c r="EJ2438" s="1881"/>
      <c r="EL2438" s="1881"/>
      <c r="EM2438" s="1881"/>
    </row>
    <row r="2439" spans="140:143">
      <c r="EJ2439" s="1881"/>
      <c r="EL2439" s="1881"/>
      <c r="EM2439" s="1881"/>
    </row>
    <row r="2440" spans="140:143">
      <c r="EJ2440" s="1881"/>
      <c r="EL2440" s="1881"/>
      <c r="EM2440" s="1881"/>
    </row>
    <row r="2441" spans="140:143">
      <c r="EJ2441" s="1881"/>
      <c r="EL2441" s="1881"/>
      <c r="EM2441" s="1881"/>
    </row>
    <row r="2442" spans="140:143">
      <c r="EJ2442" s="1881"/>
      <c r="EL2442" s="1881"/>
      <c r="EM2442" s="1881"/>
    </row>
    <row r="2443" spans="140:143">
      <c r="EJ2443" s="1881"/>
      <c r="EL2443" s="1881"/>
      <c r="EM2443" s="1881"/>
    </row>
    <row r="2444" spans="140:143">
      <c r="EJ2444" s="1881"/>
      <c r="EL2444" s="1881"/>
      <c r="EM2444" s="1881"/>
    </row>
    <row r="2445" spans="140:143">
      <c r="EJ2445" s="1881"/>
      <c r="EL2445" s="1881"/>
      <c r="EM2445" s="1881"/>
    </row>
    <row r="2446" spans="140:143">
      <c r="EJ2446" s="1881"/>
      <c r="EL2446" s="1881"/>
      <c r="EM2446" s="1881"/>
    </row>
    <row r="2447" spans="140:143">
      <c r="EJ2447" s="1881"/>
      <c r="EL2447" s="1881"/>
      <c r="EM2447" s="1881"/>
    </row>
    <row r="2448" spans="140:143">
      <c r="EJ2448" s="1881"/>
      <c r="EL2448" s="1881"/>
      <c r="EM2448" s="1881"/>
    </row>
    <row r="2449" spans="140:143">
      <c r="EJ2449" s="1881"/>
      <c r="EL2449" s="1881"/>
      <c r="EM2449" s="1881"/>
    </row>
    <row r="2450" spans="140:143">
      <c r="EJ2450" s="1881"/>
      <c r="EL2450" s="1881"/>
      <c r="EM2450" s="1881"/>
    </row>
    <row r="2451" spans="140:143">
      <c r="EJ2451" s="1881"/>
      <c r="EL2451" s="1881"/>
      <c r="EM2451" s="1881"/>
    </row>
    <row r="2452" spans="140:143">
      <c r="EJ2452" s="1881"/>
      <c r="EL2452" s="1881"/>
      <c r="EM2452" s="1881"/>
    </row>
    <row r="2453" spans="140:143">
      <c r="EJ2453" s="1881"/>
      <c r="EL2453" s="1881"/>
      <c r="EM2453" s="1881"/>
    </row>
    <row r="2454" spans="140:143">
      <c r="EJ2454" s="1881"/>
      <c r="EL2454" s="1881"/>
      <c r="EM2454" s="1881"/>
    </row>
    <row r="2455" spans="140:143">
      <c r="EJ2455" s="1881"/>
      <c r="EL2455" s="1881"/>
      <c r="EM2455" s="1881"/>
    </row>
    <row r="2456" spans="140:143">
      <c r="EJ2456" s="1881"/>
      <c r="EL2456" s="1881"/>
      <c r="EM2456" s="1881"/>
    </row>
    <row r="2457" spans="140:143">
      <c r="EJ2457" s="1881"/>
      <c r="EL2457" s="1881"/>
      <c r="EM2457" s="1881"/>
    </row>
    <row r="2458" spans="140:143">
      <c r="EJ2458" s="1881"/>
      <c r="EL2458" s="1881"/>
      <c r="EM2458" s="1881"/>
    </row>
    <row r="2459" spans="140:143">
      <c r="EJ2459" s="1881"/>
      <c r="EL2459" s="1881"/>
      <c r="EM2459" s="1881"/>
    </row>
    <row r="2460" spans="140:143">
      <c r="EJ2460" s="1881"/>
      <c r="EL2460" s="1881"/>
      <c r="EM2460" s="1881"/>
    </row>
    <row r="2461" spans="140:143">
      <c r="EJ2461" s="1881"/>
      <c r="EL2461" s="1881"/>
      <c r="EM2461" s="1881"/>
    </row>
    <row r="2462" spans="140:143">
      <c r="EJ2462" s="1881"/>
      <c r="EL2462" s="1881"/>
      <c r="EM2462" s="1881"/>
    </row>
    <row r="2463" spans="140:143">
      <c r="EJ2463" s="1881"/>
      <c r="EL2463" s="1881"/>
      <c r="EM2463" s="1881"/>
    </row>
    <row r="2464" spans="140:143">
      <c r="EJ2464" s="1881"/>
      <c r="EL2464" s="1881"/>
      <c r="EM2464" s="1881"/>
    </row>
    <row r="2465" spans="140:143">
      <c r="EJ2465" s="1881"/>
      <c r="EL2465" s="1881"/>
      <c r="EM2465" s="1881"/>
    </row>
    <row r="2466" spans="140:143">
      <c r="EJ2466" s="1881"/>
      <c r="EL2466" s="1881"/>
      <c r="EM2466" s="1881"/>
    </row>
    <row r="2467" spans="140:143">
      <c r="EJ2467" s="1881"/>
      <c r="EL2467" s="1881"/>
      <c r="EM2467" s="1881"/>
    </row>
    <row r="2468" spans="140:143">
      <c r="EJ2468" s="1881"/>
      <c r="EL2468" s="1881"/>
      <c r="EM2468" s="1881"/>
    </row>
    <row r="2469" spans="140:143">
      <c r="EJ2469" s="1881"/>
      <c r="EL2469" s="1881"/>
      <c r="EM2469" s="1881"/>
    </row>
    <row r="2470" spans="140:143">
      <c r="EJ2470" s="1881"/>
      <c r="EL2470" s="1881"/>
      <c r="EM2470" s="1881"/>
    </row>
    <row r="2471" spans="140:143">
      <c r="EJ2471" s="1881"/>
      <c r="EL2471" s="1881"/>
      <c r="EM2471" s="1881"/>
    </row>
    <row r="2472" spans="140:143">
      <c r="EJ2472" s="1881"/>
      <c r="EL2472" s="1881"/>
      <c r="EM2472" s="1881"/>
    </row>
    <row r="2473" spans="140:143">
      <c r="EJ2473" s="1881"/>
      <c r="EL2473" s="1881"/>
      <c r="EM2473" s="1881"/>
    </row>
    <row r="2474" spans="140:143">
      <c r="EJ2474" s="1881"/>
      <c r="EL2474" s="1881"/>
      <c r="EM2474" s="1881"/>
    </row>
    <row r="2475" spans="140:143">
      <c r="EJ2475" s="1881"/>
      <c r="EL2475" s="1881"/>
      <c r="EM2475" s="1881"/>
    </row>
    <row r="2476" spans="140:143">
      <c r="EJ2476" s="1881"/>
      <c r="EL2476" s="1881"/>
      <c r="EM2476" s="1881"/>
    </row>
    <row r="2477" spans="140:143">
      <c r="EJ2477" s="1881"/>
      <c r="EL2477" s="1881"/>
      <c r="EM2477" s="1881"/>
    </row>
    <row r="2478" spans="140:143">
      <c r="EJ2478" s="1881"/>
      <c r="EL2478" s="1881"/>
      <c r="EM2478" s="1881"/>
    </row>
    <row r="2479" spans="140:143">
      <c r="EJ2479" s="1881"/>
      <c r="EL2479" s="1881"/>
      <c r="EM2479" s="1881"/>
    </row>
    <row r="2480" spans="140:143">
      <c r="EJ2480" s="1881"/>
      <c r="EL2480" s="1881"/>
      <c r="EM2480" s="1881"/>
    </row>
    <row r="2481" spans="140:143">
      <c r="EJ2481" s="1881"/>
      <c r="EL2481" s="1881"/>
      <c r="EM2481" s="1881"/>
    </row>
    <row r="2482" spans="140:143">
      <c r="EJ2482" s="1881"/>
      <c r="EL2482" s="1881"/>
      <c r="EM2482" s="1881"/>
    </row>
    <row r="2483" spans="140:143">
      <c r="EJ2483" s="1881"/>
      <c r="EL2483" s="1881"/>
      <c r="EM2483" s="1881"/>
    </row>
    <row r="2484" spans="140:143">
      <c r="EJ2484" s="1881"/>
      <c r="EL2484" s="1881"/>
      <c r="EM2484" s="1881"/>
    </row>
    <row r="2485" spans="140:143">
      <c r="EJ2485" s="1881"/>
      <c r="EL2485" s="1881"/>
      <c r="EM2485" s="1881"/>
    </row>
    <row r="2486" spans="140:143">
      <c r="EJ2486" s="1881"/>
      <c r="EL2486" s="1881"/>
      <c r="EM2486" s="1881"/>
    </row>
    <row r="2487" spans="140:143">
      <c r="EJ2487" s="1881"/>
      <c r="EL2487" s="1881"/>
      <c r="EM2487" s="1881"/>
    </row>
    <row r="2488" spans="140:143">
      <c r="EJ2488" s="1881"/>
      <c r="EL2488" s="1881"/>
      <c r="EM2488" s="1881"/>
    </row>
    <row r="2489" spans="140:143">
      <c r="EJ2489" s="1881"/>
      <c r="EL2489" s="1881"/>
      <c r="EM2489" s="1881"/>
    </row>
    <row r="2490" spans="140:143">
      <c r="EJ2490" s="1881"/>
      <c r="EL2490" s="1881"/>
      <c r="EM2490" s="1881"/>
    </row>
    <row r="2491" spans="140:143">
      <c r="EJ2491" s="1881"/>
      <c r="EL2491" s="1881"/>
      <c r="EM2491" s="1881"/>
    </row>
    <row r="2492" spans="140:143">
      <c r="EJ2492" s="1881"/>
      <c r="EL2492" s="1881"/>
      <c r="EM2492" s="1881"/>
    </row>
    <row r="2493" spans="140:143">
      <c r="EJ2493" s="1881"/>
      <c r="EL2493" s="1881"/>
      <c r="EM2493" s="1881"/>
    </row>
    <row r="2494" spans="140:143">
      <c r="EJ2494" s="1881"/>
      <c r="EL2494" s="1881"/>
      <c r="EM2494" s="1881"/>
    </row>
    <row r="2495" spans="140:143">
      <c r="EJ2495" s="1881"/>
      <c r="EL2495" s="1881"/>
      <c r="EM2495" s="1881"/>
    </row>
    <row r="2496" spans="140:143">
      <c r="EJ2496" s="1881"/>
      <c r="EL2496" s="1881"/>
      <c r="EM2496" s="1881"/>
    </row>
    <row r="2497" spans="140:143">
      <c r="EJ2497" s="1881"/>
      <c r="EL2497" s="1881"/>
      <c r="EM2497" s="1881"/>
    </row>
    <row r="2498" spans="140:143">
      <c r="EJ2498" s="1881"/>
      <c r="EL2498" s="1881"/>
      <c r="EM2498" s="1881"/>
    </row>
    <row r="2499" spans="140:143">
      <c r="EJ2499" s="1881"/>
      <c r="EL2499" s="1881"/>
      <c r="EM2499" s="1881"/>
    </row>
    <row r="2500" spans="140:143">
      <c r="EJ2500" s="1881"/>
      <c r="EL2500" s="1881"/>
      <c r="EM2500" s="1881"/>
    </row>
    <row r="2501" spans="140:143">
      <c r="EJ2501" s="1881"/>
      <c r="EL2501" s="1881"/>
      <c r="EM2501" s="1881"/>
    </row>
    <row r="2502" spans="140:143">
      <c r="EJ2502" s="1881"/>
      <c r="EL2502" s="1881"/>
      <c r="EM2502" s="1881"/>
    </row>
    <row r="2503" spans="140:143">
      <c r="EJ2503" s="1881"/>
      <c r="EL2503" s="1881"/>
      <c r="EM2503" s="1881"/>
    </row>
    <row r="2504" spans="140:143">
      <c r="EJ2504" s="1881"/>
      <c r="EL2504" s="1881"/>
      <c r="EM2504" s="1881"/>
    </row>
    <row r="2505" spans="140:143">
      <c r="EJ2505" s="1881"/>
      <c r="EL2505" s="1881"/>
      <c r="EM2505" s="1881"/>
    </row>
    <row r="2506" spans="140:143">
      <c r="EJ2506" s="1881"/>
      <c r="EL2506" s="1881"/>
      <c r="EM2506" s="1881"/>
    </row>
    <row r="2507" spans="140:143">
      <c r="EJ2507" s="1881"/>
      <c r="EL2507" s="1881"/>
      <c r="EM2507" s="1881"/>
    </row>
    <row r="2508" spans="140:143">
      <c r="EJ2508" s="1881"/>
      <c r="EL2508" s="1881"/>
      <c r="EM2508" s="1881"/>
    </row>
    <row r="2509" spans="140:143">
      <c r="EJ2509" s="1881"/>
      <c r="EL2509" s="1881"/>
      <c r="EM2509" s="1881"/>
    </row>
    <row r="2510" spans="140:143">
      <c r="EJ2510" s="1881"/>
      <c r="EL2510" s="1881"/>
      <c r="EM2510" s="1881"/>
    </row>
    <row r="2511" spans="140:143">
      <c r="EJ2511" s="1881"/>
      <c r="EL2511" s="1881"/>
      <c r="EM2511" s="1881"/>
    </row>
    <row r="2512" spans="140:143">
      <c r="EJ2512" s="1881"/>
      <c r="EL2512" s="1881"/>
      <c r="EM2512" s="1881"/>
    </row>
    <row r="2513" spans="140:143">
      <c r="EJ2513" s="1881"/>
      <c r="EL2513" s="1881"/>
      <c r="EM2513" s="1881"/>
    </row>
    <row r="2514" spans="140:143">
      <c r="EJ2514" s="1881"/>
      <c r="EL2514" s="1881"/>
      <c r="EM2514" s="1881"/>
    </row>
    <row r="2515" spans="140:143">
      <c r="EJ2515" s="1881"/>
      <c r="EL2515" s="1881"/>
      <c r="EM2515" s="1881"/>
    </row>
    <row r="2516" spans="140:143">
      <c r="EJ2516" s="1881"/>
      <c r="EL2516" s="1881"/>
      <c r="EM2516" s="1881"/>
    </row>
    <row r="2517" spans="140:143">
      <c r="EJ2517" s="1881"/>
      <c r="EL2517" s="1881"/>
      <c r="EM2517" s="1881"/>
    </row>
    <row r="2518" spans="140:143">
      <c r="EJ2518" s="1881"/>
      <c r="EL2518" s="1881"/>
      <c r="EM2518" s="1881"/>
    </row>
    <row r="2519" spans="140:143">
      <c r="EJ2519" s="1881"/>
      <c r="EL2519" s="1881"/>
      <c r="EM2519" s="1881"/>
    </row>
    <row r="2520" spans="140:143">
      <c r="EJ2520" s="1881"/>
      <c r="EL2520" s="1881"/>
      <c r="EM2520" s="1881"/>
    </row>
    <row r="2521" spans="140:143">
      <c r="EJ2521" s="1881"/>
      <c r="EL2521" s="1881"/>
      <c r="EM2521" s="1881"/>
    </row>
    <row r="2522" spans="140:143">
      <c r="EJ2522" s="1881"/>
      <c r="EL2522" s="1881"/>
      <c r="EM2522" s="1881"/>
    </row>
    <row r="2523" spans="140:143">
      <c r="EJ2523" s="1881"/>
      <c r="EL2523" s="1881"/>
      <c r="EM2523" s="1881"/>
    </row>
    <row r="2524" spans="140:143">
      <c r="EJ2524" s="1881"/>
      <c r="EL2524" s="1881"/>
      <c r="EM2524" s="1881"/>
    </row>
    <row r="2525" spans="140:143">
      <c r="EJ2525" s="1881"/>
      <c r="EL2525" s="1881"/>
      <c r="EM2525" s="1881"/>
    </row>
    <row r="2526" spans="140:143">
      <c r="EJ2526" s="1881"/>
      <c r="EL2526" s="1881"/>
      <c r="EM2526" s="1881"/>
    </row>
    <row r="2527" spans="140:143">
      <c r="EJ2527" s="1881"/>
      <c r="EL2527" s="1881"/>
      <c r="EM2527" s="1881"/>
    </row>
    <row r="2528" spans="140:143">
      <c r="EJ2528" s="1881"/>
      <c r="EL2528" s="1881"/>
      <c r="EM2528" s="1881"/>
    </row>
    <row r="2529" spans="140:143">
      <c r="EJ2529" s="1881"/>
      <c r="EL2529" s="1881"/>
      <c r="EM2529" s="1881"/>
    </row>
    <row r="2530" spans="140:143">
      <c r="EJ2530" s="1881"/>
      <c r="EL2530" s="1881"/>
      <c r="EM2530" s="1881"/>
    </row>
    <row r="2531" spans="140:143">
      <c r="EJ2531" s="1881"/>
      <c r="EL2531" s="1881"/>
      <c r="EM2531" s="1881"/>
    </row>
    <row r="2532" spans="140:143">
      <c r="EJ2532" s="1881"/>
      <c r="EL2532" s="1881"/>
      <c r="EM2532" s="1881"/>
    </row>
    <row r="2533" spans="140:143">
      <c r="EJ2533" s="1881"/>
      <c r="EL2533" s="1881"/>
      <c r="EM2533" s="1881"/>
    </row>
    <row r="2534" spans="140:143">
      <c r="EJ2534" s="1881"/>
      <c r="EL2534" s="1881"/>
      <c r="EM2534" s="1881"/>
    </row>
    <row r="2535" spans="140:143">
      <c r="EJ2535" s="1881"/>
      <c r="EL2535" s="1881"/>
      <c r="EM2535" s="1881"/>
    </row>
    <row r="2536" spans="140:143">
      <c r="EJ2536" s="1881"/>
      <c r="EL2536" s="1881"/>
      <c r="EM2536" s="1881"/>
    </row>
    <row r="2537" spans="140:143">
      <c r="EJ2537" s="1881"/>
      <c r="EL2537" s="1881"/>
      <c r="EM2537" s="1881"/>
    </row>
    <row r="2538" spans="140:143">
      <c r="EJ2538" s="1881"/>
      <c r="EL2538" s="1881"/>
      <c r="EM2538" s="1881"/>
    </row>
    <row r="2539" spans="140:143">
      <c r="EJ2539" s="1881"/>
      <c r="EL2539" s="1881"/>
      <c r="EM2539" s="1881"/>
    </row>
    <row r="2540" spans="140:143">
      <c r="EJ2540" s="1881"/>
      <c r="EL2540" s="1881"/>
      <c r="EM2540" s="1881"/>
    </row>
    <row r="2541" spans="140:143">
      <c r="EJ2541" s="1881"/>
      <c r="EL2541" s="1881"/>
      <c r="EM2541" s="1881"/>
    </row>
    <row r="2542" spans="140:143">
      <c r="EJ2542" s="1881"/>
      <c r="EL2542" s="1881"/>
      <c r="EM2542" s="1881"/>
    </row>
    <row r="2543" spans="140:143">
      <c r="EJ2543" s="1881"/>
      <c r="EL2543" s="1881"/>
      <c r="EM2543" s="1881"/>
    </row>
    <row r="2544" spans="140:143">
      <c r="EJ2544" s="1881"/>
      <c r="EL2544" s="1881"/>
      <c r="EM2544" s="1881"/>
    </row>
    <row r="2545" spans="140:143">
      <c r="EJ2545" s="1881"/>
      <c r="EL2545" s="1881"/>
      <c r="EM2545" s="1881"/>
    </row>
    <row r="2546" spans="140:143">
      <c r="EJ2546" s="1881"/>
      <c r="EL2546" s="1881"/>
      <c r="EM2546" s="1881"/>
    </row>
    <row r="2547" spans="140:143">
      <c r="EJ2547" s="1881"/>
      <c r="EL2547" s="1881"/>
      <c r="EM2547" s="1881"/>
    </row>
    <row r="2548" spans="140:143">
      <c r="EJ2548" s="1881"/>
      <c r="EL2548" s="1881"/>
      <c r="EM2548" s="1881"/>
    </row>
    <row r="2549" spans="140:143">
      <c r="EJ2549" s="1881"/>
      <c r="EL2549" s="1881"/>
      <c r="EM2549" s="1881"/>
    </row>
    <row r="2550" spans="140:143">
      <c r="EJ2550" s="1881"/>
      <c r="EL2550" s="1881"/>
      <c r="EM2550" s="1881"/>
    </row>
    <row r="2551" spans="140:143">
      <c r="EJ2551" s="1881"/>
      <c r="EL2551" s="1881"/>
      <c r="EM2551" s="1881"/>
    </row>
    <row r="2552" spans="140:143">
      <c r="EJ2552" s="1881"/>
      <c r="EL2552" s="1881"/>
      <c r="EM2552" s="1881"/>
    </row>
    <row r="2553" spans="140:143">
      <c r="EJ2553" s="1881"/>
      <c r="EL2553" s="1881"/>
      <c r="EM2553" s="1881"/>
    </row>
    <row r="2554" spans="140:143">
      <c r="EJ2554" s="1881"/>
      <c r="EL2554" s="1881"/>
      <c r="EM2554" s="1881"/>
    </row>
    <row r="2555" spans="140:143">
      <c r="EJ2555" s="1881"/>
      <c r="EL2555" s="1881"/>
      <c r="EM2555" s="1881"/>
    </row>
    <row r="2556" spans="140:143">
      <c r="EJ2556" s="1881"/>
      <c r="EL2556" s="1881"/>
      <c r="EM2556" s="1881"/>
    </row>
    <row r="2557" spans="140:143">
      <c r="EJ2557" s="1881"/>
      <c r="EL2557" s="1881"/>
      <c r="EM2557" s="1881"/>
    </row>
    <row r="2558" spans="140:143">
      <c r="EJ2558" s="1881"/>
      <c r="EL2558" s="1881"/>
      <c r="EM2558" s="1881"/>
    </row>
    <row r="2559" spans="140:143">
      <c r="EJ2559" s="1881"/>
      <c r="EL2559" s="1881"/>
      <c r="EM2559" s="1881"/>
    </row>
    <row r="2560" spans="140:143">
      <c r="EJ2560" s="1881"/>
      <c r="EL2560" s="1881"/>
      <c r="EM2560" s="1881"/>
    </row>
    <row r="2561" spans="140:143">
      <c r="EJ2561" s="1881"/>
      <c r="EL2561" s="1881"/>
      <c r="EM2561" s="1881"/>
    </row>
    <row r="2562" spans="140:143">
      <c r="EJ2562" s="1881"/>
      <c r="EL2562" s="1881"/>
      <c r="EM2562" s="1881"/>
    </row>
    <row r="2563" spans="140:143">
      <c r="EJ2563" s="1881"/>
      <c r="EL2563" s="1881"/>
      <c r="EM2563" s="1881"/>
    </row>
    <row r="2564" spans="140:143">
      <c r="EJ2564" s="1881"/>
      <c r="EL2564" s="1881"/>
      <c r="EM2564" s="1881"/>
    </row>
    <row r="2565" spans="140:143">
      <c r="EJ2565" s="1881"/>
      <c r="EL2565" s="1881"/>
      <c r="EM2565" s="1881"/>
    </row>
    <row r="2566" spans="140:143">
      <c r="EJ2566" s="1881"/>
      <c r="EL2566" s="1881"/>
      <c r="EM2566" s="1881"/>
    </row>
    <row r="2567" spans="140:143">
      <c r="EJ2567" s="1881"/>
      <c r="EL2567" s="1881"/>
      <c r="EM2567" s="1881"/>
    </row>
    <row r="2568" spans="140:143">
      <c r="EJ2568" s="1881"/>
      <c r="EL2568" s="1881"/>
      <c r="EM2568" s="1881"/>
    </row>
    <row r="2569" spans="140:143">
      <c r="EJ2569" s="1881"/>
      <c r="EL2569" s="1881"/>
      <c r="EM2569" s="1881"/>
    </row>
    <row r="2570" spans="140:143">
      <c r="EJ2570" s="1881"/>
      <c r="EL2570" s="1881"/>
      <c r="EM2570" s="1881"/>
    </row>
    <row r="2571" spans="140:143">
      <c r="EJ2571" s="1881"/>
      <c r="EL2571" s="1881"/>
      <c r="EM2571" s="1881"/>
    </row>
    <row r="2572" spans="140:143">
      <c r="EJ2572" s="1881"/>
      <c r="EL2572" s="1881"/>
      <c r="EM2572" s="1881"/>
    </row>
    <row r="2573" spans="140:143">
      <c r="EJ2573" s="1881"/>
      <c r="EL2573" s="1881"/>
      <c r="EM2573" s="1881"/>
    </row>
    <row r="2574" spans="140:143">
      <c r="EJ2574" s="1881"/>
      <c r="EL2574" s="1881"/>
      <c r="EM2574" s="1881"/>
    </row>
    <row r="2575" spans="140:143">
      <c r="EJ2575" s="1881"/>
      <c r="EL2575" s="1881"/>
      <c r="EM2575" s="1881"/>
    </row>
    <row r="2576" spans="140:143">
      <c r="EJ2576" s="1881"/>
      <c r="EL2576" s="1881"/>
      <c r="EM2576" s="1881"/>
    </row>
    <row r="2577" spans="140:143">
      <c r="EJ2577" s="1881"/>
      <c r="EL2577" s="1881"/>
      <c r="EM2577" s="1881"/>
    </row>
    <row r="2578" spans="140:143">
      <c r="EJ2578" s="1881"/>
      <c r="EL2578" s="1881"/>
      <c r="EM2578" s="1881"/>
    </row>
    <row r="2579" spans="140:143">
      <c r="EJ2579" s="1881"/>
      <c r="EL2579" s="1881"/>
      <c r="EM2579" s="1881"/>
    </row>
    <row r="2580" spans="140:143">
      <c r="EJ2580" s="1881"/>
      <c r="EL2580" s="1881"/>
      <c r="EM2580" s="1881"/>
    </row>
    <row r="2581" spans="140:143">
      <c r="EJ2581" s="1881"/>
      <c r="EL2581" s="1881"/>
      <c r="EM2581" s="1881"/>
    </row>
    <row r="2582" spans="140:143">
      <c r="EJ2582" s="1881"/>
      <c r="EL2582" s="1881"/>
      <c r="EM2582" s="1881"/>
    </row>
    <row r="2583" spans="140:143">
      <c r="EJ2583" s="1881"/>
      <c r="EL2583" s="1881"/>
      <c r="EM2583" s="1881"/>
    </row>
    <row r="2584" spans="140:143">
      <c r="EJ2584" s="1881"/>
      <c r="EL2584" s="1881"/>
      <c r="EM2584" s="1881"/>
    </row>
    <row r="2585" spans="140:143">
      <c r="EJ2585" s="1881"/>
      <c r="EL2585" s="1881"/>
      <c r="EM2585" s="1881"/>
    </row>
    <row r="2586" spans="140:143">
      <c r="EJ2586" s="1881"/>
      <c r="EL2586" s="1881"/>
      <c r="EM2586" s="1881"/>
    </row>
    <row r="2587" spans="140:143">
      <c r="EJ2587" s="1881"/>
      <c r="EL2587" s="1881"/>
      <c r="EM2587" s="1881"/>
    </row>
    <row r="2588" spans="140:143">
      <c r="EJ2588" s="1881"/>
      <c r="EL2588" s="1881"/>
      <c r="EM2588" s="1881"/>
    </row>
    <row r="2589" spans="140:143">
      <c r="EJ2589" s="1881"/>
      <c r="EL2589" s="1881"/>
      <c r="EM2589" s="1881"/>
    </row>
    <row r="2590" spans="140:143">
      <c r="EJ2590" s="1881"/>
      <c r="EL2590" s="1881"/>
      <c r="EM2590" s="1881"/>
    </row>
    <row r="2591" spans="140:143">
      <c r="EJ2591" s="1881"/>
      <c r="EL2591" s="1881"/>
      <c r="EM2591" s="1881"/>
    </row>
    <row r="2592" spans="140:143">
      <c r="EJ2592" s="1881"/>
      <c r="EL2592" s="1881"/>
      <c r="EM2592" s="1881"/>
    </row>
    <row r="2593" spans="140:143">
      <c r="EJ2593" s="1881"/>
      <c r="EL2593" s="1881"/>
      <c r="EM2593" s="1881"/>
    </row>
    <row r="2594" spans="140:143">
      <c r="EJ2594" s="1881"/>
      <c r="EL2594" s="1881"/>
      <c r="EM2594" s="1881"/>
    </row>
    <row r="2595" spans="140:143">
      <c r="EJ2595" s="1881"/>
      <c r="EL2595" s="1881"/>
      <c r="EM2595" s="1881"/>
    </row>
    <row r="2596" spans="140:143">
      <c r="EJ2596" s="1881"/>
      <c r="EL2596" s="1881"/>
      <c r="EM2596" s="1881"/>
    </row>
    <row r="2597" spans="140:143">
      <c r="EJ2597" s="1881"/>
      <c r="EL2597" s="1881"/>
      <c r="EM2597" s="1881"/>
    </row>
    <row r="2598" spans="140:143">
      <c r="EJ2598" s="1881"/>
      <c r="EL2598" s="1881"/>
      <c r="EM2598" s="1881"/>
    </row>
    <row r="2599" spans="140:143">
      <c r="EJ2599" s="1881"/>
      <c r="EL2599" s="1881"/>
      <c r="EM2599" s="1881"/>
    </row>
    <row r="2600" spans="140:143">
      <c r="EJ2600" s="1881"/>
      <c r="EL2600" s="1881"/>
      <c r="EM2600" s="1881"/>
    </row>
    <row r="2601" spans="140:143">
      <c r="EJ2601" s="1881"/>
      <c r="EL2601" s="1881"/>
      <c r="EM2601" s="1881"/>
    </row>
    <row r="2602" spans="140:143">
      <c r="EJ2602" s="1881"/>
      <c r="EL2602" s="1881"/>
      <c r="EM2602" s="1881"/>
    </row>
    <row r="2603" spans="140:143">
      <c r="EJ2603" s="1881"/>
      <c r="EL2603" s="1881"/>
      <c r="EM2603" s="1881"/>
    </row>
    <row r="2604" spans="140:143">
      <c r="EJ2604" s="1881"/>
      <c r="EL2604" s="1881"/>
      <c r="EM2604" s="1881"/>
    </row>
    <row r="2605" spans="140:143">
      <c r="EJ2605" s="1881"/>
      <c r="EL2605" s="1881"/>
      <c r="EM2605" s="1881"/>
    </row>
    <row r="2606" spans="140:143">
      <c r="EJ2606" s="1881"/>
      <c r="EL2606" s="1881"/>
      <c r="EM2606" s="1881"/>
    </row>
    <row r="2607" spans="140:143">
      <c r="EJ2607" s="1881"/>
      <c r="EL2607" s="1881"/>
      <c r="EM2607" s="1881"/>
    </row>
    <row r="2608" spans="140:143">
      <c r="EJ2608" s="1881"/>
      <c r="EL2608" s="1881"/>
      <c r="EM2608" s="1881"/>
    </row>
    <row r="2609" spans="140:143">
      <c r="EJ2609" s="1881"/>
      <c r="EL2609" s="1881"/>
      <c r="EM2609" s="1881"/>
    </row>
    <row r="2610" spans="140:143">
      <c r="EJ2610" s="1881"/>
      <c r="EL2610" s="1881"/>
      <c r="EM2610" s="1881"/>
    </row>
    <row r="2611" spans="140:143">
      <c r="EJ2611" s="1881"/>
      <c r="EL2611" s="1881"/>
      <c r="EM2611" s="1881"/>
    </row>
    <row r="2612" spans="140:143">
      <c r="EJ2612" s="1881"/>
      <c r="EL2612" s="1881"/>
      <c r="EM2612" s="1881"/>
    </row>
    <row r="2613" spans="140:143">
      <c r="EJ2613" s="1881"/>
      <c r="EL2613" s="1881"/>
      <c r="EM2613" s="1881"/>
    </row>
    <row r="2614" spans="140:143">
      <c r="EJ2614" s="1881"/>
      <c r="EL2614" s="1881"/>
      <c r="EM2614" s="1881"/>
    </row>
    <row r="2615" spans="140:143">
      <c r="EJ2615" s="1881"/>
      <c r="EL2615" s="1881"/>
      <c r="EM2615" s="1881"/>
    </row>
    <row r="2616" spans="140:143">
      <c r="EJ2616" s="1881"/>
      <c r="EL2616" s="1881"/>
      <c r="EM2616" s="1881"/>
    </row>
    <row r="2617" spans="140:143">
      <c r="EJ2617" s="1881"/>
      <c r="EL2617" s="1881"/>
      <c r="EM2617" s="1881"/>
    </row>
    <row r="2618" spans="140:143">
      <c r="EJ2618" s="1881"/>
      <c r="EL2618" s="1881"/>
      <c r="EM2618" s="1881"/>
    </row>
    <row r="2619" spans="140:143">
      <c r="EJ2619" s="1881"/>
      <c r="EL2619" s="1881"/>
      <c r="EM2619" s="1881"/>
    </row>
    <row r="2620" spans="140:143">
      <c r="EJ2620" s="1881"/>
      <c r="EL2620" s="1881"/>
      <c r="EM2620" s="1881"/>
    </row>
    <row r="2621" spans="140:143">
      <c r="EJ2621" s="1881"/>
      <c r="EL2621" s="1881"/>
      <c r="EM2621" s="1881"/>
    </row>
    <row r="2622" spans="140:143">
      <c r="EJ2622" s="1881"/>
      <c r="EL2622" s="1881"/>
      <c r="EM2622" s="1881"/>
    </row>
    <row r="2623" spans="140:143">
      <c r="EJ2623" s="1881"/>
      <c r="EL2623" s="1881"/>
      <c r="EM2623" s="1881"/>
    </row>
    <row r="2624" spans="140:143">
      <c r="EJ2624" s="1881"/>
      <c r="EL2624" s="1881"/>
      <c r="EM2624" s="1881"/>
    </row>
    <row r="2625" spans="140:143">
      <c r="EJ2625" s="1881"/>
      <c r="EL2625" s="1881"/>
      <c r="EM2625" s="1881"/>
    </row>
    <row r="2626" spans="140:143">
      <c r="EJ2626" s="1881"/>
      <c r="EL2626" s="1881"/>
      <c r="EM2626" s="1881"/>
    </row>
    <row r="2627" spans="140:143">
      <c r="EJ2627" s="1881"/>
      <c r="EL2627" s="1881"/>
      <c r="EM2627" s="1881"/>
    </row>
    <row r="2628" spans="140:143">
      <c r="EJ2628" s="1881"/>
      <c r="EL2628" s="1881"/>
      <c r="EM2628" s="1881"/>
    </row>
    <row r="2629" spans="140:143">
      <c r="EJ2629" s="1881"/>
      <c r="EL2629" s="1881"/>
      <c r="EM2629" s="1881"/>
    </row>
    <row r="2630" spans="140:143">
      <c r="EJ2630" s="1881"/>
      <c r="EL2630" s="1881"/>
      <c r="EM2630" s="1881"/>
    </row>
    <row r="2631" spans="140:143">
      <c r="EJ2631" s="1881"/>
      <c r="EL2631" s="1881"/>
      <c r="EM2631" s="1881"/>
    </row>
    <row r="2632" spans="140:143">
      <c r="EJ2632" s="1881"/>
      <c r="EL2632" s="1881"/>
      <c r="EM2632" s="1881"/>
    </row>
    <row r="2633" spans="140:143">
      <c r="EJ2633" s="1881"/>
      <c r="EL2633" s="1881"/>
      <c r="EM2633" s="1881"/>
    </row>
    <row r="2634" spans="140:143">
      <c r="EJ2634" s="1881"/>
      <c r="EL2634" s="1881"/>
      <c r="EM2634" s="1881"/>
    </row>
    <row r="2635" spans="140:143">
      <c r="EJ2635" s="1881"/>
      <c r="EL2635" s="1881"/>
      <c r="EM2635" s="1881"/>
    </row>
    <row r="2636" spans="140:143">
      <c r="EJ2636" s="1881"/>
      <c r="EL2636" s="1881"/>
      <c r="EM2636" s="1881"/>
    </row>
    <row r="2637" spans="140:143">
      <c r="EJ2637" s="1881"/>
      <c r="EL2637" s="1881"/>
      <c r="EM2637" s="1881"/>
    </row>
    <row r="2638" spans="140:143">
      <c r="EJ2638" s="1881"/>
      <c r="EL2638" s="1881"/>
      <c r="EM2638" s="1881"/>
    </row>
    <row r="2639" spans="140:143">
      <c r="EJ2639" s="1881"/>
      <c r="EL2639" s="1881"/>
      <c r="EM2639" s="1881"/>
    </row>
    <row r="2640" spans="140:143">
      <c r="EJ2640" s="1881"/>
      <c r="EL2640" s="1881"/>
      <c r="EM2640" s="1881"/>
    </row>
    <row r="2641" spans="140:143">
      <c r="EJ2641" s="1881"/>
      <c r="EL2641" s="1881"/>
      <c r="EM2641" s="1881"/>
    </row>
    <row r="2642" spans="140:143">
      <c r="EJ2642" s="1881"/>
      <c r="EL2642" s="1881"/>
      <c r="EM2642" s="1881"/>
    </row>
    <row r="2643" spans="140:143">
      <c r="EJ2643" s="1881"/>
      <c r="EL2643" s="1881"/>
      <c r="EM2643" s="1881"/>
    </row>
    <row r="2644" spans="140:143">
      <c r="EJ2644" s="1881"/>
      <c r="EL2644" s="1881"/>
      <c r="EM2644" s="1881"/>
    </row>
    <row r="2645" spans="140:143">
      <c r="EJ2645" s="1881"/>
      <c r="EL2645" s="1881"/>
      <c r="EM2645" s="1881"/>
    </row>
    <row r="2646" spans="140:143">
      <c r="EJ2646" s="1881"/>
      <c r="EL2646" s="1881"/>
      <c r="EM2646" s="1881"/>
    </row>
    <row r="2647" spans="140:143">
      <c r="EJ2647" s="1881"/>
      <c r="EL2647" s="1881"/>
      <c r="EM2647" s="1881"/>
    </row>
    <row r="2648" spans="140:143">
      <c r="EJ2648" s="1881"/>
      <c r="EL2648" s="1881"/>
      <c r="EM2648" s="1881"/>
    </row>
    <row r="2649" spans="140:143">
      <c r="EJ2649" s="1881"/>
      <c r="EL2649" s="1881"/>
      <c r="EM2649" s="1881"/>
    </row>
    <row r="2650" spans="140:143">
      <c r="EJ2650" s="1881"/>
      <c r="EL2650" s="1881"/>
      <c r="EM2650" s="1881"/>
    </row>
    <row r="2651" spans="140:143">
      <c r="EJ2651" s="1881"/>
      <c r="EL2651" s="1881"/>
      <c r="EM2651" s="1881"/>
    </row>
    <row r="2652" spans="140:143">
      <c r="EJ2652" s="1881"/>
      <c r="EL2652" s="1881"/>
      <c r="EM2652" s="1881"/>
    </row>
    <row r="2653" spans="140:143">
      <c r="EJ2653" s="1881"/>
      <c r="EL2653" s="1881"/>
      <c r="EM2653" s="1881"/>
    </row>
    <row r="2654" spans="140:143">
      <c r="EJ2654" s="1881"/>
      <c r="EL2654" s="1881"/>
      <c r="EM2654" s="1881"/>
    </row>
    <row r="2655" spans="140:143">
      <c r="EJ2655" s="1881"/>
      <c r="EL2655" s="1881"/>
      <c r="EM2655" s="1881"/>
    </row>
    <row r="2656" spans="140:143">
      <c r="EJ2656" s="1881"/>
      <c r="EL2656" s="1881"/>
      <c r="EM2656" s="1881"/>
    </row>
    <row r="2657" spans="140:143">
      <c r="EJ2657" s="1881"/>
      <c r="EL2657" s="1881"/>
      <c r="EM2657" s="1881"/>
    </row>
    <row r="2658" spans="140:143">
      <c r="EJ2658" s="1881"/>
      <c r="EL2658" s="1881"/>
      <c r="EM2658" s="1881"/>
    </row>
    <row r="2659" spans="140:143">
      <c r="EJ2659" s="1881"/>
      <c r="EL2659" s="1881"/>
      <c r="EM2659" s="1881"/>
    </row>
    <row r="2660" spans="140:143">
      <c r="EJ2660" s="1881"/>
      <c r="EL2660" s="1881"/>
      <c r="EM2660" s="1881"/>
    </row>
    <row r="2661" spans="140:143">
      <c r="EJ2661" s="1881"/>
      <c r="EL2661" s="1881"/>
      <c r="EM2661" s="1881"/>
    </row>
    <row r="2662" spans="140:143">
      <c r="EJ2662" s="1881"/>
      <c r="EL2662" s="1881"/>
      <c r="EM2662" s="1881"/>
    </row>
    <row r="2663" spans="140:143">
      <c r="EJ2663" s="1881"/>
      <c r="EL2663" s="1881"/>
      <c r="EM2663" s="1881"/>
    </row>
    <row r="2664" spans="140:143">
      <c r="EJ2664" s="1881"/>
      <c r="EL2664" s="1881"/>
      <c r="EM2664" s="1881"/>
    </row>
    <row r="2665" spans="140:143">
      <c r="EJ2665" s="1881"/>
      <c r="EL2665" s="1881"/>
      <c r="EM2665" s="1881"/>
    </row>
    <row r="2666" spans="140:143">
      <c r="EJ2666" s="1881"/>
      <c r="EL2666" s="1881"/>
      <c r="EM2666" s="1881"/>
    </row>
    <row r="2667" spans="140:143">
      <c r="EJ2667" s="1881"/>
      <c r="EL2667" s="1881"/>
      <c r="EM2667" s="1881"/>
    </row>
    <row r="2668" spans="140:143">
      <c r="EJ2668" s="1881"/>
      <c r="EL2668" s="1881"/>
      <c r="EM2668" s="1881"/>
    </row>
    <row r="2669" spans="140:143">
      <c r="EJ2669" s="1881"/>
      <c r="EL2669" s="1881"/>
      <c r="EM2669" s="1881"/>
    </row>
    <row r="2670" spans="140:143">
      <c r="EJ2670" s="1881"/>
      <c r="EL2670" s="1881"/>
      <c r="EM2670" s="1881"/>
    </row>
    <row r="2671" spans="140:143">
      <c r="EJ2671" s="1881"/>
      <c r="EL2671" s="1881"/>
      <c r="EM2671" s="1881"/>
    </row>
    <row r="2672" spans="140:143">
      <c r="EJ2672" s="1881"/>
      <c r="EL2672" s="1881"/>
      <c r="EM2672" s="1881"/>
    </row>
    <row r="2673" spans="140:143">
      <c r="EJ2673" s="1881"/>
      <c r="EL2673" s="1881"/>
      <c r="EM2673" s="1881"/>
    </row>
    <row r="2674" spans="140:143">
      <c r="EJ2674" s="1881"/>
      <c r="EL2674" s="1881"/>
      <c r="EM2674" s="1881"/>
    </row>
    <row r="2675" spans="140:143">
      <c r="EJ2675" s="1881"/>
      <c r="EL2675" s="1881"/>
      <c r="EM2675" s="1881"/>
    </row>
    <row r="2676" spans="140:143">
      <c r="EJ2676" s="1881"/>
      <c r="EL2676" s="1881"/>
      <c r="EM2676" s="1881"/>
    </row>
    <row r="2677" spans="140:143">
      <c r="EJ2677" s="1881"/>
      <c r="EL2677" s="1881"/>
      <c r="EM2677" s="1881"/>
    </row>
    <row r="2678" spans="140:143">
      <c r="EJ2678" s="1881"/>
      <c r="EL2678" s="1881"/>
      <c r="EM2678" s="1881"/>
    </row>
    <row r="2679" spans="140:143">
      <c r="EJ2679" s="1881"/>
      <c r="EL2679" s="1881"/>
      <c r="EM2679" s="1881"/>
    </row>
    <row r="2680" spans="140:143">
      <c r="EJ2680" s="1881"/>
      <c r="EL2680" s="1881"/>
      <c r="EM2680" s="1881"/>
    </row>
    <row r="2681" spans="140:143">
      <c r="EJ2681" s="1881"/>
      <c r="EL2681" s="1881"/>
      <c r="EM2681" s="1881"/>
    </row>
    <row r="2682" spans="140:143">
      <c r="EJ2682" s="1881"/>
      <c r="EL2682" s="1881"/>
      <c r="EM2682" s="1881"/>
    </row>
    <row r="2683" spans="140:143">
      <c r="EJ2683" s="1881"/>
      <c r="EL2683" s="1881"/>
      <c r="EM2683" s="1881"/>
    </row>
    <row r="2684" spans="140:143">
      <c r="EJ2684" s="1881"/>
      <c r="EL2684" s="1881"/>
      <c r="EM2684" s="1881"/>
    </row>
    <row r="2685" spans="140:143">
      <c r="EJ2685" s="1881"/>
      <c r="EL2685" s="1881"/>
      <c r="EM2685" s="1881"/>
    </row>
    <row r="2686" spans="140:143">
      <c r="EJ2686" s="1881"/>
      <c r="EL2686" s="1881"/>
      <c r="EM2686" s="1881"/>
    </row>
    <row r="2687" spans="140:143">
      <c r="EJ2687" s="1881"/>
      <c r="EL2687" s="1881"/>
      <c r="EM2687" s="1881"/>
    </row>
    <row r="2688" spans="140:143">
      <c r="EJ2688" s="1881"/>
      <c r="EL2688" s="1881"/>
      <c r="EM2688" s="1881"/>
    </row>
    <row r="2689" spans="140:143">
      <c r="EJ2689" s="1881"/>
      <c r="EL2689" s="1881"/>
      <c r="EM2689" s="1881"/>
    </row>
    <row r="2690" spans="140:143">
      <c r="EJ2690" s="1881"/>
      <c r="EL2690" s="1881"/>
      <c r="EM2690" s="1881"/>
    </row>
    <row r="2691" spans="140:143">
      <c r="EJ2691" s="1881"/>
      <c r="EL2691" s="1881"/>
      <c r="EM2691" s="1881"/>
    </row>
    <row r="2692" spans="140:143">
      <c r="EJ2692" s="1881"/>
      <c r="EL2692" s="1881"/>
      <c r="EM2692" s="1881"/>
    </row>
    <row r="2693" spans="140:143">
      <c r="EJ2693" s="1881"/>
      <c r="EL2693" s="1881"/>
      <c r="EM2693" s="1881"/>
    </row>
    <row r="2694" spans="140:143">
      <c r="EJ2694" s="1881"/>
      <c r="EL2694" s="1881"/>
      <c r="EM2694" s="1881"/>
    </row>
    <row r="2695" spans="140:143">
      <c r="EJ2695" s="1881"/>
      <c r="EL2695" s="1881"/>
      <c r="EM2695" s="1881"/>
    </row>
    <row r="2696" spans="140:143">
      <c r="EJ2696" s="1881"/>
      <c r="EL2696" s="1881"/>
      <c r="EM2696" s="1881"/>
    </row>
    <row r="2697" spans="140:143">
      <c r="EJ2697" s="1881"/>
      <c r="EL2697" s="1881"/>
      <c r="EM2697" s="1881"/>
    </row>
    <row r="2698" spans="140:143">
      <c r="EJ2698" s="1881"/>
      <c r="EL2698" s="1881"/>
      <c r="EM2698" s="1881"/>
    </row>
    <row r="2699" spans="140:143">
      <c r="EJ2699" s="1881"/>
      <c r="EL2699" s="1881"/>
      <c r="EM2699" s="1881"/>
    </row>
    <row r="2700" spans="140:143">
      <c r="EJ2700" s="1881"/>
      <c r="EL2700" s="1881"/>
      <c r="EM2700" s="1881"/>
    </row>
    <row r="2701" spans="140:143">
      <c r="EJ2701" s="1881"/>
      <c r="EL2701" s="1881"/>
      <c r="EM2701" s="1881"/>
    </row>
    <row r="2702" spans="140:143">
      <c r="EJ2702" s="1881"/>
      <c r="EL2702" s="1881"/>
      <c r="EM2702" s="1881"/>
    </row>
    <row r="2703" spans="140:143">
      <c r="EJ2703" s="1881"/>
      <c r="EL2703" s="1881"/>
      <c r="EM2703" s="1881"/>
    </row>
    <row r="2704" spans="140:143">
      <c r="EJ2704" s="1881"/>
      <c r="EL2704" s="1881"/>
      <c r="EM2704" s="1881"/>
    </row>
    <row r="2705" spans="140:143">
      <c r="EJ2705" s="1881"/>
      <c r="EL2705" s="1881"/>
      <c r="EM2705" s="1881"/>
    </row>
    <row r="2706" spans="140:143">
      <c r="EJ2706" s="1881"/>
      <c r="EL2706" s="1881"/>
      <c r="EM2706" s="1881"/>
    </row>
    <row r="2707" spans="140:143">
      <c r="EJ2707" s="1881"/>
      <c r="EL2707" s="1881"/>
      <c r="EM2707" s="1881"/>
    </row>
    <row r="2708" spans="140:143">
      <c r="EJ2708" s="1881"/>
      <c r="EL2708" s="1881"/>
      <c r="EM2708" s="1881"/>
    </row>
    <row r="2709" spans="140:143">
      <c r="EJ2709" s="1881"/>
      <c r="EL2709" s="1881"/>
      <c r="EM2709" s="1881"/>
    </row>
    <row r="2710" spans="140:143">
      <c r="EJ2710" s="1881"/>
      <c r="EL2710" s="1881"/>
      <c r="EM2710" s="1881"/>
    </row>
    <row r="2711" spans="140:143">
      <c r="EJ2711" s="1881"/>
      <c r="EL2711" s="1881"/>
      <c r="EM2711" s="1881"/>
    </row>
    <row r="2712" spans="140:143">
      <c r="EJ2712" s="1881"/>
      <c r="EL2712" s="1881"/>
      <c r="EM2712" s="1881"/>
    </row>
    <row r="2713" spans="140:143">
      <c r="EJ2713" s="1881"/>
      <c r="EL2713" s="1881"/>
      <c r="EM2713" s="1881"/>
    </row>
    <row r="2714" spans="140:143">
      <c r="EJ2714" s="1881"/>
      <c r="EL2714" s="1881"/>
      <c r="EM2714" s="1881"/>
    </row>
    <row r="2715" spans="140:143">
      <c r="EJ2715" s="1881"/>
      <c r="EL2715" s="1881"/>
      <c r="EM2715" s="1881"/>
    </row>
    <row r="2716" spans="140:143">
      <c r="EJ2716" s="1881"/>
      <c r="EL2716" s="1881"/>
      <c r="EM2716" s="1881"/>
    </row>
    <row r="2717" spans="140:143">
      <c r="EJ2717" s="1881"/>
      <c r="EL2717" s="1881"/>
      <c r="EM2717" s="1881"/>
    </row>
    <row r="2718" spans="140:143">
      <c r="EJ2718" s="1881"/>
      <c r="EL2718" s="1881"/>
      <c r="EM2718" s="1881"/>
    </row>
    <row r="2719" spans="140:143">
      <c r="EJ2719" s="1881"/>
      <c r="EL2719" s="1881"/>
      <c r="EM2719" s="1881"/>
    </row>
    <row r="2720" spans="140:143">
      <c r="EJ2720" s="1881"/>
      <c r="EL2720" s="1881"/>
      <c r="EM2720" s="1881"/>
    </row>
    <row r="2721" spans="140:143">
      <c r="EJ2721" s="1881"/>
      <c r="EL2721" s="1881"/>
      <c r="EM2721" s="1881"/>
    </row>
    <row r="2722" spans="140:143">
      <c r="EJ2722" s="1881"/>
      <c r="EL2722" s="1881"/>
      <c r="EM2722" s="1881"/>
    </row>
    <row r="2723" spans="140:143">
      <c r="EJ2723" s="1881"/>
      <c r="EL2723" s="1881"/>
      <c r="EM2723" s="1881"/>
    </row>
    <row r="2724" spans="140:143">
      <c r="EJ2724" s="1881"/>
      <c r="EL2724" s="1881"/>
      <c r="EM2724" s="1881"/>
    </row>
    <row r="2725" spans="140:143">
      <c r="EJ2725" s="1881"/>
      <c r="EL2725" s="1881"/>
      <c r="EM2725" s="1881"/>
    </row>
    <row r="2726" spans="140:143">
      <c r="EJ2726" s="1881"/>
      <c r="EL2726" s="1881"/>
      <c r="EM2726" s="1881"/>
    </row>
    <row r="2727" spans="140:143">
      <c r="EJ2727" s="1881"/>
      <c r="EL2727" s="1881"/>
      <c r="EM2727" s="1881"/>
    </row>
    <row r="2728" spans="140:143">
      <c r="EJ2728" s="1881"/>
      <c r="EL2728" s="1881"/>
      <c r="EM2728" s="1881"/>
    </row>
    <row r="2729" spans="140:143">
      <c r="EJ2729" s="1881"/>
      <c r="EL2729" s="1881"/>
      <c r="EM2729" s="1881"/>
    </row>
    <row r="2730" spans="140:143">
      <c r="EJ2730" s="1881"/>
      <c r="EL2730" s="1881"/>
      <c r="EM2730" s="1881"/>
    </row>
    <row r="2731" spans="140:143">
      <c r="EJ2731" s="1881"/>
      <c r="EL2731" s="1881"/>
      <c r="EM2731" s="1881"/>
    </row>
    <row r="2732" spans="140:143">
      <c r="EJ2732" s="1881"/>
      <c r="EL2732" s="1881"/>
      <c r="EM2732" s="1881"/>
    </row>
    <row r="2733" spans="140:143">
      <c r="EJ2733" s="1881"/>
      <c r="EL2733" s="1881"/>
      <c r="EM2733" s="1881"/>
    </row>
    <row r="2734" spans="140:143">
      <c r="EJ2734" s="1881"/>
      <c r="EL2734" s="1881"/>
      <c r="EM2734" s="1881"/>
    </row>
    <row r="2735" spans="140:143">
      <c r="EJ2735" s="1881"/>
      <c r="EL2735" s="1881"/>
      <c r="EM2735" s="1881"/>
    </row>
    <row r="2736" spans="140:143">
      <c r="EJ2736" s="1881"/>
      <c r="EL2736" s="1881"/>
      <c r="EM2736" s="1881"/>
    </row>
    <row r="2737" spans="140:143">
      <c r="EJ2737" s="1881"/>
      <c r="EL2737" s="1881"/>
      <c r="EM2737" s="1881"/>
    </row>
    <row r="2738" spans="140:143">
      <c r="EJ2738" s="1881"/>
      <c r="EL2738" s="1881"/>
      <c r="EM2738" s="1881"/>
    </row>
    <row r="2739" spans="140:143">
      <c r="EJ2739" s="1881"/>
      <c r="EL2739" s="1881"/>
      <c r="EM2739" s="1881"/>
    </row>
    <row r="2740" spans="140:143">
      <c r="EJ2740" s="1881"/>
      <c r="EL2740" s="1881"/>
      <c r="EM2740" s="1881"/>
    </row>
    <row r="2741" spans="140:143">
      <c r="EJ2741" s="1881"/>
      <c r="EL2741" s="1881"/>
      <c r="EM2741" s="1881"/>
    </row>
    <row r="2742" spans="140:143">
      <c r="EJ2742" s="1881"/>
      <c r="EL2742" s="1881"/>
      <c r="EM2742" s="1881"/>
    </row>
    <row r="2743" spans="140:143">
      <c r="EJ2743" s="1881"/>
      <c r="EL2743" s="1881"/>
      <c r="EM2743" s="1881"/>
    </row>
    <row r="2744" spans="140:143">
      <c r="EJ2744" s="1881"/>
      <c r="EL2744" s="1881"/>
      <c r="EM2744" s="1881"/>
    </row>
    <row r="2745" spans="140:143">
      <c r="EJ2745" s="1881"/>
      <c r="EL2745" s="1881"/>
      <c r="EM2745" s="1881"/>
    </row>
    <row r="2746" spans="140:143">
      <c r="EJ2746" s="1881"/>
      <c r="EL2746" s="1881"/>
      <c r="EM2746" s="1881"/>
    </row>
    <row r="2747" spans="140:143">
      <c r="EJ2747" s="1881"/>
      <c r="EL2747" s="1881"/>
      <c r="EM2747" s="1881"/>
    </row>
    <row r="2748" spans="140:143">
      <c r="EJ2748" s="1881"/>
      <c r="EL2748" s="1881"/>
      <c r="EM2748" s="1881"/>
    </row>
    <row r="2749" spans="140:143">
      <c r="EJ2749" s="1881"/>
      <c r="EL2749" s="1881"/>
      <c r="EM2749" s="1881"/>
    </row>
    <row r="2750" spans="140:143">
      <c r="EJ2750" s="1881"/>
      <c r="EL2750" s="1881"/>
      <c r="EM2750" s="1881"/>
    </row>
    <row r="2751" spans="140:143">
      <c r="EJ2751" s="1881"/>
      <c r="EL2751" s="1881"/>
      <c r="EM2751" s="1881"/>
    </row>
    <row r="2752" spans="140:143">
      <c r="EJ2752" s="1881"/>
      <c r="EL2752" s="1881"/>
      <c r="EM2752" s="1881"/>
    </row>
    <row r="2753" spans="140:143">
      <c r="EJ2753" s="1881"/>
      <c r="EL2753" s="1881"/>
      <c r="EM2753" s="1881"/>
    </row>
    <row r="2754" spans="140:143">
      <c r="EJ2754" s="1881"/>
      <c r="EL2754" s="1881"/>
      <c r="EM2754" s="1881"/>
    </row>
    <row r="2755" spans="140:143">
      <c r="EJ2755" s="1881"/>
      <c r="EL2755" s="1881"/>
      <c r="EM2755" s="1881"/>
    </row>
    <row r="2756" spans="140:143">
      <c r="EJ2756" s="1881"/>
      <c r="EL2756" s="1881"/>
      <c r="EM2756" s="1881"/>
    </row>
    <row r="2757" spans="140:143">
      <c r="EJ2757" s="1881"/>
      <c r="EL2757" s="1881"/>
      <c r="EM2757" s="1881"/>
    </row>
    <row r="2758" spans="140:143">
      <c r="EJ2758" s="1881"/>
      <c r="EL2758" s="1881"/>
      <c r="EM2758" s="1881"/>
    </row>
    <row r="2759" spans="140:143">
      <c r="EJ2759" s="1881"/>
      <c r="EL2759" s="1881"/>
      <c r="EM2759" s="1881"/>
    </row>
    <row r="2760" spans="140:143">
      <c r="EJ2760" s="1881"/>
      <c r="EL2760" s="1881"/>
      <c r="EM2760" s="1881"/>
    </row>
    <row r="2761" spans="140:143">
      <c r="EJ2761" s="1881"/>
      <c r="EL2761" s="1881"/>
      <c r="EM2761" s="1881"/>
    </row>
    <row r="2762" spans="140:143">
      <c r="EJ2762" s="1881"/>
      <c r="EL2762" s="1881"/>
      <c r="EM2762" s="1881"/>
    </row>
    <row r="2763" spans="140:143">
      <c r="EJ2763" s="1881"/>
      <c r="EL2763" s="1881"/>
      <c r="EM2763" s="1881"/>
    </row>
    <row r="2764" spans="140:143">
      <c r="EJ2764" s="1881"/>
      <c r="EL2764" s="1881"/>
      <c r="EM2764" s="1881"/>
    </row>
    <row r="2765" spans="140:143">
      <c r="EJ2765" s="1881"/>
      <c r="EL2765" s="1881"/>
      <c r="EM2765" s="1881"/>
    </row>
    <row r="2766" spans="140:143">
      <c r="EJ2766" s="1881"/>
      <c r="EL2766" s="1881"/>
      <c r="EM2766" s="1881"/>
    </row>
    <row r="2767" spans="140:143">
      <c r="EJ2767" s="1881"/>
      <c r="EL2767" s="1881"/>
      <c r="EM2767" s="1881"/>
    </row>
    <row r="2768" spans="140:143">
      <c r="EJ2768" s="1881"/>
      <c r="EL2768" s="1881"/>
      <c r="EM2768" s="1881"/>
    </row>
    <row r="2769" spans="140:143">
      <c r="EJ2769" s="1881"/>
      <c r="EL2769" s="1881"/>
      <c r="EM2769" s="1881"/>
    </row>
    <row r="2770" spans="140:143">
      <c r="EJ2770" s="1881"/>
      <c r="EL2770" s="1881"/>
      <c r="EM2770" s="1881"/>
    </row>
    <row r="2771" spans="140:143">
      <c r="EJ2771" s="1881"/>
      <c r="EL2771" s="1881"/>
      <c r="EM2771" s="1881"/>
    </row>
    <row r="2772" spans="140:143">
      <c r="EJ2772" s="1881"/>
      <c r="EL2772" s="1881"/>
      <c r="EM2772" s="1881"/>
    </row>
    <row r="2773" spans="140:143">
      <c r="EJ2773" s="1881"/>
      <c r="EL2773" s="1881"/>
      <c r="EM2773" s="1881"/>
    </row>
    <row r="2774" spans="140:143">
      <c r="EJ2774" s="1881"/>
      <c r="EL2774" s="1881"/>
      <c r="EM2774" s="1881"/>
    </row>
    <row r="2775" spans="140:143">
      <c r="EJ2775" s="1881"/>
      <c r="EL2775" s="1881"/>
      <c r="EM2775" s="1881"/>
    </row>
    <row r="2776" spans="140:143">
      <c r="EJ2776" s="1881"/>
      <c r="EL2776" s="1881"/>
      <c r="EM2776" s="1881"/>
    </row>
    <row r="2777" spans="140:143">
      <c r="EJ2777" s="1881"/>
      <c r="EL2777" s="1881"/>
      <c r="EM2777" s="1881"/>
    </row>
    <row r="2778" spans="140:143">
      <c r="EJ2778" s="1881"/>
      <c r="EL2778" s="1881"/>
      <c r="EM2778" s="1881"/>
    </row>
    <row r="2779" spans="140:143">
      <c r="EJ2779" s="1881"/>
      <c r="EL2779" s="1881"/>
      <c r="EM2779" s="1881"/>
    </row>
    <row r="2780" spans="140:143">
      <c r="EJ2780" s="1881"/>
      <c r="EL2780" s="1881"/>
      <c r="EM2780" s="1881"/>
    </row>
    <row r="2781" spans="140:143">
      <c r="EJ2781" s="1881"/>
      <c r="EL2781" s="1881"/>
      <c r="EM2781" s="1881"/>
    </row>
    <row r="2782" spans="140:143">
      <c r="EJ2782" s="1881"/>
      <c r="EL2782" s="1881"/>
      <c r="EM2782" s="1881"/>
    </row>
    <row r="2783" spans="140:143">
      <c r="EJ2783" s="1881"/>
      <c r="EL2783" s="1881"/>
      <c r="EM2783" s="1881"/>
    </row>
    <row r="2784" spans="140:143">
      <c r="EJ2784" s="1881"/>
      <c r="EL2784" s="1881"/>
      <c r="EM2784" s="1881"/>
    </row>
    <row r="2785" spans="140:143">
      <c r="EJ2785" s="1881"/>
      <c r="EL2785" s="1881"/>
      <c r="EM2785" s="1881"/>
    </row>
    <row r="2786" spans="140:143">
      <c r="EJ2786" s="1881"/>
      <c r="EL2786" s="1881"/>
      <c r="EM2786" s="1881"/>
    </row>
    <row r="2787" spans="140:143">
      <c r="EJ2787" s="1881"/>
      <c r="EL2787" s="1881"/>
      <c r="EM2787" s="1881"/>
    </row>
    <row r="2788" spans="140:143">
      <c r="EJ2788" s="1881"/>
      <c r="EL2788" s="1881"/>
      <c r="EM2788" s="1881"/>
    </row>
    <row r="2789" spans="140:143">
      <c r="EJ2789" s="1881"/>
      <c r="EL2789" s="1881"/>
      <c r="EM2789" s="1881"/>
    </row>
    <row r="2790" spans="140:143">
      <c r="EJ2790" s="1881"/>
      <c r="EL2790" s="1881"/>
      <c r="EM2790" s="1881"/>
    </row>
    <row r="2791" spans="140:143">
      <c r="EJ2791" s="1881"/>
      <c r="EL2791" s="1881"/>
      <c r="EM2791" s="1881"/>
    </row>
    <row r="2792" spans="140:143">
      <c r="EJ2792" s="1881"/>
      <c r="EL2792" s="1881"/>
      <c r="EM2792" s="1881"/>
    </row>
    <row r="2793" spans="140:143">
      <c r="EJ2793" s="1881"/>
      <c r="EL2793" s="1881"/>
      <c r="EM2793" s="1881"/>
    </row>
    <row r="2794" spans="140:143">
      <c r="EJ2794" s="1881"/>
      <c r="EL2794" s="1881"/>
      <c r="EM2794" s="1881"/>
    </row>
    <row r="2795" spans="140:143">
      <c r="EJ2795" s="1881"/>
      <c r="EL2795" s="1881"/>
      <c r="EM2795" s="1881"/>
    </row>
    <row r="2796" spans="140:143">
      <c r="EJ2796" s="1881"/>
      <c r="EL2796" s="1881"/>
      <c r="EM2796" s="1881"/>
    </row>
    <row r="2797" spans="140:143">
      <c r="EJ2797" s="1881"/>
      <c r="EL2797" s="1881"/>
      <c r="EM2797" s="1881"/>
    </row>
    <row r="2798" spans="140:143">
      <c r="EJ2798" s="1881"/>
      <c r="EL2798" s="1881"/>
      <c r="EM2798" s="1881"/>
    </row>
    <row r="2799" spans="140:143">
      <c r="EJ2799" s="1881"/>
      <c r="EL2799" s="1881"/>
      <c r="EM2799" s="1881"/>
    </row>
    <row r="2800" spans="140:143">
      <c r="EJ2800" s="1881"/>
      <c r="EL2800" s="1881"/>
      <c r="EM2800" s="1881"/>
    </row>
    <row r="2801" spans="140:143">
      <c r="EJ2801" s="1881"/>
      <c r="EL2801" s="1881"/>
      <c r="EM2801" s="1881"/>
    </row>
    <row r="2802" spans="140:143">
      <c r="EJ2802" s="1881"/>
      <c r="EL2802" s="1881"/>
      <c r="EM2802" s="1881"/>
    </row>
    <row r="2803" spans="140:143">
      <c r="EJ2803" s="1881"/>
      <c r="EL2803" s="1881"/>
      <c r="EM2803" s="1881"/>
    </row>
    <row r="2804" spans="140:143">
      <c r="EJ2804" s="1881"/>
      <c r="EL2804" s="1881"/>
      <c r="EM2804" s="1881"/>
    </row>
    <row r="2805" spans="140:143">
      <c r="EJ2805" s="1881"/>
      <c r="EL2805" s="1881"/>
      <c r="EM2805" s="1881"/>
    </row>
    <row r="2806" spans="140:143">
      <c r="EJ2806" s="1881"/>
      <c r="EL2806" s="1881"/>
      <c r="EM2806" s="1881"/>
    </row>
    <row r="2807" spans="140:143">
      <c r="EJ2807" s="1881"/>
      <c r="EL2807" s="1881"/>
      <c r="EM2807" s="1881"/>
    </row>
    <row r="2808" spans="140:143">
      <c r="EJ2808" s="1881"/>
      <c r="EL2808" s="1881"/>
      <c r="EM2808" s="1881"/>
    </row>
    <row r="2809" spans="140:143">
      <c r="EJ2809" s="1881"/>
      <c r="EL2809" s="1881"/>
      <c r="EM2809" s="1881"/>
    </row>
    <row r="2810" spans="140:143">
      <c r="EJ2810" s="1881"/>
      <c r="EL2810" s="1881"/>
      <c r="EM2810" s="1881"/>
    </row>
    <row r="2811" spans="140:143">
      <c r="EJ2811" s="1881"/>
      <c r="EL2811" s="1881"/>
      <c r="EM2811" s="1881"/>
    </row>
    <row r="2812" spans="140:143">
      <c r="EJ2812" s="1881"/>
      <c r="EL2812" s="1881"/>
      <c r="EM2812" s="1881"/>
    </row>
    <row r="2813" spans="140:143">
      <c r="EJ2813" s="1881"/>
      <c r="EL2813" s="1881"/>
      <c r="EM2813" s="1881"/>
    </row>
    <row r="2814" spans="140:143">
      <c r="EJ2814" s="1881"/>
      <c r="EL2814" s="1881"/>
      <c r="EM2814" s="1881"/>
    </row>
    <row r="2815" spans="140:143">
      <c r="EJ2815" s="1881"/>
      <c r="EL2815" s="1881"/>
      <c r="EM2815" s="1881"/>
    </row>
    <row r="2816" spans="140:143">
      <c r="EJ2816" s="1881"/>
      <c r="EL2816" s="1881"/>
      <c r="EM2816" s="1881"/>
    </row>
    <row r="2817" spans="140:143">
      <c r="EJ2817" s="1881"/>
      <c r="EL2817" s="1881"/>
      <c r="EM2817" s="1881"/>
    </row>
    <row r="2818" spans="140:143">
      <c r="EJ2818" s="1881"/>
      <c r="EL2818" s="1881"/>
      <c r="EM2818" s="1881"/>
    </row>
    <row r="2819" spans="140:143">
      <c r="EJ2819" s="1881"/>
      <c r="EL2819" s="1881"/>
      <c r="EM2819" s="1881"/>
    </row>
    <row r="2820" spans="140:143">
      <c r="EJ2820" s="1881"/>
      <c r="EL2820" s="1881"/>
      <c r="EM2820" s="1881"/>
    </row>
    <row r="2821" spans="140:143">
      <c r="EJ2821" s="1881"/>
      <c r="EL2821" s="1881"/>
      <c r="EM2821" s="1881"/>
    </row>
    <row r="2822" spans="140:143">
      <c r="EJ2822" s="1881"/>
      <c r="EL2822" s="1881"/>
      <c r="EM2822" s="1881"/>
    </row>
    <row r="2823" spans="140:143">
      <c r="EJ2823" s="1881"/>
      <c r="EL2823" s="1881"/>
      <c r="EM2823" s="1881"/>
    </row>
    <row r="2824" spans="140:143">
      <c r="EJ2824" s="1881"/>
      <c r="EL2824" s="1881"/>
      <c r="EM2824" s="1881"/>
    </row>
    <row r="2825" spans="140:143">
      <c r="EJ2825" s="1881"/>
      <c r="EL2825" s="1881"/>
      <c r="EM2825" s="1881"/>
    </row>
    <row r="2826" spans="140:143">
      <c r="EJ2826" s="1881"/>
      <c r="EL2826" s="1881"/>
      <c r="EM2826" s="1881"/>
    </row>
    <row r="2827" spans="140:143">
      <c r="EJ2827" s="1881"/>
      <c r="EL2827" s="1881"/>
      <c r="EM2827" s="1881"/>
    </row>
    <row r="2828" spans="140:143">
      <c r="EJ2828" s="1881"/>
      <c r="EL2828" s="1881"/>
      <c r="EM2828" s="1881"/>
    </row>
    <row r="2829" spans="140:143">
      <c r="EJ2829" s="1881"/>
      <c r="EL2829" s="1881"/>
      <c r="EM2829" s="1881"/>
    </row>
    <row r="2830" spans="140:143">
      <c r="EJ2830" s="1881"/>
      <c r="EL2830" s="1881"/>
      <c r="EM2830" s="1881"/>
    </row>
    <row r="2831" spans="140:143">
      <c r="EJ2831" s="1881"/>
      <c r="EL2831" s="1881"/>
      <c r="EM2831" s="1881"/>
    </row>
    <row r="2832" spans="140:143">
      <c r="EJ2832" s="1881"/>
      <c r="EL2832" s="1881"/>
      <c r="EM2832" s="1881"/>
    </row>
    <row r="2833" spans="140:143">
      <c r="EJ2833" s="1881"/>
      <c r="EL2833" s="1881"/>
      <c r="EM2833" s="1881"/>
    </row>
    <row r="2834" spans="140:143">
      <c r="EJ2834" s="1881"/>
      <c r="EL2834" s="1881"/>
      <c r="EM2834" s="1881"/>
    </row>
    <row r="2835" spans="140:143">
      <c r="EJ2835" s="1881"/>
      <c r="EL2835" s="1881"/>
      <c r="EM2835" s="1881"/>
    </row>
    <row r="2836" spans="140:143">
      <c r="EJ2836" s="1881"/>
      <c r="EL2836" s="1881"/>
      <c r="EM2836" s="1881"/>
    </row>
    <row r="2837" spans="140:143">
      <c r="EJ2837" s="1881"/>
      <c r="EL2837" s="1881"/>
      <c r="EM2837" s="1881"/>
    </row>
    <row r="2838" spans="140:143">
      <c r="EJ2838" s="1881"/>
      <c r="EL2838" s="1881"/>
      <c r="EM2838" s="1881"/>
    </row>
    <row r="2839" spans="140:143">
      <c r="EJ2839" s="1881"/>
      <c r="EL2839" s="1881"/>
      <c r="EM2839" s="1881"/>
    </row>
    <row r="2840" spans="140:143">
      <c r="EJ2840" s="1881"/>
      <c r="EL2840" s="1881"/>
      <c r="EM2840" s="1881"/>
    </row>
    <row r="2841" spans="140:143">
      <c r="EJ2841" s="1881"/>
      <c r="EL2841" s="1881"/>
      <c r="EM2841" s="1881"/>
    </row>
    <row r="2842" spans="140:143">
      <c r="EJ2842" s="1881"/>
      <c r="EL2842" s="1881"/>
      <c r="EM2842" s="1881"/>
    </row>
    <row r="2843" spans="140:143">
      <c r="EJ2843" s="1881"/>
      <c r="EL2843" s="1881"/>
      <c r="EM2843" s="1881"/>
    </row>
    <row r="2844" spans="140:143">
      <c r="EJ2844" s="1881"/>
      <c r="EL2844" s="1881"/>
      <c r="EM2844" s="1881"/>
    </row>
    <row r="2845" spans="140:143">
      <c r="EJ2845" s="1881"/>
      <c r="EL2845" s="1881"/>
      <c r="EM2845" s="1881"/>
    </row>
    <row r="2846" spans="140:143">
      <c r="EJ2846" s="1881"/>
      <c r="EL2846" s="1881"/>
      <c r="EM2846" s="1881"/>
    </row>
    <row r="2847" spans="140:143">
      <c r="EJ2847" s="1881"/>
      <c r="EL2847" s="1881"/>
      <c r="EM2847" s="1881"/>
    </row>
    <row r="2848" spans="140:143">
      <c r="EJ2848" s="1881"/>
      <c r="EL2848" s="1881"/>
      <c r="EM2848" s="1881"/>
    </row>
    <row r="2849" spans="140:143">
      <c r="EJ2849" s="1881"/>
      <c r="EL2849" s="1881"/>
      <c r="EM2849" s="1881"/>
    </row>
    <row r="2850" spans="140:143">
      <c r="EJ2850" s="1881"/>
      <c r="EL2850" s="1881"/>
      <c r="EM2850" s="1881"/>
    </row>
    <row r="2851" spans="140:143">
      <c r="EJ2851" s="1881"/>
      <c r="EL2851" s="1881"/>
      <c r="EM2851" s="1881"/>
    </row>
    <row r="2852" spans="140:143">
      <c r="EJ2852" s="1881"/>
      <c r="EL2852" s="1881"/>
      <c r="EM2852" s="1881"/>
    </row>
    <row r="2853" spans="140:143">
      <c r="EJ2853" s="1881"/>
      <c r="EL2853" s="1881"/>
      <c r="EM2853" s="1881"/>
    </row>
    <row r="2854" spans="140:143">
      <c r="EJ2854" s="1881"/>
      <c r="EL2854" s="1881"/>
      <c r="EM2854" s="1881"/>
    </row>
    <row r="2855" spans="140:143">
      <c r="EJ2855" s="1881"/>
      <c r="EL2855" s="1881"/>
      <c r="EM2855" s="1881"/>
    </row>
    <row r="2856" spans="140:143">
      <c r="EJ2856" s="1881"/>
      <c r="EL2856" s="1881"/>
      <c r="EM2856" s="1881"/>
    </row>
    <row r="2857" spans="140:143">
      <c r="EJ2857" s="1881"/>
      <c r="EL2857" s="1881"/>
      <c r="EM2857" s="1881"/>
    </row>
    <row r="2858" spans="140:143">
      <c r="EJ2858" s="1881"/>
      <c r="EL2858" s="1881"/>
      <c r="EM2858" s="1881"/>
    </row>
    <row r="2859" spans="140:143">
      <c r="EJ2859" s="1881"/>
      <c r="EL2859" s="1881"/>
      <c r="EM2859" s="1881"/>
    </row>
    <row r="2860" spans="140:143">
      <c r="EJ2860" s="1881"/>
      <c r="EL2860" s="1881"/>
      <c r="EM2860" s="1881"/>
    </row>
    <row r="2861" spans="140:143">
      <c r="EJ2861" s="1881"/>
      <c r="EL2861" s="1881"/>
      <c r="EM2861" s="1881"/>
    </row>
    <row r="2862" spans="140:143">
      <c r="EJ2862" s="1881"/>
      <c r="EL2862" s="1881"/>
      <c r="EM2862" s="1881"/>
    </row>
    <row r="2863" spans="140:143">
      <c r="EJ2863" s="1881"/>
      <c r="EL2863" s="1881"/>
      <c r="EM2863" s="1881"/>
    </row>
    <row r="2864" spans="140:143">
      <c r="EJ2864" s="1881"/>
      <c r="EL2864" s="1881"/>
      <c r="EM2864" s="1881"/>
    </row>
    <row r="2865" spans="140:143">
      <c r="EJ2865" s="1881"/>
      <c r="EL2865" s="1881"/>
      <c r="EM2865" s="1881"/>
    </row>
    <row r="2866" spans="140:143">
      <c r="EJ2866" s="1881"/>
      <c r="EL2866" s="1881"/>
      <c r="EM2866" s="1881"/>
    </row>
    <row r="2867" spans="140:143">
      <c r="EJ2867" s="1881"/>
      <c r="EL2867" s="1881"/>
      <c r="EM2867" s="1881"/>
    </row>
    <row r="2868" spans="140:143">
      <c r="EJ2868" s="1881"/>
      <c r="EL2868" s="1881"/>
      <c r="EM2868" s="1881"/>
    </row>
    <row r="2869" spans="140:143">
      <c r="EJ2869" s="1881"/>
      <c r="EL2869" s="1881"/>
      <c r="EM2869" s="1881"/>
    </row>
    <row r="2870" spans="140:143">
      <c r="EJ2870" s="1881"/>
      <c r="EL2870" s="1881"/>
      <c r="EM2870" s="1881"/>
    </row>
    <row r="2871" spans="140:143">
      <c r="EJ2871" s="1881"/>
      <c r="EL2871" s="1881"/>
      <c r="EM2871" s="1881"/>
    </row>
    <row r="2872" spans="140:143">
      <c r="EJ2872" s="1881"/>
      <c r="EL2872" s="1881"/>
      <c r="EM2872" s="1881"/>
    </row>
    <row r="2873" spans="140:143">
      <c r="EJ2873" s="1881"/>
      <c r="EL2873" s="1881"/>
      <c r="EM2873" s="1881"/>
    </row>
    <row r="2874" spans="140:143">
      <c r="EJ2874" s="1881"/>
      <c r="EL2874" s="1881"/>
      <c r="EM2874" s="1881"/>
    </row>
    <row r="2875" spans="140:143">
      <c r="EJ2875" s="1881"/>
      <c r="EL2875" s="1881"/>
      <c r="EM2875" s="1881"/>
    </row>
    <row r="2876" spans="140:143">
      <c r="EJ2876" s="1881"/>
      <c r="EL2876" s="1881"/>
      <c r="EM2876" s="1881"/>
    </row>
    <row r="2877" spans="140:143">
      <c r="EJ2877" s="1881"/>
      <c r="EL2877" s="1881"/>
      <c r="EM2877" s="1881"/>
    </row>
    <row r="2878" spans="140:143">
      <c r="EJ2878" s="1881"/>
      <c r="EL2878" s="1881"/>
      <c r="EM2878" s="1881"/>
    </row>
    <row r="2879" spans="140:143">
      <c r="EJ2879" s="1881"/>
      <c r="EL2879" s="1881"/>
      <c r="EM2879" s="1881"/>
    </row>
    <row r="2880" spans="140:143">
      <c r="EJ2880" s="1881"/>
      <c r="EL2880" s="1881"/>
      <c r="EM2880" s="1881"/>
    </row>
    <row r="2881" spans="140:143">
      <c r="EJ2881" s="1881"/>
      <c r="EL2881" s="1881"/>
      <c r="EM2881" s="1881"/>
    </row>
    <row r="2882" spans="140:143">
      <c r="EJ2882" s="1881"/>
      <c r="EL2882" s="1881"/>
      <c r="EM2882" s="1881"/>
    </row>
    <row r="2883" spans="140:143">
      <c r="EJ2883" s="1881"/>
      <c r="EL2883" s="1881"/>
      <c r="EM2883" s="1881"/>
    </row>
    <row r="2884" spans="140:143">
      <c r="EJ2884" s="1881"/>
      <c r="EL2884" s="1881"/>
      <c r="EM2884" s="1881"/>
    </row>
    <row r="2885" spans="140:143">
      <c r="EJ2885" s="1881"/>
      <c r="EL2885" s="1881"/>
      <c r="EM2885" s="1881"/>
    </row>
    <row r="2886" spans="140:143">
      <c r="EJ2886" s="1881"/>
      <c r="EL2886" s="1881"/>
      <c r="EM2886" s="1881"/>
    </row>
    <row r="2887" spans="140:143">
      <c r="EJ2887" s="1881"/>
      <c r="EL2887" s="1881"/>
      <c r="EM2887" s="1881"/>
    </row>
    <row r="2888" spans="140:143">
      <c r="EJ2888" s="1881"/>
      <c r="EL2888" s="1881"/>
      <c r="EM2888" s="1881"/>
    </row>
    <row r="2889" spans="140:143">
      <c r="EJ2889" s="1881"/>
      <c r="EL2889" s="1881"/>
      <c r="EM2889" s="1881"/>
    </row>
    <row r="2890" spans="140:143">
      <c r="EJ2890" s="1881"/>
      <c r="EL2890" s="1881"/>
      <c r="EM2890" s="1881"/>
    </row>
    <row r="2891" spans="140:143">
      <c r="EJ2891" s="1881"/>
      <c r="EL2891" s="1881"/>
      <c r="EM2891" s="1881"/>
    </row>
    <row r="2892" spans="140:143">
      <c r="EJ2892" s="1881"/>
      <c r="EL2892" s="1881"/>
      <c r="EM2892" s="1881"/>
    </row>
    <row r="2893" spans="140:143">
      <c r="EJ2893" s="1881"/>
      <c r="EL2893" s="1881"/>
      <c r="EM2893" s="1881"/>
    </row>
    <row r="2894" spans="140:143">
      <c r="EJ2894" s="1881"/>
      <c r="EL2894" s="1881"/>
      <c r="EM2894" s="1881"/>
    </row>
    <row r="2895" spans="140:143">
      <c r="EJ2895" s="1881"/>
      <c r="EL2895" s="1881"/>
      <c r="EM2895" s="1881"/>
    </row>
    <row r="2896" spans="140:143">
      <c r="EJ2896" s="1881"/>
      <c r="EL2896" s="1881"/>
      <c r="EM2896" s="1881"/>
    </row>
    <row r="2897" spans="140:143">
      <c r="EJ2897" s="1881"/>
      <c r="EL2897" s="1881"/>
      <c r="EM2897" s="1881"/>
    </row>
    <row r="2898" spans="140:143">
      <c r="EJ2898" s="1881"/>
      <c r="EL2898" s="1881"/>
      <c r="EM2898" s="1881"/>
    </row>
    <row r="2899" spans="140:143">
      <c r="EJ2899" s="1881"/>
      <c r="EL2899" s="1881"/>
      <c r="EM2899" s="1881"/>
    </row>
    <row r="2900" spans="140:143">
      <c r="EJ2900" s="1881"/>
      <c r="EL2900" s="1881"/>
      <c r="EM2900" s="1881"/>
    </row>
    <row r="2901" spans="140:143">
      <c r="EJ2901" s="1881"/>
      <c r="EL2901" s="1881"/>
      <c r="EM2901" s="1881"/>
    </row>
    <row r="2902" spans="140:143">
      <c r="EJ2902" s="1881"/>
      <c r="EL2902" s="1881"/>
      <c r="EM2902" s="1881"/>
    </row>
    <row r="2903" spans="140:143">
      <c r="EJ2903" s="1881"/>
      <c r="EL2903" s="1881"/>
      <c r="EM2903" s="1881"/>
    </row>
    <row r="2904" spans="140:143">
      <c r="EJ2904" s="1881"/>
      <c r="EL2904" s="1881"/>
      <c r="EM2904" s="1881"/>
    </row>
    <row r="2905" spans="140:143">
      <c r="EJ2905" s="1881"/>
      <c r="EL2905" s="1881"/>
      <c r="EM2905" s="1881"/>
    </row>
    <row r="2906" spans="140:143">
      <c r="EJ2906" s="1881"/>
      <c r="EL2906" s="1881"/>
      <c r="EM2906" s="1881"/>
    </row>
    <row r="2907" spans="140:143">
      <c r="EJ2907" s="1881"/>
      <c r="EL2907" s="1881"/>
      <c r="EM2907" s="1881"/>
    </row>
    <row r="2908" spans="140:143">
      <c r="EJ2908" s="1881"/>
      <c r="EL2908" s="1881"/>
      <c r="EM2908" s="1881"/>
    </row>
    <row r="2909" spans="140:143">
      <c r="EJ2909" s="1881"/>
      <c r="EL2909" s="1881"/>
      <c r="EM2909" s="1881"/>
    </row>
    <row r="2910" spans="140:143">
      <c r="EJ2910" s="1881"/>
      <c r="EL2910" s="1881"/>
      <c r="EM2910" s="1881"/>
    </row>
    <row r="2911" spans="140:143">
      <c r="EJ2911" s="1881"/>
      <c r="EL2911" s="1881"/>
      <c r="EM2911" s="1881"/>
    </row>
    <row r="2912" spans="140:143">
      <c r="EJ2912" s="1881"/>
      <c r="EL2912" s="1881"/>
      <c r="EM2912" s="1881"/>
    </row>
    <row r="2913" spans="140:143">
      <c r="EJ2913" s="1881"/>
      <c r="EL2913" s="1881"/>
      <c r="EM2913" s="1881"/>
    </row>
    <row r="2914" spans="140:143">
      <c r="EJ2914" s="1881"/>
      <c r="EL2914" s="1881"/>
      <c r="EM2914" s="1881"/>
    </row>
    <row r="2915" spans="140:143">
      <c r="EJ2915" s="1881"/>
      <c r="EL2915" s="1881"/>
      <c r="EM2915" s="1881"/>
    </row>
    <row r="2916" spans="140:143">
      <c r="EJ2916" s="1881"/>
      <c r="EL2916" s="1881"/>
      <c r="EM2916" s="1881"/>
    </row>
    <row r="2917" spans="140:143">
      <c r="EJ2917" s="1881"/>
      <c r="EL2917" s="1881"/>
      <c r="EM2917" s="1881"/>
    </row>
    <row r="2918" spans="140:143">
      <c r="EJ2918" s="1881"/>
      <c r="EL2918" s="1881"/>
      <c r="EM2918" s="1881"/>
    </row>
    <row r="2919" spans="140:143">
      <c r="EJ2919" s="1881"/>
      <c r="EL2919" s="1881"/>
      <c r="EM2919" s="1881"/>
    </row>
    <row r="2920" spans="140:143">
      <c r="EJ2920" s="1881"/>
      <c r="EL2920" s="1881"/>
      <c r="EM2920" s="1881"/>
    </row>
    <row r="2921" spans="140:143">
      <c r="EJ2921" s="1881"/>
      <c r="EL2921" s="1881"/>
      <c r="EM2921" s="1881"/>
    </row>
    <row r="2922" spans="140:143">
      <c r="EJ2922" s="1881"/>
      <c r="EL2922" s="1881"/>
      <c r="EM2922" s="1881"/>
    </row>
    <row r="2923" spans="140:143">
      <c r="EJ2923" s="1881"/>
      <c r="EL2923" s="1881"/>
      <c r="EM2923" s="1881"/>
    </row>
    <row r="2924" spans="140:143">
      <c r="EJ2924" s="1881"/>
      <c r="EL2924" s="1881"/>
      <c r="EM2924" s="1881"/>
    </row>
    <row r="2925" spans="140:143">
      <c r="EJ2925" s="1881"/>
      <c r="EL2925" s="1881"/>
      <c r="EM2925" s="1881"/>
    </row>
    <row r="2926" spans="140:143">
      <c r="EJ2926" s="1881"/>
      <c r="EL2926" s="1881"/>
      <c r="EM2926" s="1881"/>
    </row>
    <row r="2927" spans="140:143">
      <c r="EJ2927" s="1881"/>
      <c r="EL2927" s="1881"/>
      <c r="EM2927" s="1881"/>
    </row>
    <row r="2928" spans="140:143">
      <c r="EJ2928" s="1881"/>
      <c r="EL2928" s="1881"/>
      <c r="EM2928" s="1881"/>
    </row>
    <row r="2929" spans="140:143">
      <c r="EJ2929" s="1881"/>
      <c r="EL2929" s="1881"/>
      <c r="EM2929" s="1881"/>
    </row>
    <row r="2930" spans="140:143">
      <c r="EJ2930" s="1881"/>
      <c r="EL2930" s="1881"/>
      <c r="EM2930" s="1881"/>
    </row>
    <row r="2931" spans="140:143">
      <c r="EJ2931" s="1881"/>
      <c r="EL2931" s="1881"/>
      <c r="EM2931" s="1881"/>
    </row>
    <row r="2932" spans="140:143">
      <c r="EJ2932" s="1881"/>
      <c r="EL2932" s="1881"/>
      <c r="EM2932" s="1881"/>
    </row>
    <row r="2933" spans="140:143">
      <c r="EJ2933" s="1881"/>
      <c r="EL2933" s="1881"/>
      <c r="EM2933" s="1881"/>
    </row>
    <row r="2934" spans="140:143">
      <c r="EJ2934" s="1881"/>
      <c r="EL2934" s="1881"/>
      <c r="EM2934" s="1881"/>
    </row>
    <row r="2935" spans="140:143">
      <c r="EJ2935" s="1881"/>
      <c r="EL2935" s="1881"/>
      <c r="EM2935" s="1881"/>
    </row>
    <row r="2936" spans="140:143">
      <c r="EJ2936" s="1881"/>
      <c r="EL2936" s="1881"/>
      <c r="EM2936" s="1881"/>
    </row>
    <row r="2937" spans="140:143">
      <c r="EJ2937" s="1881"/>
      <c r="EL2937" s="1881"/>
      <c r="EM2937" s="1881"/>
    </row>
    <row r="2938" spans="140:143">
      <c r="EJ2938" s="1881"/>
      <c r="EL2938" s="1881"/>
      <c r="EM2938" s="1881"/>
    </row>
    <row r="2939" spans="140:143">
      <c r="EJ2939" s="1881"/>
      <c r="EL2939" s="1881"/>
      <c r="EM2939" s="1881"/>
    </row>
    <row r="2940" spans="140:143">
      <c r="EJ2940" s="1881"/>
      <c r="EL2940" s="1881"/>
      <c r="EM2940" s="1881"/>
    </row>
    <row r="2941" spans="140:143">
      <c r="EJ2941" s="1881"/>
      <c r="EL2941" s="1881"/>
      <c r="EM2941" s="1881"/>
    </row>
    <row r="2942" spans="140:143">
      <c r="EJ2942" s="1881"/>
      <c r="EL2942" s="1881"/>
      <c r="EM2942" s="1881"/>
    </row>
    <row r="2943" spans="140:143">
      <c r="EJ2943" s="1881"/>
      <c r="EL2943" s="1881"/>
      <c r="EM2943" s="1881"/>
    </row>
    <row r="2944" spans="140:143">
      <c r="EJ2944" s="1881"/>
      <c r="EL2944" s="1881"/>
      <c r="EM2944" s="1881"/>
    </row>
    <row r="2945" spans="140:143">
      <c r="EJ2945" s="1881"/>
      <c r="EL2945" s="1881"/>
      <c r="EM2945" s="1881"/>
    </row>
    <row r="2946" spans="140:143">
      <c r="EJ2946" s="1881"/>
      <c r="EL2946" s="1881"/>
      <c r="EM2946" s="1881"/>
    </row>
    <row r="2947" spans="140:143">
      <c r="EJ2947" s="1881"/>
      <c r="EL2947" s="1881"/>
      <c r="EM2947" s="1881"/>
    </row>
    <row r="2948" spans="140:143">
      <c r="EJ2948" s="1881"/>
      <c r="EL2948" s="1881"/>
      <c r="EM2948" s="1881"/>
    </row>
    <row r="2949" spans="140:143">
      <c r="EJ2949" s="1881"/>
      <c r="EL2949" s="1881"/>
      <c r="EM2949" s="1881"/>
    </row>
    <row r="2950" spans="140:143">
      <c r="EJ2950" s="1881"/>
      <c r="EL2950" s="1881"/>
      <c r="EM2950" s="1881"/>
    </row>
    <row r="2951" spans="140:143">
      <c r="EJ2951" s="1881"/>
      <c r="EL2951" s="1881"/>
      <c r="EM2951" s="1881"/>
    </row>
    <row r="2952" spans="140:143">
      <c r="EJ2952" s="1881"/>
      <c r="EL2952" s="1881"/>
      <c r="EM2952" s="1881"/>
    </row>
    <row r="2953" spans="140:143">
      <c r="EJ2953" s="1881"/>
      <c r="EL2953" s="1881"/>
      <c r="EM2953" s="1881"/>
    </row>
    <row r="2954" spans="140:143">
      <c r="EJ2954" s="1881"/>
      <c r="EL2954" s="1881"/>
      <c r="EM2954" s="1881"/>
    </row>
    <row r="2955" spans="140:143">
      <c r="EJ2955" s="1881"/>
      <c r="EL2955" s="1881"/>
      <c r="EM2955" s="1881"/>
    </row>
    <row r="2956" spans="140:143">
      <c r="EJ2956" s="1881"/>
      <c r="EL2956" s="1881"/>
      <c r="EM2956" s="1881"/>
    </row>
    <row r="2957" spans="140:143">
      <c r="EJ2957" s="1881"/>
      <c r="EL2957" s="1881"/>
      <c r="EM2957" s="1881"/>
    </row>
    <row r="2958" spans="140:143">
      <c r="EJ2958" s="1881"/>
      <c r="EL2958" s="1881"/>
      <c r="EM2958" s="1881"/>
    </row>
    <row r="2959" spans="140:143">
      <c r="EJ2959" s="1881"/>
      <c r="EL2959" s="1881"/>
      <c r="EM2959" s="1881"/>
    </row>
    <row r="2960" spans="140:143">
      <c r="EJ2960" s="1881"/>
      <c r="EL2960" s="1881"/>
      <c r="EM2960" s="1881"/>
    </row>
    <row r="2961" spans="140:143">
      <c r="EJ2961" s="1881"/>
      <c r="EL2961" s="1881"/>
      <c r="EM2961" s="1881"/>
    </row>
    <row r="2962" spans="140:143">
      <c r="EJ2962" s="1881"/>
      <c r="EL2962" s="1881"/>
      <c r="EM2962" s="1881"/>
    </row>
    <row r="2963" spans="140:143">
      <c r="EJ2963" s="1881"/>
      <c r="EL2963" s="1881"/>
      <c r="EM2963" s="1881"/>
    </row>
    <row r="2964" spans="140:143">
      <c r="EJ2964" s="1881"/>
      <c r="EL2964" s="1881"/>
      <c r="EM2964" s="1881"/>
    </row>
    <row r="2965" spans="140:143">
      <c r="EJ2965" s="1881"/>
      <c r="EL2965" s="1881"/>
      <c r="EM2965" s="1881"/>
    </row>
    <row r="2966" spans="140:143">
      <c r="EJ2966" s="1881"/>
      <c r="EL2966" s="1881"/>
      <c r="EM2966" s="1881"/>
    </row>
    <row r="2967" spans="140:143">
      <c r="EJ2967" s="1881"/>
      <c r="EL2967" s="1881"/>
      <c r="EM2967" s="1881"/>
    </row>
    <row r="2968" spans="140:143">
      <c r="EJ2968" s="1881"/>
      <c r="EL2968" s="1881"/>
      <c r="EM2968" s="1881"/>
    </row>
    <row r="2969" spans="140:143">
      <c r="EJ2969" s="1881"/>
      <c r="EL2969" s="1881"/>
      <c r="EM2969" s="1881"/>
    </row>
    <row r="2970" spans="140:143">
      <c r="EJ2970" s="1881"/>
      <c r="EL2970" s="1881"/>
      <c r="EM2970" s="1881"/>
    </row>
    <row r="2971" spans="140:143">
      <c r="EJ2971" s="1881"/>
      <c r="EL2971" s="1881"/>
      <c r="EM2971" s="1881"/>
    </row>
    <row r="2972" spans="140:143">
      <c r="EJ2972" s="1881"/>
      <c r="EL2972" s="1881"/>
      <c r="EM2972" s="1881"/>
    </row>
    <row r="2973" spans="140:143">
      <c r="EJ2973" s="1881"/>
      <c r="EL2973" s="1881"/>
      <c r="EM2973" s="1881"/>
    </row>
    <row r="2974" spans="140:143">
      <c r="EJ2974" s="1881"/>
      <c r="EL2974" s="1881"/>
      <c r="EM2974" s="1881"/>
    </row>
    <row r="2975" spans="140:143">
      <c r="EJ2975" s="1881"/>
      <c r="EL2975" s="1881"/>
      <c r="EM2975" s="1881"/>
    </row>
    <row r="2976" spans="140:143">
      <c r="EJ2976" s="1881"/>
      <c r="EL2976" s="1881"/>
      <c r="EM2976" s="1881"/>
    </row>
    <row r="2977" spans="140:143">
      <c r="EJ2977" s="1881"/>
      <c r="EL2977" s="1881"/>
      <c r="EM2977" s="1881"/>
    </row>
    <row r="2978" spans="140:143">
      <c r="EJ2978" s="1881"/>
      <c r="EL2978" s="1881"/>
      <c r="EM2978" s="1881"/>
    </row>
    <row r="2979" spans="140:143">
      <c r="EJ2979" s="1881"/>
      <c r="EL2979" s="1881"/>
      <c r="EM2979" s="1881"/>
    </row>
    <row r="2980" spans="140:143">
      <c r="EJ2980" s="1881"/>
      <c r="EL2980" s="1881"/>
      <c r="EM2980" s="1881"/>
    </row>
    <row r="2981" spans="140:143">
      <c r="EJ2981" s="1881"/>
      <c r="EL2981" s="1881"/>
      <c r="EM2981" s="1881"/>
    </row>
    <row r="2982" spans="140:143">
      <c r="EJ2982" s="1881"/>
      <c r="EL2982" s="1881"/>
      <c r="EM2982" s="1881"/>
    </row>
    <row r="2983" spans="140:143">
      <c r="EJ2983" s="1881"/>
      <c r="EL2983" s="1881"/>
      <c r="EM2983" s="1881"/>
    </row>
    <row r="2984" spans="140:143">
      <c r="EJ2984" s="1881"/>
      <c r="EL2984" s="1881"/>
      <c r="EM2984" s="1881"/>
    </row>
    <row r="2985" spans="140:143">
      <c r="EJ2985" s="1881"/>
      <c r="EL2985" s="1881"/>
      <c r="EM2985" s="1881"/>
    </row>
    <row r="2986" spans="140:143">
      <c r="EJ2986" s="1881"/>
      <c r="EL2986" s="1881"/>
      <c r="EM2986" s="1881"/>
    </row>
    <row r="2987" spans="140:143">
      <c r="EJ2987" s="1881"/>
      <c r="EL2987" s="1881"/>
      <c r="EM2987" s="1881"/>
    </row>
    <row r="2988" spans="140:143">
      <c r="EJ2988" s="1881"/>
      <c r="EL2988" s="1881"/>
      <c r="EM2988" s="1881"/>
    </row>
    <row r="2989" spans="140:143">
      <c r="EJ2989" s="1881"/>
      <c r="EL2989" s="1881"/>
      <c r="EM2989" s="1881"/>
    </row>
    <row r="2990" spans="140:143">
      <c r="EJ2990" s="1881"/>
      <c r="EL2990" s="1881"/>
      <c r="EM2990" s="1881"/>
    </row>
    <row r="2991" spans="140:143">
      <c r="EJ2991" s="1881"/>
      <c r="EL2991" s="1881"/>
      <c r="EM2991" s="1881"/>
    </row>
    <row r="2992" spans="140:143">
      <c r="EJ2992" s="1881"/>
      <c r="EL2992" s="1881"/>
      <c r="EM2992" s="1881"/>
    </row>
    <row r="2993" spans="140:143">
      <c r="EJ2993" s="1881"/>
      <c r="EL2993" s="1881"/>
      <c r="EM2993" s="1881"/>
    </row>
    <row r="2994" spans="140:143">
      <c r="EJ2994" s="1881"/>
      <c r="EL2994" s="1881"/>
      <c r="EM2994" s="1881"/>
    </row>
    <row r="2995" spans="140:143">
      <c r="EJ2995" s="1881"/>
      <c r="EL2995" s="1881"/>
      <c r="EM2995" s="1881"/>
    </row>
    <row r="2996" spans="140:143">
      <c r="EJ2996" s="1881"/>
      <c r="EL2996" s="1881"/>
      <c r="EM2996" s="1881"/>
    </row>
    <row r="2997" spans="140:143">
      <c r="EJ2997" s="1881"/>
      <c r="EL2997" s="1881"/>
      <c r="EM2997" s="1881"/>
    </row>
    <row r="2998" spans="140:143">
      <c r="EJ2998" s="1881"/>
      <c r="EL2998" s="1881"/>
      <c r="EM2998" s="1881"/>
    </row>
    <row r="2999" spans="140:143">
      <c r="EJ2999" s="1881"/>
      <c r="EL2999" s="1881"/>
      <c r="EM2999" s="1881"/>
    </row>
    <row r="3000" spans="140:143">
      <c r="EJ3000" s="1881"/>
      <c r="EL3000" s="1881"/>
      <c r="EM3000" s="1881"/>
    </row>
    <row r="3001" spans="140:143">
      <c r="EJ3001" s="1881"/>
      <c r="EL3001" s="1881"/>
      <c r="EM3001" s="1881"/>
    </row>
    <row r="3002" spans="140:143">
      <c r="EJ3002" s="1881"/>
      <c r="EL3002" s="1881"/>
      <c r="EM3002" s="1881"/>
    </row>
    <row r="3003" spans="140:143">
      <c r="EJ3003" s="1881"/>
      <c r="EL3003" s="1881"/>
      <c r="EM3003" s="1881"/>
    </row>
    <row r="3004" spans="140:143">
      <c r="EJ3004" s="1881"/>
      <c r="EL3004" s="1881"/>
      <c r="EM3004" s="1881"/>
    </row>
    <row r="3005" spans="140:143">
      <c r="EJ3005" s="1881"/>
      <c r="EL3005" s="1881"/>
      <c r="EM3005" s="1881"/>
    </row>
    <row r="3006" spans="140:143">
      <c r="EJ3006" s="1881"/>
      <c r="EL3006" s="1881"/>
      <c r="EM3006" s="1881"/>
    </row>
    <row r="3007" spans="140:143">
      <c r="EJ3007" s="1881"/>
      <c r="EL3007" s="1881"/>
      <c r="EM3007" s="1881"/>
    </row>
    <row r="3008" spans="140:143">
      <c r="EJ3008" s="1881"/>
      <c r="EL3008" s="1881"/>
      <c r="EM3008" s="1881"/>
    </row>
    <row r="3009" spans="140:143">
      <c r="EJ3009" s="1881"/>
      <c r="EL3009" s="1881"/>
      <c r="EM3009" s="1881"/>
    </row>
    <row r="3010" spans="140:143">
      <c r="EJ3010" s="1881"/>
      <c r="EL3010" s="1881"/>
      <c r="EM3010" s="1881"/>
    </row>
    <row r="3011" spans="140:143">
      <c r="EJ3011" s="1881"/>
      <c r="EL3011" s="1881"/>
      <c r="EM3011" s="1881"/>
    </row>
    <row r="3012" spans="140:143">
      <c r="EJ3012" s="1881"/>
      <c r="EL3012" s="1881"/>
      <c r="EM3012" s="1881"/>
    </row>
    <row r="3013" spans="140:143">
      <c r="EJ3013" s="1881"/>
      <c r="EL3013" s="1881"/>
      <c r="EM3013" s="1881"/>
    </row>
    <row r="3014" spans="140:143">
      <c r="EJ3014" s="1881"/>
      <c r="EL3014" s="1881"/>
      <c r="EM3014" s="1881"/>
    </row>
    <row r="3015" spans="140:143">
      <c r="EJ3015" s="1881"/>
      <c r="EL3015" s="1881"/>
      <c r="EM3015" s="1881"/>
    </row>
    <row r="3016" spans="140:143">
      <c r="EJ3016" s="1881"/>
      <c r="EL3016" s="1881"/>
      <c r="EM3016" s="1881"/>
    </row>
    <row r="3017" spans="140:143">
      <c r="EJ3017" s="1881"/>
      <c r="EL3017" s="1881"/>
      <c r="EM3017" s="1881"/>
    </row>
    <row r="3018" spans="140:143">
      <c r="EJ3018" s="1881"/>
      <c r="EL3018" s="1881"/>
      <c r="EM3018" s="1881"/>
    </row>
    <row r="3019" spans="140:143">
      <c r="EJ3019" s="1881"/>
      <c r="EL3019" s="1881"/>
      <c r="EM3019" s="1881"/>
    </row>
    <row r="3020" spans="140:143">
      <c r="EJ3020" s="1881"/>
      <c r="EL3020" s="1881"/>
      <c r="EM3020" s="1881"/>
    </row>
    <row r="3021" spans="140:143">
      <c r="EJ3021" s="1881"/>
      <c r="EL3021" s="1881"/>
      <c r="EM3021" s="1881"/>
    </row>
    <row r="3022" spans="140:143">
      <c r="EJ3022" s="1881"/>
      <c r="EL3022" s="1881"/>
      <c r="EM3022" s="1881"/>
    </row>
    <row r="3023" spans="140:143">
      <c r="EJ3023" s="1881"/>
      <c r="EL3023" s="1881"/>
      <c r="EM3023" s="1881"/>
    </row>
    <row r="3024" spans="140:143">
      <c r="EJ3024" s="1881"/>
      <c r="EL3024" s="1881"/>
      <c r="EM3024" s="1881"/>
    </row>
    <row r="3025" spans="140:143">
      <c r="EJ3025" s="1881"/>
      <c r="EL3025" s="1881"/>
      <c r="EM3025" s="1881"/>
    </row>
    <row r="3026" spans="140:143">
      <c r="EJ3026" s="1881"/>
      <c r="EL3026" s="1881"/>
      <c r="EM3026" s="1881"/>
    </row>
    <row r="3027" spans="140:143">
      <c r="EJ3027" s="1881"/>
      <c r="EL3027" s="1881"/>
      <c r="EM3027" s="1881"/>
    </row>
    <row r="3028" spans="140:143">
      <c r="EJ3028" s="1881"/>
      <c r="EL3028" s="1881"/>
      <c r="EM3028" s="1881"/>
    </row>
    <row r="3029" spans="140:143">
      <c r="EJ3029" s="1881"/>
      <c r="EL3029" s="1881"/>
      <c r="EM3029" s="1881"/>
    </row>
    <row r="3030" spans="140:143">
      <c r="EJ3030" s="1881"/>
      <c r="EL3030" s="1881"/>
      <c r="EM3030" s="1881"/>
    </row>
    <row r="3031" spans="140:143">
      <c r="EJ3031" s="1881"/>
      <c r="EL3031" s="1881"/>
      <c r="EM3031" s="1881"/>
    </row>
    <row r="3032" spans="140:143">
      <c r="EJ3032" s="1881"/>
      <c r="EL3032" s="1881"/>
      <c r="EM3032" s="1881"/>
    </row>
    <row r="3033" spans="140:143">
      <c r="EJ3033" s="1881"/>
      <c r="EL3033" s="1881"/>
      <c r="EM3033" s="1881"/>
    </row>
    <row r="3034" spans="140:143">
      <c r="EJ3034" s="1881"/>
      <c r="EL3034" s="1881"/>
      <c r="EM3034" s="1881"/>
    </row>
    <row r="3035" spans="140:143">
      <c r="EJ3035" s="1881"/>
      <c r="EL3035" s="1881"/>
      <c r="EM3035" s="1881"/>
    </row>
    <row r="3036" spans="140:143">
      <c r="EJ3036" s="1881"/>
      <c r="EL3036" s="1881"/>
      <c r="EM3036" s="1881"/>
    </row>
    <row r="3037" spans="140:143">
      <c r="EJ3037" s="1881"/>
      <c r="EL3037" s="1881"/>
      <c r="EM3037" s="1881"/>
    </row>
    <row r="3038" spans="140:143">
      <c r="EJ3038" s="1881"/>
      <c r="EL3038" s="1881"/>
      <c r="EM3038" s="1881"/>
    </row>
    <row r="3039" spans="140:143">
      <c r="EJ3039" s="1881"/>
      <c r="EL3039" s="1881"/>
      <c r="EM3039" s="1881"/>
    </row>
    <row r="3040" spans="140:143">
      <c r="EJ3040" s="1881"/>
      <c r="EL3040" s="1881"/>
      <c r="EM3040" s="1881"/>
    </row>
    <row r="3041" spans="140:143">
      <c r="EJ3041" s="1881"/>
      <c r="EL3041" s="1881"/>
      <c r="EM3041" s="1881"/>
    </row>
    <row r="3042" spans="140:143">
      <c r="EJ3042" s="1881"/>
      <c r="EL3042" s="1881"/>
      <c r="EM3042" s="1881"/>
    </row>
    <row r="3043" spans="140:143">
      <c r="EJ3043" s="1881"/>
      <c r="EL3043" s="1881"/>
      <c r="EM3043" s="1881"/>
    </row>
    <row r="3044" spans="140:143">
      <c r="EJ3044" s="1881"/>
      <c r="EL3044" s="1881"/>
      <c r="EM3044" s="1881"/>
    </row>
    <row r="3045" spans="140:143">
      <c r="EJ3045" s="1881"/>
      <c r="EL3045" s="1881"/>
      <c r="EM3045" s="1881"/>
    </row>
    <row r="3046" spans="140:143">
      <c r="EJ3046" s="1881"/>
      <c r="EL3046" s="1881"/>
      <c r="EM3046" s="1881"/>
    </row>
    <row r="3047" spans="140:143">
      <c r="EJ3047" s="1881"/>
      <c r="EL3047" s="1881"/>
      <c r="EM3047" s="1881"/>
    </row>
    <row r="3048" spans="140:143">
      <c r="EJ3048" s="1881"/>
      <c r="EL3048" s="1881"/>
      <c r="EM3048" s="1881"/>
    </row>
    <row r="3049" spans="140:143">
      <c r="EJ3049" s="1881"/>
      <c r="EL3049" s="1881"/>
      <c r="EM3049" s="1881"/>
    </row>
    <row r="3050" spans="140:143">
      <c r="EJ3050" s="1881"/>
      <c r="EL3050" s="1881"/>
      <c r="EM3050" s="1881"/>
    </row>
    <row r="3051" spans="140:143">
      <c r="EJ3051" s="1881"/>
      <c r="EL3051" s="1881"/>
      <c r="EM3051" s="1881"/>
    </row>
    <row r="3052" spans="140:143">
      <c r="EJ3052" s="1881"/>
      <c r="EL3052" s="1881"/>
      <c r="EM3052" s="1881"/>
    </row>
    <row r="3053" spans="140:143">
      <c r="EJ3053" s="1881"/>
      <c r="EL3053" s="1881"/>
      <c r="EM3053" s="1881"/>
    </row>
    <row r="3054" spans="140:143">
      <c r="EJ3054" s="1881"/>
      <c r="EL3054" s="1881"/>
      <c r="EM3054" s="1881"/>
    </row>
    <row r="3055" spans="140:143">
      <c r="EJ3055" s="1881"/>
      <c r="EL3055" s="1881"/>
      <c r="EM3055" s="1881"/>
    </row>
    <row r="3056" spans="140:143">
      <c r="EJ3056" s="1881"/>
      <c r="EL3056" s="1881"/>
      <c r="EM3056" s="1881"/>
    </row>
    <row r="3057" spans="140:143">
      <c r="EJ3057" s="1881"/>
      <c r="EL3057" s="1881"/>
      <c r="EM3057" s="1881"/>
    </row>
    <row r="3058" spans="140:143">
      <c r="EJ3058" s="1881"/>
      <c r="EL3058" s="1881"/>
      <c r="EM3058" s="1881"/>
    </row>
    <row r="3059" spans="140:143">
      <c r="EJ3059" s="1881"/>
      <c r="EL3059" s="1881"/>
      <c r="EM3059" s="1881"/>
    </row>
    <row r="3060" spans="140:143">
      <c r="EJ3060" s="1881"/>
      <c r="EL3060" s="1881"/>
      <c r="EM3060" s="1881"/>
    </row>
    <row r="3061" spans="140:143">
      <c r="EJ3061" s="1881"/>
      <c r="EL3061" s="1881"/>
      <c r="EM3061" s="1881"/>
    </row>
    <row r="3062" spans="140:143">
      <c r="EJ3062" s="1881"/>
      <c r="EL3062" s="1881"/>
      <c r="EM3062" s="1881"/>
    </row>
    <row r="3063" spans="140:143">
      <c r="EJ3063" s="1881"/>
      <c r="EL3063" s="1881"/>
      <c r="EM3063" s="1881"/>
    </row>
    <row r="3064" spans="140:143">
      <c r="EJ3064" s="1881"/>
      <c r="EL3064" s="1881"/>
      <c r="EM3064" s="1881"/>
    </row>
    <row r="3065" spans="140:143">
      <c r="EJ3065" s="1881"/>
      <c r="EL3065" s="1881"/>
      <c r="EM3065" s="1881"/>
    </row>
    <row r="3066" spans="140:143">
      <c r="EJ3066" s="1881"/>
      <c r="EL3066" s="1881"/>
      <c r="EM3066" s="1881"/>
    </row>
    <row r="3067" spans="140:143">
      <c r="EJ3067" s="1881"/>
      <c r="EL3067" s="1881"/>
      <c r="EM3067" s="1881"/>
    </row>
    <row r="3068" spans="140:143">
      <c r="EJ3068" s="1881"/>
      <c r="EL3068" s="1881"/>
      <c r="EM3068" s="1881"/>
    </row>
    <row r="3069" spans="140:143">
      <c r="EJ3069" s="1881"/>
      <c r="EL3069" s="1881"/>
      <c r="EM3069" s="1881"/>
    </row>
    <row r="3070" spans="140:143">
      <c r="EJ3070" s="1881"/>
      <c r="EL3070" s="1881"/>
      <c r="EM3070" s="1881"/>
    </row>
    <row r="3071" spans="140:143">
      <c r="EJ3071" s="1881"/>
      <c r="EL3071" s="1881"/>
      <c r="EM3071" s="1881"/>
    </row>
    <row r="3072" spans="140:143">
      <c r="EJ3072" s="1881"/>
      <c r="EL3072" s="1881"/>
      <c r="EM3072" s="1881"/>
    </row>
    <row r="3073" spans="140:143">
      <c r="EJ3073" s="1881"/>
      <c r="EL3073" s="1881"/>
      <c r="EM3073" s="1881"/>
    </row>
    <row r="3074" spans="140:143">
      <c r="EJ3074" s="1881"/>
      <c r="EL3074" s="1881"/>
      <c r="EM3074" s="1881"/>
    </row>
    <row r="3075" spans="140:143">
      <c r="EJ3075" s="1881"/>
      <c r="EL3075" s="1881"/>
      <c r="EM3075" s="1881"/>
    </row>
    <row r="3076" spans="140:143">
      <c r="EJ3076" s="1881"/>
      <c r="EL3076" s="1881"/>
      <c r="EM3076" s="1881"/>
    </row>
    <row r="3077" spans="140:143">
      <c r="EJ3077" s="1881"/>
      <c r="EL3077" s="1881"/>
      <c r="EM3077" s="1881"/>
    </row>
    <row r="3078" spans="140:143">
      <c r="EJ3078" s="1881"/>
      <c r="EL3078" s="1881"/>
      <c r="EM3078" s="1881"/>
    </row>
    <row r="3079" spans="140:143">
      <c r="EJ3079" s="1881"/>
      <c r="EL3079" s="1881"/>
      <c r="EM3079" s="1881"/>
    </row>
    <row r="3080" spans="140:143">
      <c r="EJ3080" s="1881"/>
      <c r="EL3080" s="1881"/>
      <c r="EM3080" s="1881"/>
    </row>
    <row r="3081" spans="140:143">
      <c r="EJ3081" s="1881"/>
      <c r="EL3081" s="1881"/>
      <c r="EM3081" s="1881"/>
    </row>
    <row r="3082" spans="140:143">
      <c r="EJ3082" s="1881"/>
      <c r="EL3082" s="1881"/>
      <c r="EM3082" s="1881"/>
    </row>
    <row r="3083" spans="140:143">
      <c r="EJ3083" s="1881"/>
      <c r="EL3083" s="1881"/>
      <c r="EM3083" s="1881"/>
    </row>
    <row r="3084" spans="140:143">
      <c r="EJ3084" s="1881"/>
      <c r="EL3084" s="1881"/>
      <c r="EM3084" s="1881"/>
    </row>
    <row r="3085" spans="140:143">
      <c r="EJ3085" s="1881"/>
      <c r="EL3085" s="1881"/>
      <c r="EM3085" s="1881"/>
    </row>
    <row r="3086" spans="140:143">
      <c r="EJ3086" s="1881"/>
      <c r="EL3086" s="1881"/>
      <c r="EM3086" s="1881"/>
    </row>
    <row r="3087" spans="140:143">
      <c r="EJ3087" s="1881"/>
      <c r="EL3087" s="1881"/>
      <c r="EM3087" s="1881"/>
    </row>
    <row r="3088" spans="140:143">
      <c r="EJ3088" s="1881"/>
      <c r="EL3088" s="1881"/>
      <c r="EM3088" s="1881"/>
    </row>
    <row r="3089" spans="140:143">
      <c r="EJ3089" s="1881"/>
      <c r="EL3089" s="1881"/>
      <c r="EM3089" s="1881"/>
    </row>
    <row r="3090" spans="140:143">
      <c r="EJ3090" s="1881"/>
      <c r="EL3090" s="1881"/>
      <c r="EM3090" s="1881"/>
    </row>
    <row r="3091" spans="140:143">
      <c r="EJ3091" s="1881"/>
      <c r="EL3091" s="1881"/>
      <c r="EM3091" s="1881"/>
    </row>
    <row r="3092" spans="140:143">
      <c r="EJ3092" s="1881"/>
      <c r="EL3092" s="1881"/>
      <c r="EM3092" s="1881"/>
    </row>
    <row r="3093" spans="140:143">
      <c r="EJ3093" s="1881"/>
      <c r="EL3093" s="1881"/>
      <c r="EM3093" s="1881"/>
    </row>
    <row r="3094" spans="140:143">
      <c r="EJ3094" s="1881"/>
      <c r="EL3094" s="1881"/>
      <c r="EM3094" s="1881"/>
    </row>
    <row r="3095" spans="140:143">
      <c r="EJ3095" s="1881"/>
      <c r="EL3095" s="1881"/>
      <c r="EM3095" s="1881"/>
    </row>
    <row r="3096" spans="140:143">
      <c r="EJ3096" s="1881"/>
      <c r="EL3096" s="1881"/>
      <c r="EM3096" s="1881"/>
    </row>
    <row r="3097" spans="140:143">
      <c r="EJ3097" s="1881"/>
      <c r="EL3097" s="1881"/>
      <c r="EM3097" s="1881"/>
    </row>
    <row r="3098" spans="140:143">
      <c r="EJ3098" s="1881"/>
      <c r="EL3098" s="1881"/>
      <c r="EM3098" s="1881"/>
    </row>
    <row r="3099" spans="140:143">
      <c r="EJ3099" s="1881"/>
      <c r="EL3099" s="1881"/>
      <c r="EM3099" s="1881"/>
    </row>
    <row r="3100" spans="140:143">
      <c r="EJ3100" s="1881"/>
      <c r="EL3100" s="1881"/>
      <c r="EM3100" s="1881"/>
    </row>
    <row r="3101" spans="140:143">
      <c r="EJ3101" s="1881"/>
      <c r="EL3101" s="1881"/>
      <c r="EM3101" s="1881"/>
    </row>
    <row r="3102" spans="140:143">
      <c r="EJ3102" s="1881"/>
      <c r="EL3102" s="1881"/>
      <c r="EM3102" s="1881"/>
    </row>
    <row r="3103" spans="140:143">
      <c r="EJ3103" s="1881"/>
      <c r="EL3103" s="1881"/>
      <c r="EM3103" s="1881"/>
    </row>
    <row r="3104" spans="140:143">
      <c r="EJ3104" s="1881"/>
      <c r="EL3104" s="1881"/>
      <c r="EM3104" s="1881"/>
    </row>
    <row r="3105" spans="140:143">
      <c r="EJ3105" s="1881"/>
      <c r="EL3105" s="1881"/>
      <c r="EM3105" s="1881"/>
    </row>
    <row r="3106" spans="140:143">
      <c r="EJ3106" s="1881"/>
      <c r="EL3106" s="1881"/>
      <c r="EM3106" s="1881"/>
    </row>
    <row r="3107" spans="140:143">
      <c r="EJ3107" s="1881"/>
      <c r="EL3107" s="1881"/>
      <c r="EM3107" s="1881"/>
    </row>
    <row r="3108" spans="140:143">
      <c r="EJ3108" s="1881"/>
      <c r="EL3108" s="1881"/>
      <c r="EM3108" s="1881"/>
    </row>
    <row r="3109" spans="140:143">
      <c r="EJ3109" s="1881"/>
      <c r="EL3109" s="1881"/>
      <c r="EM3109" s="1881"/>
    </row>
    <row r="3110" spans="140:143">
      <c r="EJ3110" s="1881"/>
      <c r="EL3110" s="1881"/>
      <c r="EM3110" s="1881"/>
    </row>
    <row r="3111" spans="140:143">
      <c r="EJ3111" s="1881"/>
      <c r="EL3111" s="1881"/>
      <c r="EM3111" s="1881"/>
    </row>
    <row r="3112" spans="140:143">
      <c r="EJ3112" s="1881"/>
      <c r="EL3112" s="1881"/>
      <c r="EM3112" s="1881"/>
    </row>
    <row r="3113" spans="140:143">
      <c r="EJ3113" s="1881"/>
      <c r="EL3113" s="1881"/>
      <c r="EM3113" s="1881"/>
    </row>
    <row r="3114" spans="140:143">
      <c r="EJ3114" s="1881"/>
      <c r="EL3114" s="1881"/>
      <c r="EM3114" s="1881"/>
    </row>
    <row r="3115" spans="140:143">
      <c r="EJ3115" s="1881"/>
      <c r="EL3115" s="1881"/>
      <c r="EM3115" s="1881"/>
    </row>
    <row r="3116" spans="140:143">
      <c r="EJ3116" s="1881"/>
      <c r="EL3116" s="1881"/>
      <c r="EM3116" s="1881"/>
    </row>
    <row r="3117" spans="140:143">
      <c r="EJ3117" s="1881"/>
      <c r="EL3117" s="1881"/>
      <c r="EM3117" s="1881"/>
    </row>
    <row r="3118" spans="140:143">
      <c r="EJ3118" s="1881"/>
      <c r="EL3118" s="1881"/>
      <c r="EM3118" s="1881"/>
    </row>
    <row r="3119" spans="140:143">
      <c r="EJ3119" s="1881"/>
      <c r="EL3119" s="1881"/>
      <c r="EM3119" s="1881"/>
    </row>
    <row r="3120" spans="140:143">
      <c r="EJ3120" s="1881"/>
      <c r="EL3120" s="1881"/>
      <c r="EM3120" s="1881"/>
    </row>
    <row r="3121" spans="140:143">
      <c r="EJ3121" s="1881"/>
      <c r="EL3121" s="1881"/>
      <c r="EM3121" s="1881"/>
    </row>
    <row r="3122" spans="140:143">
      <c r="EJ3122" s="1881"/>
      <c r="EL3122" s="1881"/>
      <c r="EM3122" s="1881"/>
    </row>
    <row r="3123" spans="140:143">
      <c r="EJ3123" s="1881"/>
      <c r="EL3123" s="1881"/>
      <c r="EM3123" s="1881"/>
    </row>
    <row r="3124" spans="140:143">
      <c r="EJ3124" s="1881"/>
      <c r="EL3124" s="1881"/>
      <c r="EM3124" s="1881"/>
    </row>
    <row r="3125" spans="140:143">
      <c r="EJ3125" s="1881"/>
      <c r="EL3125" s="1881"/>
      <c r="EM3125" s="1881"/>
    </row>
    <row r="3126" spans="140:143">
      <c r="EJ3126" s="1881"/>
      <c r="EL3126" s="1881"/>
      <c r="EM3126" s="1881"/>
    </row>
    <row r="3127" spans="140:143">
      <c r="EJ3127" s="1881"/>
      <c r="EL3127" s="1881"/>
      <c r="EM3127" s="1881"/>
    </row>
    <row r="3128" spans="140:143">
      <c r="EJ3128" s="1881"/>
      <c r="EL3128" s="1881"/>
      <c r="EM3128" s="1881"/>
    </row>
    <row r="3129" spans="140:143">
      <c r="EJ3129" s="1881"/>
      <c r="EL3129" s="1881"/>
      <c r="EM3129" s="1881"/>
    </row>
    <row r="3130" spans="140:143">
      <c r="EJ3130" s="1881"/>
      <c r="EL3130" s="1881"/>
      <c r="EM3130" s="1881"/>
    </row>
    <row r="3131" spans="140:143">
      <c r="EJ3131" s="1881"/>
      <c r="EL3131" s="1881"/>
      <c r="EM3131" s="1881"/>
    </row>
    <row r="3132" spans="140:143">
      <c r="EJ3132" s="1881"/>
      <c r="EL3132" s="1881"/>
      <c r="EM3132" s="1881"/>
    </row>
    <row r="3133" spans="140:143">
      <c r="EJ3133" s="1881"/>
      <c r="EL3133" s="1881"/>
      <c r="EM3133" s="1881"/>
    </row>
    <row r="3134" spans="140:143">
      <c r="EJ3134" s="1881"/>
      <c r="EL3134" s="1881"/>
      <c r="EM3134" s="1881"/>
    </row>
    <row r="3135" spans="140:143">
      <c r="EJ3135" s="1881"/>
      <c r="EL3135" s="1881"/>
      <c r="EM3135" s="1881"/>
    </row>
    <row r="3136" spans="140:143">
      <c r="EJ3136" s="1881"/>
      <c r="EL3136" s="1881"/>
      <c r="EM3136" s="1881"/>
    </row>
    <row r="3137" spans="140:143">
      <c r="EJ3137" s="1881"/>
      <c r="EL3137" s="1881"/>
      <c r="EM3137" s="1881"/>
    </row>
    <row r="3138" spans="140:143">
      <c r="EJ3138" s="1881"/>
      <c r="EL3138" s="1881"/>
      <c r="EM3138" s="1881"/>
    </row>
    <row r="3139" spans="140:143">
      <c r="EJ3139" s="1881"/>
      <c r="EL3139" s="1881"/>
      <c r="EM3139" s="1881"/>
    </row>
    <row r="3140" spans="140:143">
      <c r="EJ3140" s="1881"/>
      <c r="EL3140" s="1881"/>
      <c r="EM3140" s="1881"/>
    </row>
    <row r="3141" spans="140:143">
      <c r="EJ3141" s="1881"/>
      <c r="EL3141" s="1881"/>
      <c r="EM3141" s="1881"/>
    </row>
    <row r="3142" spans="140:143">
      <c r="EJ3142" s="1881"/>
      <c r="EL3142" s="1881"/>
      <c r="EM3142" s="1881"/>
    </row>
    <row r="3143" spans="140:143">
      <c r="EJ3143" s="1881"/>
      <c r="EL3143" s="1881"/>
      <c r="EM3143" s="1881"/>
    </row>
    <row r="3144" spans="140:143">
      <c r="EJ3144" s="1881"/>
      <c r="EL3144" s="1881"/>
      <c r="EM3144" s="1881"/>
    </row>
    <row r="3145" spans="140:143">
      <c r="EJ3145" s="1881"/>
      <c r="EL3145" s="1881"/>
      <c r="EM3145" s="1881"/>
    </row>
    <row r="3146" spans="140:143">
      <c r="EJ3146" s="1881"/>
      <c r="EL3146" s="1881"/>
      <c r="EM3146" s="1881"/>
    </row>
    <row r="3147" spans="140:143">
      <c r="EJ3147" s="1881"/>
      <c r="EL3147" s="1881"/>
      <c r="EM3147" s="1881"/>
    </row>
    <row r="3148" spans="140:143">
      <c r="EJ3148" s="1881"/>
      <c r="EL3148" s="1881"/>
      <c r="EM3148" s="1881"/>
    </row>
    <row r="3149" spans="140:143">
      <c r="EJ3149" s="1881"/>
      <c r="EL3149" s="1881"/>
      <c r="EM3149" s="1881"/>
    </row>
    <row r="3150" spans="140:143">
      <c r="EJ3150" s="1881"/>
      <c r="EL3150" s="1881"/>
      <c r="EM3150" s="1881"/>
    </row>
    <row r="3151" spans="140:143">
      <c r="EJ3151" s="1881"/>
      <c r="EL3151" s="1881"/>
      <c r="EM3151" s="1881"/>
    </row>
    <row r="3152" spans="140:143">
      <c r="EJ3152" s="1881"/>
      <c r="EL3152" s="1881"/>
      <c r="EM3152" s="1881"/>
    </row>
    <row r="3153" spans="140:143">
      <c r="EJ3153" s="1881"/>
      <c r="EL3153" s="1881"/>
      <c r="EM3153" s="1881"/>
    </row>
    <row r="3154" spans="140:143">
      <c r="EJ3154" s="1881"/>
      <c r="EL3154" s="1881"/>
      <c r="EM3154" s="1881"/>
    </row>
    <row r="3155" spans="140:143">
      <c r="EJ3155" s="1881"/>
      <c r="EL3155" s="1881"/>
      <c r="EM3155" s="1881"/>
    </row>
    <row r="3156" spans="140:143">
      <c r="EJ3156" s="1881"/>
      <c r="EL3156" s="1881"/>
      <c r="EM3156" s="1881"/>
    </row>
    <row r="3157" spans="140:143">
      <c r="EJ3157" s="1881"/>
      <c r="EL3157" s="1881"/>
      <c r="EM3157" s="1881"/>
    </row>
    <row r="3158" spans="140:143">
      <c r="EJ3158" s="1881"/>
      <c r="EL3158" s="1881"/>
      <c r="EM3158" s="1881"/>
    </row>
    <row r="3159" spans="140:143">
      <c r="EJ3159" s="1881"/>
      <c r="EL3159" s="1881"/>
      <c r="EM3159" s="1881"/>
    </row>
    <row r="3160" spans="140:143">
      <c r="EJ3160" s="1881"/>
      <c r="EL3160" s="1881"/>
      <c r="EM3160" s="1881"/>
    </row>
    <row r="3161" spans="140:143">
      <c r="EJ3161" s="1881"/>
      <c r="EL3161" s="1881"/>
      <c r="EM3161" s="1881"/>
    </row>
    <row r="3162" spans="140:143">
      <c r="EJ3162" s="1881"/>
      <c r="EL3162" s="1881"/>
      <c r="EM3162" s="1881"/>
    </row>
    <row r="3163" spans="140:143">
      <c r="EJ3163" s="1881"/>
      <c r="EL3163" s="1881"/>
      <c r="EM3163" s="1881"/>
    </row>
    <row r="3164" spans="140:143">
      <c r="EJ3164" s="1881"/>
      <c r="EL3164" s="1881"/>
      <c r="EM3164" s="1881"/>
    </row>
    <row r="3165" spans="140:143">
      <c r="EJ3165" s="1881"/>
      <c r="EL3165" s="1881"/>
      <c r="EM3165" s="1881"/>
    </row>
    <row r="3166" spans="140:143">
      <c r="EJ3166" s="1881"/>
      <c r="EL3166" s="1881"/>
      <c r="EM3166" s="1881"/>
    </row>
    <row r="3167" spans="140:143">
      <c r="EJ3167" s="1881"/>
      <c r="EL3167" s="1881"/>
      <c r="EM3167" s="1881"/>
    </row>
    <row r="3168" spans="140:143">
      <c r="EJ3168" s="1881"/>
      <c r="EL3168" s="1881"/>
      <c r="EM3168" s="1881"/>
    </row>
    <row r="3169" spans="140:143">
      <c r="EJ3169" s="1881"/>
      <c r="EL3169" s="1881"/>
      <c r="EM3169" s="1881"/>
    </row>
    <row r="3170" spans="140:143">
      <c r="EJ3170" s="1881"/>
      <c r="EL3170" s="1881"/>
      <c r="EM3170" s="1881"/>
    </row>
    <row r="3171" spans="140:143">
      <c r="EJ3171" s="1881"/>
      <c r="EL3171" s="1881"/>
      <c r="EM3171" s="1881"/>
    </row>
    <row r="3172" spans="140:143">
      <c r="EJ3172" s="1881"/>
      <c r="EL3172" s="1881"/>
      <c r="EM3172" s="1881"/>
    </row>
    <row r="3173" spans="140:143">
      <c r="EJ3173" s="1881"/>
      <c r="EL3173" s="1881"/>
      <c r="EM3173" s="1881"/>
    </row>
    <row r="3174" spans="140:143">
      <c r="EJ3174" s="1881"/>
      <c r="EL3174" s="1881"/>
      <c r="EM3174" s="1881"/>
    </row>
    <row r="3175" spans="140:143">
      <c r="EJ3175" s="1881"/>
      <c r="EL3175" s="1881"/>
      <c r="EM3175" s="1881"/>
    </row>
    <row r="3176" spans="140:143">
      <c r="EJ3176" s="1881"/>
      <c r="EL3176" s="1881"/>
      <c r="EM3176" s="1881"/>
    </row>
    <row r="3177" spans="140:143">
      <c r="EJ3177" s="1881"/>
      <c r="EL3177" s="1881"/>
      <c r="EM3177" s="1881"/>
    </row>
    <row r="3178" spans="140:143">
      <c r="EJ3178" s="1881"/>
      <c r="EL3178" s="1881"/>
      <c r="EM3178" s="1881"/>
    </row>
    <row r="3179" spans="140:143">
      <c r="EJ3179" s="1881"/>
      <c r="EL3179" s="1881"/>
      <c r="EM3179" s="1881"/>
    </row>
    <row r="3180" spans="140:143">
      <c r="EJ3180" s="1881"/>
      <c r="EL3180" s="1881"/>
      <c r="EM3180" s="1881"/>
    </row>
    <row r="3181" spans="140:143">
      <c r="EJ3181" s="1881"/>
      <c r="EL3181" s="1881"/>
      <c r="EM3181" s="1881"/>
    </row>
    <row r="3182" spans="140:143">
      <c r="EJ3182" s="1881"/>
      <c r="EL3182" s="1881"/>
      <c r="EM3182" s="1881"/>
    </row>
    <row r="3183" spans="140:143">
      <c r="EJ3183" s="1881"/>
      <c r="EL3183" s="1881"/>
      <c r="EM3183" s="1881"/>
    </row>
    <row r="3184" spans="140:143">
      <c r="EJ3184" s="1881"/>
      <c r="EL3184" s="1881"/>
      <c r="EM3184" s="1881"/>
    </row>
    <row r="3185" spans="140:143">
      <c r="EJ3185" s="1881"/>
      <c r="EL3185" s="1881"/>
      <c r="EM3185" s="1881"/>
    </row>
    <row r="3186" spans="140:143">
      <c r="EJ3186" s="1881"/>
      <c r="EL3186" s="1881"/>
      <c r="EM3186" s="1881"/>
    </row>
    <row r="3187" spans="140:143">
      <c r="EJ3187" s="1881"/>
      <c r="EL3187" s="1881"/>
      <c r="EM3187" s="1881"/>
    </row>
    <row r="3188" spans="140:143">
      <c r="EJ3188" s="1881"/>
      <c r="EL3188" s="1881"/>
      <c r="EM3188" s="1881"/>
    </row>
    <row r="3189" spans="140:143">
      <c r="EJ3189" s="1881"/>
      <c r="EL3189" s="1881"/>
      <c r="EM3189" s="1881"/>
    </row>
    <row r="3190" spans="140:143">
      <c r="EJ3190" s="1881"/>
      <c r="EL3190" s="1881"/>
      <c r="EM3190" s="1881"/>
    </row>
    <row r="3191" spans="140:143">
      <c r="EJ3191" s="1881"/>
      <c r="EL3191" s="1881"/>
      <c r="EM3191" s="1881"/>
    </row>
    <row r="3192" spans="140:143">
      <c r="EJ3192" s="1881"/>
      <c r="EL3192" s="1881"/>
      <c r="EM3192" s="1881"/>
    </row>
    <row r="3193" spans="140:143">
      <c r="EJ3193" s="1881"/>
      <c r="EL3193" s="1881"/>
      <c r="EM3193" s="1881"/>
    </row>
    <row r="3194" spans="140:143">
      <c r="EJ3194" s="1881"/>
      <c r="EL3194" s="1881"/>
      <c r="EM3194" s="1881"/>
    </row>
    <row r="3195" spans="140:143">
      <c r="EJ3195" s="1881"/>
      <c r="EL3195" s="1881"/>
      <c r="EM3195" s="1881"/>
    </row>
    <row r="3196" spans="140:143">
      <c r="EJ3196" s="1881"/>
      <c r="EL3196" s="1881"/>
      <c r="EM3196" s="1881"/>
    </row>
    <row r="3197" spans="140:143">
      <c r="EJ3197" s="1881"/>
      <c r="EL3197" s="1881"/>
      <c r="EM3197" s="1881"/>
    </row>
    <row r="3198" spans="140:143">
      <c r="EJ3198" s="1881"/>
      <c r="EL3198" s="1881"/>
      <c r="EM3198" s="1881"/>
    </row>
    <row r="3199" spans="140:143">
      <c r="EJ3199" s="1881"/>
      <c r="EL3199" s="1881"/>
      <c r="EM3199" s="1881"/>
    </row>
    <row r="3200" spans="140:143">
      <c r="EJ3200" s="1881"/>
      <c r="EL3200" s="1881"/>
      <c r="EM3200" s="1881"/>
    </row>
    <row r="3201" spans="140:143">
      <c r="EJ3201" s="1881"/>
      <c r="EL3201" s="1881"/>
      <c r="EM3201" s="1881"/>
    </row>
    <row r="3202" spans="140:143">
      <c r="EJ3202" s="1881"/>
      <c r="EL3202" s="1881"/>
      <c r="EM3202" s="1881"/>
    </row>
    <row r="3203" spans="140:143">
      <c r="EJ3203" s="1881"/>
      <c r="EL3203" s="1881"/>
      <c r="EM3203" s="1881"/>
    </row>
    <row r="3204" spans="140:143">
      <c r="EJ3204" s="1881"/>
      <c r="EL3204" s="1881"/>
      <c r="EM3204" s="1881"/>
    </row>
    <row r="3205" spans="140:143">
      <c r="EJ3205" s="1881"/>
      <c r="EL3205" s="1881"/>
      <c r="EM3205" s="1881"/>
    </row>
    <row r="3206" spans="140:143">
      <c r="EJ3206" s="1881"/>
      <c r="EL3206" s="1881"/>
      <c r="EM3206" s="1881"/>
    </row>
    <row r="3207" spans="140:143">
      <c r="EJ3207" s="1881"/>
      <c r="EL3207" s="1881"/>
      <c r="EM3207" s="1881"/>
    </row>
    <row r="3208" spans="140:143">
      <c r="EJ3208" s="1881"/>
      <c r="EL3208" s="1881"/>
      <c r="EM3208" s="1881"/>
    </row>
    <row r="3209" spans="140:143">
      <c r="EJ3209" s="1881"/>
      <c r="EL3209" s="1881"/>
      <c r="EM3209" s="1881"/>
    </row>
    <row r="3210" spans="140:143">
      <c r="EJ3210" s="1881"/>
      <c r="EL3210" s="1881"/>
      <c r="EM3210" s="1881"/>
    </row>
    <row r="3211" spans="140:143">
      <c r="EJ3211" s="1881"/>
      <c r="EL3211" s="1881"/>
      <c r="EM3211" s="1881"/>
    </row>
    <row r="3212" spans="140:143">
      <c r="EJ3212" s="1881"/>
      <c r="EL3212" s="1881"/>
      <c r="EM3212" s="1881"/>
    </row>
    <row r="3213" spans="140:143">
      <c r="EJ3213" s="1881"/>
      <c r="EL3213" s="1881"/>
      <c r="EM3213" s="1881"/>
    </row>
    <row r="3214" spans="140:143">
      <c r="EJ3214" s="1881"/>
      <c r="EL3214" s="1881"/>
      <c r="EM3214" s="1881"/>
    </row>
    <row r="3215" spans="140:143">
      <c r="EJ3215" s="1881"/>
      <c r="EL3215" s="1881"/>
      <c r="EM3215" s="1881"/>
    </row>
    <row r="3216" spans="140:143">
      <c r="EJ3216" s="1881"/>
      <c r="EL3216" s="1881"/>
      <c r="EM3216" s="1881"/>
    </row>
    <row r="3217" spans="140:143">
      <c r="EJ3217" s="1881"/>
      <c r="EL3217" s="1881"/>
      <c r="EM3217" s="1881"/>
    </row>
    <row r="3218" spans="140:143">
      <c r="EJ3218" s="1881"/>
      <c r="EL3218" s="1881"/>
      <c r="EM3218" s="1881"/>
    </row>
    <row r="3219" spans="140:143">
      <c r="EJ3219" s="1881"/>
      <c r="EL3219" s="1881"/>
      <c r="EM3219" s="1881"/>
    </row>
    <row r="3220" spans="140:143">
      <c r="EJ3220" s="1881"/>
      <c r="EL3220" s="1881"/>
      <c r="EM3220" s="1881"/>
    </row>
    <row r="3221" spans="140:143">
      <c r="EJ3221" s="1881"/>
      <c r="EL3221" s="1881"/>
      <c r="EM3221" s="1881"/>
    </row>
    <row r="3222" spans="140:143">
      <c r="EJ3222" s="1881"/>
      <c r="EL3222" s="1881"/>
      <c r="EM3222" s="1881"/>
    </row>
    <row r="3223" spans="140:143">
      <c r="EJ3223" s="1881"/>
      <c r="EL3223" s="1881"/>
      <c r="EM3223" s="1881"/>
    </row>
    <row r="3224" spans="140:143">
      <c r="EJ3224" s="1881"/>
      <c r="EL3224" s="1881"/>
      <c r="EM3224" s="1881"/>
    </row>
    <row r="3225" spans="140:143">
      <c r="EJ3225" s="1881"/>
      <c r="EL3225" s="1881"/>
      <c r="EM3225" s="1881"/>
    </row>
    <row r="3226" spans="140:143">
      <c r="EJ3226" s="1881"/>
      <c r="EL3226" s="1881"/>
      <c r="EM3226" s="1881"/>
    </row>
    <row r="3227" spans="140:143">
      <c r="EJ3227" s="1881"/>
      <c r="EL3227" s="1881"/>
      <c r="EM3227" s="1881"/>
    </row>
    <row r="3228" spans="140:143">
      <c r="EJ3228" s="1881"/>
      <c r="EL3228" s="1881"/>
      <c r="EM3228" s="1881"/>
    </row>
    <row r="3229" spans="140:143">
      <c r="EJ3229" s="1881"/>
      <c r="EL3229" s="1881"/>
      <c r="EM3229" s="1881"/>
    </row>
    <row r="3230" spans="140:143">
      <c r="EJ3230" s="1881"/>
      <c r="EL3230" s="1881"/>
      <c r="EM3230" s="1881"/>
    </row>
    <row r="3231" spans="140:143">
      <c r="EJ3231" s="1881"/>
      <c r="EL3231" s="1881"/>
      <c r="EM3231" s="1881"/>
    </row>
    <row r="3232" spans="140:143">
      <c r="EJ3232" s="1881"/>
      <c r="EL3232" s="1881"/>
      <c r="EM3232" s="1881"/>
    </row>
    <row r="3233" spans="140:143">
      <c r="EJ3233" s="1881"/>
      <c r="EL3233" s="1881"/>
      <c r="EM3233" s="1881"/>
    </row>
    <row r="3234" spans="140:143">
      <c r="EJ3234" s="1881"/>
      <c r="EL3234" s="1881"/>
      <c r="EM3234" s="1881"/>
    </row>
    <row r="3235" spans="140:143">
      <c r="EJ3235" s="1881"/>
      <c r="EL3235" s="1881"/>
      <c r="EM3235" s="1881"/>
    </row>
    <row r="3236" spans="140:143">
      <c r="EJ3236" s="1881"/>
      <c r="EL3236" s="1881"/>
      <c r="EM3236" s="1881"/>
    </row>
    <row r="3237" spans="140:143">
      <c r="EJ3237" s="1881"/>
      <c r="EL3237" s="1881"/>
      <c r="EM3237" s="1881"/>
    </row>
    <row r="3238" spans="140:143">
      <c r="EJ3238" s="1881"/>
      <c r="EL3238" s="1881"/>
      <c r="EM3238" s="1881"/>
    </row>
    <row r="3239" spans="140:143">
      <c r="EJ3239" s="1881"/>
      <c r="EL3239" s="1881"/>
      <c r="EM3239" s="1881"/>
    </row>
    <row r="3240" spans="140:143">
      <c r="EJ3240" s="1881"/>
      <c r="EL3240" s="1881"/>
      <c r="EM3240" s="1881"/>
    </row>
    <row r="3241" spans="140:143">
      <c r="EJ3241" s="1881"/>
      <c r="EL3241" s="1881"/>
      <c r="EM3241" s="1881"/>
    </row>
    <row r="3242" spans="140:143">
      <c r="EJ3242" s="1881"/>
      <c r="EL3242" s="1881"/>
      <c r="EM3242" s="1881"/>
    </row>
    <row r="3243" spans="140:143">
      <c r="EJ3243" s="1881"/>
      <c r="EL3243" s="1881"/>
      <c r="EM3243" s="1881"/>
    </row>
    <row r="3244" spans="140:143">
      <c r="EJ3244" s="1881"/>
      <c r="EL3244" s="1881"/>
      <c r="EM3244" s="1881"/>
    </row>
    <row r="3245" spans="140:143">
      <c r="EJ3245" s="1881"/>
      <c r="EL3245" s="1881"/>
      <c r="EM3245" s="1881"/>
    </row>
    <row r="3246" spans="140:143">
      <c r="EJ3246" s="1881"/>
      <c r="EL3246" s="1881"/>
      <c r="EM3246" s="1881"/>
    </row>
    <row r="3247" spans="140:143">
      <c r="EJ3247" s="1881"/>
      <c r="EL3247" s="1881"/>
      <c r="EM3247" s="1881"/>
    </row>
    <row r="3248" spans="140:143">
      <c r="EJ3248" s="1881"/>
      <c r="EL3248" s="1881"/>
      <c r="EM3248" s="1881"/>
    </row>
    <row r="3249" spans="140:143">
      <c r="EJ3249" s="1881"/>
      <c r="EL3249" s="1881"/>
      <c r="EM3249" s="1881"/>
    </row>
    <row r="3250" spans="140:143">
      <c r="EJ3250" s="1881"/>
      <c r="EL3250" s="1881"/>
      <c r="EM3250" s="1881"/>
    </row>
    <row r="3251" spans="140:143">
      <c r="EJ3251" s="1881"/>
      <c r="EL3251" s="1881"/>
      <c r="EM3251" s="1881"/>
    </row>
    <row r="3252" spans="140:143">
      <c r="EJ3252" s="1881"/>
      <c r="EL3252" s="1881"/>
      <c r="EM3252" s="1881"/>
    </row>
    <row r="3253" spans="140:143">
      <c r="EJ3253" s="1881"/>
      <c r="EL3253" s="1881"/>
      <c r="EM3253" s="1881"/>
    </row>
    <row r="3254" spans="140:143">
      <c r="EJ3254" s="1881"/>
      <c r="EL3254" s="1881"/>
      <c r="EM3254" s="1881"/>
    </row>
    <row r="3255" spans="140:143">
      <c r="EJ3255" s="1881"/>
      <c r="EL3255" s="1881"/>
      <c r="EM3255" s="1881"/>
    </row>
    <row r="3256" spans="140:143">
      <c r="EJ3256" s="1881"/>
      <c r="EL3256" s="1881"/>
      <c r="EM3256" s="1881"/>
    </row>
    <row r="3257" spans="140:143">
      <c r="EJ3257" s="1881"/>
      <c r="EL3257" s="1881"/>
      <c r="EM3257" s="1881"/>
    </row>
    <row r="3258" spans="140:143">
      <c r="EJ3258" s="1881"/>
      <c r="EL3258" s="1881"/>
      <c r="EM3258" s="1881"/>
    </row>
    <row r="3259" spans="140:143">
      <c r="EJ3259" s="1881"/>
      <c r="EL3259" s="1881"/>
      <c r="EM3259" s="1881"/>
    </row>
    <row r="3260" spans="140:143">
      <c r="EJ3260" s="1881"/>
      <c r="EL3260" s="1881"/>
      <c r="EM3260" s="1881"/>
    </row>
    <row r="3261" spans="140:143">
      <c r="EJ3261" s="1881"/>
      <c r="EL3261" s="1881"/>
      <c r="EM3261" s="1881"/>
    </row>
    <row r="3262" spans="140:143">
      <c r="EJ3262" s="1881"/>
      <c r="EL3262" s="1881"/>
      <c r="EM3262" s="1881"/>
    </row>
    <row r="3263" spans="140:143">
      <c r="EJ3263" s="1881"/>
      <c r="EL3263" s="1881"/>
      <c r="EM3263" s="1881"/>
    </row>
    <row r="3264" spans="140:143">
      <c r="EJ3264" s="1881"/>
      <c r="EL3264" s="1881"/>
      <c r="EM3264" s="1881"/>
    </row>
    <row r="3265" spans="140:143">
      <c r="EJ3265" s="1881"/>
      <c r="EL3265" s="1881"/>
      <c r="EM3265" s="1881"/>
    </row>
    <row r="3266" spans="140:143">
      <c r="EJ3266" s="1881"/>
      <c r="EL3266" s="1881"/>
      <c r="EM3266" s="1881"/>
    </row>
    <row r="3267" spans="140:143">
      <c r="EJ3267" s="1881"/>
      <c r="EL3267" s="1881"/>
      <c r="EM3267" s="1881"/>
    </row>
    <row r="3268" spans="140:143">
      <c r="EJ3268" s="1881"/>
      <c r="EL3268" s="1881"/>
      <c r="EM3268" s="1881"/>
    </row>
    <row r="3269" spans="140:143">
      <c r="EJ3269" s="1881"/>
      <c r="EL3269" s="1881"/>
      <c r="EM3269" s="1881"/>
    </row>
    <row r="3270" spans="140:143">
      <c r="EJ3270" s="1881"/>
      <c r="EL3270" s="1881"/>
      <c r="EM3270" s="1881"/>
    </row>
    <row r="3271" spans="140:143">
      <c r="EJ3271" s="1881"/>
      <c r="EL3271" s="1881"/>
      <c r="EM3271" s="1881"/>
    </row>
    <row r="3272" spans="140:143">
      <c r="EJ3272" s="1881"/>
      <c r="EL3272" s="1881"/>
      <c r="EM3272" s="1881"/>
    </row>
    <row r="3273" spans="140:143">
      <c r="EJ3273" s="1881"/>
      <c r="EL3273" s="1881"/>
      <c r="EM3273" s="1881"/>
    </row>
    <row r="3274" spans="140:143">
      <c r="EJ3274" s="1881"/>
      <c r="EL3274" s="1881"/>
      <c r="EM3274" s="1881"/>
    </row>
    <row r="3275" spans="140:143">
      <c r="EJ3275" s="1881"/>
      <c r="EL3275" s="1881"/>
      <c r="EM3275" s="1881"/>
    </row>
    <row r="3276" spans="140:143">
      <c r="EJ3276" s="1881"/>
      <c r="EL3276" s="1881"/>
      <c r="EM3276" s="1881"/>
    </row>
    <row r="3277" spans="140:143">
      <c r="EJ3277" s="1881"/>
      <c r="EL3277" s="1881"/>
      <c r="EM3277" s="1881"/>
    </row>
    <row r="3278" spans="140:143">
      <c r="EJ3278" s="1881"/>
      <c r="EL3278" s="1881"/>
      <c r="EM3278" s="1881"/>
    </row>
    <row r="3279" spans="140:143">
      <c r="EJ3279" s="1881"/>
      <c r="EL3279" s="1881"/>
      <c r="EM3279" s="1881"/>
    </row>
    <row r="3280" spans="140:143">
      <c r="EJ3280" s="1881"/>
      <c r="EL3280" s="1881"/>
      <c r="EM3280" s="1881"/>
    </row>
    <row r="3281" spans="140:143">
      <c r="EJ3281" s="1881"/>
      <c r="EL3281" s="1881"/>
      <c r="EM3281" s="1881"/>
    </row>
    <row r="3282" spans="140:143">
      <c r="EJ3282" s="1881"/>
      <c r="EL3282" s="1881"/>
      <c r="EM3282" s="1881"/>
    </row>
    <row r="3283" spans="140:143">
      <c r="EJ3283" s="1881"/>
      <c r="EL3283" s="1881"/>
      <c r="EM3283" s="1881"/>
    </row>
    <row r="3284" spans="140:143">
      <c r="EJ3284" s="1881"/>
      <c r="EL3284" s="1881"/>
      <c r="EM3284" s="1881"/>
    </row>
    <row r="3285" spans="140:143">
      <c r="EJ3285" s="1881"/>
      <c r="EL3285" s="1881"/>
      <c r="EM3285" s="1881"/>
    </row>
    <row r="3286" spans="140:143">
      <c r="EJ3286" s="1881"/>
      <c r="EL3286" s="1881"/>
      <c r="EM3286" s="1881"/>
    </row>
    <row r="3287" spans="140:143">
      <c r="EJ3287" s="1881"/>
      <c r="EL3287" s="1881"/>
      <c r="EM3287" s="1881"/>
    </row>
    <row r="3288" spans="140:143">
      <c r="EJ3288" s="1881"/>
      <c r="EL3288" s="1881"/>
      <c r="EM3288" s="1881"/>
    </row>
    <row r="3289" spans="140:143">
      <c r="EJ3289" s="1881"/>
      <c r="EL3289" s="1881"/>
      <c r="EM3289" s="1881"/>
    </row>
    <row r="3290" spans="140:143">
      <c r="EJ3290" s="1881"/>
      <c r="EL3290" s="1881"/>
      <c r="EM3290" s="1881"/>
    </row>
    <row r="3291" spans="140:143">
      <c r="EJ3291" s="1881"/>
      <c r="EL3291" s="1881"/>
      <c r="EM3291" s="1881"/>
    </row>
    <row r="3292" spans="140:143">
      <c r="EJ3292" s="1881"/>
      <c r="EL3292" s="1881"/>
      <c r="EM3292" s="1881"/>
    </row>
    <row r="3293" spans="140:143">
      <c r="EJ3293" s="1881"/>
      <c r="EL3293" s="1881"/>
      <c r="EM3293" s="1881"/>
    </row>
    <row r="3294" spans="140:143">
      <c r="EJ3294" s="1881"/>
      <c r="EL3294" s="1881"/>
      <c r="EM3294" s="1881"/>
    </row>
    <row r="3295" spans="140:143">
      <c r="EJ3295" s="1881"/>
      <c r="EL3295" s="1881"/>
      <c r="EM3295" s="1881"/>
    </row>
    <row r="3296" spans="140:143">
      <c r="EJ3296" s="1881"/>
      <c r="EL3296" s="1881"/>
      <c r="EM3296" s="1881"/>
    </row>
    <row r="3297" spans="140:143">
      <c r="EJ3297" s="1881"/>
      <c r="EL3297" s="1881"/>
      <c r="EM3297" s="1881"/>
    </row>
    <row r="3298" spans="140:143">
      <c r="EJ3298" s="1881"/>
      <c r="EL3298" s="1881"/>
      <c r="EM3298" s="1881"/>
    </row>
    <row r="3299" spans="140:143">
      <c r="EJ3299" s="1881"/>
      <c r="EL3299" s="1881"/>
      <c r="EM3299" s="1881"/>
    </row>
    <row r="3300" spans="140:143">
      <c r="EJ3300" s="1881"/>
      <c r="EL3300" s="1881"/>
      <c r="EM3300" s="1881"/>
    </row>
    <row r="3301" spans="140:143">
      <c r="EJ3301" s="1881"/>
      <c r="EL3301" s="1881"/>
      <c r="EM3301" s="1881"/>
    </row>
    <row r="3302" spans="140:143">
      <c r="EJ3302" s="1881"/>
      <c r="EL3302" s="1881"/>
      <c r="EM3302" s="1881"/>
    </row>
    <row r="3303" spans="140:143">
      <c r="EJ3303" s="1881"/>
      <c r="EL3303" s="1881"/>
      <c r="EM3303" s="1881"/>
    </row>
    <row r="3304" spans="140:143">
      <c r="EJ3304" s="1881"/>
      <c r="EL3304" s="1881"/>
      <c r="EM3304" s="1881"/>
    </row>
    <row r="3305" spans="140:143">
      <c r="EJ3305" s="1881"/>
      <c r="EL3305" s="1881"/>
      <c r="EM3305" s="1881"/>
    </row>
    <row r="3306" spans="140:143">
      <c r="EJ3306" s="1881"/>
      <c r="EL3306" s="1881"/>
      <c r="EM3306" s="1881"/>
    </row>
    <row r="3307" spans="140:143">
      <c r="EJ3307" s="1881"/>
      <c r="EL3307" s="1881"/>
      <c r="EM3307" s="1881"/>
    </row>
    <row r="3308" spans="140:143">
      <c r="EJ3308" s="1881"/>
      <c r="EL3308" s="1881"/>
      <c r="EM3308" s="1881"/>
    </row>
    <row r="3309" spans="140:143">
      <c r="EJ3309" s="1881"/>
      <c r="EL3309" s="1881"/>
      <c r="EM3309" s="1881"/>
    </row>
    <row r="3310" spans="140:143">
      <c r="EJ3310" s="1881"/>
      <c r="EL3310" s="1881"/>
      <c r="EM3310" s="1881"/>
    </row>
    <row r="3311" spans="140:143">
      <c r="EJ3311" s="1881"/>
      <c r="EL3311" s="1881"/>
      <c r="EM3311" s="1881"/>
    </row>
    <row r="3312" spans="140:143">
      <c r="EJ3312" s="1881"/>
      <c r="EL3312" s="1881"/>
      <c r="EM3312" s="1881"/>
    </row>
    <row r="3313" spans="140:143">
      <c r="EJ3313" s="1881"/>
      <c r="EL3313" s="1881"/>
      <c r="EM3313" s="1881"/>
    </row>
    <row r="3314" spans="140:143">
      <c r="EJ3314" s="1881"/>
      <c r="EL3314" s="1881"/>
      <c r="EM3314" s="1881"/>
    </row>
    <row r="3315" spans="140:143">
      <c r="EJ3315" s="1881"/>
      <c r="EL3315" s="1881"/>
      <c r="EM3315" s="1881"/>
    </row>
    <row r="3316" spans="140:143">
      <c r="EJ3316" s="1881"/>
      <c r="EL3316" s="1881"/>
      <c r="EM3316" s="1881"/>
    </row>
    <row r="3317" spans="140:143">
      <c r="EJ3317" s="1881"/>
      <c r="EL3317" s="1881"/>
      <c r="EM3317" s="1881"/>
    </row>
    <row r="3318" spans="140:143">
      <c r="EJ3318" s="1881"/>
      <c r="EL3318" s="1881"/>
      <c r="EM3318" s="1881"/>
    </row>
    <row r="3319" spans="140:143">
      <c r="EJ3319" s="1881"/>
      <c r="EL3319" s="1881"/>
      <c r="EM3319" s="1881"/>
    </row>
    <row r="3320" spans="140:143">
      <c r="EJ3320" s="1881"/>
      <c r="EL3320" s="1881"/>
      <c r="EM3320" s="1881"/>
    </row>
    <row r="3321" spans="140:143">
      <c r="EJ3321" s="1881"/>
      <c r="EL3321" s="1881"/>
      <c r="EM3321" s="1881"/>
    </row>
    <row r="3322" spans="140:143">
      <c r="EJ3322" s="1881"/>
      <c r="EL3322" s="1881"/>
      <c r="EM3322" s="1881"/>
    </row>
    <row r="3323" spans="140:143">
      <c r="EJ3323" s="1881"/>
      <c r="EL3323" s="1881"/>
      <c r="EM3323" s="1881"/>
    </row>
    <row r="3324" spans="140:143">
      <c r="EJ3324" s="1881"/>
      <c r="EL3324" s="1881"/>
      <c r="EM3324" s="1881"/>
    </row>
    <row r="3325" spans="140:143">
      <c r="EJ3325" s="1881"/>
      <c r="EL3325" s="1881"/>
      <c r="EM3325" s="1881"/>
    </row>
    <row r="3326" spans="140:143">
      <c r="EJ3326" s="1881"/>
      <c r="EL3326" s="1881"/>
      <c r="EM3326" s="1881"/>
    </row>
    <row r="3327" spans="140:143">
      <c r="EJ3327" s="1881"/>
      <c r="EL3327" s="1881"/>
      <c r="EM3327" s="1881"/>
    </row>
    <row r="3328" spans="140:143">
      <c r="EJ3328" s="1881"/>
      <c r="EL3328" s="1881"/>
      <c r="EM3328" s="1881"/>
    </row>
    <row r="3329" spans="140:143">
      <c r="EJ3329" s="1881"/>
      <c r="EL3329" s="1881"/>
      <c r="EM3329" s="1881"/>
    </row>
    <row r="3330" spans="140:143">
      <c r="EJ3330" s="1881"/>
      <c r="EL3330" s="1881"/>
      <c r="EM3330" s="1881"/>
    </row>
    <row r="3331" spans="140:143">
      <c r="EJ3331" s="1881"/>
      <c r="EL3331" s="1881"/>
      <c r="EM3331" s="1881"/>
    </row>
    <row r="3332" spans="140:143">
      <c r="EJ3332" s="1881"/>
      <c r="EL3332" s="1881"/>
      <c r="EM3332" s="1881"/>
    </row>
    <row r="3333" spans="140:143">
      <c r="EJ3333" s="1881"/>
      <c r="EL3333" s="1881"/>
      <c r="EM3333" s="1881"/>
    </row>
    <row r="3334" spans="140:143">
      <c r="EJ3334" s="1881"/>
      <c r="EL3334" s="1881"/>
      <c r="EM3334" s="1881"/>
    </row>
    <row r="3335" spans="140:143">
      <c r="EJ3335" s="1881"/>
      <c r="EL3335" s="1881"/>
      <c r="EM3335" s="1881"/>
    </row>
    <row r="3336" spans="140:143">
      <c r="EJ3336" s="1881"/>
      <c r="EL3336" s="1881"/>
      <c r="EM3336" s="1881"/>
    </row>
    <row r="3337" spans="140:143">
      <c r="EJ3337" s="1881"/>
      <c r="EL3337" s="1881"/>
      <c r="EM3337" s="1881"/>
    </row>
    <row r="3338" spans="140:143">
      <c r="EJ3338" s="1881"/>
      <c r="EL3338" s="1881"/>
      <c r="EM3338" s="1881"/>
    </row>
    <row r="3339" spans="140:143">
      <c r="EJ3339" s="1881"/>
      <c r="EL3339" s="1881"/>
      <c r="EM3339" s="1881"/>
    </row>
    <row r="3340" spans="140:143">
      <c r="EJ3340" s="1881"/>
      <c r="EL3340" s="1881"/>
      <c r="EM3340" s="1881"/>
    </row>
    <row r="3341" spans="140:143">
      <c r="EJ3341" s="1881"/>
      <c r="EL3341" s="1881"/>
      <c r="EM3341" s="1881"/>
    </row>
    <row r="3342" spans="140:143">
      <c r="EJ3342" s="1881"/>
      <c r="EL3342" s="1881"/>
      <c r="EM3342" s="1881"/>
    </row>
    <row r="3343" spans="140:143">
      <c r="EJ3343" s="1881"/>
      <c r="EL3343" s="1881"/>
      <c r="EM3343" s="1881"/>
    </row>
    <row r="3344" spans="140:143">
      <c r="EJ3344" s="1881"/>
      <c r="EL3344" s="1881"/>
      <c r="EM3344" s="1881"/>
    </row>
    <row r="3345" spans="140:143">
      <c r="EJ3345" s="1881"/>
      <c r="EL3345" s="1881"/>
      <c r="EM3345" s="1881"/>
    </row>
    <row r="3346" spans="140:143">
      <c r="EJ3346" s="1881"/>
      <c r="EL3346" s="1881"/>
      <c r="EM3346" s="1881"/>
    </row>
    <row r="3347" spans="140:143">
      <c r="EJ3347" s="1881"/>
      <c r="EL3347" s="1881"/>
      <c r="EM3347" s="1881"/>
    </row>
    <row r="3348" spans="140:143">
      <c r="EJ3348" s="1881"/>
      <c r="EL3348" s="1881"/>
      <c r="EM3348" s="1881"/>
    </row>
    <row r="3349" spans="140:143">
      <c r="EJ3349" s="1881"/>
      <c r="EL3349" s="1881"/>
      <c r="EM3349" s="1881"/>
    </row>
    <row r="3350" spans="140:143">
      <c r="EJ3350" s="1881"/>
      <c r="EL3350" s="1881"/>
      <c r="EM3350" s="1881"/>
    </row>
    <row r="3351" spans="140:143">
      <c r="EJ3351" s="1881"/>
      <c r="EL3351" s="1881"/>
      <c r="EM3351" s="1881"/>
    </row>
    <row r="3352" spans="140:143">
      <c r="EJ3352" s="1881"/>
      <c r="EL3352" s="1881"/>
      <c r="EM3352" s="1881"/>
    </row>
    <row r="3353" spans="140:143">
      <c r="EJ3353" s="1881"/>
      <c r="EL3353" s="1881"/>
      <c r="EM3353" s="1881"/>
    </row>
    <row r="3354" spans="140:143">
      <c r="EJ3354" s="1881"/>
      <c r="EL3354" s="1881"/>
      <c r="EM3354" s="1881"/>
    </row>
    <row r="3355" spans="140:143">
      <c r="EJ3355" s="1881"/>
      <c r="EL3355" s="1881"/>
      <c r="EM3355" s="1881"/>
    </row>
    <row r="3356" spans="140:143">
      <c r="EJ3356" s="1881"/>
      <c r="EL3356" s="1881"/>
      <c r="EM3356" s="1881"/>
    </row>
    <row r="3357" spans="140:143">
      <c r="EJ3357" s="1881"/>
      <c r="EL3357" s="1881"/>
      <c r="EM3357" s="1881"/>
    </row>
    <row r="3358" spans="140:143">
      <c r="EJ3358" s="1881"/>
      <c r="EL3358" s="1881"/>
      <c r="EM3358" s="1881"/>
    </row>
    <row r="3359" spans="140:143">
      <c r="EJ3359" s="1881"/>
      <c r="EL3359" s="1881"/>
      <c r="EM3359" s="1881"/>
    </row>
    <row r="3360" spans="140:143">
      <c r="EJ3360" s="1881"/>
      <c r="EL3360" s="1881"/>
      <c r="EM3360" s="1881"/>
    </row>
    <row r="3361" spans="140:143">
      <c r="EJ3361" s="1881"/>
      <c r="EL3361" s="1881"/>
      <c r="EM3361" s="1881"/>
    </row>
    <row r="3362" spans="140:143">
      <c r="EJ3362" s="1881"/>
      <c r="EL3362" s="1881"/>
      <c r="EM3362" s="1881"/>
    </row>
    <row r="3363" spans="140:143">
      <c r="EJ3363" s="1881"/>
      <c r="EL3363" s="1881"/>
      <c r="EM3363" s="1881"/>
    </row>
    <row r="3364" spans="140:143">
      <c r="EJ3364" s="1881"/>
      <c r="EL3364" s="1881"/>
      <c r="EM3364" s="1881"/>
    </row>
    <row r="3365" spans="140:143">
      <c r="EJ3365" s="1881"/>
      <c r="EL3365" s="1881"/>
      <c r="EM3365" s="1881"/>
    </row>
    <row r="3366" spans="140:143">
      <c r="EJ3366" s="1881"/>
      <c r="EL3366" s="1881"/>
      <c r="EM3366" s="1881"/>
    </row>
    <row r="3367" spans="140:143">
      <c r="EJ3367" s="1881"/>
      <c r="EL3367" s="1881"/>
      <c r="EM3367" s="1881"/>
    </row>
    <row r="3368" spans="140:143">
      <c r="EJ3368" s="1881"/>
      <c r="EL3368" s="1881"/>
      <c r="EM3368" s="1881"/>
    </row>
    <row r="3369" spans="140:143">
      <c r="EJ3369" s="1881"/>
      <c r="EL3369" s="1881"/>
      <c r="EM3369" s="1881"/>
    </row>
    <row r="3370" spans="140:143">
      <c r="EJ3370" s="1881"/>
      <c r="EL3370" s="1881"/>
      <c r="EM3370" s="1881"/>
    </row>
    <row r="3371" spans="140:143">
      <c r="EJ3371" s="1881"/>
      <c r="EL3371" s="1881"/>
      <c r="EM3371" s="1881"/>
    </row>
    <row r="3372" spans="140:143">
      <c r="EJ3372" s="1881"/>
      <c r="EL3372" s="1881"/>
      <c r="EM3372" s="1881"/>
    </row>
    <row r="3373" spans="140:143">
      <c r="EJ3373" s="1881"/>
      <c r="EL3373" s="1881"/>
      <c r="EM3373" s="1881"/>
    </row>
    <row r="3374" spans="140:143">
      <c r="EJ3374" s="1881"/>
      <c r="EL3374" s="1881"/>
      <c r="EM3374" s="1881"/>
    </row>
    <row r="3375" spans="140:143">
      <c r="EJ3375" s="1881"/>
      <c r="EL3375" s="1881"/>
      <c r="EM3375" s="1881"/>
    </row>
    <row r="3376" spans="140:143">
      <c r="EJ3376" s="1881"/>
      <c r="EL3376" s="1881"/>
      <c r="EM3376" s="1881"/>
    </row>
    <row r="3377" spans="140:143">
      <c r="EJ3377" s="1881"/>
      <c r="EL3377" s="1881"/>
      <c r="EM3377" s="1881"/>
    </row>
    <row r="3378" spans="140:143">
      <c r="EJ3378" s="1881"/>
      <c r="EL3378" s="1881"/>
      <c r="EM3378" s="1881"/>
    </row>
    <row r="3379" spans="140:143">
      <c r="EJ3379" s="1881"/>
      <c r="EL3379" s="1881"/>
      <c r="EM3379" s="1881"/>
    </row>
    <row r="3380" spans="140:143">
      <c r="EJ3380" s="1881"/>
      <c r="EL3380" s="1881"/>
      <c r="EM3380" s="1881"/>
    </row>
    <row r="3381" spans="140:143">
      <c r="EJ3381" s="1881"/>
      <c r="EL3381" s="1881"/>
      <c r="EM3381" s="1881"/>
    </row>
    <row r="3382" spans="140:143">
      <c r="EJ3382" s="1881"/>
      <c r="EL3382" s="1881"/>
      <c r="EM3382" s="1881"/>
    </row>
    <row r="3383" spans="140:143">
      <c r="EJ3383" s="1881"/>
      <c r="EL3383" s="1881"/>
      <c r="EM3383" s="1881"/>
    </row>
    <row r="3384" spans="140:143">
      <c r="EJ3384" s="1881"/>
      <c r="EL3384" s="1881"/>
      <c r="EM3384" s="1881"/>
    </row>
    <row r="3385" spans="140:143">
      <c r="EJ3385" s="1881"/>
      <c r="EL3385" s="1881"/>
      <c r="EM3385" s="1881"/>
    </row>
    <row r="3386" spans="140:143">
      <c r="EJ3386" s="1881"/>
      <c r="EL3386" s="1881"/>
      <c r="EM3386" s="1881"/>
    </row>
    <row r="3387" spans="140:143">
      <c r="EJ3387" s="1881"/>
      <c r="EL3387" s="1881"/>
      <c r="EM3387" s="1881"/>
    </row>
    <row r="3388" spans="140:143">
      <c r="EJ3388" s="1881"/>
      <c r="EL3388" s="1881"/>
      <c r="EM3388" s="1881"/>
    </row>
    <row r="3389" spans="140:143">
      <c r="EJ3389" s="1881"/>
      <c r="EL3389" s="1881"/>
      <c r="EM3389" s="1881"/>
    </row>
    <row r="3390" spans="140:143">
      <c r="EJ3390" s="1881"/>
      <c r="EL3390" s="1881"/>
      <c r="EM3390" s="1881"/>
    </row>
    <row r="3391" spans="140:143">
      <c r="EJ3391" s="1881"/>
      <c r="EL3391" s="1881"/>
      <c r="EM3391" s="1881"/>
    </row>
    <row r="3392" spans="140:143">
      <c r="EJ3392" s="1881"/>
      <c r="EL3392" s="1881"/>
      <c r="EM3392" s="1881"/>
    </row>
    <row r="3393" spans="140:143">
      <c r="EJ3393" s="1881"/>
      <c r="EL3393" s="1881"/>
      <c r="EM3393" s="1881"/>
    </row>
    <row r="3394" spans="140:143">
      <c r="EJ3394" s="1881"/>
      <c r="EL3394" s="1881"/>
      <c r="EM3394" s="1881"/>
    </row>
    <row r="3395" spans="140:143">
      <c r="EJ3395" s="1881"/>
      <c r="EL3395" s="1881"/>
      <c r="EM3395" s="1881"/>
    </row>
    <row r="3396" spans="140:143">
      <c r="EJ3396" s="1881"/>
      <c r="EL3396" s="1881"/>
      <c r="EM3396" s="1881"/>
    </row>
    <row r="3397" spans="140:143">
      <c r="EJ3397" s="1881"/>
      <c r="EL3397" s="1881"/>
      <c r="EM3397" s="1881"/>
    </row>
    <row r="3398" spans="140:143">
      <c r="EJ3398" s="1881"/>
      <c r="EL3398" s="1881"/>
      <c r="EM3398" s="1881"/>
    </row>
    <row r="3399" spans="140:143">
      <c r="EJ3399" s="1881"/>
      <c r="EL3399" s="1881"/>
      <c r="EM3399" s="1881"/>
    </row>
    <row r="3400" spans="140:143">
      <c r="EJ3400" s="1881"/>
      <c r="EL3400" s="1881"/>
      <c r="EM3400" s="1881"/>
    </row>
    <row r="3401" spans="140:143">
      <c r="EJ3401" s="1881"/>
      <c r="EL3401" s="1881"/>
      <c r="EM3401" s="1881"/>
    </row>
    <row r="3402" spans="140:143">
      <c r="EJ3402" s="1881"/>
      <c r="EL3402" s="1881"/>
      <c r="EM3402" s="1881"/>
    </row>
    <row r="3403" spans="140:143">
      <c r="EJ3403" s="1881"/>
      <c r="EL3403" s="1881"/>
      <c r="EM3403" s="1881"/>
    </row>
    <row r="3404" spans="140:143">
      <c r="EJ3404" s="1881"/>
      <c r="EL3404" s="1881"/>
      <c r="EM3404" s="1881"/>
    </row>
    <row r="3405" spans="140:143">
      <c r="EJ3405" s="1881"/>
      <c r="EL3405" s="1881"/>
      <c r="EM3405" s="1881"/>
    </row>
    <row r="3406" spans="140:143">
      <c r="EJ3406" s="1881"/>
      <c r="EL3406" s="1881"/>
      <c r="EM3406" s="1881"/>
    </row>
    <row r="3407" spans="140:143">
      <c r="EJ3407" s="1881"/>
      <c r="EL3407" s="1881"/>
      <c r="EM3407" s="1881"/>
    </row>
    <row r="3408" spans="140:143">
      <c r="EJ3408" s="1881"/>
      <c r="EL3408" s="1881"/>
      <c r="EM3408" s="1881"/>
    </row>
    <row r="3409" spans="140:143">
      <c r="EJ3409" s="1881"/>
      <c r="EL3409" s="1881"/>
      <c r="EM3409" s="1881"/>
    </row>
    <row r="3410" spans="140:143">
      <c r="EJ3410" s="1881"/>
      <c r="EL3410" s="1881"/>
      <c r="EM3410" s="1881"/>
    </row>
    <row r="3411" spans="140:143">
      <c r="EJ3411" s="1881"/>
      <c r="EL3411" s="1881"/>
      <c r="EM3411" s="1881"/>
    </row>
    <row r="3412" spans="140:143">
      <c r="EJ3412" s="1881"/>
      <c r="EL3412" s="1881"/>
      <c r="EM3412" s="1881"/>
    </row>
    <row r="3413" spans="140:143">
      <c r="EJ3413" s="1881"/>
      <c r="EL3413" s="1881"/>
      <c r="EM3413" s="1881"/>
    </row>
    <row r="3414" spans="140:143">
      <c r="EJ3414" s="1881"/>
      <c r="EL3414" s="1881"/>
      <c r="EM3414" s="1881"/>
    </row>
    <row r="3415" spans="140:143">
      <c r="EJ3415" s="1881"/>
      <c r="EL3415" s="1881"/>
      <c r="EM3415" s="1881"/>
    </row>
    <row r="3416" spans="140:143">
      <c r="EJ3416" s="1881"/>
      <c r="EL3416" s="1881"/>
      <c r="EM3416" s="1881"/>
    </row>
    <row r="3417" spans="140:143">
      <c r="EJ3417" s="1881"/>
      <c r="EL3417" s="1881"/>
      <c r="EM3417" s="1881"/>
    </row>
    <row r="3418" spans="140:143">
      <c r="EJ3418" s="1881"/>
      <c r="EL3418" s="1881"/>
      <c r="EM3418" s="1881"/>
    </row>
    <row r="3419" spans="140:143">
      <c r="EJ3419" s="1881"/>
      <c r="EL3419" s="1881"/>
      <c r="EM3419" s="1881"/>
    </row>
    <row r="3420" spans="140:143">
      <c r="EJ3420" s="1881"/>
      <c r="EL3420" s="1881"/>
      <c r="EM3420" s="1881"/>
    </row>
    <row r="3421" spans="140:143">
      <c r="EJ3421" s="1881"/>
      <c r="EL3421" s="1881"/>
      <c r="EM3421" s="1881"/>
    </row>
    <row r="3422" spans="140:143">
      <c r="EJ3422" s="1881"/>
      <c r="EL3422" s="1881"/>
      <c r="EM3422" s="1881"/>
    </row>
    <row r="3423" spans="140:143">
      <c r="EJ3423" s="1881"/>
      <c r="EL3423" s="1881"/>
      <c r="EM3423" s="1881"/>
    </row>
    <row r="3424" spans="140:143">
      <c r="EJ3424" s="1881"/>
      <c r="EL3424" s="1881"/>
      <c r="EM3424" s="1881"/>
    </row>
    <row r="3425" spans="140:143">
      <c r="EJ3425" s="1881"/>
      <c r="EL3425" s="1881"/>
      <c r="EM3425" s="1881"/>
    </row>
    <row r="3426" spans="140:143">
      <c r="EJ3426" s="1881"/>
      <c r="EL3426" s="1881"/>
      <c r="EM3426" s="1881"/>
    </row>
    <row r="3427" spans="140:143">
      <c r="EJ3427" s="1881"/>
      <c r="EL3427" s="1881"/>
      <c r="EM3427" s="1881"/>
    </row>
    <row r="3428" spans="140:143">
      <c r="EJ3428" s="1881"/>
      <c r="EL3428" s="1881"/>
      <c r="EM3428" s="1881"/>
    </row>
    <row r="3429" spans="140:143">
      <c r="EJ3429" s="1881"/>
      <c r="EL3429" s="1881"/>
      <c r="EM3429" s="1881"/>
    </row>
    <row r="3430" spans="140:143">
      <c r="EJ3430" s="1881"/>
      <c r="EL3430" s="1881"/>
      <c r="EM3430" s="1881"/>
    </row>
    <row r="3431" spans="140:143">
      <c r="EJ3431" s="1881"/>
      <c r="EL3431" s="1881"/>
      <c r="EM3431" s="1881"/>
    </row>
    <row r="3432" spans="140:143">
      <c r="EJ3432" s="1881"/>
      <c r="EL3432" s="1881"/>
      <c r="EM3432" s="1881"/>
    </row>
    <row r="3433" spans="140:143">
      <c r="EJ3433" s="1881"/>
      <c r="EL3433" s="1881"/>
      <c r="EM3433" s="1881"/>
    </row>
    <row r="3434" spans="140:143">
      <c r="EJ3434" s="1881"/>
      <c r="EL3434" s="1881"/>
      <c r="EM3434" s="1881"/>
    </row>
    <row r="3435" spans="140:143">
      <c r="EJ3435" s="1881"/>
      <c r="EL3435" s="1881"/>
      <c r="EM3435" s="1881"/>
    </row>
    <row r="3436" spans="140:143">
      <c r="EJ3436" s="1881"/>
      <c r="EL3436" s="1881"/>
      <c r="EM3436" s="1881"/>
    </row>
    <row r="3437" spans="140:143">
      <c r="EJ3437" s="1881"/>
      <c r="EL3437" s="1881"/>
      <c r="EM3437" s="1881"/>
    </row>
    <row r="3438" spans="140:143">
      <c r="EJ3438" s="1881"/>
      <c r="EL3438" s="1881"/>
      <c r="EM3438" s="1881"/>
    </row>
    <row r="3439" spans="140:143">
      <c r="EJ3439" s="1881"/>
      <c r="EL3439" s="1881"/>
      <c r="EM3439" s="1881"/>
    </row>
    <row r="3440" spans="140:143">
      <c r="EJ3440" s="1881"/>
      <c r="EL3440" s="1881"/>
      <c r="EM3440" s="1881"/>
    </row>
    <row r="3441" spans="140:143">
      <c r="EJ3441" s="1881"/>
      <c r="EL3441" s="1881"/>
      <c r="EM3441" s="1881"/>
    </row>
    <row r="3442" spans="140:143">
      <c r="EJ3442" s="1881"/>
      <c r="EL3442" s="1881"/>
      <c r="EM3442" s="1881"/>
    </row>
    <row r="3443" spans="140:143">
      <c r="EJ3443" s="1881"/>
      <c r="EL3443" s="1881"/>
      <c r="EM3443" s="1881"/>
    </row>
    <row r="3444" spans="140:143">
      <c r="EJ3444" s="1881"/>
      <c r="EL3444" s="1881"/>
      <c r="EM3444" s="1881"/>
    </row>
    <row r="3445" spans="140:143">
      <c r="EJ3445" s="1881"/>
      <c r="EL3445" s="1881"/>
      <c r="EM3445" s="1881"/>
    </row>
    <row r="3446" spans="140:143">
      <c r="EJ3446" s="1881"/>
      <c r="EL3446" s="1881"/>
      <c r="EM3446" s="1881"/>
    </row>
    <row r="3447" spans="140:143">
      <c r="EJ3447" s="1881"/>
      <c r="EL3447" s="1881"/>
      <c r="EM3447" s="1881"/>
    </row>
    <row r="3448" spans="140:143">
      <c r="EJ3448" s="1881"/>
      <c r="EL3448" s="1881"/>
      <c r="EM3448" s="1881"/>
    </row>
    <row r="3449" spans="140:143">
      <c r="EJ3449" s="1881"/>
      <c r="EL3449" s="1881"/>
      <c r="EM3449" s="1881"/>
    </row>
    <row r="3450" spans="140:143">
      <c r="EJ3450" s="1881"/>
      <c r="EL3450" s="1881"/>
      <c r="EM3450" s="1881"/>
    </row>
    <row r="3451" spans="140:143">
      <c r="EJ3451" s="1881"/>
      <c r="EL3451" s="1881"/>
      <c r="EM3451" s="1881"/>
    </row>
    <row r="3452" spans="140:143">
      <c r="EJ3452" s="1881"/>
      <c r="EL3452" s="1881"/>
      <c r="EM3452" s="1881"/>
    </row>
    <row r="3453" spans="140:143">
      <c r="EJ3453" s="1881"/>
      <c r="EL3453" s="1881"/>
      <c r="EM3453" s="1881"/>
    </row>
    <row r="3454" spans="140:143">
      <c r="EJ3454" s="1881"/>
      <c r="EL3454" s="1881"/>
      <c r="EM3454" s="1881"/>
    </row>
    <row r="3455" spans="140:143">
      <c r="EJ3455" s="1881"/>
      <c r="EL3455" s="1881"/>
      <c r="EM3455" s="1881"/>
    </row>
    <row r="3456" spans="140:143">
      <c r="EJ3456" s="1881"/>
      <c r="EL3456" s="1881"/>
      <c r="EM3456" s="1881"/>
    </row>
    <row r="3457" spans="140:143">
      <c r="EJ3457" s="1881"/>
      <c r="EL3457" s="1881"/>
      <c r="EM3457" s="1881"/>
    </row>
    <row r="3458" spans="140:143">
      <c r="EJ3458" s="1881"/>
      <c r="EL3458" s="1881"/>
      <c r="EM3458" s="1881"/>
    </row>
    <row r="3459" spans="140:143">
      <c r="EJ3459" s="1881"/>
      <c r="EL3459" s="1881"/>
      <c r="EM3459" s="1881"/>
    </row>
    <row r="3460" spans="140:143">
      <c r="EJ3460" s="1881"/>
      <c r="EL3460" s="1881"/>
      <c r="EM3460" s="1881"/>
    </row>
    <row r="3461" spans="140:143">
      <c r="EJ3461" s="1881"/>
      <c r="EL3461" s="1881"/>
      <c r="EM3461" s="1881"/>
    </row>
    <row r="3462" spans="140:143">
      <c r="EJ3462" s="1881"/>
      <c r="EL3462" s="1881"/>
      <c r="EM3462" s="1881"/>
    </row>
    <row r="3463" spans="140:143">
      <c r="EJ3463" s="1881"/>
      <c r="EL3463" s="1881"/>
      <c r="EM3463" s="1881"/>
    </row>
    <row r="3464" spans="140:143">
      <c r="EJ3464" s="1881"/>
      <c r="EL3464" s="1881"/>
      <c r="EM3464" s="1881"/>
    </row>
    <row r="3465" spans="140:143">
      <c r="EJ3465" s="1881"/>
      <c r="EL3465" s="1881"/>
      <c r="EM3465" s="1881"/>
    </row>
    <row r="3466" spans="140:143">
      <c r="EJ3466" s="1881"/>
      <c r="EL3466" s="1881"/>
      <c r="EM3466" s="1881"/>
    </row>
    <row r="3467" spans="140:143">
      <c r="EJ3467" s="1881"/>
      <c r="EL3467" s="1881"/>
      <c r="EM3467" s="1881"/>
    </row>
    <row r="3468" spans="140:143">
      <c r="EJ3468" s="1881"/>
      <c r="EL3468" s="1881"/>
      <c r="EM3468" s="1881"/>
    </row>
    <row r="3469" spans="140:143">
      <c r="EJ3469" s="1881"/>
      <c r="EL3469" s="1881"/>
      <c r="EM3469" s="1881"/>
    </row>
    <row r="3470" spans="140:143">
      <c r="EJ3470" s="1881"/>
      <c r="EL3470" s="1881"/>
      <c r="EM3470" s="1881"/>
    </row>
    <row r="3471" spans="140:143">
      <c r="EJ3471" s="1881"/>
      <c r="EL3471" s="1881"/>
      <c r="EM3471" s="1881"/>
    </row>
    <row r="3472" spans="140:143">
      <c r="EJ3472" s="1881"/>
      <c r="EL3472" s="1881"/>
      <c r="EM3472" s="1881"/>
    </row>
    <row r="3473" spans="140:143">
      <c r="EJ3473" s="1881"/>
      <c r="EL3473" s="1881"/>
      <c r="EM3473" s="1881"/>
    </row>
    <row r="3474" spans="140:143">
      <c r="EJ3474" s="1881"/>
      <c r="EL3474" s="1881"/>
      <c r="EM3474" s="1881"/>
    </row>
    <row r="3475" spans="140:143">
      <c r="EJ3475" s="1881"/>
      <c r="EL3475" s="1881"/>
      <c r="EM3475" s="1881"/>
    </row>
    <row r="3476" spans="140:143">
      <c r="EJ3476" s="1881"/>
      <c r="EL3476" s="1881"/>
      <c r="EM3476" s="1881"/>
    </row>
    <row r="3477" spans="140:143">
      <c r="EJ3477" s="1881"/>
      <c r="EL3477" s="1881"/>
      <c r="EM3477" s="1881"/>
    </row>
    <row r="3478" spans="140:143">
      <c r="EJ3478" s="1881"/>
      <c r="EL3478" s="1881"/>
      <c r="EM3478" s="1881"/>
    </row>
    <row r="3479" spans="140:143">
      <c r="EJ3479" s="1881"/>
      <c r="EL3479" s="1881"/>
      <c r="EM3479" s="1881"/>
    </row>
    <row r="3480" spans="140:143">
      <c r="EJ3480" s="1881"/>
      <c r="EL3480" s="1881"/>
      <c r="EM3480" s="1881"/>
    </row>
    <row r="3481" spans="140:143">
      <c r="EJ3481" s="1881"/>
      <c r="EL3481" s="1881"/>
      <c r="EM3481" s="1881"/>
    </row>
    <row r="3482" spans="140:143">
      <c r="EJ3482" s="1881"/>
      <c r="EL3482" s="1881"/>
      <c r="EM3482" s="1881"/>
    </row>
    <row r="3483" spans="140:143">
      <c r="EJ3483" s="1881"/>
      <c r="EL3483" s="1881"/>
      <c r="EM3483" s="1881"/>
    </row>
    <row r="3484" spans="140:143">
      <c r="EJ3484" s="1881"/>
      <c r="EL3484" s="1881"/>
      <c r="EM3484" s="1881"/>
    </row>
    <row r="3485" spans="140:143">
      <c r="EJ3485" s="1881"/>
      <c r="EL3485" s="1881"/>
      <c r="EM3485" s="1881"/>
    </row>
    <row r="3486" spans="140:143">
      <c r="EJ3486" s="1881"/>
      <c r="EL3486" s="1881"/>
      <c r="EM3486" s="1881"/>
    </row>
    <row r="3487" spans="140:143">
      <c r="EJ3487" s="1881"/>
      <c r="EL3487" s="1881"/>
      <c r="EM3487" s="1881"/>
    </row>
    <row r="3488" spans="140:143">
      <c r="EJ3488" s="1881"/>
      <c r="EL3488" s="1881"/>
      <c r="EM3488" s="1881"/>
    </row>
    <row r="3489" spans="140:143">
      <c r="EJ3489" s="1881"/>
      <c r="EL3489" s="1881"/>
      <c r="EM3489" s="1881"/>
    </row>
    <row r="3490" spans="140:143">
      <c r="EJ3490" s="1881"/>
      <c r="EL3490" s="1881"/>
      <c r="EM3490" s="1881"/>
    </row>
    <row r="3491" spans="140:143">
      <c r="EJ3491" s="1881"/>
      <c r="EL3491" s="1881"/>
      <c r="EM3491" s="1881"/>
    </row>
    <row r="3492" spans="140:143">
      <c r="EJ3492" s="1881"/>
      <c r="EL3492" s="1881"/>
      <c r="EM3492" s="1881"/>
    </row>
    <row r="3493" spans="140:143">
      <c r="EJ3493" s="1881"/>
      <c r="EL3493" s="1881"/>
      <c r="EM3493" s="1881"/>
    </row>
    <row r="3494" spans="140:143">
      <c r="EJ3494" s="1881"/>
      <c r="EL3494" s="1881"/>
      <c r="EM3494" s="1881"/>
    </row>
    <row r="3495" spans="140:143">
      <c r="EJ3495" s="1881"/>
      <c r="EL3495" s="1881"/>
      <c r="EM3495" s="1881"/>
    </row>
    <row r="3496" spans="140:143">
      <c r="EJ3496" s="1881"/>
      <c r="EL3496" s="1881"/>
      <c r="EM3496" s="1881"/>
    </row>
    <row r="3497" spans="140:143">
      <c r="EJ3497" s="1881"/>
      <c r="EL3497" s="1881"/>
      <c r="EM3497" s="1881"/>
    </row>
    <row r="3498" spans="140:143">
      <c r="EJ3498" s="1881"/>
      <c r="EL3498" s="1881"/>
      <c r="EM3498" s="1881"/>
    </row>
    <row r="3499" spans="140:143">
      <c r="EJ3499" s="1881"/>
      <c r="EL3499" s="1881"/>
      <c r="EM3499" s="1881"/>
    </row>
    <row r="3500" spans="140:143">
      <c r="EJ3500" s="1881"/>
      <c r="EL3500" s="1881"/>
      <c r="EM3500" s="1881"/>
    </row>
    <row r="3501" spans="140:143">
      <c r="EJ3501" s="1881"/>
      <c r="EL3501" s="1881"/>
      <c r="EM3501" s="1881"/>
    </row>
    <row r="3502" spans="140:143">
      <c r="EJ3502" s="1881"/>
      <c r="EL3502" s="1881"/>
      <c r="EM3502" s="1881"/>
    </row>
    <row r="3503" spans="140:143">
      <c r="EJ3503" s="1881"/>
      <c r="EL3503" s="1881"/>
      <c r="EM3503" s="1881"/>
    </row>
    <row r="3504" spans="140:143">
      <c r="EJ3504" s="1881"/>
      <c r="EL3504" s="1881"/>
      <c r="EM3504" s="1881"/>
    </row>
    <row r="3505" spans="140:143">
      <c r="EJ3505" s="1881"/>
      <c r="EL3505" s="1881"/>
      <c r="EM3505" s="1881"/>
    </row>
    <row r="3506" spans="140:143">
      <c r="EJ3506" s="1881"/>
      <c r="EL3506" s="1881"/>
      <c r="EM3506" s="1881"/>
    </row>
    <row r="3507" spans="140:143">
      <c r="EJ3507" s="1881"/>
      <c r="EL3507" s="1881"/>
      <c r="EM3507" s="1881"/>
    </row>
    <row r="3508" spans="140:143">
      <c r="EJ3508" s="1881"/>
      <c r="EL3508" s="1881"/>
      <c r="EM3508" s="1881"/>
    </row>
    <row r="3509" spans="140:143">
      <c r="EJ3509" s="1881"/>
      <c r="EL3509" s="1881"/>
      <c r="EM3509" s="1881"/>
    </row>
    <row r="3510" spans="140:143">
      <c r="EJ3510" s="1881"/>
      <c r="EL3510" s="1881"/>
      <c r="EM3510" s="1881"/>
    </row>
    <row r="3511" spans="140:143">
      <c r="EJ3511" s="1881"/>
      <c r="EL3511" s="1881"/>
      <c r="EM3511" s="1881"/>
    </row>
    <row r="3512" spans="140:143">
      <c r="EJ3512" s="1881"/>
      <c r="EL3512" s="1881"/>
      <c r="EM3512" s="1881"/>
    </row>
    <row r="3513" spans="140:143">
      <c r="EJ3513" s="1881"/>
      <c r="EL3513" s="1881"/>
      <c r="EM3513" s="1881"/>
    </row>
    <row r="3514" spans="140:143">
      <c r="EJ3514" s="1881"/>
      <c r="EL3514" s="1881"/>
      <c r="EM3514" s="1881"/>
    </row>
    <row r="3515" spans="140:143">
      <c r="EJ3515" s="1881"/>
      <c r="EL3515" s="1881"/>
      <c r="EM3515" s="1881"/>
    </row>
    <row r="3516" spans="140:143">
      <c r="EJ3516" s="1881"/>
      <c r="EL3516" s="1881"/>
      <c r="EM3516" s="1881"/>
    </row>
    <row r="3517" spans="140:143">
      <c r="EJ3517" s="1881"/>
      <c r="EL3517" s="1881"/>
      <c r="EM3517" s="1881"/>
    </row>
    <row r="3518" spans="140:143">
      <c r="EJ3518" s="1881"/>
      <c r="EL3518" s="1881"/>
      <c r="EM3518" s="1881"/>
    </row>
    <row r="3519" spans="140:143">
      <c r="EJ3519" s="1881"/>
      <c r="EL3519" s="1881"/>
      <c r="EM3519" s="1881"/>
    </row>
    <row r="3520" spans="140:143">
      <c r="EJ3520" s="1881"/>
      <c r="EL3520" s="1881"/>
      <c r="EM3520" s="1881"/>
    </row>
    <row r="3521" spans="140:143">
      <c r="EJ3521" s="1881"/>
      <c r="EL3521" s="1881"/>
      <c r="EM3521" s="1881"/>
    </row>
    <row r="3522" spans="140:143">
      <c r="EJ3522" s="1881"/>
      <c r="EL3522" s="1881"/>
      <c r="EM3522" s="1881"/>
    </row>
    <row r="3523" spans="140:143">
      <c r="EJ3523" s="1881"/>
      <c r="EL3523" s="1881"/>
      <c r="EM3523" s="1881"/>
    </row>
    <row r="3524" spans="140:143">
      <c r="EJ3524" s="1881"/>
      <c r="EL3524" s="1881"/>
      <c r="EM3524" s="1881"/>
    </row>
    <row r="3525" spans="140:143">
      <c r="EJ3525" s="1881"/>
      <c r="EL3525" s="1881"/>
      <c r="EM3525" s="1881"/>
    </row>
    <row r="3526" spans="140:143">
      <c r="EJ3526" s="1881"/>
      <c r="EL3526" s="1881"/>
      <c r="EM3526" s="1881"/>
    </row>
    <row r="3527" spans="140:143">
      <c r="EJ3527" s="1881"/>
      <c r="EL3527" s="1881"/>
      <c r="EM3527" s="1881"/>
    </row>
    <row r="3528" spans="140:143">
      <c r="EJ3528" s="1881"/>
      <c r="EL3528" s="1881"/>
      <c r="EM3528" s="1881"/>
    </row>
    <row r="3529" spans="140:143">
      <c r="EJ3529" s="1881"/>
      <c r="EL3529" s="1881"/>
      <c r="EM3529" s="1881"/>
    </row>
    <row r="3530" spans="140:143">
      <c r="EJ3530" s="1881"/>
      <c r="EL3530" s="1881"/>
      <c r="EM3530" s="1881"/>
    </row>
    <row r="3531" spans="140:143">
      <c r="EJ3531" s="1881"/>
      <c r="EL3531" s="1881"/>
      <c r="EM3531" s="1881"/>
    </row>
    <row r="3532" spans="140:143">
      <c r="EJ3532" s="1881"/>
      <c r="EL3532" s="1881"/>
      <c r="EM3532" s="1881"/>
    </row>
    <row r="3533" spans="140:143">
      <c r="EJ3533" s="1881"/>
      <c r="EL3533" s="1881"/>
      <c r="EM3533" s="1881"/>
    </row>
    <row r="3534" spans="140:143">
      <c r="EJ3534" s="1881"/>
      <c r="EL3534" s="1881"/>
      <c r="EM3534" s="1881"/>
    </row>
    <row r="3535" spans="140:143">
      <c r="EJ3535" s="1881"/>
      <c r="EL3535" s="1881"/>
      <c r="EM3535" s="1881"/>
    </row>
    <row r="3536" spans="140:143">
      <c r="EJ3536" s="1881"/>
      <c r="EL3536" s="1881"/>
      <c r="EM3536" s="1881"/>
    </row>
    <row r="3537" spans="140:143">
      <c r="EJ3537" s="1881"/>
      <c r="EL3537" s="1881"/>
      <c r="EM3537" s="1881"/>
    </row>
    <row r="3538" spans="140:143">
      <c r="EJ3538" s="1881"/>
      <c r="EL3538" s="1881"/>
      <c r="EM3538" s="1881"/>
    </row>
    <row r="3539" spans="140:143">
      <c r="EJ3539" s="1881"/>
      <c r="EL3539" s="1881"/>
      <c r="EM3539" s="1881"/>
    </row>
    <row r="3540" spans="140:143">
      <c r="EJ3540" s="1881"/>
      <c r="EL3540" s="1881"/>
      <c r="EM3540" s="1881"/>
    </row>
    <row r="3541" spans="140:143">
      <c r="EJ3541" s="1881"/>
      <c r="EL3541" s="1881"/>
      <c r="EM3541" s="1881"/>
    </row>
    <row r="3542" spans="140:143">
      <c r="EJ3542" s="1881"/>
      <c r="EL3542" s="1881"/>
      <c r="EM3542" s="1881"/>
    </row>
    <row r="3543" spans="140:143">
      <c r="EJ3543" s="1881"/>
      <c r="EL3543" s="1881"/>
      <c r="EM3543" s="1881"/>
    </row>
    <row r="3544" spans="140:143">
      <c r="EJ3544" s="1881"/>
      <c r="EL3544" s="1881"/>
      <c r="EM3544" s="1881"/>
    </row>
    <row r="3545" spans="140:143">
      <c r="EJ3545" s="1881"/>
      <c r="EL3545" s="1881"/>
      <c r="EM3545" s="1881"/>
    </row>
    <row r="3546" spans="140:143">
      <c r="EJ3546" s="1881"/>
      <c r="EL3546" s="1881"/>
      <c r="EM3546" s="1881"/>
    </row>
    <row r="3547" spans="140:143">
      <c r="EJ3547" s="1881"/>
      <c r="EL3547" s="1881"/>
      <c r="EM3547" s="1881"/>
    </row>
    <row r="3548" spans="140:143">
      <c r="EJ3548" s="1881"/>
      <c r="EL3548" s="1881"/>
      <c r="EM3548" s="1881"/>
    </row>
    <row r="3549" spans="140:143">
      <c r="EJ3549" s="1881"/>
      <c r="EL3549" s="1881"/>
      <c r="EM3549" s="1881"/>
    </row>
    <row r="3550" spans="140:143">
      <c r="EJ3550" s="1881"/>
      <c r="EL3550" s="1881"/>
      <c r="EM3550" s="1881"/>
    </row>
    <row r="3551" spans="140:143">
      <c r="EJ3551" s="1881"/>
      <c r="EL3551" s="1881"/>
      <c r="EM3551" s="1881"/>
    </row>
    <row r="3552" spans="140:143">
      <c r="EJ3552" s="1881"/>
      <c r="EL3552" s="1881"/>
      <c r="EM3552" s="1881"/>
    </row>
    <row r="3553" spans="140:143">
      <c r="EJ3553" s="1881"/>
      <c r="EL3553" s="1881"/>
      <c r="EM3553" s="1881"/>
    </row>
    <row r="3554" spans="140:143">
      <c r="EJ3554" s="1881"/>
      <c r="EL3554" s="1881"/>
      <c r="EM3554" s="1881"/>
    </row>
    <row r="3555" spans="140:143">
      <c r="EJ3555" s="1881"/>
      <c r="EL3555" s="1881"/>
      <c r="EM3555" s="1881"/>
    </row>
    <row r="3556" spans="140:143">
      <c r="EJ3556" s="1881"/>
      <c r="EL3556" s="1881"/>
      <c r="EM3556" s="1881"/>
    </row>
    <row r="3557" spans="140:143">
      <c r="EJ3557" s="1881"/>
      <c r="EL3557" s="1881"/>
      <c r="EM3557" s="1881"/>
    </row>
    <row r="3558" spans="140:143">
      <c r="EJ3558" s="1881"/>
      <c r="EL3558" s="1881"/>
      <c r="EM3558" s="1881"/>
    </row>
    <row r="3559" spans="140:143">
      <c r="EJ3559" s="1881"/>
      <c r="EL3559" s="1881"/>
      <c r="EM3559" s="1881"/>
    </row>
    <row r="3560" spans="140:143">
      <c r="EJ3560" s="1881"/>
      <c r="EL3560" s="1881"/>
      <c r="EM3560" s="1881"/>
    </row>
    <row r="3561" spans="140:143">
      <c r="EJ3561" s="1881"/>
      <c r="EL3561" s="1881"/>
      <c r="EM3561" s="1881"/>
    </row>
    <row r="3562" spans="140:143">
      <c r="EJ3562" s="1881"/>
      <c r="EL3562" s="1881"/>
      <c r="EM3562" s="1881"/>
    </row>
    <row r="3563" spans="140:143">
      <c r="EJ3563" s="1881"/>
      <c r="EL3563" s="1881"/>
      <c r="EM3563" s="1881"/>
    </row>
    <row r="3564" spans="140:143">
      <c r="EJ3564" s="1881"/>
      <c r="EL3564" s="1881"/>
      <c r="EM3564" s="1881"/>
    </row>
    <row r="3565" spans="140:143">
      <c r="EJ3565" s="1881"/>
      <c r="EL3565" s="1881"/>
      <c r="EM3565" s="1881"/>
    </row>
    <row r="3566" spans="140:143">
      <c r="EJ3566" s="1881"/>
      <c r="EL3566" s="1881"/>
      <c r="EM3566" s="1881"/>
    </row>
    <row r="3567" spans="140:143">
      <c r="EJ3567" s="1881"/>
      <c r="EL3567" s="1881"/>
      <c r="EM3567" s="1881"/>
    </row>
    <row r="3568" spans="140:143">
      <c r="EJ3568" s="1881"/>
      <c r="EL3568" s="1881"/>
      <c r="EM3568" s="1881"/>
    </row>
    <row r="3569" spans="140:143">
      <c r="EJ3569" s="1881"/>
      <c r="EL3569" s="1881"/>
      <c r="EM3569" s="1881"/>
    </row>
    <row r="3570" spans="140:143">
      <c r="EJ3570" s="1881"/>
      <c r="EL3570" s="1881"/>
      <c r="EM3570" s="1881"/>
    </row>
    <row r="3571" spans="140:143">
      <c r="EJ3571" s="1881"/>
      <c r="EL3571" s="1881"/>
      <c r="EM3571" s="1881"/>
    </row>
    <row r="3572" spans="140:143">
      <c r="EJ3572" s="1881"/>
      <c r="EL3572" s="1881"/>
      <c r="EM3572" s="1881"/>
    </row>
    <row r="3573" spans="140:143">
      <c r="EJ3573" s="1881"/>
      <c r="EL3573" s="1881"/>
      <c r="EM3573" s="1881"/>
    </row>
    <row r="3574" spans="140:143">
      <c r="EJ3574" s="1881"/>
      <c r="EL3574" s="1881"/>
      <c r="EM3574" s="1881"/>
    </row>
    <row r="3575" spans="140:143">
      <c r="EJ3575" s="1881"/>
      <c r="EL3575" s="1881"/>
      <c r="EM3575" s="1881"/>
    </row>
    <row r="3576" spans="140:143">
      <c r="EJ3576" s="1881"/>
      <c r="EL3576" s="1881"/>
      <c r="EM3576" s="1881"/>
    </row>
    <row r="3577" spans="140:143">
      <c r="EJ3577" s="1881"/>
      <c r="EL3577" s="1881"/>
      <c r="EM3577" s="1881"/>
    </row>
    <row r="3578" spans="140:143">
      <c r="EJ3578" s="1881"/>
      <c r="EL3578" s="1881"/>
      <c r="EM3578" s="1881"/>
    </row>
    <row r="3579" spans="140:143">
      <c r="EJ3579" s="1881"/>
      <c r="EL3579" s="1881"/>
      <c r="EM3579" s="1881"/>
    </row>
    <row r="3580" spans="140:143">
      <c r="EJ3580" s="1881"/>
      <c r="EL3580" s="1881"/>
      <c r="EM3580" s="1881"/>
    </row>
    <row r="3581" spans="140:143">
      <c r="EJ3581" s="1881"/>
      <c r="EL3581" s="1881"/>
      <c r="EM3581" s="1881"/>
    </row>
    <row r="3582" spans="140:143">
      <c r="EJ3582" s="1881"/>
      <c r="EL3582" s="1881"/>
      <c r="EM3582" s="1881"/>
    </row>
    <row r="3583" spans="140:143">
      <c r="EJ3583" s="1881"/>
      <c r="EL3583" s="1881"/>
      <c r="EM3583" s="1881"/>
    </row>
    <row r="3584" spans="140:143">
      <c r="EJ3584" s="1881"/>
      <c r="EL3584" s="1881"/>
      <c r="EM3584" s="1881"/>
    </row>
    <row r="3585" spans="140:143">
      <c r="EJ3585" s="1881"/>
      <c r="EL3585" s="1881"/>
      <c r="EM3585" s="1881"/>
    </row>
    <row r="3586" spans="140:143">
      <c r="EJ3586" s="1881"/>
      <c r="EL3586" s="1881"/>
      <c r="EM3586" s="1881"/>
    </row>
    <row r="3587" spans="140:143">
      <c r="EJ3587" s="1881"/>
      <c r="EL3587" s="1881"/>
      <c r="EM3587" s="1881"/>
    </row>
    <row r="3588" spans="140:143">
      <c r="EJ3588" s="1881"/>
      <c r="EL3588" s="1881"/>
      <c r="EM3588" s="1881"/>
    </row>
    <row r="3589" spans="140:143">
      <c r="EJ3589" s="1881"/>
      <c r="EL3589" s="1881"/>
      <c r="EM3589" s="1881"/>
    </row>
    <row r="3590" spans="140:143">
      <c r="EJ3590" s="1881"/>
      <c r="EL3590" s="1881"/>
      <c r="EM3590" s="1881"/>
    </row>
    <row r="3591" spans="140:143">
      <c r="EJ3591" s="1881"/>
      <c r="EL3591" s="1881"/>
      <c r="EM3591" s="1881"/>
    </row>
    <row r="3592" spans="140:143">
      <c r="EJ3592" s="1881"/>
      <c r="EL3592" s="1881"/>
      <c r="EM3592" s="1881"/>
    </row>
    <row r="3593" spans="140:143">
      <c r="EJ3593" s="1881"/>
      <c r="EL3593" s="1881"/>
      <c r="EM3593" s="1881"/>
    </row>
    <row r="3594" spans="140:143">
      <c r="EJ3594" s="1881"/>
      <c r="EL3594" s="1881"/>
      <c r="EM3594" s="1881"/>
    </row>
    <row r="3595" spans="140:143">
      <c r="EJ3595" s="1881"/>
      <c r="EL3595" s="1881"/>
      <c r="EM3595" s="1881"/>
    </row>
    <row r="3596" spans="140:143">
      <c r="EJ3596" s="1881"/>
      <c r="EL3596" s="1881"/>
      <c r="EM3596" s="1881"/>
    </row>
    <row r="3597" spans="140:143">
      <c r="EJ3597" s="1881"/>
      <c r="EL3597" s="1881"/>
      <c r="EM3597" s="1881"/>
    </row>
    <row r="3598" spans="140:143">
      <c r="EJ3598" s="1881"/>
      <c r="EL3598" s="1881"/>
      <c r="EM3598" s="1881"/>
    </row>
    <row r="3599" spans="140:143">
      <c r="EJ3599" s="1881"/>
      <c r="EL3599" s="1881"/>
      <c r="EM3599" s="1881"/>
    </row>
    <row r="3600" spans="140:143">
      <c r="EJ3600" s="1881"/>
      <c r="EL3600" s="1881"/>
      <c r="EM3600" s="1881"/>
    </row>
    <row r="3601" spans="140:143">
      <c r="EJ3601" s="1881"/>
      <c r="EL3601" s="1881"/>
      <c r="EM3601" s="1881"/>
    </row>
    <row r="3602" spans="140:143">
      <c r="EJ3602" s="1881"/>
      <c r="EL3602" s="1881"/>
      <c r="EM3602" s="1881"/>
    </row>
    <row r="3603" spans="140:143">
      <c r="EJ3603" s="1881"/>
      <c r="EL3603" s="1881"/>
      <c r="EM3603" s="1881"/>
    </row>
    <row r="3604" spans="140:143">
      <c r="EJ3604" s="1881"/>
      <c r="EL3604" s="1881"/>
      <c r="EM3604" s="1881"/>
    </row>
    <row r="3605" spans="140:143">
      <c r="EJ3605" s="1881"/>
      <c r="EL3605" s="1881"/>
      <c r="EM3605" s="1881"/>
    </row>
    <row r="3606" spans="140:143">
      <c r="EJ3606" s="1881"/>
      <c r="EL3606" s="1881"/>
      <c r="EM3606" s="1881"/>
    </row>
    <row r="3607" spans="140:143">
      <c r="EJ3607" s="1881"/>
      <c r="EL3607" s="1881"/>
      <c r="EM3607" s="1881"/>
    </row>
    <row r="3608" spans="140:143">
      <c r="EJ3608" s="1881"/>
      <c r="EL3608" s="1881"/>
      <c r="EM3608" s="1881"/>
    </row>
    <row r="3609" spans="140:143">
      <c r="EJ3609" s="1881"/>
      <c r="EL3609" s="1881"/>
      <c r="EM3609" s="1881"/>
    </row>
    <row r="3610" spans="140:143">
      <c r="EJ3610" s="1881"/>
      <c r="EL3610" s="1881"/>
      <c r="EM3610" s="1881"/>
    </row>
    <row r="3611" spans="140:143">
      <c r="EJ3611" s="1881"/>
      <c r="EL3611" s="1881"/>
      <c r="EM3611" s="1881"/>
    </row>
    <row r="3612" spans="140:143">
      <c r="EJ3612" s="1881"/>
      <c r="EL3612" s="1881"/>
      <c r="EM3612" s="1881"/>
    </row>
    <row r="3613" spans="140:143">
      <c r="EJ3613" s="1881"/>
      <c r="EL3613" s="1881"/>
      <c r="EM3613" s="1881"/>
    </row>
    <row r="3614" spans="140:143">
      <c r="EJ3614" s="1881"/>
      <c r="EL3614" s="1881"/>
      <c r="EM3614" s="1881"/>
    </row>
    <row r="3615" spans="140:143">
      <c r="EJ3615" s="1881"/>
      <c r="EL3615" s="1881"/>
      <c r="EM3615" s="1881"/>
    </row>
    <row r="3616" spans="140:143">
      <c r="EJ3616" s="1881"/>
      <c r="EL3616" s="1881"/>
      <c r="EM3616" s="1881"/>
    </row>
    <row r="3617" spans="140:143">
      <c r="EJ3617" s="1881"/>
      <c r="EL3617" s="1881"/>
      <c r="EM3617" s="1881"/>
    </row>
    <row r="3618" spans="140:143">
      <c r="EJ3618" s="1881"/>
      <c r="EL3618" s="1881"/>
      <c r="EM3618" s="1881"/>
    </row>
    <row r="3619" spans="140:143">
      <c r="EJ3619" s="1881"/>
      <c r="EL3619" s="1881"/>
      <c r="EM3619" s="1881"/>
    </row>
    <row r="3620" spans="140:143">
      <c r="EJ3620" s="1881"/>
      <c r="EL3620" s="1881"/>
      <c r="EM3620" s="1881"/>
    </row>
    <row r="3621" spans="140:143">
      <c r="EJ3621" s="1881"/>
      <c r="EL3621" s="1881"/>
      <c r="EM3621" s="1881"/>
    </row>
    <row r="3622" spans="140:143">
      <c r="EJ3622" s="1881"/>
      <c r="EL3622" s="1881"/>
      <c r="EM3622" s="1881"/>
    </row>
    <row r="3623" spans="140:143">
      <c r="EJ3623" s="1881"/>
      <c r="EL3623" s="1881"/>
      <c r="EM3623" s="1881"/>
    </row>
    <row r="3624" spans="140:143">
      <c r="EJ3624" s="1881"/>
      <c r="EL3624" s="1881"/>
      <c r="EM3624" s="1881"/>
    </row>
    <row r="3625" spans="140:143">
      <c r="EJ3625" s="1881"/>
      <c r="EL3625" s="1881"/>
      <c r="EM3625" s="1881"/>
    </row>
    <row r="3626" spans="140:143">
      <c r="EJ3626" s="1881"/>
      <c r="EL3626" s="1881"/>
      <c r="EM3626" s="1881"/>
    </row>
    <row r="3627" spans="140:143">
      <c r="EJ3627" s="1881"/>
      <c r="EL3627" s="1881"/>
      <c r="EM3627" s="1881"/>
    </row>
    <row r="3628" spans="140:143">
      <c r="EJ3628" s="1881"/>
      <c r="EL3628" s="1881"/>
      <c r="EM3628" s="1881"/>
    </row>
    <row r="3629" spans="140:143">
      <c r="EJ3629" s="1881"/>
      <c r="EL3629" s="1881"/>
      <c r="EM3629" s="1881"/>
    </row>
    <row r="3630" spans="140:143">
      <c r="EJ3630" s="1881"/>
      <c r="EL3630" s="1881"/>
      <c r="EM3630" s="1881"/>
    </row>
    <row r="3631" spans="140:143">
      <c r="EJ3631" s="1881"/>
      <c r="EL3631" s="1881"/>
      <c r="EM3631" s="1881"/>
    </row>
    <row r="3632" spans="140:143">
      <c r="EJ3632" s="1881"/>
      <c r="EL3632" s="1881"/>
      <c r="EM3632" s="1881"/>
    </row>
    <row r="3633" spans="140:143">
      <c r="EJ3633" s="1881"/>
      <c r="EL3633" s="1881"/>
      <c r="EM3633" s="1881"/>
    </row>
    <row r="3634" spans="140:143">
      <c r="EJ3634" s="1881"/>
      <c r="EL3634" s="1881"/>
      <c r="EM3634" s="1881"/>
    </row>
    <row r="3635" spans="140:143">
      <c r="EJ3635" s="1881"/>
      <c r="EL3635" s="1881"/>
      <c r="EM3635" s="1881"/>
    </row>
    <row r="3636" spans="140:143">
      <c r="EJ3636" s="1881"/>
      <c r="EL3636" s="1881"/>
      <c r="EM3636" s="1881"/>
    </row>
    <row r="3637" spans="140:143">
      <c r="EJ3637" s="1881"/>
      <c r="EL3637" s="1881"/>
      <c r="EM3637" s="1881"/>
    </row>
    <row r="3638" spans="140:143">
      <c r="EJ3638" s="1881"/>
      <c r="EL3638" s="1881"/>
      <c r="EM3638" s="1881"/>
    </row>
    <row r="3639" spans="140:143">
      <c r="EJ3639" s="1881"/>
      <c r="EL3639" s="1881"/>
      <c r="EM3639" s="1881"/>
    </row>
    <row r="3640" spans="140:143">
      <c r="EJ3640" s="1881"/>
      <c r="EL3640" s="1881"/>
      <c r="EM3640" s="1881"/>
    </row>
    <row r="3641" spans="140:143">
      <c r="EJ3641" s="1881"/>
      <c r="EL3641" s="1881"/>
      <c r="EM3641" s="1881"/>
    </row>
    <row r="3642" spans="140:143">
      <c r="EJ3642" s="1881"/>
      <c r="EL3642" s="1881"/>
      <c r="EM3642" s="1881"/>
    </row>
    <row r="3643" spans="140:143">
      <c r="EJ3643" s="1881"/>
      <c r="EL3643" s="1881"/>
      <c r="EM3643" s="1881"/>
    </row>
    <row r="3644" spans="140:143">
      <c r="EJ3644" s="1881"/>
      <c r="EL3644" s="1881"/>
      <c r="EM3644" s="1881"/>
    </row>
    <row r="3645" spans="140:143">
      <c r="EJ3645" s="1881"/>
      <c r="EL3645" s="1881"/>
      <c r="EM3645" s="1881"/>
    </row>
    <row r="3646" spans="140:143">
      <c r="EJ3646" s="1881"/>
      <c r="EL3646" s="1881"/>
      <c r="EM3646" s="1881"/>
    </row>
    <row r="3647" spans="140:143">
      <c r="EJ3647" s="1881"/>
      <c r="EL3647" s="1881"/>
      <c r="EM3647" s="1881"/>
    </row>
    <row r="3648" spans="140:143">
      <c r="EJ3648" s="1881"/>
      <c r="EL3648" s="1881"/>
      <c r="EM3648" s="1881"/>
    </row>
    <row r="3649" spans="140:143">
      <c r="EJ3649" s="1881"/>
      <c r="EL3649" s="1881"/>
      <c r="EM3649" s="1881"/>
    </row>
    <row r="3650" spans="140:143">
      <c r="EJ3650" s="1881"/>
      <c r="EL3650" s="1881"/>
      <c r="EM3650" s="1881"/>
    </row>
    <row r="3651" spans="140:143">
      <c r="EJ3651" s="1881"/>
      <c r="EL3651" s="1881"/>
      <c r="EM3651" s="1881"/>
    </row>
    <row r="3652" spans="140:143">
      <c r="EJ3652" s="1881"/>
      <c r="EL3652" s="1881"/>
      <c r="EM3652" s="1881"/>
    </row>
  </sheetData>
  <sheetProtection selectLockedCells="1" selectUnlockedCells="1"/>
  <mergeCells count="634">
    <mergeCell ref="DM98:DN98"/>
    <mergeCell ref="DO98:DP98"/>
    <mergeCell ref="DQ98:DR98"/>
    <mergeCell ref="DS98:DT98"/>
    <mergeCell ref="DU98:DV98"/>
    <mergeCell ref="DW98:DX98"/>
    <mergeCell ref="DA98:DB98"/>
    <mergeCell ref="DC98:DD98"/>
    <mergeCell ref="DE98:DF98"/>
    <mergeCell ref="DG98:DH98"/>
    <mergeCell ref="DI98:DJ98"/>
    <mergeCell ref="DK98:DL98"/>
    <mergeCell ref="CO98:CP98"/>
    <mergeCell ref="CQ98:CR98"/>
    <mergeCell ref="CS98:CT98"/>
    <mergeCell ref="CU98:CV98"/>
    <mergeCell ref="CW98:CX98"/>
    <mergeCell ref="CY98:CZ98"/>
    <mergeCell ref="CC98:CD98"/>
    <mergeCell ref="CE98:CF98"/>
    <mergeCell ref="CG98:CH98"/>
    <mergeCell ref="CI98:CJ98"/>
    <mergeCell ref="CK98:CL98"/>
    <mergeCell ref="CM98:CN98"/>
    <mergeCell ref="BQ98:BR98"/>
    <mergeCell ref="BS98:BT98"/>
    <mergeCell ref="BU98:BV98"/>
    <mergeCell ref="BW98:BX98"/>
    <mergeCell ref="BY98:BZ98"/>
    <mergeCell ref="CA98:CB98"/>
    <mergeCell ref="BE98:BF98"/>
    <mergeCell ref="BG98:BH98"/>
    <mergeCell ref="BI98:BJ98"/>
    <mergeCell ref="BK98:BL98"/>
    <mergeCell ref="BM98:BN98"/>
    <mergeCell ref="BO98:BP98"/>
    <mergeCell ref="AS98:AT98"/>
    <mergeCell ref="AU98:AV98"/>
    <mergeCell ref="AW98:AX98"/>
    <mergeCell ref="AY98:AZ98"/>
    <mergeCell ref="BA98:BB98"/>
    <mergeCell ref="BC98:BD98"/>
    <mergeCell ref="AG98:AH98"/>
    <mergeCell ref="AI98:AJ98"/>
    <mergeCell ref="AK98:AL98"/>
    <mergeCell ref="AM98:AN98"/>
    <mergeCell ref="AO98:AP98"/>
    <mergeCell ref="AQ98:AR98"/>
    <mergeCell ref="U98:V98"/>
    <mergeCell ref="W98:X98"/>
    <mergeCell ref="Y98:Z98"/>
    <mergeCell ref="AA98:AB98"/>
    <mergeCell ref="AC98:AD98"/>
    <mergeCell ref="AE98:AF98"/>
    <mergeCell ref="DQ96:DR97"/>
    <mergeCell ref="DS96:DT97"/>
    <mergeCell ref="DU96:DV97"/>
    <mergeCell ref="CQ96:CR97"/>
    <mergeCell ref="BU96:BV97"/>
    <mergeCell ref="BW96:BX97"/>
    <mergeCell ref="BY96:BZ97"/>
    <mergeCell ref="CA96:CB97"/>
    <mergeCell ref="CC96:CD97"/>
    <mergeCell ref="CE96:CF97"/>
    <mergeCell ref="BI96:BJ97"/>
    <mergeCell ref="BK96:BL97"/>
    <mergeCell ref="BM96:BN97"/>
    <mergeCell ref="BO96:BP97"/>
    <mergeCell ref="BQ96:BR97"/>
    <mergeCell ref="BS96:BT97"/>
    <mergeCell ref="AW96:AX97"/>
    <mergeCell ref="AY96:AZ97"/>
    <mergeCell ref="DW96:DX97"/>
    <mergeCell ref="I98:J98"/>
    <mergeCell ref="K98:L98"/>
    <mergeCell ref="M98:N98"/>
    <mergeCell ref="O98:P98"/>
    <mergeCell ref="Q98:R98"/>
    <mergeCell ref="S98:T98"/>
    <mergeCell ref="DE96:DF97"/>
    <mergeCell ref="DG96:DH97"/>
    <mergeCell ref="DI96:DJ97"/>
    <mergeCell ref="DK96:DL97"/>
    <mergeCell ref="DM96:DN97"/>
    <mergeCell ref="DO96:DP97"/>
    <mergeCell ref="CS96:CT97"/>
    <mergeCell ref="CU96:CV97"/>
    <mergeCell ref="CW96:CX97"/>
    <mergeCell ref="CY96:CZ97"/>
    <mergeCell ref="DA96:DB97"/>
    <mergeCell ref="DC96:DD97"/>
    <mergeCell ref="CG96:CH97"/>
    <mergeCell ref="CI96:CJ97"/>
    <mergeCell ref="CK96:CL97"/>
    <mergeCell ref="CM96:CN97"/>
    <mergeCell ref="CO96:CP97"/>
    <mergeCell ref="BA96:BB97"/>
    <mergeCell ref="BC96:BD97"/>
    <mergeCell ref="BE96:BF97"/>
    <mergeCell ref="BG96:BH97"/>
    <mergeCell ref="AK96:AL97"/>
    <mergeCell ref="AM96:AN97"/>
    <mergeCell ref="AO96:AP97"/>
    <mergeCell ref="AQ96:AR97"/>
    <mergeCell ref="AS96:AT97"/>
    <mergeCell ref="AU96:AV97"/>
    <mergeCell ref="Y96:Z97"/>
    <mergeCell ref="AA96:AB97"/>
    <mergeCell ref="AC96:AD97"/>
    <mergeCell ref="AE96:AF97"/>
    <mergeCell ref="AG96:AH97"/>
    <mergeCell ref="AI96:AJ97"/>
    <mergeCell ref="DW95:DX95"/>
    <mergeCell ref="H96:H97"/>
    <mergeCell ref="I96:J97"/>
    <mergeCell ref="K96:L97"/>
    <mergeCell ref="M96:N97"/>
    <mergeCell ref="O96:P97"/>
    <mergeCell ref="Q96:R97"/>
    <mergeCell ref="S96:T97"/>
    <mergeCell ref="U96:V97"/>
    <mergeCell ref="W96:X97"/>
    <mergeCell ref="DK95:DL95"/>
    <mergeCell ref="DM95:DN95"/>
    <mergeCell ref="DO95:DP95"/>
    <mergeCell ref="DQ95:DR95"/>
    <mergeCell ref="DS95:DT95"/>
    <mergeCell ref="DU95:DV95"/>
    <mergeCell ref="CY95:CZ95"/>
    <mergeCell ref="DA95:DB95"/>
    <mergeCell ref="DC95:DD95"/>
    <mergeCell ref="DE95:DF95"/>
    <mergeCell ref="DG95:DH95"/>
    <mergeCell ref="DI95:DJ95"/>
    <mergeCell ref="CM95:CN95"/>
    <mergeCell ref="CO95:CP95"/>
    <mergeCell ref="CQ95:CR95"/>
    <mergeCell ref="CS95:CT95"/>
    <mergeCell ref="CU95:CV95"/>
    <mergeCell ref="CW95:CX95"/>
    <mergeCell ref="CA95:CB95"/>
    <mergeCell ref="CC95:CD95"/>
    <mergeCell ref="CE95:CF95"/>
    <mergeCell ref="CG95:CH95"/>
    <mergeCell ref="CI95:CJ95"/>
    <mergeCell ref="CK95:CL95"/>
    <mergeCell ref="BO95:BP95"/>
    <mergeCell ref="BQ95:BR95"/>
    <mergeCell ref="BS95:BT95"/>
    <mergeCell ref="BU95:BV95"/>
    <mergeCell ref="BW95:BX95"/>
    <mergeCell ref="BY95:BZ95"/>
    <mergeCell ref="BC95:BD95"/>
    <mergeCell ref="BE95:BF95"/>
    <mergeCell ref="BG95:BH95"/>
    <mergeCell ref="BI95:BJ95"/>
    <mergeCell ref="BK95:BL95"/>
    <mergeCell ref="BM95:BN95"/>
    <mergeCell ref="AQ95:AR95"/>
    <mergeCell ref="AS95:AT95"/>
    <mergeCell ref="AU95:AV95"/>
    <mergeCell ref="AW95:AX95"/>
    <mergeCell ref="AY95:AZ95"/>
    <mergeCell ref="BA95:BB95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HE67:HF67"/>
    <mergeCell ref="HG67:HH67"/>
    <mergeCell ref="HI67:HJ67"/>
    <mergeCell ref="HK67:HL67"/>
    <mergeCell ref="HM67:HN67"/>
    <mergeCell ref="I95:J95"/>
    <mergeCell ref="K95:L95"/>
    <mergeCell ref="M95:N95"/>
    <mergeCell ref="O95:P95"/>
    <mergeCell ref="Q95:R95"/>
    <mergeCell ref="GS67:GT67"/>
    <mergeCell ref="GU67:GV67"/>
    <mergeCell ref="GW67:GX67"/>
    <mergeCell ref="GY67:GZ67"/>
    <mergeCell ref="HA67:HB67"/>
    <mergeCell ref="HC67:HD67"/>
    <mergeCell ref="GG67:GH67"/>
    <mergeCell ref="GI67:GJ67"/>
    <mergeCell ref="GK67:GL67"/>
    <mergeCell ref="GM67:GN67"/>
    <mergeCell ref="GO67:GP67"/>
    <mergeCell ref="GQ67:GR67"/>
    <mergeCell ref="FU67:FV67"/>
    <mergeCell ref="FW67:FX67"/>
    <mergeCell ref="FY67:FZ67"/>
    <mergeCell ref="GA67:GB67"/>
    <mergeCell ref="GC67:GD67"/>
    <mergeCell ref="GE67:GF67"/>
    <mergeCell ref="FI67:FJ67"/>
    <mergeCell ref="FK67:FL67"/>
    <mergeCell ref="FM67:FN67"/>
    <mergeCell ref="FO67:FP67"/>
    <mergeCell ref="FQ67:FR67"/>
    <mergeCell ref="FS67:FT67"/>
    <mergeCell ref="EW67:EX67"/>
    <mergeCell ref="EY67:EZ67"/>
    <mergeCell ref="FA67:FB67"/>
    <mergeCell ref="FC67:FD67"/>
    <mergeCell ref="FE67:FF67"/>
    <mergeCell ref="FG67:FH67"/>
    <mergeCell ref="EK67:EL67"/>
    <mergeCell ref="EM67:EN67"/>
    <mergeCell ref="EO67:EP67"/>
    <mergeCell ref="EQ67:ER67"/>
    <mergeCell ref="ES67:ET67"/>
    <mergeCell ref="EU67:EV67"/>
    <mergeCell ref="DY67:DZ67"/>
    <mergeCell ref="EA67:EB67"/>
    <mergeCell ref="EC67:ED67"/>
    <mergeCell ref="EE67:EF67"/>
    <mergeCell ref="EG67:EH67"/>
    <mergeCell ref="EI67:EJ67"/>
    <mergeCell ref="DM67:DN67"/>
    <mergeCell ref="DO67:DP67"/>
    <mergeCell ref="DQ67:DR67"/>
    <mergeCell ref="DS67:DT67"/>
    <mergeCell ref="DU67:DV67"/>
    <mergeCell ref="DW67:DX67"/>
    <mergeCell ref="DA67:DB67"/>
    <mergeCell ref="DC67:DD67"/>
    <mergeCell ref="DE67:DF67"/>
    <mergeCell ref="DG67:DH67"/>
    <mergeCell ref="DI67:DJ67"/>
    <mergeCell ref="DK67:DL67"/>
    <mergeCell ref="CO67:CP67"/>
    <mergeCell ref="CQ67:CR67"/>
    <mergeCell ref="CS67:CT67"/>
    <mergeCell ref="CU67:CV67"/>
    <mergeCell ref="CW67:CX67"/>
    <mergeCell ref="CY67:CZ67"/>
    <mergeCell ref="CC67:CD67"/>
    <mergeCell ref="CE67:CF67"/>
    <mergeCell ref="CG67:CH67"/>
    <mergeCell ref="CI67:CJ67"/>
    <mergeCell ref="CK67:CL67"/>
    <mergeCell ref="CM67:CN67"/>
    <mergeCell ref="BQ67:BR67"/>
    <mergeCell ref="BS67:BT67"/>
    <mergeCell ref="BU67:BV67"/>
    <mergeCell ref="BW67:BX67"/>
    <mergeCell ref="BY67:BZ67"/>
    <mergeCell ref="CA67:CB67"/>
    <mergeCell ref="BE67:BF67"/>
    <mergeCell ref="BG67:BH67"/>
    <mergeCell ref="BI67:BJ67"/>
    <mergeCell ref="BK67:BL67"/>
    <mergeCell ref="BM67:BN67"/>
    <mergeCell ref="BO67:BP67"/>
    <mergeCell ref="AS67:AT67"/>
    <mergeCell ref="AU67:AV67"/>
    <mergeCell ref="AW67:AX67"/>
    <mergeCell ref="AY67:AZ67"/>
    <mergeCell ref="BA67:BB67"/>
    <mergeCell ref="BC67:BD67"/>
    <mergeCell ref="AG67:AH67"/>
    <mergeCell ref="AI67:AJ67"/>
    <mergeCell ref="AK67:AL67"/>
    <mergeCell ref="AM67:AN67"/>
    <mergeCell ref="AO67:AP67"/>
    <mergeCell ref="AQ67:AR67"/>
    <mergeCell ref="U67:V67"/>
    <mergeCell ref="W67:X67"/>
    <mergeCell ref="Y67:Z67"/>
    <mergeCell ref="AA67:AB67"/>
    <mergeCell ref="AC67:AD67"/>
    <mergeCell ref="AE67:AF67"/>
    <mergeCell ref="I67:J67"/>
    <mergeCell ref="K67:L67"/>
    <mergeCell ref="M67:N67"/>
    <mergeCell ref="O67:P67"/>
    <mergeCell ref="Q67:R67"/>
    <mergeCell ref="S67:T67"/>
    <mergeCell ref="HC65:HD66"/>
    <mergeCell ref="HE65:HF66"/>
    <mergeCell ref="HG65:HH66"/>
    <mergeCell ref="GE65:GF66"/>
    <mergeCell ref="GG65:GH66"/>
    <mergeCell ref="GI65:GJ66"/>
    <mergeCell ref="GK65:GL66"/>
    <mergeCell ref="GM65:GN66"/>
    <mergeCell ref="GO65:GP66"/>
    <mergeCell ref="FS65:FT66"/>
    <mergeCell ref="FU65:FV66"/>
    <mergeCell ref="FW65:FX66"/>
    <mergeCell ref="FY65:FZ66"/>
    <mergeCell ref="GA65:GB66"/>
    <mergeCell ref="GC65:GD66"/>
    <mergeCell ref="FG65:FH66"/>
    <mergeCell ref="FI65:FJ66"/>
    <mergeCell ref="FK65:FL66"/>
    <mergeCell ref="HI65:HJ66"/>
    <mergeCell ref="HK65:HL66"/>
    <mergeCell ref="HM65:HN66"/>
    <mergeCell ref="GQ65:GR66"/>
    <mergeCell ref="GS65:GT66"/>
    <mergeCell ref="GU65:GV66"/>
    <mergeCell ref="GW65:GX66"/>
    <mergeCell ref="GY65:GZ66"/>
    <mergeCell ref="HA65:HB66"/>
    <mergeCell ref="FM65:FN66"/>
    <mergeCell ref="FO65:FP66"/>
    <mergeCell ref="FQ65:FR66"/>
    <mergeCell ref="EU65:EV66"/>
    <mergeCell ref="EW65:EX66"/>
    <mergeCell ref="EY65:EZ66"/>
    <mergeCell ref="FA65:FB66"/>
    <mergeCell ref="FC65:FD66"/>
    <mergeCell ref="FE65:FF66"/>
    <mergeCell ref="EI65:EJ66"/>
    <mergeCell ref="EK65:EL66"/>
    <mergeCell ref="EM65:EN66"/>
    <mergeCell ref="EO65:EP66"/>
    <mergeCell ref="EQ65:ER66"/>
    <mergeCell ref="ES65:ET66"/>
    <mergeCell ref="DW65:DX66"/>
    <mergeCell ref="DY65:DZ66"/>
    <mergeCell ref="EA65:EB66"/>
    <mergeCell ref="EC65:ED66"/>
    <mergeCell ref="EE65:EF66"/>
    <mergeCell ref="EG65:EH66"/>
    <mergeCell ref="DK65:DL66"/>
    <mergeCell ref="DM65:DN66"/>
    <mergeCell ref="DO65:DP66"/>
    <mergeCell ref="DQ65:DR66"/>
    <mergeCell ref="DS65:DT66"/>
    <mergeCell ref="DU65:DV66"/>
    <mergeCell ref="CY65:CZ66"/>
    <mergeCell ref="DA65:DB66"/>
    <mergeCell ref="DC65:DD66"/>
    <mergeCell ref="DE65:DF66"/>
    <mergeCell ref="DG65:DH66"/>
    <mergeCell ref="DI65:DJ66"/>
    <mergeCell ref="CM65:CN66"/>
    <mergeCell ref="CO65:CP66"/>
    <mergeCell ref="CQ65:CR66"/>
    <mergeCell ref="CS65:CT66"/>
    <mergeCell ref="CU65:CV66"/>
    <mergeCell ref="CW65:CX66"/>
    <mergeCell ref="CA65:CB66"/>
    <mergeCell ref="CC65:CD66"/>
    <mergeCell ref="CE65:CF66"/>
    <mergeCell ref="CG65:CH66"/>
    <mergeCell ref="CI65:CJ66"/>
    <mergeCell ref="CK65:CL66"/>
    <mergeCell ref="BO65:BP66"/>
    <mergeCell ref="BQ65:BR66"/>
    <mergeCell ref="BS65:BT66"/>
    <mergeCell ref="BU65:BV66"/>
    <mergeCell ref="BW65:BX66"/>
    <mergeCell ref="BY65:BZ66"/>
    <mergeCell ref="BC65:BD66"/>
    <mergeCell ref="BE65:BF66"/>
    <mergeCell ref="BG65:BH66"/>
    <mergeCell ref="BI65:BJ66"/>
    <mergeCell ref="BK65:BL66"/>
    <mergeCell ref="BM65:BN66"/>
    <mergeCell ref="AQ65:AR66"/>
    <mergeCell ref="AS65:AT66"/>
    <mergeCell ref="AU65:AV66"/>
    <mergeCell ref="AW65:AX66"/>
    <mergeCell ref="AY65:AZ66"/>
    <mergeCell ref="BA65:BB66"/>
    <mergeCell ref="AE65:AF66"/>
    <mergeCell ref="AG65:AH66"/>
    <mergeCell ref="AI65:AJ66"/>
    <mergeCell ref="AK65:AL66"/>
    <mergeCell ref="AM65:AN66"/>
    <mergeCell ref="AO65:AP66"/>
    <mergeCell ref="S65:T66"/>
    <mergeCell ref="U65:V66"/>
    <mergeCell ref="W65:X66"/>
    <mergeCell ref="Y65:Z66"/>
    <mergeCell ref="AA65:AB66"/>
    <mergeCell ref="AC65:AD66"/>
    <mergeCell ref="H65:H66"/>
    <mergeCell ref="I65:J66"/>
    <mergeCell ref="K65:L66"/>
    <mergeCell ref="M65:N66"/>
    <mergeCell ref="O65:P66"/>
    <mergeCell ref="Q65:R66"/>
    <mergeCell ref="HC64:HD64"/>
    <mergeCell ref="HE64:HF64"/>
    <mergeCell ref="HG64:HH64"/>
    <mergeCell ref="HI64:HJ64"/>
    <mergeCell ref="HK64:HL64"/>
    <mergeCell ref="HM64:HN64"/>
    <mergeCell ref="GQ64:GR64"/>
    <mergeCell ref="GS64:GT64"/>
    <mergeCell ref="GU64:GV64"/>
    <mergeCell ref="GW64:GX64"/>
    <mergeCell ref="GY64:GZ64"/>
    <mergeCell ref="HA64:HB64"/>
    <mergeCell ref="GE64:GF64"/>
    <mergeCell ref="GG64:GH64"/>
    <mergeCell ref="GI64:GJ64"/>
    <mergeCell ref="GK64:GL64"/>
    <mergeCell ref="GM64:GN64"/>
    <mergeCell ref="GO64:GP64"/>
    <mergeCell ref="FS64:FT64"/>
    <mergeCell ref="FU64:FV64"/>
    <mergeCell ref="FW64:FX64"/>
    <mergeCell ref="FY64:FZ64"/>
    <mergeCell ref="GA64:GB64"/>
    <mergeCell ref="GC64:GD64"/>
    <mergeCell ref="FG64:FH64"/>
    <mergeCell ref="FI64:FJ64"/>
    <mergeCell ref="FK64:FL64"/>
    <mergeCell ref="FM64:FN64"/>
    <mergeCell ref="FO64:FP64"/>
    <mergeCell ref="FQ64:FR64"/>
    <mergeCell ref="EU64:EV64"/>
    <mergeCell ref="EW64:EX64"/>
    <mergeCell ref="EY64:EZ64"/>
    <mergeCell ref="FA64:FB64"/>
    <mergeCell ref="FC64:FD64"/>
    <mergeCell ref="FE64:FF64"/>
    <mergeCell ref="EI64:EJ64"/>
    <mergeCell ref="EK64:EL64"/>
    <mergeCell ref="EM64:EN64"/>
    <mergeCell ref="EO64:EP64"/>
    <mergeCell ref="EQ64:ER64"/>
    <mergeCell ref="ES64:ET64"/>
    <mergeCell ref="DW64:DX64"/>
    <mergeCell ref="DY64:DZ64"/>
    <mergeCell ref="EA64:EB64"/>
    <mergeCell ref="EC64:ED64"/>
    <mergeCell ref="EE64:EF64"/>
    <mergeCell ref="EG64:EH64"/>
    <mergeCell ref="DK64:DL64"/>
    <mergeCell ref="DM64:DN64"/>
    <mergeCell ref="DO64:DP64"/>
    <mergeCell ref="DQ64:DR64"/>
    <mergeCell ref="DS64:DT64"/>
    <mergeCell ref="DU64:DV64"/>
    <mergeCell ref="CY64:CZ64"/>
    <mergeCell ref="DA64:DB64"/>
    <mergeCell ref="DC64:DD64"/>
    <mergeCell ref="DE64:DF64"/>
    <mergeCell ref="DG64:DH64"/>
    <mergeCell ref="DI64:DJ64"/>
    <mergeCell ref="CM64:CN64"/>
    <mergeCell ref="CO64:CP64"/>
    <mergeCell ref="CQ64:CR64"/>
    <mergeCell ref="CS64:CT64"/>
    <mergeCell ref="CU64:CV64"/>
    <mergeCell ref="CW64:CX64"/>
    <mergeCell ref="CA64:CB64"/>
    <mergeCell ref="CC64:CD64"/>
    <mergeCell ref="CE64:CF64"/>
    <mergeCell ref="CG64:CH64"/>
    <mergeCell ref="CI64:CJ64"/>
    <mergeCell ref="CK64:CL64"/>
    <mergeCell ref="BO64:BP64"/>
    <mergeCell ref="BQ64:BR64"/>
    <mergeCell ref="BS64:BT64"/>
    <mergeCell ref="BU64:BV64"/>
    <mergeCell ref="BW64:BX64"/>
    <mergeCell ref="BY64:BZ64"/>
    <mergeCell ref="BC64:BD64"/>
    <mergeCell ref="BE64:BF64"/>
    <mergeCell ref="BG64:BH64"/>
    <mergeCell ref="BI64:BJ64"/>
    <mergeCell ref="BK64:BL64"/>
    <mergeCell ref="BM64:BN64"/>
    <mergeCell ref="AQ64:AR64"/>
    <mergeCell ref="AS64:AT64"/>
    <mergeCell ref="AU64:AV64"/>
    <mergeCell ref="AW64:AX64"/>
    <mergeCell ref="AY64:AZ64"/>
    <mergeCell ref="BA64:BB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DY10:DZ10"/>
    <mergeCell ref="I55:L55"/>
    <mergeCell ref="AG55:AJ55"/>
    <mergeCell ref="I56:L56"/>
    <mergeCell ref="AG56:AJ56"/>
    <mergeCell ref="I64:J64"/>
    <mergeCell ref="K64:L64"/>
    <mergeCell ref="M64:N64"/>
    <mergeCell ref="O64:P64"/>
    <mergeCell ref="Q64:R64"/>
    <mergeCell ref="DM10:DN10"/>
    <mergeCell ref="DO10:DP10"/>
    <mergeCell ref="DQ10:DR10"/>
    <mergeCell ref="DS10:DT10"/>
    <mergeCell ref="DU10:DV10"/>
    <mergeCell ref="DW10:DX10"/>
    <mergeCell ref="DA10:DB10"/>
    <mergeCell ref="DC10:DD10"/>
    <mergeCell ref="DE10:DF10"/>
    <mergeCell ref="DG10:DH10"/>
    <mergeCell ref="DI10:DJ10"/>
    <mergeCell ref="DK10:DL10"/>
    <mergeCell ref="CO10:CP10"/>
    <mergeCell ref="CQ10:CR10"/>
    <mergeCell ref="CS10:CT10"/>
    <mergeCell ref="CU10:CV10"/>
    <mergeCell ref="CW10:CX10"/>
    <mergeCell ref="CY10:CZ10"/>
    <mergeCell ref="CC10:CD10"/>
    <mergeCell ref="CE10:CF10"/>
    <mergeCell ref="CG10:CH10"/>
    <mergeCell ref="CI10:CJ10"/>
    <mergeCell ref="CK10:CL10"/>
    <mergeCell ref="CM10:CN10"/>
    <mergeCell ref="BQ10:BR10"/>
    <mergeCell ref="BS10:BT10"/>
    <mergeCell ref="BU10:BV10"/>
    <mergeCell ref="BW10:BX10"/>
    <mergeCell ref="BY10:BZ10"/>
    <mergeCell ref="CA10:CB10"/>
    <mergeCell ref="BE10:BF10"/>
    <mergeCell ref="BG10:BH10"/>
    <mergeCell ref="BI10:BJ10"/>
    <mergeCell ref="BK10:BL10"/>
    <mergeCell ref="BM10:BN10"/>
    <mergeCell ref="BO10:BP10"/>
    <mergeCell ref="AS10:AT10"/>
    <mergeCell ref="AU10:AV10"/>
    <mergeCell ref="AW10:AX10"/>
    <mergeCell ref="AY10:AZ10"/>
    <mergeCell ref="BA10:BB10"/>
    <mergeCell ref="BC10:BD10"/>
    <mergeCell ref="AG10:AH10"/>
    <mergeCell ref="AI10:AJ10"/>
    <mergeCell ref="AK10:AL10"/>
    <mergeCell ref="AM10:AN10"/>
    <mergeCell ref="AO10:AP10"/>
    <mergeCell ref="AQ10:AR10"/>
    <mergeCell ref="W10:X10"/>
    <mergeCell ref="Y10:Z10"/>
    <mergeCell ref="AA10:AB10"/>
    <mergeCell ref="AC10:AD10"/>
    <mergeCell ref="AE10:AE11"/>
    <mergeCell ref="AF10:AF11"/>
    <mergeCell ref="D9:E9"/>
    <mergeCell ref="AC9:AD9"/>
    <mergeCell ref="D10:E10"/>
    <mergeCell ref="I10:J10"/>
    <mergeCell ref="K10:L10"/>
    <mergeCell ref="M10:N10"/>
    <mergeCell ref="O10:P10"/>
    <mergeCell ref="Q10:R10"/>
    <mergeCell ref="S10:T10"/>
    <mergeCell ref="U10:V10"/>
    <mergeCell ref="DY7:DZ7"/>
    <mergeCell ref="D8:E8"/>
    <mergeCell ref="DM7:DN7"/>
    <mergeCell ref="DO7:DP7"/>
    <mergeCell ref="DQ7:DR7"/>
    <mergeCell ref="DS7:DT7"/>
    <mergeCell ref="DU7:DV7"/>
    <mergeCell ref="DW7:DX7"/>
    <mergeCell ref="DA7:DB7"/>
    <mergeCell ref="DC7:DD7"/>
    <mergeCell ref="DE7:DF7"/>
    <mergeCell ref="DG7:DH7"/>
    <mergeCell ref="DI7:DJ7"/>
    <mergeCell ref="DK7:DL7"/>
    <mergeCell ref="CO7:CP7"/>
    <mergeCell ref="CQ7:CR7"/>
    <mergeCell ref="CS7:CT7"/>
    <mergeCell ref="CU7:CV7"/>
    <mergeCell ref="CW7:CX7"/>
    <mergeCell ref="CY7:CZ7"/>
    <mergeCell ref="CC7:CD7"/>
    <mergeCell ref="CE7:CF7"/>
    <mergeCell ref="CG7:CH7"/>
    <mergeCell ref="CI7:CJ7"/>
    <mergeCell ref="CK7:CL7"/>
    <mergeCell ref="CM7:CN7"/>
    <mergeCell ref="BQ7:BR7"/>
    <mergeCell ref="BS7:BT7"/>
    <mergeCell ref="BU7:BV7"/>
    <mergeCell ref="BW7:BX7"/>
    <mergeCell ref="BY7:BZ7"/>
    <mergeCell ref="CA7:CB7"/>
    <mergeCell ref="BE7:BF7"/>
    <mergeCell ref="BG7:BH7"/>
    <mergeCell ref="BI7:BJ7"/>
    <mergeCell ref="BK7:BL7"/>
    <mergeCell ref="BM7:BN7"/>
    <mergeCell ref="BO7:BP7"/>
    <mergeCell ref="AS7:AT7"/>
    <mergeCell ref="AU7:AV7"/>
    <mergeCell ref="AW7:AX7"/>
    <mergeCell ref="AY7:AZ7"/>
    <mergeCell ref="BA7:BB7"/>
    <mergeCell ref="BC7:BD7"/>
    <mergeCell ref="AG7:AH7"/>
    <mergeCell ref="AI7:AJ7"/>
    <mergeCell ref="AK7:AL7"/>
    <mergeCell ref="AM7:AN7"/>
    <mergeCell ref="AO7:AP7"/>
    <mergeCell ref="AQ7:AR7"/>
    <mergeCell ref="S7:T7"/>
    <mergeCell ref="U7:V7"/>
    <mergeCell ref="W7:X7"/>
    <mergeCell ref="Y7:Z7"/>
    <mergeCell ref="AA7:AB7"/>
    <mergeCell ref="AC7:AD7"/>
    <mergeCell ref="D7:E7"/>
    <mergeCell ref="I7:J7"/>
    <mergeCell ref="K7:L7"/>
    <mergeCell ref="M7:N7"/>
    <mergeCell ref="O7:P7"/>
    <mergeCell ref="Q7:R7"/>
  </mergeCells>
  <hyperlinks>
    <hyperlink ref="AL248" r:id="rId1" xr:uid="{38976F12-24A3-4145-95AE-D07154961C5E}"/>
    <hyperlink ref="I56" r:id="rId2" xr:uid="{3311FA2D-1E31-4B9D-B693-B214E27E0D76}"/>
    <hyperlink ref="AG55" r:id="rId3" xr:uid="{3AB95D3E-F745-4EA5-942D-18DAA35E759A}"/>
    <hyperlink ref="AG56" r:id="rId4" xr:uid="{F0D964D9-2C21-4688-9E3E-AE4F2F9EB78A}"/>
    <hyperlink ref="I55" r:id="rId5" xr:uid="{E1E6FACC-A5F4-4399-9988-7CB95659CFD8}"/>
  </hyperlinks>
  <pageMargins left="0.511811024" right="0.511811024" top="0.78740157499999996" bottom="0.78740157499999996" header="0.31496062000000002" footer="0.31496062000000002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8" name="Spinner 1">
              <controlPr defaultSize="0" autoPict="0">
                <anchor moveWithCells="1" sizeWithCells="1">
                  <from>
                    <xdr:col>5</xdr:col>
                    <xdr:colOff>9525</xdr:colOff>
                    <xdr:row>8</xdr:row>
                    <xdr:rowOff>371475</xdr:rowOff>
                  </from>
                  <to>
                    <xdr:col>6</xdr:col>
                    <xdr:colOff>9525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9" name="Spinner 2">
              <controlPr defaultSize="0" autoPict="0">
                <anchor moveWithCells="1" sizeWithCells="1">
                  <from>
                    <xdr:col>5</xdr:col>
                    <xdr:colOff>9525</xdr:colOff>
                    <xdr:row>7</xdr:row>
                    <xdr:rowOff>990600</xdr:rowOff>
                  </from>
                  <to>
                    <xdr:col>6</xdr:col>
                    <xdr:colOff>19050</xdr:colOff>
                    <xdr:row>8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10" name="Spinner 3">
              <controlPr defaultSize="0" autoPict="0">
                <anchor moveWithCells="1" sizeWithCells="1">
                  <from>
                    <xdr:col>31</xdr:col>
                    <xdr:colOff>1000125</xdr:colOff>
                    <xdr:row>6</xdr:row>
                    <xdr:rowOff>19050</xdr:rowOff>
                  </from>
                  <to>
                    <xdr:col>31</xdr:col>
                    <xdr:colOff>1238250</xdr:colOff>
                    <xdr:row>6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11" name="Spinner 4">
              <controlPr defaultSize="0" autoPict="0">
                <anchor moveWithCells="1" sizeWithCells="1">
                  <from>
                    <xdr:col>31</xdr:col>
                    <xdr:colOff>990600</xdr:colOff>
                    <xdr:row>9</xdr:row>
                    <xdr:rowOff>47625</xdr:rowOff>
                  </from>
                  <to>
                    <xdr:col>31</xdr:col>
                    <xdr:colOff>1209675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12" name="Spinner 5">
              <controlPr defaultSize="0" autoPict="0">
                <anchor moveWithCells="1" sizeWithCells="1">
                  <from>
                    <xdr:col>31</xdr:col>
                    <xdr:colOff>1009650</xdr:colOff>
                    <xdr:row>7</xdr:row>
                    <xdr:rowOff>57150</xdr:rowOff>
                  </from>
                  <to>
                    <xdr:col>31</xdr:col>
                    <xdr:colOff>1200150</xdr:colOff>
                    <xdr:row>7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13" name="Spinner 6">
              <controlPr defaultSize="0" autoPict="0">
                <anchor moveWithCells="1" sizeWithCells="1">
                  <from>
                    <xdr:col>5</xdr:col>
                    <xdr:colOff>9525</xdr:colOff>
                    <xdr:row>6</xdr:row>
                    <xdr:rowOff>0</xdr:rowOff>
                  </from>
                  <to>
                    <xdr:col>6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4" name="Spinner 7">
              <controlPr defaultSize="0" autoPict="0">
                <anchor moveWithCells="1" sizeWithCells="1">
                  <from>
                    <xdr:col>31</xdr:col>
                    <xdr:colOff>962025</xdr:colOff>
                    <xdr:row>8</xdr:row>
                    <xdr:rowOff>28575</xdr:rowOff>
                  </from>
                  <to>
                    <xdr:col>31</xdr:col>
                    <xdr:colOff>1200150</xdr:colOff>
                    <xdr:row>8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D560E-C0EE-48FF-A9B2-9EB3AE548836}">
  <sheetPr codeName="Planilha24"/>
  <dimension ref="B1:AK821"/>
  <sheetViews>
    <sheetView zoomScaleNormal="100" workbookViewId="0">
      <selection activeCell="AF616" sqref="AF616"/>
    </sheetView>
  </sheetViews>
  <sheetFormatPr defaultRowHeight="12.75"/>
  <cols>
    <col min="1" max="1" width="9" style="598"/>
    <col min="2" max="2" width="10.625" style="598" bestFit="1" customWidth="1"/>
    <col min="3" max="3" width="7.75" style="598" bestFit="1" customWidth="1"/>
    <col min="4" max="4" width="18.625" style="598" bestFit="1" customWidth="1"/>
    <col min="5" max="5" width="21.375" style="598" bestFit="1" customWidth="1"/>
    <col min="6" max="6" width="19.5" style="598" bestFit="1" customWidth="1"/>
    <col min="7" max="7" width="10.625" style="598" bestFit="1" customWidth="1"/>
    <col min="8" max="8" width="14.125" style="598" bestFit="1" customWidth="1"/>
    <col min="9" max="9" width="13.75" style="598" bestFit="1" customWidth="1"/>
    <col min="10" max="10" width="14.5" style="598" bestFit="1" customWidth="1"/>
    <col min="11" max="11" width="14.625" style="598" bestFit="1" customWidth="1"/>
    <col min="12" max="12" width="11.75" style="598" bestFit="1" customWidth="1"/>
    <col min="13" max="13" width="8.625" style="598" customWidth="1"/>
    <col min="14" max="14" width="9.875" style="598" bestFit="1" customWidth="1"/>
    <col min="15" max="15" width="11.25" style="598" bestFit="1" customWidth="1"/>
    <col min="16" max="16" width="12.25" style="598" bestFit="1" customWidth="1"/>
    <col min="17" max="17" width="13.375" style="598" bestFit="1" customWidth="1"/>
    <col min="18" max="18" width="9.75" style="598" bestFit="1" customWidth="1"/>
    <col min="19" max="20" width="11.125" style="598" bestFit="1" customWidth="1"/>
    <col min="21" max="21" width="11.5" style="598" bestFit="1" customWidth="1"/>
    <col min="22" max="22" width="11.25" style="598" bestFit="1" customWidth="1"/>
    <col min="23" max="24" width="11.125" style="598" bestFit="1" customWidth="1"/>
    <col min="25" max="25" width="12.375" style="598" bestFit="1" customWidth="1"/>
    <col min="26" max="26" width="12.5" style="598" bestFit="1" customWidth="1"/>
    <col min="27" max="27" width="12.25" style="598" bestFit="1" customWidth="1"/>
    <col min="28" max="28" width="13.125" style="598" bestFit="1" customWidth="1"/>
    <col min="29" max="29" width="11.125" style="598" bestFit="1" customWidth="1"/>
    <col min="30" max="30" width="12.5" style="598" bestFit="1" customWidth="1"/>
    <col min="31" max="31" width="12.375" style="598" bestFit="1" customWidth="1"/>
    <col min="32" max="32" width="13.75" style="598" bestFit="1" customWidth="1"/>
    <col min="33" max="33" width="14.25" style="598" bestFit="1" customWidth="1"/>
    <col min="34" max="34" width="13.875" style="598" bestFit="1" customWidth="1"/>
    <col min="35" max="35" width="10.625" style="598" bestFit="1" customWidth="1"/>
    <col min="36" max="36" width="9" style="598"/>
    <col min="37" max="37" width="6.5" style="598" bestFit="1" customWidth="1"/>
    <col min="38" max="16384" width="9" style="598"/>
  </cols>
  <sheetData>
    <row r="1" spans="2:37">
      <c r="B1" s="755">
        <f>SUBTOTAL(3,Tabela1[Chave])</f>
        <v>2</v>
      </c>
      <c r="C1" s="755"/>
      <c r="D1" s="598" t="str">
        <f>IF(B1&gt;2,"Selecione Exigência","Exigência Selecionada")</f>
        <v>Exigência Selecionada</v>
      </c>
      <c r="M1" s="755" t="s">
        <v>259</v>
      </c>
      <c r="N1" s="755" t="s">
        <v>270</v>
      </c>
      <c r="O1" s="805" t="s">
        <v>274</v>
      </c>
      <c r="P1" s="755" t="s">
        <v>83</v>
      </c>
      <c r="Q1" s="755" t="s">
        <v>262</v>
      </c>
      <c r="R1" s="755" t="s">
        <v>264</v>
      </c>
      <c r="S1" s="755" t="s">
        <v>278</v>
      </c>
      <c r="T1" s="755" t="s">
        <v>280</v>
      </c>
      <c r="U1" s="755" t="s">
        <v>282</v>
      </c>
      <c r="V1" s="755" t="s">
        <v>286</v>
      </c>
      <c r="W1" s="755" t="s">
        <v>284</v>
      </c>
      <c r="X1" s="755" t="s">
        <v>288</v>
      </c>
      <c r="Y1" s="755" t="s">
        <v>294</v>
      </c>
      <c r="Z1" s="755" t="s">
        <v>302</v>
      </c>
      <c r="AA1" s="755" t="s">
        <v>308</v>
      </c>
      <c r="AB1" s="755" t="s">
        <v>298</v>
      </c>
      <c r="AC1" s="755" t="s">
        <v>296</v>
      </c>
      <c r="AD1" s="755" t="s">
        <v>292</v>
      </c>
      <c r="AE1" s="755" t="s">
        <v>300</v>
      </c>
    </row>
    <row r="2" spans="2:37">
      <c r="B2" s="755">
        <f>IF($B$1&gt;2,0,SUBTOTAL(5,Tabela1[Chave]))</f>
        <v>610931</v>
      </c>
      <c r="C2" s="755"/>
      <c r="D2" s="598" t="str">
        <f>IFERROR(INDEX(Tabela1[Categoria],MATCH(B2,Tabela1[Chave],0))&amp;"_"&amp;INDEX(Tabela1[Fase],MATCH(B2,Tabela1[Chave],0))&amp;"_"&amp;INDEX(Tabela1[PV(kg)],MATCH(B2,Tabela1[Chave],0))&amp;"PV(kg)"&amp;"_"&amp;INDEX(Tabela1[GMD(g)],MATCH(B2,Tabela1[Chave],0))&amp;" GMD(g)","Exigência não gerada")</f>
        <v>Caprino_Manutenção_40PV(kg)_0 GMD(g)</v>
      </c>
      <c r="G2" s="598">
        <f>IFERROR(INDEX(Tabela1[PV(kg)],MATCH(B2,Tabela1[Chave],0)),0)</f>
        <v>40</v>
      </c>
      <c r="L2" s="746">
        <f>IFERROR(INDEX(Tabela1[GMD(g)],MATCH(B2,Tabela1[Chave],0)),0)</f>
        <v>0</v>
      </c>
      <c r="M2" s="746">
        <f>IF($B$1&gt;2,0,SUBTOTAL(5,Tabela1[CMS(kg)]))</f>
        <v>0</v>
      </c>
      <c r="N2" s="746">
        <f>IF($B$1&gt;2,0,SUBTOTAL(5,Tabela1[PB(g)]))</f>
        <v>63</v>
      </c>
      <c r="O2" s="746">
        <f>IF($B$1&gt;2,0,SUBTOTAL(5,Tabela1[PDR(g)]))</f>
        <v>0</v>
      </c>
      <c r="P2" s="746">
        <f>IF($B$1&gt;2,0,SUBTOTAL(5,Tabela1[NDT(kg)]))</f>
        <v>0.44800000000000001</v>
      </c>
      <c r="Q2" s="746">
        <f>IF($B$1&gt;2,0,SUBTOTAL(5,Tabela1[FDN(kg)]))</f>
        <v>0.2268</v>
      </c>
      <c r="R2" s="746">
        <f>IF($B$1&gt;2,0,SUBTOTAL(5,Tabela1[EE(g)]))</f>
        <v>0</v>
      </c>
      <c r="S2" s="746">
        <f>IF($B$1&gt;2,0,SUBTOTAL(5,Tabela1[Ca(g)]))</f>
        <v>2</v>
      </c>
      <c r="T2" s="746">
        <f>IF($B$1&gt;2,0,SUBTOTAL(5,Tabela1[P(g)]))</f>
        <v>1.4</v>
      </c>
      <c r="U2" s="746">
        <f>IF($B$1&gt;2,0,SUBTOTAL(5,Tabela1[Mg (g)]))</f>
        <v>1.62</v>
      </c>
      <c r="V2" s="746">
        <f>IF($B$1&gt;2,0,SUBTOTAL(5,Tabela1[Na (g)]))</f>
        <v>1.62</v>
      </c>
      <c r="W2" s="746">
        <f>IF($B$1&gt;2,0,SUBTOTAL(5,Tabela1[K (g)]))</f>
        <v>4.05</v>
      </c>
      <c r="X2" s="746">
        <f>IF($B$1&gt;2,0,SUBTOTAL(5,Tabela1[S (g)]))</f>
        <v>1.62</v>
      </c>
      <c r="Y2" s="746">
        <f>IF($B$1&gt;2,0,SUBTOTAL(5,Tabela1[Cu (mg)]))</f>
        <v>5.67</v>
      </c>
      <c r="Z2" s="746">
        <f>IF($B$1&gt;2,0,SUBTOTAL(5,Tabela1[Zn (mg)]))</f>
        <v>40.5</v>
      </c>
      <c r="AA2" s="746">
        <f>IF($B$1&gt;2,0,SUBTOTAL(5,Tabela1[Fe (mg)]))</f>
        <v>40.5</v>
      </c>
      <c r="AB2" s="746">
        <f>IF($B$1&gt;2,0,SUBTOTAL(5,Tabela1[Mn (mg)]))</f>
        <v>32.400000000000006</v>
      </c>
      <c r="AC2" s="746">
        <f>IF($B$1&gt;2,0,SUBTOTAL(5,Tabela1[I (mg)]))</f>
        <v>0.32400000000000007</v>
      </c>
      <c r="AD2" s="746">
        <f>IF($B$1&gt;2,0,SUBTOTAL(5,Tabela1[Co (mg)]))</f>
        <v>0.16200000000000003</v>
      </c>
      <c r="AE2" s="746">
        <f>IF($B$1&gt;2,0,SUBTOTAL(5,Tabela1[Se (mg)]))</f>
        <v>8.1000000000000016E-2</v>
      </c>
      <c r="AF2" s="746">
        <f>IF($B$1&gt;2,0,SUBTOTAL(5,Tabela1[A (UI/kg)]))</f>
        <v>1215</v>
      </c>
      <c r="AG2" s="746">
        <f>IF($B$1&gt;2,0,SUBTOTAL(5,Tabela1[D  (UI/kg)]))</f>
        <v>243.00000000000003</v>
      </c>
      <c r="AH2" s="746">
        <f>IF($B$1&gt;2,0,SUBTOTAL(5,Tabela1[E  (UI/kg)]))</f>
        <v>16.200000000000003</v>
      </c>
      <c r="AI2" s="746">
        <f>IF($B$1&gt;2,0,SUBTOTAL(5,Tabela1[Novo]))</f>
        <v>0</v>
      </c>
    </row>
    <row r="3" spans="2:37">
      <c r="B3" s="755"/>
      <c r="C3" s="755"/>
      <c r="D3" s="598" t="str">
        <f>IFERROR(INDEX(Tabela1[Referência],MATCH(B2,Tabela1[Chave],0)),0)</f>
        <v>NRC 1985</v>
      </c>
      <c r="M3" s="746">
        <f>IF($B$1&gt;2,0,SUBTOTAL(4,Tabela1[CMS(kg)]))</f>
        <v>0.81</v>
      </c>
      <c r="N3" s="746">
        <f>IF($B$1&gt;2,0,SUBTOTAL(4,Tabela1[PB(g)]))</f>
        <v>1000</v>
      </c>
      <c r="O3" s="746">
        <f>IF($B$1&gt;2,0,SUBTOTAL(4,Tabela1[PDR(g)]))</f>
        <v>1000</v>
      </c>
      <c r="P3" s="746">
        <f>IF($B$1&gt;2,0,SUBTOTAL(4,Tabela1[NDT(kg)]))</f>
        <v>1</v>
      </c>
      <c r="Q3" s="746">
        <f>IF($B$1&gt;2,0,SUBTOTAL(4,Tabela1[FDN(kg)]))</f>
        <v>10</v>
      </c>
      <c r="R3" s="746">
        <f>IF($B$1&gt;2,0,SUBTOTAL(4,Tabela1[EE(g)]))</f>
        <v>40.5</v>
      </c>
      <c r="S3" s="746">
        <f>IF($B$1&gt;2,0,SUBTOTAL(4,Tabela1[Ca(g)]))</f>
        <v>10000</v>
      </c>
      <c r="T3" s="746">
        <f>IF($B$1&gt;2,0,SUBTOTAL(4,Tabela1[P(g)]))</f>
        <v>10000</v>
      </c>
      <c r="U3" s="746">
        <f>IF($B$1&gt;2,0,SUBTOTAL(4,Tabela1[Mg (g)]))</f>
        <v>4.05</v>
      </c>
      <c r="V3" s="746">
        <f>IF($B$1&gt;2,0,SUBTOTAL(4,Tabela1[Na (g)]))</f>
        <v>14.579999999999998</v>
      </c>
      <c r="W3" s="746">
        <f>IF($B$1&gt;2,0,SUBTOTAL(4,Tabela1[K (g)]))</f>
        <v>24.3</v>
      </c>
      <c r="X3" s="746">
        <f>IF($B$1&gt;2,0,SUBTOTAL(4,Tabela1[S (g)]))</f>
        <v>3.24</v>
      </c>
      <c r="Y3" s="746">
        <f>IF($B$1&gt;2,0,SUBTOTAL(4,Tabela1[Cu (mg)]))</f>
        <v>20.25</v>
      </c>
      <c r="Z3" s="746">
        <f>IF($B$1&gt;2,0,SUBTOTAL(4,Tabela1[Zn (mg)]))</f>
        <v>607.5</v>
      </c>
      <c r="AA3" s="746">
        <f>IF($B$1&gt;2,0,SUBTOTAL(4,Tabela1[Fe (mg)]))</f>
        <v>405</v>
      </c>
      <c r="AB3" s="746">
        <f>IF($B$1&gt;2,0,SUBTOTAL(4,Tabela1[Mn (mg)]))</f>
        <v>810</v>
      </c>
      <c r="AC3" s="746">
        <f>IF($B$1&gt;2,0,SUBTOTAL(4,Tabela1[I (mg)]))</f>
        <v>40.5</v>
      </c>
      <c r="AD3" s="746">
        <f>IF($B$1&gt;2,0,SUBTOTAL(4,Tabela1[Co (mg)]))</f>
        <v>8.1000000000000014</v>
      </c>
      <c r="AE3" s="746">
        <f>IF($B$1&gt;2,0,SUBTOTAL(4,Tabela1[Se (mg)]))</f>
        <v>1.62</v>
      </c>
      <c r="AF3" s="746">
        <f>IF($B$1&gt;2,0,SUBTOTAL(4,Tabela1[A (UI/kg)]))</f>
        <v>1000000</v>
      </c>
      <c r="AG3" s="746">
        <f>IF($B$1&gt;2,0,SUBTOTAL(4,Tabela1[D  (UI/kg)]))</f>
        <v>100000</v>
      </c>
      <c r="AH3" s="746">
        <f>IF($B$1&gt;2,0,SUBTOTAL(4,Tabela1[E  (UI/kg)]))</f>
        <v>100000</v>
      </c>
      <c r="AI3" s="746">
        <f>IF($B$1&gt;2,0,SUBTOTAL(4,Tabela1[Novo]))</f>
        <v>0</v>
      </c>
    </row>
    <row r="4" spans="2:37" ht="25.5">
      <c r="B4" s="769" t="s">
        <v>1234</v>
      </c>
      <c r="C4" s="769" t="s">
        <v>1235</v>
      </c>
      <c r="D4" s="769" t="s">
        <v>1236</v>
      </c>
      <c r="E4" s="770" t="s">
        <v>507</v>
      </c>
      <c r="F4" s="770" t="s">
        <v>1237</v>
      </c>
      <c r="G4" s="770" t="s">
        <v>1238</v>
      </c>
      <c r="H4" s="769" t="s">
        <v>1239</v>
      </c>
      <c r="I4" s="770" t="s">
        <v>1240</v>
      </c>
      <c r="J4" s="771" t="s">
        <v>1241</v>
      </c>
      <c r="K4" s="771" t="s">
        <v>1242</v>
      </c>
      <c r="L4" s="770" t="s">
        <v>1243</v>
      </c>
      <c r="M4" s="769" t="s">
        <v>1244</v>
      </c>
      <c r="N4" s="769" t="s">
        <v>1245</v>
      </c>
      <c r="O4" s="769" t="s">
        <v>1246</v>
      </c>
      <c r="P4" s="769" t="s">
        <v>1247</v>
      </c>
      <c r="Q4" s="772" t="s">
        <v>1248</v>
      </c>
      <c r="R4" s="769" t="s">
        <v>1249</v>
      </c>
      <c r="S4" s="769" t="s">
        <v>1250</v>
      </c>
      <c r="T4" s="769" t="s">
        <v>1251</v>
      </c>
      <c r="U4" s="773" t="s">
        <v>16</v>
      </c>
      <c r="V4" s="773" t="s">
        <v>436</v>
      </c>
      <c r="W4" s="773" t="s">
        <v>18</v>
      </c>
      <c r="X4" s="773" t="s">
        <v>19</v>
      </c>
      <c r="Y4" s="773" t="s">
        <v>20</v>
      </c>
      <c r="Z4" s="773" t="s">
        <v>22</v>
      </c>
      <c r="AA4" s="773" t="s">
        <v>23</v>
      </c>
      <c r="AB4" s="773" t="s">
        <v>24</v>
      </c>
      <c r="AC4" s="773" t="s">
        <v>25</v>
      </c>
      <c r="AD4" s="773" t="s">
        <v>26</v>
      </c>
      <c r="AE4" s="773" t="s">
        <v>27</v>
      </c>
      <c r="AF4" s="773" t="s">
        <v>1252</v>
      </c>
      <c r="AG4" s="773" t="s">
        <v>1253</v>
      </c>
      <c r="AH4" s="773" t="s">
        <v>1254</v>
      </c>
      <c r="AI4" s="773" t="s">
        <v>1255</v>
      </c>
    </row>
    <row r="5" spans="2:37" hidden="1">
      <c r="B5" s="774">
        <f>ROW()^2+(Tabela1[[#This Row],[ID2]])+ROW()</f>
        <v>165</v>
      </c>
      <c r="C5" s="774">
        <v>135</v>
      </c>
      <c r="D5" s="774" t="s">
        <v>1256</v>
      </c>
      <c r="E5" s="775" t="s">
        <v>1257</v>
      </c>
      <c r="F5" s="775" t="s">
        <v>1258</v>
      </c>
      <c r="G5" s="775">
        <v>100</v>
      </c>
      <c r="H5" s="775" t="s">
        <v>0</v>
      </c>
      <c r="I5" s="776" t="s">
        <v>42</v>
      </c>
      <c r="J5" s="774" t="s">
        <v>42</v>
      </c>
      <c r="K5" s="774" t="s">
        <v>42</v>
      </c>
      <c r="L5" s="777">
        <v>0</v>
      </c>
      <c r="M5" s="778">
        <v>0</v>
      </c>
      <c r="N5" s="779">
        <v>122</v>
      </c>
      <c r="O5" s="780">
        <v>0</v>
      </c>
      <c r="P5" s="781">
        <v>0.94</v>
      </c>
      <c r="Q5" s="781">
        <v>0.53100000000000003</v>
      </c>
      <c r="R5" s="782">
        <v>0</v>
      </c>
      <c r="S5" s="781">
        <v>3.3</v>
      </c>
      <c r="T5" s="781">
        <v>3.1</v>
      </c>
      <c r="U5" s="781">
        <v>2.1240000000000001</v>
      </c>
      <c r="V5" s="781">
        <v>1.5929999999999997</v>
      </c>
      <c r="W5" s="781">
        <v>8.85</v>
      </c>
      <c r="X5" s="781">
        <v>2.4780000000000002</v>
      </c>
      <c r="Y5" s="781">
        <v>12.39</v>
      </c>
      <c r="Z5" s="781">
        <v>35.4</v>
      </c>
      <c r="AA5" s="781">
        <v>53.1</v>
      </c>
      <c r="AB5" s="781">
        <v>35.4</v>
      </c>
      <c r="AC5" s="781">
        <v>0.17700000000000002</v>
      </c>
      <c r="AD5" s="781">
        <v>0.17700000000000002</v>
      </c>
      <c r="AE5" s="781">
        <v>0.17700000000000002</v>
      </c>
      <c r="AF5" s="781"/>
      <c r="AG5" s="781"/>
      <c r="AH5" s="781"/>
      <c r="AI5" s="781"/>
      <c r="AK5" s="783">
        <f>IFERROR(Tabela1[[#This Row],[EE(g)]]/Tabela1[[#This Row],[CMS(kg)]],0)</f>
        <v>0</v>
      </c>
    </row>
    <row r="6" spans="2:37" hidden="1">
      <c r="B6" s="774">
        <f>ROW()^2+(Tabela1[[#This Row],[ID2]])+ROW()</f>
        <v>178</v>
      </c>
      <c r="C6" s="774">
        <v>136</v>
      </c>
      <c r="D6" s="774" t="s">
        <v>1256</v>
      </c>
      <c r="E6" s="775" t="s">
        <v>1257</v>
      </c>
      <c r="F6" s="775" t="s">
        <v>1258</v>
      </c>
      <c r="G6" s="775">
        <v>125</v>
      </c>
      <c r="H6" s="775" t="s">
        <v>0</v>
      </c>
      <c r="I6" s="776" t="s">
        <v>42</v>
      </c>
      <c r="J6" s="774" t="s">
        <v>42</v>
      </c>
      <c r="K6" s="774" t="s">
        <v>42</v>
      </c>
      <c r="L6" s="777">
        <v>0</v>
      </c>
      <c r="M6" s="778">
        <v>0</v>
      </c>
      <c r="N6" s="779">
        <v>145</v>
      </c>
      <c r="O6" s="780">
        <v>0</v>
      </c>
      <c r="P6" s="781">
        <v>1.1100000000000001</v>
      </c>
      <c r="Q6" s="781">
        <v>0.62624999999999997</v>
      </c>
      <c r="R6" s="782">
        <v>0</v>
      </c>
      <c r="S6" s="781">
        <v>3.8</v>
      </c>
      <c r="T6" s="781">
        <v>3.7</v>
      </c>
      <c r="U6" s="781">
        <v>2.5049999999999999</v>
      </c>
      <c r="V6" s="781">
        <v>1.8787499999999997</v>
      </c>
      <c r="W6" s="781">
        <v>10.4375</v>
      </c>
      <c r="X6" s="781">
        <v>2.9225000000000003</v>
      </c>
      <c r="Y6" s="781">
        <v>14.612499999999999</v>
      </c>
      <c r="Z6" s="781">
        <v>41.75</v>
      </c>
      <c r="AA6" s="781">
        <v>62.625</v>
      </c>
      <c r="AB6" s="781">
        <v>41.75</v>
      </c>
      <c r="AC6" s="781">
        <v>0.20874999999999999</v>
      </c>
      <c r="AD6" s="781">
        <v>0.20874999999999999</v>
      </c>
      <c r="AE6" s="781">
        <v>0.20874999999999999</v>
      </c>
      <c r="AF6" s="781"/>
      <c r="AG6" s="781"/>
      <c r="AH6" s="781"/>
      <c r="AI6" s="784"/>
      <c r="AK6" s="783">
        <f>IFERROR(Tabela1[[#This Row],[EE(g)]]/Tabela1[[#This Row],[CMS(kg)]],0)</f>
        <v>0</v>
      </c>
    </row>
    <row r="7" spans="2:37" hidden="1">
      <c r="B7" s="774">
        <f>ROW()^2+(Tabela1[[#This Row],[ID2]])+ROW()</f>
        <v>193</v>
      </c>
      <c r="C7" s="774">
        <v>137</v>
      </c>
      <c r="D7" s="774" t="s">
        <v>1256</v>
      </c>
      <c r="E7" s="775" t="s">
        <v>1257</v>
      </c>
      <c r="F7" s="775" t="s">
        <v>1258</v>
      </c>
      <c r="G7" s="775">
        <v>150</v>
      </c>
      <c r="H7" s="775" t="s">
        <v>0</v>
      </c>
      <c r="I7" s="776" t="s">
        <v>42</v>
      </c>
      <c r="J7" s="774" t="s">
        <v>42</v>
      </c>
      <c r="K7" s="774" t="s">
        <v>42</v>
      </c>
      <c r="L7" s="777">
        <v>0</v>
      </c>
      <c r="M7" s="778">
        <v>0</v>
      </c>
      <c r="N7" s="779">
        <v>168</v>
      </c>
      <c r="O7" s="780">
        <v>0</v>
      </c>
      <c r="P7" s="781">
        <v>1.27</v>
      </c>
      <c r="Q7" s="781">
        <v>0.72</v>
      </c>
      <c r="R7" s="782">
        <v>0</v>
      </c>
      <c r="S7" s="781">
        <v>4.3</v>
      </c>
      <c r="T7" s="781">
        <v>4.3</v>
      </c>
      <c r="U7" s="781">
        <v>2.88</v>
      </c>
      <c r="V7" s="781">
        <v>2.1599999999999997</v>
      </c>
      <c r="W7" s="781">
        <v>12</v>
      </c>
      <c r="X7" s="781">
        <v>3.3600000000000003</v>
      </c>
      <c r="Y7" s="781">
        <v>16.8</v>
      </c>
      <c r="Z7" s="781">
        <v>48</v>
      </c>
      <c r="AA7" s="781">
        <v>72</v>
      </c>
      <c r="AB7" s="781">
        <v>48</v>
      </c>
      <c r="AC7" s="781">
        <v>0.24</v>
      </c>
      <c r="AD7" s="781">
        <v>0.24</v>
      </c>
      <c r="AE7" s="781">
        <v>0.24</v>
      </c>
      <c r="AF7" s="781"/>
      <c r="AG7" s="781"/>
      <c r="AH7" s="781"/>
      <c r="AI7" s="784"/>
      <c r="AK7" s="783">
        <f>IFERROR(Tabela1[[#This Row],[EE(g)]]/Tabela1[[#This Row],[CMS(kg)]],0)</f>
        <v>0</v>
      </c>
    </row>
    <row r="8" spans="2:37" hidden="1">
      <c r="B8" s="774">
        <f>ROW()^2+(Tabela1[[#This Row],[ID2]])+ROW()</f>
        <v>210</v>
      </c>
      <c r="C8" s="774">
        <v>138</v>
      </c>
      <c r="D8" s="774" t="s">
        <v>1256</v>
      </c>
      <c r="E8" s="775" t="s">
        <v>1257</v>
      </c>
      <c r="F8" s="775" t="s">
        <v>1258</v>
      </c>
      <c r="G8" s="775">
        <v>200</v>
      </c>
      <c r="H8" s="775" t="s">
        <v>0</v>
      </c>
      <c r="I8" s="776" t="s">
        <v>42</v>
      </c>
      <c r="J8" s="774" t="s">
        <v>42</v>
      </c>
      <c r="K8" s="774" t="s">
        <v>42</v>
      </c>
      <c r="L8" s="777">
        <v>0</v>
      </c>
      <c r="M8" s="778">
        <v>0</v>
      </c>
      <c r="N8" s="779">
        <v>210</v>
      </c>
      <c r="O8" s="780">
        <v>0</v>
      </c>
      <c r="P8" s="781">
        <v>1.58</v>
      </c>
      <c r="Q8" s="781">
        <v>0.89400000000000002</v>
      </c>
      <c r="R8" s="782">
        <v>0</v>
      </c>
      <c r="S8" s="781">
        <v>5.2</v>
      </c>
      <c r="T8" s="781">
        <v>5.3</v>
      </c>
      <c r="U8" s="781">
        <v>3.5760000000000001</v>
      </c>
      <c r="V8" s="781">
        <v>2.6819999999999999</v>
      </c>
      <c r="W8" s="781">
        <v>14.9</v>
      </c>
      <c r="X8" s="781">
        <v>4.1720000000000006</v>
      </c>
      <c r="Y8" s="781">
        <v>20.86</v>
      </c>
      <c r="Z8" s="781">
        <v>59.6</v>
      </c>
      <c r="AA8" s="781">
        <v>89.4</v>
      </c>
      <c r="AB8" s="781">
        <v>59.6</v>
      </c>
      <c r="AC8" s="781">
        <v>0.29799999999999999</v>
      </c>
      <c r="AD8" s="781">
        <v>0.29799999999999999</v>
      </c>
      <c r="AE8" s="781">
        <v>0.29799999999999999</v>
      </c>
      <c r="AF8" s="781"/>
      <c r="AG8" s="781"/>
      <c r="AH8" s="781"/>
      <c r="AI8" s="784"/>
      <c r="AK8" s="783">
        <f>IFERROR(Tabela1[[#This Row],[EE(g)]]/Tabela1[[#This Row],[CMS(kg)]],0)</f>
        <v>0</v>
      </c>
    </row>
    <row r="9" spans="2:37" hidden="1">
      <c r="B9" s="774">
        <f>ROW()^2+(Tabela1[[#This Row],[ID2]])+ROW()</f>
        <v>229</v>
      </c>
      <c r="C9" s="774">
        <v>139</v>
      </c>
      <c r="D9" s="774" t="s">
        <v>1256</v>
      </c>
      <c r="E9" s="775" t="s">
        <v>1257</v>
      </c>
      <c r="F9" s="775" t="s">
        <v>1259</v>
      </c>
      <c r="G9" s="775">
        <v>100</v>
      </c>
      <c r="H9" s="775" t="s">
        <v>0</v>
      </c>
      <c r="I9" s="776" t="s">
        <v>42</v>
      </c>
      <c r="J9" s="774" t="s">
        <v>42</v>
      </c>
      <c r="K9" s="774" t="s">
        <v>42</v>
      </c>
      <c r="L9" s="777">
        <v>0</v>
      </c>
      <c r="M9" s="778">
        <v>0</v>
      </c>
      <c r="N9" s="779">
        <v>144</v>
      </c>
      <c r="O9" s="780">
        <v>0</v>
      </c>
      <c r="P9" s="781">
        <v>1.03</v>
      </c>
      <c r="Q9" s="781">
        <v>0.58499999999999996</v>
      </c>
      <c r="R9" s="782">
        <v>0</v>
      </c>
      <c r="S9" s="781">
        <v>3.6</v>
      </c>
      <c r="T9" s="781">
        <v>3.4</v>
      </c>
      <c r="U9" s="781">
        <v>2.34</v>
      </c>
      <c r="V9" s="781">
        <v>1.7549999999999999</v>
      </c>
      <c r="W9" s="781">
        <v>9.75</v>
      </c>
      <c r="X9" s="781">
        <v>2.73</v>
      </c>
      <c r="Y9" s="781">
        <v>13.65</v>
      </c>
      <c r="Z9" s="781">
        <v>39</v>
      </c>
      <c r="AA9" s="781">
        <v>58.5</v>
      </c>
      <c r="AB9" s="781">
        <v>39</v>
      </c>
      <c r="AC9" s="781">
        <v>0.19500000000000001</v>
      </c>
      <c r="AD9" s="781">
        <v>0.19500000000000001</v>
      </c>
      <c r="AE9" s="781">
        <v>0.19500000000000001</v>
      </c>
      <c r="AF9" s="781"/>
      <c r="AG9" s="781"/>
      <c r="AH9" s="781"/>
      <c r="AI9" s="784"/>
      <c r="AK9" s="783">
        <f>IFERROR(Tabela1[[#This Row],[EE(g)]]/Tabela1[[#This Row],[CMS(kg)]],0)</f>
        <v>0</v>
      </c>
    </row>
    <row r="10" spans="2:37" hidden="1">
      <c r="B10" s="774">
        <f>ROW()^2+(Tabela1[[#This Row],[ID2]])+ROW()</f>
        <v>250</v>
      </c>
      <c r="C10" s="774">
        <v>140</v>
      </c>
      <c r="D10" s="774" t="s">
        <v>1256</v>
      </c>
      <c r="E10" s="775" t="s">
        <v>1257</v>
      </c>
      <c r="F10" s="775" t="s">
        <v>1259</v>
      </c>
      <c r="G10" s="775">
        <v>125</v>
      </c>
      <c r="H10" s="775" t="s">
        <v>0</v>
      </c>
      <c r="I10" s="776" t="s">
        <v>42</v>
      </c>
      <c r="J10" s="774" t="s">
        <v>42</v>
      </c>
      <c r="K10" s="774" t="s">
        <v>42</v>
      </c>
      <c r="L10" s="777">
        <v>0</v>
      </c>
      <c r="M10" s="778">
        <v>0</v>
      </c>
      <c r="N10" s="779">
        <v>171</v>
      </c>
      <c r="O10" s="780">
        <v>0</v>
      </c>
      <c r="P10" s="781">
        <v>1.22</v>
      </c>
      <c r="Q10" s="781">
        <v>0.69</v>
      </c>
      <c r="R10" s="782">
        <v>0</v>
      </c>
      <c r="S10" s="781">
        <v>4.2</v>
      </c>
      <c r="T10" s="781">
        <v>4.0999999999999996</v>
      </c>
      <c r="U10" s="781">
        <v>2.76</v>
      </c>
      <c r="V10" s="781">
        <v>2.0699999999999998</v>
      </c>
      <c r="W10" s="781">
        <v>11.5</v>
      </c>
      <c r="X10" s="781">
        <v>3.22</v>
      </c>
      <c r="Y10" s="781">
        <v>16.099999999999998</v>
      </c>
      <c r="Z10" s="781">
        <v>46</v>
      </c>
      <c r="AA10" s="781">
        <v>69</v>
      </c>
      <c r="AB10" s="781">
        <v>46</v>
      </c>
      <c r="AC10" s="781">
        <v>0.22999999999999998</v>
      </c>
      <c r="AD10" s="781">
        <v>0.22999999999999998</v>
      </c>
      <c r="AE10" s="781">
        <v>0.22999999999999998</v>
      </c>
      <c r="AF10" s="781"/>
      <c r="AG10" s="781"/>
      <c r="AH10" s="781"/>
      <c r="AI10" s="784"/>
      <c r="AK10" s="783">
        <f>IFERROR(Tabela1[[#This Row],[EE(g)]]/Tabela1[[#This Row],[CMS(kg)]],0)</f>
        <v>0</v>
      </c>
    </row>
    <row r="11" spans="2:37" hidden="1">
      <c r="B11" s="774">
        <f>ROW()^2+(Tabela1[[#This Row],[ID2]])+ROW()</f>
        <v>273</v>
      </c>
      <c r="C11" s="774">
        <v>141</v>
      </c>
      <c r="D11" s="774" t="s">
        <v>1256</v>
      </c>
      <c r="E11" s="775" t="s">
        <v>1257</v>
      </c>
      <c r="F11" s="775" t="s">
        <v>1259</v>
      </c>
      <c r="G11" s="775">
        <v>150</v>
      </c>
      <c r="H11" s="775" t="s">
        <v>0</v>
      </c>
      <c r="I11" s="776" t="s">
        <v>42</v>
      </c>
      <c r="J11" s="774" t="s">
        <v>42</v>
      </c>
      <c r="K11" s="774" t="s">
        <v>42</v>
      </c>
      <c r="L11" s="777">
        <v>0</v>
      </c>
      <c r="M11" s="778">
        <v>0</v>
      </c>
      <c r="N11" s="779">
        <v>197</v>
      </c>
      <c r="O11" s="780">
        <v>0</v>
      </c>
      <c r="P11" s="781">
        <v>1.4</v>
      </c>
      <c r="Q11" s="781">
        <v>0.79200000000000004</v>
      </c>
      <c r="R11" s="782">
        <v>0</v>
      </c>
      <c r="S11" s="781">
        <v>4.7</v>
      </c>
      <c r="T11" s="781">
        <v>4.7</v>
      </c>
      <c r="U11" s="781">
        <v>3.1680000000000001</v>
      </c>
      <c r="V11" s="781">
        <v>2.3759999999999999</v>
      </c>
      <c r="W11" s="781">
        <v>13.200000000000001</v>
      </c>
      <c r="X11" s="781">
        <v>3.6960000000000006</v>
      </c>
      <c r="Y11" s="781">
        <v>18.48</v>
      </c>
      <c r="Z11" s="781">
        <v>52.800000000000004</v>
      </c>
      <c r="AA11" s="781">
        <v>79.2</v>
      </c>
      <c r="AB11" s="781">
        <v>52.800000000000004</v>
      </c>
      <c r="AC11" s="781">
        <v>0.26400000000000001</v>
      </c>
      <c r="AD11" s="781">
        <v>0.26400000000000001</v>
      </c>
      <c r="AE11" s="781">
        <v>0.26400000000000001</v>
      </c>
      <c r="AF11" s="781"/>
      <c r="AG11" s="781"/>
      <c r="AH11" s="781"/>
      <c r="AI11" s="784"/>
      <c r="AK11" s="783">
        <f>IFERROR(Tabela1[[#This Row],[EE(g)]]/Tabela1[[#This Row],[CMS(kg)]],0)</f>
        <v>0</v>
      </c>
    </row>
    <row r="12" spans="2:37" hidden="1">
      <c r="B12" s="774">
        <f>ROW()^2+(Tabela1[[#This Row],[ID2]])+ROW()</f>
        <v>298</v>
      </c>
      <c r="C12" s="774">
        <v>142</v>
      </c>
      <c r="D12" s="774" t="s">
        <v>1256</v>
      </c>
      <c r="E12" s="775" t="s">
        <v>1257</v>
      </c>
      <c r="F12" s="775" t="s">
        <v>1259</v>
      </c>
      <c r="G12" s="775">
        <v>200</v>
      </c>
      <c r="H12" s="775" t="s">
        <v>0</v>
      </c>
      <c r="I12" s="776" t="s">
        <v>42</v>
      </c>
      <c r="J12" s="774" t="s">
        <v>42</v>
      </c>
      <c r="K12" s="774" t="s">
        <v>42</v>
      </c>
      <c r="L12" s="777">
        <v>0</v>
      </c>
      <c r="M12" s="778">
        <v>0</v>
      </c>
      <c r="N12" s="779">
        <v>247</v>
      </c>
      <c r="O12" s="780">
        <v>0</v>
      </c>
      <c r="P12" s="781">
        <v>1.74</v>
      </c>
      <c r="Q12" s="781">
        <v>0.98399999999999999</v>
      </c>
      <c r="R12" s="782">
        <v>0</v>
      </c>
      <c r="S12" s="781">
        <v>5.7</v>
      </c>
      <c r="T12" s="781">
        <v>5.9</v>
      </c>
      <c r="U12" s="781">
        <v>3.9359999999999991</v>
      </c>
      <c r="V12" s="781">
        <v>2.9519999999999991</v>
      </c>
      <c r="W12" s="781">
        <v>16.399999999999999</v>
      </c>
      <c r="X12" s="781">
        <v>4.5919999999999996</v>
      </c>
      <c r="Y12" s="781">
        <v>22.959999999999994</v>
      </c>
      <c r="Z12" s="781">
        <v>65.599999999999994</v>
      </c>
      <c r="AA12" s="781">
        <v>98.399999999999977</v>
      </c>
      <c r="AB12" s="781">
        <v>65.599999999999994</v>
      </c>
      <c r="AC12" s="781">
        <v>0.32799999999999996</v>
      </c>
      <c r="AD12" s="781">
        <v>0.32799999999999996</v>
      </c>
      <c r="AE12" s="781">
        <v>0.32799999999999996</v>
      </c>
      <c r="AF12" s="781"/>
      <c r="AG12" s="781"/>
      <c r="AH12" s="781"/>
      <c r="AI12" s="784"/>
      <c r="AK12" s="783">
        <f>IFERROR(Tabela1[[#This Row],[EE(g)]]/Tabela1[[#This Row],[CMS(kg)]],0)</f>
        <v>0</v>
      </c>
    </row>
    <row r="13" spans="2:37" hidden="1">
      <c r="B13" s="774">
        <f>ROW()^2+(Tabela1[[#This Row],[ID2]])+ROW()</f>
        <v>253</v>
      </c>
      <c r="C13" s="774">
        <v>71</v>
      </c>
      <c r="D13" s="774" t="s">
        <v>1256</v>
      </c>
      <c r="E13" s="775" t="s">
        <v>1260</v>
      </c>
      <c r="F13" s="775" t="s">
        <v>1261</v>
      </c>
      <c r="G13" s="775">
        <v>20</v>
      </c>
      <c r="H13" s="775" t="s">
        <v>0</v>
      </c>
      <c r="I13" s="776" t="s">
        <v>42</v>
      </c>
      <c r="J13" s="774" t="s">
        <v>42</v>
      </c>
      <c r="K13" s="774" t="s">
        <v>42</v>
      </c>
      <c r="L13" s="777">
        <v>100</v>
      </c>
      <c r="M13" s="778">
        <v>0</v>
      </c>
      <c r="N13" s="779">
        <v>74</v>
      </c>
      <c r="O13" s="780">
        <v>0</v>
      </c>
      <c r="P13" s="781">
        <v>0.32</v>
      </c>
      <c r="Q13" s="781">
        <v>0.17879999999999999</v>
      </c>
      <c r="R13" s="782">
        <v>0</v>
      </c>
      <c r="S13" s="781">
        <v>2.2999999999999998</v>
      </c>
      <c r="T13" s="781">
        <v>1.5</v>
      </c>
      <c r="U13" s="781">
        <v>0.71519999999999995</v>
      </c>
      <c r="V13" s="781">
        <v>0.53639999999999988</v>
      </c>
      <c r="W13" s="781">
        <v>2.98</v>
      </c>
      <c r="X13" s="781">
        <v>0.83440000000000003</v>
      </c>
      <c r="Y13" s="781">
        <v>4.1719999999999997</v>
      </c>
      <c r="Z13" s="781">
        <v>11.92</v>
      </c>
      <c r="AA13" s="781">
        <v>17.88</v>
      </c>
      <c r="AB13" s="781">
        <v>11.92</v>
      </c>
      <c r="AC13" s="781">
        <v>5.96E-2</v>
      </c>
      <c r="AD13" s="781">
        <v>5.96E-2</v>
      </c>
      <c r="AE13" s="781">
        <v>5.96E-2</v>
      </c>
      <c r="AF13" s="781"/>
      <c r="AG13" s="781"/>
      <c r="AH13" s="781"/>
      <c r="AI13" s="784"/>
      <c r="AK13" s="783">
        <f>IFERROR(Tabela1[[#This Row],[EE(g)]]/Tabela1[[#This Row],[CMS(kg)]],0)</f>
        <v>0</v>
      </c>
    </row>
    <row r="14" spans="2:37" hidden="1">
      <c r="B14" s="774">
        <f>ROW()^2+(Tabela1[[#This Row],[ID2]])+ROW()</f>
        <v>282</v>
      </c>
      <c r="C14" s="774">
        <v>72</v>
      </c>
      <c r="D14" s="774" t="s">
        <v>1256</v>
      </c>
      <c r="E14" s="775" t="s">
        <v>1260</v>
      </c>
      <c r="F14" s="775" t="s">
        <v>1261</v>
      </c>
      <c r="G14" s="775">
        <v>20</v>
      </c>
      <c r="H14" s="775" t="s">
        <v>0</v>
      </c>
      <c r="I14" s="776" t="s">
        <v>42</v>
      </c>
      <c r="J14" s="774" t="s">
        <v>42</v>
      </c>
      <c r="K14" s="774" t="s">
        <v>42</v>
      </c>
      <c r="L14" s="777">
        <v>150</v>
      </c>
      <c r="M14" s="778">
        <v>0</v>
      </c>
      <c r="N14" s="779">
        <v>88</v>
      </c>
      <c r="O14" s="780">
        <v>0</v>
      </c>
      <c r="P14" s="781">
        <v>0.33</v>
      </c>
      <c r="Q14" s="781">
        <v>0.1482</v>
      </c>
      <c r="R14" s="782">
        <v>0</v>
      </c>
      <c r="S14" s="781">
        <v>2.9</v>
      </c>
      <c r="T14" s="781">
        <v>1.9</v>
      </c>
      <c r="U14" s="781">
        <v>0.59279999999999999</v>
      </c>
      <c r="V14" s="781">
        <v>0.4446</v>
      </c>
      <c r="W14" s="781">
        <v>2.4700000000000002</v>
      </c>
      <c r="X14" s="781">
        <v>0.6916000000000001</v>
      </c>
      <c r="Y14" s="781">
        <v>3.4580000000000002</v>
      </c>
      <c r="Z14" s="781">
        <v>9.8800000000000008</v>
      </c>
      <c r="AA14" s="781">
        <v>14.820000000000002</v>
      </c>
      <c r="AB14" s="781">
        <v>9.8800000000000008</v>
      </c>
      <c r="AC14" s="781">
        <v>4.9400000000000006E-2</v>
      </c>
      <c r="AD14" s="781">
        <v>4.9400000000000006E-2</v>
      </c>
      <c r="AE14" s="781">
        <v>4.9400000000000006E-2</v>
      </c>
      <c r="AF14" s="781"/>
      <c r="AG14" s="781"/>
      <c r="AH14" s="781"/>
      <c r="AI14" s="784"/>
      <c r="AK14" s="783">
        <f>IFERROR(Tabela1[[#This Row],[EE(g)]]/Tabela1[[#This Row],[CMS(kg)]],0)</f>
        <v>0</v>
      </c>
    </row>
    <row r="15" spans="2:37" hidden="1">
      <c r="B15" s="774">
        <f>ROW()^2+(Tabela1[[#This Row],[ID2]])+ROW()</f>
        <v>313</v>
      </c>
      <c r="C15" s="774">
        <v>73</v>
      </c>
      <c r="D15" s="774" t="s">
        <v>1256</v>
      </c>
      <c r="E15" s="775" t="s">
        <v>1260</v>
      </c>
      <c r="F15" s="775" t="s">
        <v>1261</v>
      </c>
      <c r="G15" s="775">
        <v>20</v>
      </c>
      <c r="H15" s="775" t="s">
        <v>0</v>
      </c>
      <c r="I15" s="776" t="s">
        <v>42</v>
      </c>
      <c r="J15" s="774" t="s">
        <v>42</v>
      </c>
      <c r="K15" s="774" t="s">
        <v>42</v>
      </c>
      <c r="L15" s="777">
        <v>200</v>
      </c>
      <c r="M15" s="778">
        <v>0</v>
      </c>
      <c r="N15" s="779">
        <v>111</v>
      </c>
      <c r="O15" s="780">
        <v>0</v>
      </c>
      <c r="P15" s="781">
        <v>0.41</v>
      </c>
      <c r="Q15" s="781">
        <v>0.1842</v>
      </c>
      <c r="R15" s="782">
        <v>0</v>
      </c>
      <c r="S15" s="781">
        <v>3.7</v>
      </c>
      <c r="T15" s="781">
        <v>2.5</v>
      </c>
      <c r="U15" s="781">
        <v>0.73680000000000001</v>
      </c>
      <c r="V15" s="781">
        <v>0.55259999999999998</v>
      </c>
      <c r="W15" s="781">
        <v>3.07</v>
      </c>
      <c r="X15" s="781">
        <v>0.85960000000000003</v>
      </c>
      <c r="Y15" s="781">
        <v>4.298</v>
      </c>
      <c r="Z15" s="781">
        <v>12.28</v>
      </c>
      <c r="AA15" s="781">
        <v>18.419999999999998</v>
      </c>
      <c r="AB15" s="781">
        <v>12.28</v>
      </c>
      <c r="AC15" s="781">
        <v>6.1400000000000003E-2</v>
      </c>
      <c r="AD15" s="781">
        <v>6.1400000000000003E-2</v>
      </c>
      <c r="AE15" s="781">
        <v>6.1400000000000003E-2</v>
      </c>
      <c r="AF15" s="781"/>
      <c r="AG15" s="781"/>
      <c r="AH15" s="781"/>
      <c r="AI15" s="784"/>
      <c r="AK15" s="783">
        <f>IFERROR(Tabela1[[#This Row],[EE(g)]]/Tabela1[[#This Row],[CMS(kg)]],0)</f>
        <v>0</v>
      </c>
    </row>
    <row r="16" spans="2:37" hidden="1">
      <c r="B16" s="774">
        <f>ROW()^2+(Tabela1[[#This Row],[ID2]])+ROW()</f>
        <v>346</v>
      </c>
      <c r="C16" s="774">
        <v>74</v>
      </c>
      <c r="D16" s="774" t="s">
        <v>1256</v>
      </c>
      <c r="E16" s="775" t="s">
        <v>1260</v>
      </c>
      <c r="F16" s="775" t="s">
        <v>1261</v>
      </c>
      <c r="G16" s="775">
        <v>20</v>
      </c>
      <c r="H16" s="775" t="s">
        <v>0</v>
      </c>
      <c r="I16" s="776" t="s">
        <v>42</v>
      </c>
      <c r="J16" s="774" t="s">
        <v>42</v>
      </c>
      <c r="K16" s="774" t="s">
        <v>42</v>
      </c>
      <c r="L16" s="777">
        <v>300</v>
      </c>
      <c r="M16" s="778">
        <v>0</v>
      </c>
      <c r="N16" s="779">
        <v>149</v>
      </c>
      <c r="O16" s="780">
        <v>0</v>
      </c>
      <c r="P16" s="781">
        <v>0.5</v>
      </c>
      <c r="Q16" s="781">
        <v>0.18779999999999999</v>
      </c>
      <c r="R16" s="782">
        <v>0</v>
      </c>
      <c r="S16" s="781">
        <v>5.0999999999999996</v>
      </c>
      <c r="T16" s="781">
        <v>3.5</v>
      </c>
      <c r="U16" s="781">
        <v>0.75119999999999998</v>
      </c>
      <c r="V16" s="781">
        <v>0.5633999999999999</v>
      </c>
      <c r="W16" s="781">
        <v>3.13</v>
      </c>
      <c r="X16" s="781">
        <v>0.87640000000000007</v>
      </c>
      <c r="Y16" s="781">
        <v>4.3819999999999997</v>
      </c>
      <c r="Z16" s="781">
        <v>12.52</v>
      </c>
      <c r="AA16" s="781">
        <v>18.78</v>
      </c>
      <c r="AB16" s="781">
        <v>12.52</v>
      </c>
      <c r="AC16" s="781">
        <v>6.2600000000000003E-2</v>
      </c>
      <c r="AD16" s="781">
        <v>6.2600000000000003E-2</v>
      </c>
      <c r="AE16" s="781">
        <v>6.2600000000000003E-2</v>
      </c>
      <c r="AF16" s="781"/>
      <c r="AG16" s="781"/>
      <c r="AH16" s="781"/>
      <c r="AI16" s="784"/>
      <c r="AK16" s="783">
        <f>IFERROR(Tabela1[[#This Row],[EE(g)]]/Tabela1[[#This Row],[CMS(kg)]],0)</f>
        <v>0</v>
      </c>
    </row>
    <row r="17" spans="2:37" hidden="1">
      <c r="B17" s="774">
        <f>ROW()^2+(Tabela1[[#This Row],[ID2]])+ROW()</f>
        <v>381</v>
      </c>
      <c r="C17" s="774">
        <v>75</v>
      </c>
      <c r="D17" s="774" t="s">
        <v>1256</v>
      </c>
      <c r="E17" s="775" t="s">
        <v>1260</v>
      </c>
      <c r="F17" s="775" t="s">
        <v>1261</v>
      </c>
      <c r="G17" s="775">
        <v>30</v>
      </c>
      <c r="H17" s="775" t="s">
        <v>0</v>
      </c>
      <c r="I17" s="776" t="s">
        <v>42</v>
      </c>
      <c r="J17" s="774" t="s">
        <v>42</v>
      </c>
      <c r="K17" s="774" t="s">
        <v>42</v>
      </c>
      <c r="L17" s="777">
        <v>200</v>
      </c>
      <c r="M17" s="778">
        <v>0</v>
      </c>
      <c r="N17" s="779">
        <v>133</v>
      </c>
      <c r="O17" s="780">
        <v>0</v>
      </c>
      <c r="P17" s="781">
        <v>0.57999999999999996</v>
      </c>
      <c r="Q17" s="781">
        <v>0.32669999999999999</v>
      </c>
      <c r="R17" s="782">
        <v>0</v>
      </c>
      <c r="S17" s="781">
        <v>4.0999999999999996</v>
      </c>
      <c r="T17" s="781">
        <v>3</v>
      </c>
      <c r="U17" s="781">
        <v>1.3068</v>
      </c>
      <c r="V17" s="781">
        <v>0.98009999999999986</v>
      </c>
      <c r="W17" s="781">
        <v>5.4450000000000003</v>
      </c>
      <c r="X17" s="781">
        <v>1.5246000000000002</v>
      </c>
      <c r="Y17" s="781">
        <v>7.6229999999999993</v>
      </c>
      <c r="Z17" s="781">
        <v>21.78</v>
      </c>
      <c r="AA17" s="781">
        <v>32.67</v>
      </c>
      <c r="AB17" s="781">
        <v>21.78</v>
      </c>
      <c r="AC17" s="781">
        <v>0.1089</v>
      </c>
      <c r="AD17" s="781">
        <v>0.1089</v>
      </c>
      <c r="AE17" s="781">
        <v>0.1089</v>
      </c>
      <c r="AF17" s="781"/>
      <c r="AG17" s="781"/>
      <c r="AH17" s="781"/>
      <c r="AI17" s="784"/>
      <c r="AK17" s="783">
        <f>IFERROR(Tabela1[[#This Row],[EE(g)]]/Tabela1[[#This Row],[CMS(kg)]],0)</f>
        <v>0</v>
      </c>
    </row>
    <row r="18" spans="2:37" hidden="1">
      <c r="B18" s="774">
        <f>ROW()^2+(Tabela1[[#This Row],[ID2]])+ROW()</f>
        <v>418</v>
      </c>
      <c r="C18" s="774">
        <v>76</v>
      </c>
      <c r="D18" s="774" t="s">
        <v>1256</v>
      </c>
      <c r="E18" s="775" t="s">
        <v>1260</v>
      </c>
      <c r="F18" s="775" t="s">
        <v>1261</v>
      </c>
      <c r="G18" s="775">
        <v>30</v>
      </c>
      <c r="H18" s="775" t="s">
        <v>0</v>
      </c>
      <c r="I18" s="776" t="s">
        <v>42</v>
      </c>
      <c r="J18" s="774" t="s">
        <v>42</v>
      </c>
      <c r="K18" s="774" t="s">
        <v>42</v>
      </c>
      <c r="L18" s="777">
        <v>250</v>
      </c>
      <c r="M18" s="778">
        <v>0</v>
      </c>
      <c r="N18" s="779">
        <v>140</v>
      </c>
      <c r="O18" s="780">
        <v>0</v>
      </c>
      <c r="P18" s="781">
        <v>0.52</v>
      </c>
      <c r="Q18" s="781">
        <v>0.23580000000000001</v>
      </c>
      <c r="R18" s="782">
        <v>0</v>
      </c>
      <c r="S18" s="781">
        <v>4.5</v>
      </c>
      <c r="T18" s="781">
        <v>3.2</v>
      </c>
      <c r="U18" s="781">
        <v>0.94320000000000004</v>
      </c>
      <c r="V18" s="781">
        <v>0.70739999999999992</v>
      </c>
      <c r="W18" s="781">
        <v>3.93</v>
      </c>
      <c r="X18" s="781">
        <v>1.1004</v>
      </c>
      <c r="Y18" s="781">
        <v>5.5020000000000007</v>
      </c>
      <c r="Z18" s="781">
        <v>15.72</v>
      </c>
      <c r="AA18" s="781">
        <v>23.580000000000002</v>
      </c>
      <c r="AB18" s="781">
        <v>15.72</v>
      </c>
      <c r="AC18" s="781">
        <v>7.8600000000000003E-2</v>
      </c>
      <c r="AD18" s="781">
        <v>7.8600000000000003E-2</v>
      </c>
      <c r="AE18" s="781">
        <v>7.8600000000000003E-2</v>
      </c>
      <c r="AF18" s="781"/>
      <c r="AG18" s="781"/>
      <c r="AH18" s="781"/>
      <c r="AI18" s="784"/>
      <c r="AK18" s="783">
        <f>IFERROR(Tabela1[[#This Row],[EE(g)]]/Tabela1[[#This Row],[CMS(kg)]],0)</f>
        <v>0</v>
      </c>
    </row>
    <row r="19" spans="2:37" hidden="1">
      <c r="B19" s="774">
        <f>ROW()^2+(Tabela1[[#This Row],[ID2]])+ROW()</f>
        <v>457</v>
      </c>
      <c r="C19" s="774">
        <v>77</v>
      </c>
      <c r="D19" s="774" t="s">
        <v>1256</v>
      </c>
      <c r="E19" s="775" t="s">
        <v>1260</v>
      </c>
      <c r="F19" s="775" t="s">
        <v>1261</v>
      </c>
      <c r="G19" s="775">
        <v>30</v>
      </c>
      <c r="H19" s="775" t="s">
        <v>0</v>
      </c>
      <c r="I19" s="776" t="s">
        <v>42</v>
      </c>
      <c r="J19" s="774" t="s">
        <v>42</v>
      </c>
      <c r="K19" s="774" t="s">
        <v>42</v>
      </c>
      <c r="L19" s="777">
        <v>300</v>
      </c>
      <c r="M19" s="778">
        <v>0</v>
      </c>
      <c r="N19" s="779">
        <v>163</v>
      </c>
      <c r="O19" s="780">
        <v>0</v>
      </c>
      <c r="P19" s="781">
        <v>0.6</v>
      </c>
      <c r="Q19" s="781">
        <v>0.27179999999999999</v>
      </c>
      <c r="R19" s="782">
        <v>0</v>
      </c>
      <c r="S19" s="781">
        <v>5.3</v>
      </c>
      <c r="T19" s="781">
        <v>3.8</v>
      </c>
      <c r="U19" s="781">
        <v>1.0871999999999999</v>
      </c>
      <c r="V19" s="781">
        <v>0.8153999999999999</v>
      </c>
      <c r="W19" s="781">
        <v>4.53</v>
      </c>
      <c r="X19" s="781">
        <v>1.2684000000000002</v>
      </c>
      <c r="Y19" s="781">
        <v>6.3420000000000005</v>
      </c>
      <c r="Z19" s="781">
        <v>18.12</v>
      </c>
      <c r="AA19" s="781">
        <v>27.18</v>
      </c>
      <c r="AB19" s="781">
        <v>18.12</v>
      </c>
      <c r="AC19" s="781">
        <v>9.0600000000000014E-2</v>
      </c>
      <c r="AD19" s="781">
        <v>9.0600000000000014E-2</v>
      </c>
      <c r="AE19" s="781">
        <v>9.0600000000000014E-2</v>
      </c>
      <c r="AF19" s="781"/>
      <c r="AG19" s="781"/>
      <c r="AH19" s="781"/>
      <c r="AI19" s="784"/>
      <c r="AK19" s="783">
        <f>IFERROR(Tabela1[[#This Row],[EE(g)]]/Tabela1[[#This Row],[CMS(kg)]],0)</f>
        <v>0</v>
      </c>
    </row>
    <row r="20" spans="2:37" hidden="1">
      <c r="B20" s="774">
        <f>ROW()^2+(Tabela1[[#This Row],[ID2]])+ROW()</f>
        <v>498</v>
      </c>
      <c r="C20" s="774">
        <v>78</v>
      </c>
      <c r="D20" s="774" t="s">
        <v>1256</v>
      </c>
      <c r="E20" s="775" t="s">
        <v>1260</v>
      </c>
      <c r="F20" s="775" t="s">
        <v>1261</v>
      </c>
      <c r="G20" s="775">
        <v>30</v>
      </c>
      <c r="H20" s="775" t="s">
        <v>0</v>
      </c>
      <c r="I20" s="776" t="s">
        <v>42</v>
      </c>
      <c r="J20" s="774" t="s">
        <v>42</v>
      </c>
      <c r="K20" s="774" t="s">
        <v>42</v>
      </c>
      <c r="L20" s="777">
        <v>400</v>
      </c>
      <c r="M20" s="778">
        <v>0</v>
      </c>
      <c r="N20" s="779">
        <v>209</v>
      </c>
      <c r="O20" s="780">
        <v>0</v>
      </c>
      <c r="P20" s="781">
        <v>0.76</v>
      </c>
      <c r="Q20" s="781">
        <v>0.34379999999999999</v>
      </c>
      <c r="R20" s="782">
        <v>0</v>
      </c>
      <c r="S20" s="781">
        <v>6.9</v>
      </c>
      <c r="T20" s="781">
        <v>5</v>
      </c>
      <c r="U20" s="781">
        <v>1.3751999999999998</v>
      </c>
      <c r="V20" s="781">
        <v>1.0313999999999999</v>
      </c>
      <c r="W20" s="781">
        <v>5.7299999999999995</v>
      </c>
      <c r="X20" s="781">
        <v>1.6044</v>
      </c>
      <c r="Y20" s="781">
        <v>8.0219999999999985</v>
      </c>
      <c r="Z20" s="781">
        <v>22.919999999999998</v>
      </c>
      <c r="AA20" s="781">
        <v>34.379999999999995</v>
      </c>
      <c r="AB20" s="781">
        <v>22.919999999999998</v>
      </c>
      <c r="AC20" s="781">
        <v>0.11459999999999999</v>
      </c>
      <c r="AD20" s="781">
        <v>0.11459999999999999</v>
      </c>
      <c r="AE20" s="781">
        <v>0.11459999999999999</v>
      </c>
      <c r="AF20" s="781"/>
      <c r="AG20" s="781"/>
      <c r="AH20" s="781"/>
      <c r="AI20" s="784"/>
      <c r="AK20" s="783">
        <f>IFERROR(Tabela1[[#This Row],[EE(g)]]/Tabela1[[#This Row],[CMS(kg)]],0)</f>
        <v>0</v>
      </c>
    </row>
    <row r="21" spans="2:37" hidden="1">
      <c r="B21" s="774">
        <f>ROW()^2+(Tabela1[[#This Row],[ID2]])+ROW()</f>
        <v>541</v>
      </c>
      <c r="C21" s="774">
        <v>79</v>
      </c>
      <c r="D21" s="774" t="s">
        <v>1256</v>
      </c>
      <c r="E21" s="775" t="s">
        <v>1260</v>
      </c>
      <c r="F21" s="775" t="s">
        <v>1261</v>
      </c>
      <c r="G21" s="775">
        <v>40</v>
      </c>
      <c r="H21" s="775" t="s">
        <v>0</v>
      </c>
      <c r="I21" s="776" t="s">
        <v>42</v>
      </c>
      <c r="J21" s="774" t="s">
        <v>42</v>
      </c>
      <c r="K21" s="774" t="s">
        <v>42</v>
      </c>
      <c r="L21" s="777">
        <v>250</v>
      </c>
      <c r="M21" s="778">
        <v>0</v>
      </c>
      <c r="N21" s="779">
        <v>165</v>
      </c>
      <c r="O21" s="780">
        <v>0</v>
      </c>
      <c r="P21" s="781">
        <v>0.73</v>
      </c>
      <c r="Q21" s="781">
        <v>0.41039999999999999</v>
      </c>
      <c r="R21" s="782">
        <v>0</v>
      </c>
      <c r="S21" s="781">
        <v>5.0999999999999996</v>
      </c>
      <c r="T21" s="781">
        <v>3.7</v>
      </c>
      <c r="U21" s="781">
        <v>1.6416000000000002</v>
      </c>
      <c r="V21" s="781">
        <v>1.2312000000000001</v>
      </c>
      <c r="W21" s="781">
        <v>6.8400000000000007</v>
      </c>
      <c r="X21" s="781">
        <v>1.9152000000000002</v>
      </c>
      <c r="Y21" s="781">
        <v>9.5760000000000005</v>
      </c>
      <c r="Z21" s="781">
        <v>27.360000000000003</v>
      </c>
      <c r="AA21" s="781">
        <v>41.040000000000006</v>
      </c>
      <c r="AB21" s="781">
        <v>27.360000000000003</v>
      </c>
      <c r="AC21" s="781">
        <v>0.1368</v>
      </c>
      <c r="AD21" s="781">
        <v>0.1368</v>
      </c>
      <c r="AE21" s="781">
        <v>0.1368</v>
      </c>
      <c r="AF21" s="781"/>
      <c r="AG21" s="781"/>
      <c r="AH21" s="781"/>
      <c r="AI21" s="784"/>
      <c r="AK21" s="783">
        <f>IFERROR(Tabela1[[#This Row],[EE(g)]]/Tabela1[[#This Row],[CMS(kg)]],0)</f>
        <v>0</v>
      </c>
    </row>
    <row r="22" spans="2:37" hidden="1">
      <c r="B22" s="774">
        <f>ROW()^2+(Tabela1[[#This Row],[ID2]])+ROW()</f>
        <v>586</v>
      </c>
      <c r="C22" s="774">
        <v>80</v>
      </c>
      <c r="D22" s="774" t="s">
        <v>1256</v>
      </c>
      <c r="E22" s="775" t="s">
        <v>1260</v>
      </c>
      <c r="F22" s="775" t="s">
        <v>1261</v>
      </c>
      <c r="G22" s="775">
        <v>40</v>
      </c>
      <c r="H22" s="775" t="s">
        <v>0</v>
      </c>
      <c r="I22" s="776" t="s">
        <v>42</v>
      </c>
      <c r="J22" s="774" t="s">
        <v>42</v>
      </c>
      <c r="K22" s="774" t="s">
        <v>42</v>
      </c>
      <c r="L22" s="777">
        <v>300</v>
      </c>
      <c r="M22" s="778">
        <v>0</v>
      </c>
      <c r="N22" s="779">
        <v>192</v>
      </c>
      <c r="O22" s="780">
        <v>0</v>
      </c>
      <c r="P22" s="781">
        <v>0.84</v>
      </c>
      <c r="Q22" s="781">
        <v>0.47520000000000001</v>
      </c>
      <c r="R22" s="782">
        <v>0</v>
      </c>
      <c r="S22" s="781">
        <v>6</v>
      </c>
      <c r="T22" s="781">
        <v>4.5</v>
      </c>
      <c r="U22" s="781">
        <v>1.9007999999999998</v>
      </c>
      <c r="V22" s="781">
        <v>1.4255999999999998</v>
      </c>
      <c r="W22" s="781">
        <v>7.919999999999999</v>
      </c>
      <c r="X22" s="781">
        <v>2.2176</v>
      </c>
      <c r="Y22" s="781">
        <v>11.087999999999999</v>
      </c>
      <c r="Z22" s="781">
        <v>31.679999999999996</v>
      </c>
      <c r="AA22" s="781">
        <v>47.519999999999996</v>
      </c>
      <c r="AB22" s="781">
        <v>31.679999999999996</v>
      </c>
      <c r="AC22" s="781">
        <v>0.15839999999999999</v>
      </c>
      <c r="AD22" s="781">
        <v>0.15839999999999999</v>
      </c>
      <c r="AE22" s="781">
        <v>0.15839999999999999</v>
      </c>
      <c r="AF22" s="781"/>
      <c r="AG22" s="781"/>
      <c r="AH22" s="781"/>
      <c r="AI22" s="784"/>
      <c r="AK22" s="783">
        <f>IFERROR(Tabela1[[#This Row],[EE(g)]]/Tabela1[[#This Row],[CMS(kg)]],0)</f>
        <v>0</v>
      </c>
    </row>
    <row r="23" spans="2:37" hidden="1">
      <c r="B23" s="774">
        <f>ROW()^2+(Tabela1[[#This Row],[ID2]])+ROW()</f>
        <v>633</v>
      </c>
      <c r="C23" s="774">
        <v>81</v>
      </c>
      <c r="D23" s="774" t="s">
        <v>1256</v>
      </c>
      <c r="E23" s="775" t="s">
        <v>1260</v>
      </c>
      <c r="F23" s="775" t="s">
        <v>1261</v>
      </c>
      <c r="G23" s="775">
        <v>40</v>
      </c>
      <c r="H23" s="775" t="s">
        <v>0</v>
      </c>
      <c r="I23" s="776" t="s">
        <v>42</v>
      </c>
      <c r="J23" s="774" t="s">
        <v>42</v>
      </c>
      <c r="K23" s="774" t="s">
        <v>42</v>
      </c>
      <c r="L23" s="777">
        <v>400</v>
      </c>
      <c r="M23" s="778">
        <v>0</v>
      </c>
      <c r="N23" s="779">
        <v>215</v>
      </c>
      <c r="O23" s="780">
        <v>0</v>
      </c>
      <c r="P23" s="781">
        <v>0.8</v>
      </c>
      <c r="Q23" s="781">
        <v>0.36</v>
      </c>
      <c r="R23" s="782">
        <v>0</v>
      </c>
      <c r="S23" s="781">
        <v>7</v>
      </c>
      <c r="T23" s="781">
        <v>5.0999999999999996</v>
      </c>
      <c r="U23" s="781">
        <v>1.44</v>
      </c>
      <c r="V23" s="781">
        <v>1.0799999999999998</v>
      </c>
      <c r="W23" s="781">
        <v>6</v>
      </c>
      <c r="X23" s="781">
        <v>1.6800000000000002</v>
      </c>
      <c r="Y23" s="781">
        <v>8.4</v>
      </c>
      <c r="Z23" s="781">
        <v>24</v>
      </c>
      <c r="AA23" s="781">
        <v>36</v>
      </c>
      <c r="AB23" s="781">
        <v>24</v>
      </c>
      <c r="AC23" s="781">
        <v>0.12</v>
      </c>
      <c r="AD23" s="781">
        <v>0.12</v>
      </c>
      <c r="AE23" s="781">
        <v>0.12</v>
      </c>
      <c r="AF23" s="781"/>
      <c r="AG23" s="781"/>
      <c r="AH23" s="781"/>
      <c r="AI23" s="784"/>
      <c r="AK23" s="783">
        <f>IFERROR(Tabela1[[#This Row],[EE(g)]]/Tabela1[[#This Row],[CMS(kg)]],0)</f>
        <v>0</v>
      </c>
    </row>
    <row r="24" spans="2:37" hidden="1">
      <c r="B24" s="774">
        <f>ROW()^2+(Tabela1[[#This Row],[ID2]])+ROW()</f>
        <v>682</v>
      </c>
      <c r="C24" s="774">
        <v>82</v>
      </c>
      <c r="D24" s="774" t="s">
        <v>1256</v>
      </c>
      <c r="E24" s="775" t="s">
        <v>1260</v>
      </c>
      <c r="F24" s="775" t="s">
        <v>1261</v>
      </c>
      <c r="G24" s="775">
        <v>40</v>
      </c>
      <c r="H24" s="775" t="s">
        <v>0</v>
      </c>
      <c r="I24" s="776" t="s">
        <v>42</v>
      </c>
      <c r="J24" s="774" t="s">
        <v>42</v>
      </c>
      <c r="K24" s="774" t="s">
        <v>42</v>
      </c>
      <c r="L24" s="777">
        <v>500</v>
      </c>
      <c r="M24" s="778">
        <v>0</v>
      </c>
      <c r="N24" s="779">
        <v>261</v>
      </c>
      <c r="O24" s="780">
        <v>0</v>
      </c>
      <c r="P24" s="781">
        <v>0.96</v>
      </c>
      <c r="Q24" s="781">
        <v>0.432</v>
      </c>
      <c r="R24" s="782">
        <v>0</v>
      </c>
      <c r="S24" s="781">
        <v>8.6</v>
      </c>
      <c r="T24" s="781">
        <v>6.3</v>
      </c>
      <c r="U24" s="781">
        <v>1.7280000000000002</v>
      </c>
      <c r="V24" s="781">
        <v>1.296</v>
      </c>
      <c r="W24" s="781">
        <v>7.2000000000000011</v>
      </c>
      <c r="X24" s="781">
        <v>2.0160000000000005</v>
      </c>
      <c r="Y24" s="781">
        <v>10.080000000000002</v>
      </c>
      <c r="Z24" s="781">
        <v>28.800000000000004</v>
      </c>
      <c r="AA24" s="781">
        <v>43.2</v>
      </c>
      <c r="AB24" s="781">
        <v>28.800000000000004</v>
      </c>
      <c r="AC24" s="781">
        <v>0.14400000000000002</v>
      </c>
      <c r="AD24" s="781">
        <v>0.14400000000000002</v>
      </c>
      <c r="AE24" s="781">
        <v>0.14400000000000002</v>
      </c>
      <c r="AF24" s="781"/>
      <c r="AG24" s="781"/>
      <c r="AH24" s="781"/>
      <c r="AI24" s="784"/>
      <c r="AK24" s="783">
        <f>IFERROR(Tabela1[[#This Row],[EE(g)]]/Tabela1[[#This Row],[CMS(kg)]],0)</f>
        <v>0</v>
      </c>
    </row>
    <row r="25" spans="2:37" hidden="1">
      <c r="B25" s="774">
        <f>ROW()^2+(Tabela1[[#This Row],[ID2]])+ROW()</f>
        <v>733</v>
      </c>
      <c r="C25" s="774">
        <v>83</v>
      </c>
      <c r="D25" s="774" t="s">
        <v>1256</v>
      </c>
      <c r="E25" s="775" t="s">
        <v>1260</v>
      </c>
      <c r="F25" s="775" t="s">
        <v>1261</v>
      </c>
      <c r="G25" s="775">
        <v>50</v>
      </c>
      <c r="H25" s="775" t="s">
        <v>0</v>
      </c>
      <c r="I25" s="776" t="s">
        <v>42</v>
      </c>
      <c r="J25" s="774" t="s">
        <v>42</v>
      </c>
      <c r="K25" s="774" t="s">
        <v>42</v>
      </c>
      <c r="L25" s="777">
        <v>250</v>
      </c>
      <c r="M25" s="778">
        <v>0</v>
      </c>
      <c r="N25" s="779">
        <v>171</v>
      </c>
      <c r="O25" s="780">
        <v>0</v>
      </c>
      <c r="P25" s="781">
        <v>0.76</v>
      </c>
      <c r="Q25" s="781">
        <v>0.43049999999999999</v>
      </c>
      <c r="R25" s="782">
        <v>0</v>
      </c>
      <c r="S25" s="781">
        <v>5.0999999999999996</v>
      </c>
      <c r="T25" s="781">
        <v>3.8</v>
      </c>
      <c r="U25" s="781">
        <v>1.722</v>
      </c>
      <c r="V25" s="781">
        <v>1.2914999999999999</v>
      </c>
      <c r="W25" s="781">
        <v>7.1750000000000007</v>
      </c>
      <c r="X25" s="781">
        <v>2.0090000000000003</v>
      </c>
      <c r="Y25" s="781">
        <v>10.045</v>
      </c>
      <c r="Z25" s="781">
        <v>28.700000000000003</v>
      </c>
      <c r="AA25" s="781">
        <v>43.050000000000004</v>
      </c>
      <c r="AB25" s="781">
        <v>28.700000000000003</v>
      </c>
      <c r="AC25" s="781">
        <v>0.14350000000000002</v>
      </c>
      <c r="AD25" s="781">
        <v>0.14350000000000002</v>
      </c>
      <c r="AE25" s="781">
        <v>0.14350000000000002</v>
      </c>
      <c r="AF25" s="781"/>
      <c r="AG25" s="781"/>
      <c r="AH25" s="781"/>
      <c r="AI25" s="784"/>
      <c r="AK25" s="783">
        <f>IFERROR(Tabela1[[#This Row],[EE(g)]]/Tabela1[[#This Row],[CMS(kg)]],0)</f>
        <v>0</v>
      </c>
    </row>
    <row r="26" spans="2:37" hidden="1">
      <c r="B26" s="774">
        <f>ROW()^2+(Tabela1[[#This Row],[ID2]])+ROW()</f>
        <v>786</v>
      </c>
      <c r="C26" s="774">
        <v>84</v>
      </c>
      <c r="D26" s="774" t="s">
        <v>1256</v>
      </c>
      <c r="E26" s="775" t="s">
        <v>1260</v>
      </c>
      <c r="F26" s="775" t="s">
        <v>1261</v>
      </c>
      <c r="G26" s="775">
        <v>50</v>
      </c>
      <c r="H26" s="775" t="s">
        <v>0</v>
      </c>
      <c r="I26" s="776" t="s">
        <v>42</v>
      </c>
      <c r="J26" s="774" t="s">
        <v>42</v>
      </c>
      <c r="K26" s="774" t="s">
        <v>42</v>
      </c>
      <c r="L26" s="777">
        <v>300</v>
      </c>
      <c r="M26" s="778">
        <v>0</v>
      </c>
      <c r="N26" s="779">
        <v>198</v>
      </c>
      <c r="O26" s="780">
        <v>0</v>
      </c>
      <c r="P26" s="781">
        <v>0.87</v>
      </c>
      <c r="Q26" s="781">
        <v>0.495</v>
      </c>
      <c r="R26" s="782">
        <v>0</v>
      </c>
      <c r="S26" s="781">
        <v>6</v>
      </c>
      <c r="T26" s="781">
        <v>4.5</v>
      </c>
      <c r="U26" s="781">
        <v>1.98</v>
      </c>
      <c r="V26" s="781">
        <v>1.4849999999999999</v>
      </c>
      <c r="W26" s="781">
        <v>8.25</v>
      </c>
      <c r="X26" s="781">
        <v>2.3100000000000005</v>
      </c>
      <c r="Y26" s="781">
        <v>11.55</v>
      </c>
      <c r="Z26" s="781">
        <v>33</v>
      </c>
      <c r="AA26" s="781">
        <v>49.500000000000007</v>
      </c>
      <c r="AB26" s="781">
        <v>33</v>
      </c>
      <c r="AC26" s="781">
        <v>0.16500000000000004</v>
      </c>
      <c r="AD26" s="781">
        <v>0.16500000000000004</v>
      </c>
      <c r="AE26" s="781">
        <v>0.16500000000000004</v>
      </c>
      <c r="AF26" s="781"/>
      <c r="AG26" s="781"/>
      <c r="AH26" s="781"/>
      <c r="AI26" s="784"/>
      <c r="AK26" s="783">
        <f>IFERROR(Tabela1[[#This Row],[EE(g)]]/Tabela1[[#This Row],[CMS(kg)]],0)</f>
        <v>0</v>
      </c>
    </row>
    <row r="27" spans="2:37" hidden="1">
      <c r="B27" s="774">
        <f>ROW()^2+(Tabela1[[#This Row],[ID2]])+ROW()</f>
        <v>841</v>
      </c>
      <c r="C27" s="774">
        <v>85</v>
      </c>
      <c r="D27" s="774" t="s">
        <v>1256</v>
      </c>
      <c r="E27" s="775" t="s">
        <v>1260</v>
      </c>
      <c r="F27" s="775" t="s">
        <v>1261</v>
      </c>
      <c r="G27" s="775">
        <v>50</v>
      </c>
      <c r="H27" s="775" t="s">
        <v>0</v>
      </c>
      <c r="I27" s="776" t="s">
        <v>42</v>
      </c>
      <c r="J27" s="774" t="s">
        <v>42</v>
      </c>
      <c r="K27" s="774" t="s">
        <v>42</v>
      </c>
      <c r="L27" s="777">
        <v>400</v>
      </c>
      <c r="M27" s="778">
        <v>0</v>
      </c>
      <c r="N27" s="779">
        <v>220</v>
      </c>
      <c r="O27" s="780">
        <v>0</v>
      </c>
      <c r="P27" s="781">
        <v>0.83</v>
      </c>
      <c r="Q27" s="781">
        <v>0.375</v>
      </c>
      <c r="R27" s="782">
        <v>0</v>
      </c>
      <c r="S27" s="781">
        <v>7</v>
      </c>
      <c r="T27" s="781">
        <v>5.0999999999999996</v>
      </c>
      <c r="U27" s="781">
        <v>1.5</v>
      </c>
      <c r="V27" s="781">
        <v>1.125</v>
      </c>
      <c r="W27" s="781">
        <v>6.25</v>
      </c>
      <c r="X27" s="781">
        <v>1.7500000000000002</v>
      </c>
      <c r="Y27" s="781">
        <v>8.75</v>
      </c>
      <c r="Z27" s="781">
        <v>25</v>
      </c>
      <c r="AA27" s="781">
        <v>37.5</v>
      </c>
      <c r="AB27" s="781">
        <v>25</v>
      </c>
      <c r="AC27" s="781">
        <v>0.125</v>
      </c>
      <c r="AD27" s="781">
        <v>0.125</v>
      </c>
      <c r="AE27" s="781">
        <v>0.125</v>
      </c>
      <c r="AF27" s="781"/>
      <c r="AG27" s="781"/>
      <c r="AH27" s="781"/>
      <c r="AI27" s="784"/>
      <c r="AK27" s="783">
        <f>IFERROR(Tabela1[[#This Row],[EE(g)]]/Tabela1[[#This Row],[CMS(kg)]],0)</f>
        <v>0</v>
      </c>
    </row>
    <row r="28" spans="2:37" hidden="1">
      <c r="B28" s="774">
        <f>ROW()^2+(Tabela1[[#This Row],[ID2]])+ROW()</f>
        <v>898</v>
      </c>
      <c r="C28" s="774">
        <v>86</v>
      </c>
      <c r="D28" s="774" t="s">
        <v>1256</v>
      </c>
      <c r="E28" s="775" t="s">
        <v>1260</v>
      </c>
      <c r="F28" s="775" t="s">
        <v>1261</v>
      </c>
      <c r="G28" s="775">
        <v>50</v>
      </c>
      <c r="H28" s="775" t="s">
        <v>0</v>
      </c>
      <c r="I28" s="776" t="s">
        <v>42</v>
      </c>
      <c r="J28" s="774" t="s">
        <v>42</v>
      </c>
      <c r="K28" s="774" t="s">
        <v>42</v>
      </c>
      <c r="L28" s="777">
        <v>500</v>
      </c>
      <c r="M28" s="778">
        <v>0</v>
      </c>
      <c r="N28" s="779">
        <v>266</v>
      </c>
      <c r="O28" s="780">
        <v>0</v>
      </c>
      <c r="P28" s="781">
        <v>0.99</v>
      </c>
      <c r="Q28" s="781">
        <v>0.44850000000000001</v>
      </c>
      <c r="R28" s="782">
        <v>0</v>
      </c>
      <c r="S28" s="781">
        <v>8.6999999999999993</v>
      </c>
      <c r="T28" s="781">
        <v>6.4</v>
      </c>
      <c r="U28" s="781">
        <v>1.794</v>
      </c>
      <c r="V28" s="781">
        <v>1.3454999999999999</v>
      </c>
      <c r="W28" s="781">
        <v>7.4750000000000005</v>
      </c>
      <c r="X28" s="781">
        <v>2.0930000000000004</v>
      </c>
      <c r="Y28" s="781">
        <v>10.465</v>
      </c>
      <c r="Z28" s="781">
        <v>29.900000000000002</v>
      </c>
      <c r="AA28" s="781">
        <v>44.85</v>
      </c>
      <c r="AB28" s="781">
        <v>29.900000000000002</v>
      </c>
      <c r="AC28" s="781">
        <v>0.14950000000000002</v>
      </c>
      <c r="AD28" s="781">
        <v>0.14950000000000002</v>
      </c>
      <c r="AE28" s="781">
        <v>0.14950000000000002</v>
      </c>
      <c r="AF28" s="781"/>
      <c r="AG28" s="781"/>
      <c r="AH28" s="781"/>
      <c r="AI28" s="784"/>
      <c r="AK28" s="783">
        <f>IFERROR(Tabela1[[#This Row],[EE(g)]]/Tabela1[[#This Row],[CMS(kg)]],0)</f>
        <v>0</v>
      </c>
    </row>
    <row r="29" spans="2:37" hidden="1">
      <c r="B29" s="774">
        <f>ROW()^2+(Tabela1[[#This Row],[ID2]])+ROW()</f>
        <v>957</v>
      </c>
      <c r="C29" s="774">
        <v>87</v>
      </c>
      <c r="D29" s="774" t="s">
        <v>1256</v>
      </c>
      <c r="E29" s="775" t="s">
        <v>1260</v>
      </c>
      <c r="F29" s="775" t="s">
        <v>1261</v>
      </c>
      <c r="G29" s="775">
        <v>50</v>
      </c>
      <c r="H29" s="775" t="s">
        <v>0</v>
      </c>
      <c r="I29" s="776" t="s">
        <v>42</v>
      </c>
      <c r="J29" s="774" t="s">
        <v>42</v>
      </c>
      <c r="K29" s="774" t="s">
        <v>42</v>
      </c>
      <c r="L29" s="777">
        <v>600</v>
      </c>
      <c r="M29" s="778">
        <v>0</v>
      </c>
      <c r="N29" s="779">
        <v>312</v>
      </c>
      <c r="O29" s="780">
        <v>0</v>
      </c>
      <c r="P29" s="781">
        <v>1.1499999999999999</v>
      </c>
      <c r="Q29" s="781">
        <v>0.52200000000000002</v>
      </c>
      <c r="R29" s="782">
        <v>0</v>
      </c>
      <c r="S29" s="781">
        <v>10.3</v>
      </c>
      <c r="T29" s="781">
        <v>7.6</v>
      </c>
      <c r="U29" s="781">
        <v>2.0879999999999996</v>
      </c>
      <c r="V29" s="781">
        <v>1.5659999999999996</v>
      </c>
      <c r="W29" s="781">
        <v>8.6999999999999993</v>
      </c>
      <c r="X29" s="781">
        <v>2.4359999999999999</v>
      </c>
      <c r="Y29" s="781">
        <v>12.179999999999998</v>
      </c>
      <c r="Z29" s="781">
        <v>34.799999999999997</v>
      </c>
      <c r="AA29" s="781">
        <v>52.199999999999996</v>
      </c>
      <c r="AB29" s="781">
        <v>34.799999999999997</v>
      </c>
      <c r="AC29" s="781">
        <v>0.17399999999999999</v>
      </c>
      <c r="AD29" s="781">
        <v>0.17399999999999999</v>
      </c>
      <c r="AE29" s="781">
        <v>0.17399999999999999</v>
      </c>
      <c r="AF29" s="781"/>
      <c r="AG29" s="781"/>
      <c r="AH29" s="781"/>
      <c r="AI29" s="784"/>
      <c r="AK29" s="783">
        <f>IFERROR(Tabela1[[#This Row],[EE(g)]]/Tabela1[[#This Row],[CMS(kg)]],0)</f>
        <v>0</v>
      </c>
    </row>
    <row r="30" spans="2:37" hidden="1">
      <c r="B30" s="774">
        <f>ROW()^2+(Tabela1[[#This Row],[ID2]])+ROW()</f>
        <v>1018</v>
      </c>
      <c r="C30" s="774">
        <v>88</v>
      </c>
      <c r="D30" s="774" t="s">
        <v>1256</v>
      </c>
      <c r="E30" s="775" t="s">
        <v>1260</v>
      </c>
      <c r="F30" s="775" t="s">
        <v>1261</v>
      </c>
      <c r="G30" s="775">
        <v>60</v>
      </c>
      <c r="H30" s="775" t="s">
        <v>0</v>
      </c>
      <c r="I30" s="776" t="s">
        <v>42</v>
      </c>
      <c r="J30" s="774" t="s">
        <v>42</v>
      </c>
      <c r="K30" s="774" t="s">
        <v>42</v>
      </c>
      <c r="L30" s="777">
        <v>250</v>
      </c>
      <c r="M30" s="778">
        <v>0</v>
      </c>
      <c r="N30" s="779">
        <v>176</v>
      </c>
      <c r="O30" s="780">
        <v>0</v>
      </c>
      <c r="P30" s="781">
        <v>0.79</v>
      </c>
      <c r="Q30" s="781">
        <v>0.44819999999999999</v>
      </c>
      <c r="R30" s="782">
        <v>0</v>
      </c>
      <c r="S30" s="781">
        <v>5.2</v>
      </c>
      <c r="T30" s="781">
        <v>3.9</v>
      </c>
      <c r="U30" s="781">
        <v>1.7928000000000002</v>
      </c>
      <c r="V30" s="781">
        <v>1.3446</v>
      </c>
      <c r="W30" s="781">
        <v>7.4700000000000006</v>
      </c>
      <c r="X30" s="781">
        <v>2.0916000000000006</v>
      </c>
      <c r="Y30" s="781">
        <v>10.458000000000002</v>
      </c>
      <c r="Z30" s="781">
        <v>29.880000000000003</v>
      </c>
      <c r="AA30" s="781">
        <v>44.820000000000007</v>
      </c>
      <c r="AB30" s="781">
        <v>29.880000000000003</v>
      </c>
      <c r="AC30" s="781">
        <v>0.14940000000000003</v>
      </c>
      <c r="AD30" s="781">
        <v>0.14940000000000003</v>
      </c>
      <c r="AE30" s="781">
        <v>0.14940000000000003</v>
      </c>
      <c r="AF30" s="781"/>
      <c r="AG30" s="781"/>
      <c r="AH30" s="781"/>
      <c r="AI30" s="784"/>
      <c r="AK30" s="783">
        <f>IFERROR(Tabela1[[#This Row],[EE(g)]]/Tabela1[[#This Row],[CMS(kg)]],0)</f>
        <v>0</v>
      </c>
    </row>
    <row r="31" spans="2:37" hidden="1">
      <c r="B31" s="774">
        <f>ROW()^2+(Tabela1[[#This Row],[ID2]])+ROW()</f>
        <v>1081</v>
      </c>
      <c r="C31" s="774">
        <v>89</v>
      </c>
      <c r="D31" s="774" t="s">
        <v>1256</v>
      </c>
      <c r="E31" s="775" t="s">
        <v>1260</v>
      </c>
      <c r="F31" s="775" t="s">
        <v>1261</v>
      </c>
      <c r="G31" s="775">
        <v>60</v>
      </c>
      <c r="H31" s="775" t="s">
        <v>0</v>
      </c>
      <c r="I31" s="776" t="s">
        <v>42</v>
      </c>
      <c r="J31" s="774" t="s">
        <v>42</v>
      </c>
      <c r="K31" s="774" t="s">
        <v>42</v>
      </c>
      <c r="L31" s="777">
        <v>300</v>
      </c>
      <c r="M31" s="778">
        <v>0</v>
      </c>
      <c r="N31" s="779">
        <v>203</v>
      </c>
      <c r="O31" s="780">
        <v>0</v>
      </c>
      <c r="P31" s="781">
        <v>0.91</v>
      </c>
      <c r="Q31" s="781">
        <v>0.51300000000000001</v>
      </c>
      <c r="R31" s="782">
        <v>0</v>
      </c>
      <c r="S31" s="781">
        <v>6.1</v>
      </c>
      <c r="T31" s="781">
        <v>4.5999999999999996</v>
      </c>
      <c r="U31" s="781">
        <v>2.052</v>
      </c>
      <c r="V31" s="781">
        <v>1.5389999999999999</v>
      </c>
      <c r="W31" s="781">
        <v>8.5500000000000007</v>
      </c>
      <c r="X31" s="781">
        <v>2.3940000000000001</v>
      </c>
      <c r="Y31" s="781">
        <v>11.969999999999999</v>
      </c>
      <c r="Z31" s="781">
        <v>34.200000000000003</v>
      </c>
      <c r="AA31" s="781">
        <v>51.3</v>
      </c>
      <c r="AB31" s="781">
        <v>34.200000000000003</v>
      </c>
      <c r="AC31" s="781">
        <v>0.17100000000000001</v>
      </c>
      <c r="AD31" s="781">
        <v>0.17100000000000001</v>
      </c>
      <c r="AE31" s="781">
        <v>0.17100000000000001</v>
      </c>
      <c r="AF31" s="781"/>
      <c r="AG31" s="781"/>
      <c r="AH31" s="781"/>
      <c r="AI31" s="784"/>
      <c r="AK31" s="783">
        <f>IFERROR(Tabela1[[#This Row],[EE(g)]]/Tabela1[[#This Row],[CMS(kg)]],0)</f>
        <v>0</v>
      </c>
    </row>
    <row r="32" spans="2:37" hidden="1">
      <c r="B32" s="774">
        <f>ROW()^2+(Tabela1[[#This Row],[ID2]])+ROW()</f>
        <v>1146</v>
      </c>
      <c r="C32" s="774">
        <v>90</v>
      </c>
      <c r="D32" s="774" t="s">
        <v>1256</v>
      </c>
      <c r="E32" s="775" t="s">
        <v>1260</v>
      </c>
      <c r="F32" s="775" t="s">
        <v>1261</v>
      </c>
      <c r="G32" s="775">
        <v>60</v>
      </c>
      <c r="H32" s="775" t="s">
        <v>0</v>
      </c>
      <c r="I32" s="776" t="s">
        <v>42</v>
      </c>
      <c r="J32" s="774" t="s">
        <v>42</v>
      </c>
      <c r="K32" s="774" t="s">
        <v>42</v>
      </c>
      <c r="L32" s="777">
        <v>400</v>
      </c>
      <c r="M32" s="778">
        <v>0</v>
      </c>
      <c r="N32" s="779">
        <v>257</v>
      </c>
      <c r="O32" s="780">
        <v>0</v>
      </c>
      <c r="P32" s="781">
        <v>1.1399999999999999</v>
      </c>
      <c r="Q32" s="781">
        <v>0.64439999999999997</v>
      </c>
      <c r="R32" s="782">
        <v>0</v>
      </c>
      <c r="S32" s="781">
        <v>7.9</v>
      </c>
      <c r="T32" s="781">
        <v>6</v>
      </c>
      <c r="U32" s="781">
        <v>2.5775999999999994</v>
      </c>
      <c r="V32" s="781">
        <v>1.9331999999999996</v>
      </c>
      <c r="W32" s="781">
        <v>10.739999999999998</v>
      </c>
      <c r="X32" s="781">
        <v>3.0071999999999997</v>
      </c>
      <c r="Y32" s="781">
        <v>15.035999999999998</v>
      </c>
      <c r="Z32" s="781">
        <v>42.959999999999994</v>
      </c>
      <c r="AA32" s="781">
        <v>64.44</v>
      </c>
      <c r="AB32" s="781">
        <v>42.959999999999994</v>
      </c>
      <c r="AC32" s="781">
        <v>0.21479999999999999</v>
      </c>
      <c r="AD32" s="781">
        <v>0.21479999999999999</v>
      </c>
      <c r="AE32" s="781">
        <v>0.21479999999999999</v>
      </c>
      <c r="AF32" s="781"/>
      <c r="AG32" s="781"/>
      <c r="AH32" s="781"/>
      <c r="AI32" s="784"/>
      <c r="AK32" s="783">
        <f>IFERROR(Tabela1[[#This Row],[EE(g)]]/Tabela1[[#This Row],[CMS(kg)]],0)</f>
        <v>0</v>
      </c>
    </row>
    <row r="33" spans="2:37" hidden="1">
      <c r="B33" s="774">
        <f>ROW()^2+(Tabela1[[#This Row],[ID2]])+ROW()</f>
        <v>1213</v>
      </c>
      <c r="C33" s="774">
        <v>91</v>
      </c>
      <c r="D33" s="774" t="s">
        <v>1256</v>
      </c>
      <c r="E33" s="775" t="s">
        <v>1260</v>
      </c>
      <c r="F33" s="775" t="s">
        <v>1261</v>
      </c>
      <c r="G33" s="775">
        <v>60</v>
      </c>
      <c r="H33" s="775" t="s">
        <v>0</v>
      </c>
      <c r="I33" s="776" t="s">
        <v>42</v>
      </c>
      <c r="J33" s="774" t="s">
        <v>42</v>
      </c>
      <c r="K33" s="774" t="s">
        <v>42</v>
      </c>
      <c r="L33" s="777">
        <v>500</v>
      </c>
      <c r="M33" s="778">
        <v>0</v>
      </c>
      <c r="N33" s="779">
        <v>271</v>
      </c>
      <c r="O33" s="780">
        <v>0</v>
      </c>
      <c r="P33" s="781">
        <v>1.02</v>
      </c>
      <c r="Q33" s="781">
        <v>0.46439999999999998</v>
      </c>
      <c r="R33" s="782">
        <v>0</v>
      </c>
      <c r="S33" s="781">
        <v>8.6999999999999993</v>
      </c>
      <c r="T33" s="781">
        <v>6.4</v>
      </c>
      <c r="U33" s="781">
        <v>1.8575999999999999</v>
      </c>
      <c r="V33" s="781">
        <v>1.3932</v>
      </c>
      <c r="W33" s="781">
        <v>7.74</v>
      </c>
      <c r="X33" s="781">
        <v>2.1672000000000002</v>
      </c>
      <c r="Y33" s="781">
        <v>10.836</v>
      </c>
      <c r="Z33" s="781">
        <v>30.96</v>
      </c>
      <c r="AA33" s="781">
        <v>46.44</v>
      </c>
      <c r="AB33" s="781">
        <v>30.96</v>
      </c>
      <c r="AC33" s="781">
        <v>0.15480000000000002</v>
      </c>
      <c r="AD33" s="781">
        <v>0.15480000000000002</v>
      </c>
      <c r="AE33" s="781">
        <v>0.15480000000000002</v>
      </c>
      <c r="AF33" s="781"/>
      <c r="AG33" s="781"/>
      <c r="AH33" s="781"/>
      <c r="AI33" s="784"/>
      <c r="AK33" s="783">
        <f>IFERROR(Tabela1[[#This Row],[EE(g)]]/Tabela1[[#This Row],[CMS(kg)]],0)</f>
        <v>0</v>
      </c>
    </row>
    <row r="34" spans="2:37" hidden="1">
      <c r="B34" s="774">
        <f>ROW()^2+(Tabela1[[#This Row],[ID2]])+ROW()</f>
        <v>1282</v>
      </c>
      <c r="C34" s="774">
        <v>92</v>
      </c>
      <c r="D34" s="774" t="s">
        <v>1256</v>
      </c>
      <c r="E34" s="775" t="s">
        <v>1260</v>
      </c>
      <c r="F34" s="775" t="s">
        <v>1261</v>
      </c>
      <c r="G34" s="775">
        <v>60</v>
      </c>
      <c r="H34" s="775" t="s">
        <v>0</v>
      </c>
      <c r="I34" s="776" t="s">
        <v>42</v>
      </c>
      <c r="J34" s="774" t="s">
        <v>42</v>
      </c>
      <c r="K34" s="774" t="s">
        <v>42</v>
      </c>
      <c r="L34" s="777">
        <v>600</v>
      </c>
      <c r="M34" s="778">
        <v>0</v>
      </c>
      <c r="N34" s="779">
        <v>318</v>
      </c>
      <c r="O34" s="780">
        <v>0</v>
      </c>
      <c r="P34" s="781">
        <v>1.19</v>
      </c>
      <c r="Q34" s="781">
        <v>0.53820000000000001</v>
      </c>
      <c r="R34" s="782">
        <v>0</v>
      </c>
      <c r="S34" s="781">
        <v>10.3</v>
      </c>
      <c r="T34" s="781">
        <v>7.7</v>
      </c>
      <c r="U34" s="781">
        <v>2.1528</v>
      </c>
      <c r="V34" s="781">
        <v>1.6146</v>
      </c>
      <c r="W34" s="781">
        <v>8.9700000000000006</v>
      </c>
      <c r="X34" s="781">
        <v>2.5116000000000005</v>
      </c>
      <c r="Y34" s="781">
        <v>12.558000000000002</v>
      </c>
      <c r="Z34" s="781">
        <v>35.880000000000003</v>
      </c>
      <c r="AA34" s="781">
        <v>53.820000000000007</v>
      </c>
      <c r="AB34" s="781">
        <v>35.880000000000003</v>
      </c>
      <c r="AC34" s="781">
        <v>0.17940000000000003</v>
      </c>
      <c r="AD34" s="781">
        <v>0.17940000000000003</v>
      </c>
      <c r="AE34" s="781">
        <v>0.17940000000000003</v>
      </c>
      <c r="AF34" s="781"/>
      <c r="AG34" s="781"/>
      <c r="AH34" s="781"/>
      <c r="AI34" s="784"/>
      <c r="AK34" s="783">
        <f>IFERROR(Tabela1[[#This Row],[EE(g)]]/Tabela1[[#This Row],[CMS(kg)]],0)</f>
        <v>0</v>
      </c>
    </row>
    <row r="35" spans="2:37" hidden="1">
      <c r="B35" s="774">
        <f>ROW()^2+(Tabela1[[#This Row],[ID2]])+ROW()</f>
        <v>1353</v>
      </c>
      <c r="C35" s="774">
        <v>93</v>
      </c>
      <c r="D35" s="774" t="s">
        <v>1256</v>
      </c>
      <c r="E35" s="775" t="s">
        <v>1260</v>
      </c>
      <c r="F35" s="775" t="s">
        <v>1261</v>
      </c>
      <c r="G35" s="775">
        <v>70</v>
      </c>
      <c r="H35" s="775" t="s">
        <v>0</v>
      </c>
      <c r="I35" s="776" t="s">
        <v>42</v>
      </c>
      <c r="J35" s="774" t="s">
        <v>42</v>
      </c>
      <c r="K35" s="774" t="s">
        <v>42</v>
      </c>
      <c r="L35" s="777">
        <v>150</v>
      </c>
      <c r="M35" s="778">
        <v>0</v>
      </c>
      <c r="N35" s="779">
        <v>128</v>
      </c>
      <c r="O35" s="780">
        <v>0</v>
      </c>
      <c r="P35" s="781">
        <v>0.59</v>
      </c>
      <c r="Q35" s="781">
        <v>0.33389999999999997</v>
      </c>
      <c r="R35" s="782">
        <v>0</v>
      </c>
      <c r="S35" s="781">
        <v>3.4</v>
      </c>
      <c r="T35" s="781">
        <v>2.5</v>
      </c>
      <c r="U35" s="781">
        <v>1.3355999999999999</v>
      </c>
      <c r="V35" s="781">
        <v>1.0016999999999998</v>
      </c>
      <c r="W35" s="781">
        <v>5.5649999999999995</v>
      </c>
      <c r="X35" s="781">
        <v>1.5582</v>
      </c>
      <c r="Y35" s="781">
        <v>7.7910000000000004</v>
      </c>
      <c r="Z35" s="781">
        <v>22.259999999999998</v>
      </c>
      <c r="AA35" s="781">
        <v>33.39</v>
      </c>
      <c r="AB35" s="781">
        <v>22.259999999999998</v>
      </c>
      <c r="AC35" s="781">
        <v>0.11130000000000001</v>
      </c>
      <c r="AD35" s="781">
        <v>0.11130000000000001</v>
      </c>
      <c r="AE35" s="781">
        <v>0.11130000000000001</v>
      </c>
      <c r="AF35" s="781"/>
      <c r="AG35" s="781"/>
      <c r="AH35" s="781"/>
      <c r="AI35" s="784"/>
      <c r="AK35" s="783">
        <f>IFERROR(Tabela1[[#This Row],[EE(g)]]/Tabela1[[#This Row],[CMS(kg)]],0)</f>
        <v>0</v>
      </c>
    </row>
    <row r="36" spans="2:37" hidden="1">
      <c r="B36" s="774">
        <f>ROW()^2+(Tabela1[[#This Row],[ID2]])+ROW()</f>
        <v>1426</v>
      </c>
      <c r="C36" s="774">
        <v>94</v>
      </c>
      <c r="D36" s="774" t="s">
        <v>1256</v>
      </c>
      <c r="E36" s="775" t="s">
        <v>1260</v>
      </c>
      <c r="F36" s="775" t="s">
        <v>1261</v>
      </c>
      <c r="G36" s="775">
        <v>70</v>
      </c>
      <c r="H36" s="775" t="s">
        <v>0</v>
      </c>
      <c r="I36" s="776" t="s">
        <v>42</v>
      </c>
      <c r="J36" s="774" t="s">
        <v>42</v>
      </c>
      <c r="K36" s="774" t="s">
        <v>42</v>
      </c>
      <c r="L36" s="777">
        <v>200</v>
      </c>
      <c r="M36" s="778">
        <v>0</v>
      </c>
      <c r="N36" s="779">
        <v>155</v>
      </c>
      <c r="O36" s="780">
        <v>0</v>
      </c>
      <c r="P36" s="781">
        <v>0.71</v>
      </c>
      <c r="Q36" s="781">
        <v>0.39900000000000002</v>
      </c>
      <c r="R36" s="782">
        <v>0</v>
      </c>
      <c r="S36" s="781">
        <v>4.3</v>
      </c>
      <c r="T36" s="781">
        <v>3.2</v>
      </c>
      <c r="U36" s="781">
        <v>1.5960000000000001</v>
      </c>
      <c r="V36" s="781">
        <v>1.1969999999999998</v>
      </c>
      <c r="W36" s="781">
        <v>6.65</v>
      </c>
      <c r="X36" s="781">
        <v>1.8620000000000003</v>
      </c>
      <c r="Y36" s="781">
        <v>9.31</v>
      </c>
      <c r="Z36" s="781">
        <v>26.6</v>
      </c>
      <c r="AA36" s="781">
        <v>39.900000000000006</v>
      </c>
      <c r="AB36" s="781">
        <v>26.6</v>
      </c>
      <c r="AC36" s="781">
        <v>0.13300000000000001</v>
      </c>
      <c r="AD36" s="781">
        <v>0.13300000000000001</v>
      </c>
      <c r="AE36" s="781">
        <v>0.13300000000000001</v>
      </c>
      <c r="AF36" s="781"/>
      <c r="AG36" s="781"/>
      <c r="AH36" s="781"/>
      <c r="AI36" s="784"/>
      <c r="AK36" s="783">
        <f>IFERROR(Tabela1[[#This Row],[EE(g)]]/Tabela1[[#This Row],[CMS(kg)]],0)</f>
        <v>0</v>
      </c>
    </row>
    <row r="37" spans="2:37" hidden="1">
      <c r="B37" s="774">
        <f>ROW()^2+(Tabela1[[#This Row],[ID2]])+ROW()</f>
        <v>1501</v>
      </c>
      <c r="C37" s="774">
        <v>95</v>
      </c>
      <c r="D37" s="774" t="s">
        <v>1256</v>
      </c>
      <c r="E37" s="775" t="s">
        <v>1260</v>
      </c>
      <c r="F37" s="775" t="s">
        <v>1261</v>
      </c>
      <c r="G37" s="775">
        <v>70</v>
      </c>
      <c r="H37" s="775" t="s">
        <v>0</v>
      </c>
      <c r="I37" s="776" t="s">
        <v>42</v>
      </c>
      <c r="J37" s="774" t="s">
        <v>42</v>
      </c>
      <c r="K37" s="774" t="s">
        <v>42</v>
      </c>
      <c r="L37" s="777">
        <v>300</v>
      </c>
      <c r="M37" s="778">
        <v>0</v>
      </c>
      <c r="N37" s="779">
        <v>209</v>
      </c>
      <c r="O37" s="780">
        <v>0</v>
      </c>
      <c r="P37" s="781">
        <v>0.94</v>
      </c>
      <c r="Q37" s="781">
        <v>0.53129999999999999</v>
      </c>
      <c r="R37" s="782">
        <v>0</v>
      </c>
      <c r="S37" s="781">
        <v>6.1</v>
      </c>
      <c r="T37" s="781">
        <v>4.5999999999999996</v>
      </c>
      <c r="U37" s="781">
        <v>2.1252</v>
      </c>
      <c r="V37" s="781">
        <v>1.5938999999999997</v>
      </c>
      <c r="W37" s="781">
        <v>8.8550000000000004</v>
      </c>
      <c r="X37" s="781">
        <v>2.4794</v>
      </c>
      <c r="Y37" s="781">
        <v>12.396999999999998</v>
      </c>
      <c r="Z37" s="781">
        <v>35.42</v>
      </c>
      <c r="AA37" s="781">
        <v>53.129999999999995</v>
      </c>
      <c r="AB37" s="781">
        <v>35.42</v>
      </c>
      <c r="AC37" s="781">
        <v>0.17710000000000001</v>
      </c>
      <c r="AD37" s="781">
        <v>0.17710000000000001</v>
      </c>
      <c r="AE37" s="781">
        <v>0.17710000000000001</v>
      </c>
      <c r="AF37" s="781"/>
      <c r="AG37" s="781"/>
      <c r="AH37" s="781"/>
      <c r="AI37" s="784"/>
      <c r="AK37" s="783">
        <f>IFERROR(Tabela1[[#This Row],[EE(g)]]/Tabela1[[#This Row],[CMS(kg)]],0)</f>
        <v>0</v>
      </c>
    </row>
    <row r="38" spans="2:37" hidden="1">
      <c r="B38" s="774">
        <f>ROW()^2+(Tabela1[[#This Row],[ID2]])+ROW()</f>
        <v>1578</v>
      </c>
      <c r="C38" s="774">
        <v>96</v>
      </c>
      <c r="D38" s="774" t="s">
        <v>1256</v>
      </c>
      <c r="E38" s="775" t="s">
        <v>1260</v>
      </c>
      <c r="F38" s="775" t="s">
        <v>1261</v>
      </c>
      <c r="G38" s="775">
        <v>70</v>
      </c>
      <c r="H38" s="775" t="s">
        <v>0</v>
      </c>
      <c r="I38" s="776" t="s">
        <v>42</v>
      </c>
      <c r="J38" s="774" t="s">
        <v>42</v>
      </c>
      <c r="K38" s="774" t="s">
        <v>42</v>
      </c>
      <c r="L38" s="777">
        <v>400</v>
      </c>
      <c r="M38" s="778">
        <v>0</v>
      </c>
      <c r="N38" s="779">
        <v>263</v>
      </c>
      <c r="O38" s="780">
        <v>0</v>
      </c>
      <c r="P38" s="781">
        <v>1.17</v>
      </c>
      <c r="Q38" s="781">
        <v>0.66359999999999997</v>
      </c>
      <c r="R38" s="782">
        <v>0</v>
      </c>
      <c r="S38" s="781">
        <v>7.9</v>
      </c>
      <c r="T38" s="781">
        <v>6.1</v>
      </c>
      <c r="U38" s="781">
        <v>2.6544000000000003</v>
      </c>
      <c r="V38" s="781">
        <v>1.9907999999999999</v>
      </c>
      <c r="W38" s="781">
        <v>11.06</v>
      </c>
      <c r="X38" s="781">
        <v>3.0968000000000004</v>
      </c>
      <c r="Y38" s="781">
        <v>15.484000000000002</v>
      </c>
      <c r="Z38" s="781">
        <v>44.24</v>
      </c>
      <c r="AA38" s="781">
        <v>66.36</v>
      </c>
      <c r="AB38" s="781">
        <v>44.24</v>
      </c>
      <c r="AC38" s="781">
        <v>0.22120000000000004</v>
      </c>
      <c r="AD38" s="781">
        <v>0.22120000000000004</v>
      </c>
      <c r="AE38" s="781">
        <v>0.22120000000000004</v>
      </c>
      <c r="AF38" s="781"/>
      <c r="AG38" s="781"/>
      <c r="AH38" s="781"/>
      <c r="AI38" s="784"/>
      <c r="AK38" s="783">
        <f>IFERROR(Tabela1[[#This Row],[EE(g)]]/Tabela1[[#This Row],[CMS(kg)]],0)</f>
        <v>0</v>
      </c>
    </row>
    <row r="39" spans="2:37" hidden="1">
      <c r="B39" s="774">
        <f>ROW()^2+(Tabela1[[#This Row],[ID2]])+ROW()</f>
        <v>1657</v>
      </c>
      <c r="C39" s="774">
        <v>97</v>
      </c>
      <c r="D39" s="774" t="s">
        <v>1256</v>
      </c>
      <c r="E39" s="775" t="s">
        <v>1260</v>
      </c>
      <c r="F39" s="775" t="s">
        <v>1261</v>
      </c>
      <c r="G39" s="775">
        <v>70</v>
      </c>
      <c r="H39" s="775" t="s">
        <v>0</v>
      </c>
      <c r="I39" s="776" t="s">
        <v>42</v>
      </c>
      <c r="J39" s="774" t="s">
        <v>42</v>
      </c>
      <c r="K39" s="774" t="s">
        <v>42</v>
      </c>
      <c r="L39" s="777">
        <v>500</v>
      </c>
      <c r="M39" s="778">
        <v>0</v>
      </c>
      <c r="N39" s="779">
        <v>316</v>
      </c>
      <c r="O39" s="780">
        <v>0</v>
      </c>
      <c r="P39" s="781">
        <v>1.41</v>
      </c>
      <c r="Q39" s="781">
        <v>0.79590000000000005</v>
      </c>
      <c r="R39" s="782">
        <v>0</v>
      </c>
      <c r="S39" s="781">
        <v>9.6999999999999993</v>
      </c>
      <c r="T39" s="781">
        <v>7.5</v>
      </c>
      <c r="U39" s="781">
        <v>3.1835999999999998</v>
      </c>
      <c r="V39" s="781">
        <v>2.3876999999999997</v>
      </c>
      <c r="W39" s="781">
        <v>13.265000000000001</v>
      </c>
      <c r="X39" s="781">
        <v>3.7142000000000004</v>
      </c>
      <c r="Y39" s="781">
        <v>18.571000000000002</v>
      </c>
      <c r="Z39" s="781">
        <v>53.06</v>
      </c>
      <c r="AA39" s="781">
        <v>79.59</v>
      </c>
      <c r="AB39" s="781">
        <v>53.06</v>
      </c>
      <c r="AC39" s="781">
        <v>0.26530000000000004</v>
      </c>
      <c r="AD39" s="781">
        <v>0.26530000000000004</v>
      </c>
      <c r="AE39" s="781">
        <v>0.26530000000000004</v>
      </c>
      <c r="AF39" s="781"/>
      <c r="AG39" s="781"/>
      <c r="AH39" s="781"/>
      <c r="AI39" s="784"/>
      <c r="AK39" s="783">
        <f>IFERROR(Tabela1[[#This Row],[EE(g)]]/Tabela1[[#This Row],[CMS(kg)]],0)</f>
        <v>0</v>
      </c>
    </row>
    <row r="40" spans="2:37" hidden="1">
      <c r="B40" s="774">
        <f>ROW()^2+(Tabela1[[#This Row],[ID2]])+ROW()</f>
        <v>1738</v>
      </c>
      <c r="C40" s="774">
        <v>98</v>
      </c>
      <c r="D40" s="774" t="s">
        <v>1256</v>
      </c>
      <c r="E40" s="775" t="s">
        <v>1260</v>
      </c>
      <c r="F40" s="775" t="s">
        <v>1261</v>
      </c>
      <c r="G40" s="775">
        <v>80</v>
      </c>
      <c r="H40" s="775" t="s">
        <v>0</v>
      </c>
      <c r="I40" s="776" t="s">
        <v>42</v>
      </c>
      <c r="J40" s="774" t="s">
        <v>42</v>
      </c>
      <c r="K40" s="774" t="s">
        <v>42</v>
      </c>
      <c r="L40" s="777">
        <v>150</v>
      </c>
      <c r="M40" s="778">
        <v>0</v>
      </c>
      <c r="N40" s="779">
        <v>133</v>
      </c>
      <c r="O40" s="780">
        <v>0</v>
      </c>
      <c r="P40" s="781">
        <v>0.62</v>
      </c>
      <c r="Q40" s="781">
        <v>0.34799999999999998</v>
      </c>
      <c r="R40" s="782">
        <v>0</v>
      </c>
      <c r="S40" s="781">
        <v>3.5</v>
      </c>
      <c r="T40" s="781">
        <v>2.5</v>
      </c>
      <c r="U40" s="781">
        <v>1.3919999999999999</v>
      </c>
      <c r="V40" s="781">
        <v>1.0439999999999998</v>
      </c>
      <c r="W40" s="781">
        <v>5.8</v>
      </c>
      <c r="X40" s="781">
        <v>1.6240000000000001</v>
      </c>
      <c r="Y40" s="781">
        <v>8.1199999999999992</v>
      </c>
      <c r="Z40" s="781">
        <v>23.2</v>
      </c>
      <c r="AA40" s="781">
        <v>34.799999999999997</v>
      </c>
      <c r="AB40" s="781">
        <v>23.2</v>
      </c>
      <c r="AC40" s="781">
        <v>0.11599999999999999</v>
      </c>
      <c r="AD40" s="781">
        <v>0.11599999999999999</v>
      </c>
      <c r="AE40" s="781">
        <v>0.11599999999999999</v>
      </c>
      <c r="AF40" s="781"/>
      <c r="AG40" s="781"/>
      <c r="AH40" s="781"/>
      <c r="AI40" s="784"/>
      <c r="AK40" s="783">
        <f>IFERROR(Tabela1[[#This Row],[EE(g)]]/Tabela1[[#This Row],[CMS(kg)]],0)</f>
        <v>0</v>
      </c>
    </row>
    <row r="41" spans="2:37" hidden="1">
      <c r="B41" s="774">
        <f>ROW()^2+(Tabela1[[#This Row],[ID2]])+ROW()</f>
        <v>1821</v>
      </c>
      <c r="C41" s="774">
        <v>99</v>
      </c>
      <c r="D41" s="774" t="s">
        <v>1256</v>
      </c>
      <c r="E41" s="775" t="s">
        <v>1260</v>
      </c>
      <c r="F41" s="775" t="s">
        <v>1261</v>
      </c>
      <c r="G41" s="775">
        <v>80</v>
      </c>
      <c r="H41" s="775" t="s">
        <v>0</v>
      </c>
      <c r="I41" s="776" t="s">
        <v>42</v>
      </c>
      <c r="J41" s="774" t="s">
        <v>42</v>
      </c>
      <c r="K41" s="774" t="s">
        <v>42</v>
      </c>
      <c r="L41" s="777">
        <v>200</v>
      </c>
      <c r="M41" s="778">
        <v>0</v>
      </c>
      <c r="N41" s="779">
        <v>160</v>
      </c>
      <c r="O41" s="780">
        <v>0</v>
      </c>
      <c r="P41" s="781">
        <v>0.73</v>
      </c>
      <c r="Q41" s="781">
        <v>0.41520000000000001</v>
      </c>
      <c r="R41" s="782">
        <v>0</v>
      </c>
      <c r="S41" s="781">
        <v>4.4000000000000004</v>
      </c>
      <c r="T41" s="781">
        <v>3.3</v>
      </c>
      <c r="U41" s="781">
        <v>1.6607999999999998</v>
      </c>
      <c r="V41" s="781">
        <v>1.2455999999999998</v>
      </c>
      <c r="W41" s="781">
        <v>6.92</v>
      </c>
      <c r="X41" s="781">
        <v>1.9376</v>
      </c>
      <c r="Y41" s="781">
        <v>9.6879999999999988</v>
      </c>
      <c r="Z41" s="781">
        <v>27.68</v>
      </c>
      <c r="AA41" s="781">
        <v>41.519999999999996</v>
      </c>
      <c r="AB41" s="781">
        <v>27.68</v>
      </c>
      <c r="AC41" s="781">
        <v>0.1384</v>
      </c>
      <c r="AD41" s="781">
        <v>0.1384</v>
      </c>
      <c r="AE41" s="781">
        <v>0.1384</v>
      </c>
      <c r="AF41" s="781"/>
      <c r="AG41" s="781"/>
      <c r="AH41" s="781"/>
      <c r="AI41" s="784"/>
      <c r="AK41" s="783">
        <f>IFERROR(Tabela1[[#This Row],[EE(g)]]/Tabela1[[#This Row],[CMS(kg)]],0)</f>
        <v>0</v>
      </c>
    </row>
    <row r="42" spans="2:37" hidden="1">
      <c r="B42" s="774">
        <f>ROW()^2+(Tabela1[[#This Row],[ID2]])+ROW()</f>
        <v>1906</v>
      </c>
      <c r="C42" s="774">
        <v>100</v>
      </c>
      <c r="D42" s="774" t="s">
        <v>1256</v>
      </c>
      <c r="E42" s="775" t="s">
        <v>1260</v>
      </c>
      <c r="F42" s="775" t="s">
        <v>1261</v>
      </c>
      <c r="G42" s="775">
        <v>80</v>
      </c>
      <c r="H42" s="775" t="s">
        <v>0</v>
      </c>
      <c r="I42" s="776" t="s">
        <v>42</v>
      </c>
      <c r="J42" s="774" t="s">
        <v>42</v>
      </c>
      <c r="K42" s="774" t="s">
        <v>42</v>
      </c>
      <c r="L42" s="777">
        <v>300</v>
      </c>
      <c r="M42" s="778">
        <v>0</v>
      </c>
      <c r="N42" s="779">
        <v>214</v>
      </c>
      <c r="O42" s="780">
        <v>0</v>
      </c>
      <c r="P42" s="781">
        <v>0.97</v>
      </c>
      <c r="Q42" s="781">
        <v>0.54720000000000002</v>
      </c>
      <c r="R42" s="782">
        <v>0</v>
      </c>
      <c r="S42" s="785">
        <v>6.0191999999999988</v>
      </c>
      <c r="T42" s="778">
        <v>2.41</v>
      </c>
      <c r="U42" s="781">
        <v>2.1887999999999996</v>
      </c>
      <c r="V42" s="781">
        <v>1.6415999999999997</v>
      </c>
      <c r="W42" s="781">
        <v>9.1199999999999992</v>
      </c>
      <c r="X42" s="781">
        <v>2.5535999999999999</v>
      </c>
      <c r="Y42" s="781">
        <v>12.767999999999999</v>
      </c>
      <c r="Z42" s="781">
        <v>36.479999999999997</v>
      </c>
      <c r="AA42" s="781">
        <v>54.72</v>
      </c>
      <c r="AB42" s="781">
        <v>36.479999999999997</v>
      </c>
      <c r="AC42" s="781">
        <v>0.18240000000000001</v>
      </c>
      <c r="AD42" s="781">
        <v>0.18240000000000001</v>
      </c>
      <c r="AE42" s="781">
        <v>0.18240000000000001</v>
      </c>
      <c r="AF42" s="781"/>
      <c r="AG42" s="781"/>
      <c r="AH42" s="781"/>
      <c r="AI42" s="784"/>
      <c r="AK42" s="783">
        <f>IFERROR(Tabela1[[#This Row],[EE(g)]]/Tabela1[[#This Row],[CMS(kg)]],0)</f>
        <v>0</v>
      </c>
    </row>
    <row r="43" spans="2:37" hidden="1">
      <c r="B43" s="774">
        <f>ROW()^2+(Tabela1[[#This Row],[ID2]])+ROW()</f>
        <v>1993</v>
      </c>
      <c r="C43" s="774">
        <v>101</v>
      </c>
      <c r="D43" s="774" t="s">
        <v>1256</v>
      </c>
      <c r="E43" s="775" t="s">
        <v>1260</v>
      </c>
      <c r="F43" s="775" t="s">
        <v>1261</v>
      </c>
      <c r="G43" s="775">
        <v>80</v>
      </c>
      <c r="H43" s="775" t="s">
        <v>0</v>
      </c>
      <c r="I43" s="776" t="s">
        <v>42</v>
      </c>
      <c r="J43" s="774" t="s">
        <v>42</v>
      </c>
      <c r="K43" s="774" t="s">
        <v>42</v>
      </c>
      <c r="L43" s="777">
        <v>400</v>
      </c>
      <c r="M43" s="778">
        <v>0</v>
      </c>
      <c r="N43" s="779">
        <v>268</v>
      </c>
      <c r="O43" s="780">
        <v>0</v>
      </c>
      <c r="P43" s="781">
        <v>1.2</v>
      </c>
      <c r="Q43" s="781">
        <v>0.68159999999999998</v>
      </c>
      <c r="R43" s="782">
        <v>0</v>
      </c>
      <c r="S43" s="781">
        <v>8</v>
      </c>
      <c r="T43" s="781">
        <v>6.1</v>
      </c>
      <c r="U43" s="781">
        <v>2.7263999999999995</v>
      </c>
      <c r="V43" s="781">
        <v>2.0447999999999995</v>
      </c>
      <c r="W43" s="781">
        <v>11.36</v>
      </c>
      <c r="X43" s="781">
        <v>3.1808000000000001</v>
      </c>
      <c r="Y43" s="781">
        <v>15.903999999999998</v>
      </c>
      <c r="Z43" s="781">
        <v>45.44</v>
      </c>
      <c r="AA43" s="781">
        <v>68.16</v>
      </c>
      <c r="AB43" s="781">
        <v>45.44</v>
      </c>
      <c r="AC43" s="781">
        <v>0.22719999999999999</v>
      </c>
      <c r="AD43" s="781">
        <v>0.22719999999999999</v>
      </c>
      <c r="AE43" s="781">
        <v>0.22719999999999999</v>
      </c>
      <c r="AF43" s="781"/>
      <c r="AG43" s="781"/>
      <c r="AH43" s="781"/>
      <c r="AI43" s="784"/>
      <c r="AK43" s="783">
        <f>IFERROR(Tabela1[[#This Row],[EE(g)]]/Tabela1[[#This Row],[CMS(kg)]],0)</f>
        <v>0</v>
      </c>
    </row>
    <row r="44" spans="2:37" hidden="1">
      <c r="B44" s="774">
        <f>ROW()^2+(Tabela1[[#This Row],[ID2]])+ROW()</f>
        <v>2082</v>
      </c>
      <c r="C44" s="774">
        <v>102</v>
      </c>
      <c r="D44" s="774" t="s">
        <v>1256</v>
      </c>
      <c r="E44" s="775" t="s">
        <v>1260</v>
      </c>
      <c r="F44" s="775" t="s">
        <v>1261</v>
      </c>
      <c r="G44" s="775">
        <v>80</v>
      </c>
      <c r="H44" s="775" t="s">
        <v>0</v>
      </c>
      <c r="I44" s="776" t="s">
        <v>42</v>
      </c>
      <c r="J44" s="774" t="s">
        <v>42</v>
      </c>
      <c r="K44" s="774" t="s">
        <v>42</v>
      </c>
      <c r="L44" s="777">
        <v>500</v>
      </c>
      <c r="M44" s="778">
        <v>0</v>
      </c>
      <c r="N44" s="779">
        <v>322</v>
      </c>
      <c r="O44" s="780">
        <v>0</v>
      </c>
      <c r="P44" s="781">
        <v>1.44</v>
      </c>
      <c r="Q44" s="781">
        <v>0.81359999999999999</v>
      </c>
      <c r="R44" s="782">
        <v>0</v>
      </c>
      <c r="S44" s="781">
        <v>9.8000000000000007</v>
      </c>
      <c r="T44" s="781">
        <v>7.6</v>
      </c>
      <c r="U44" s="781">
        <v>3.2543999999999995</v>
      </c>
      <c r="V44" s="781">
        <v>2.4407999999999994</v>
      </c>
      <c r="W44" s="781">
        <v>13.559999999999999</v>
      </c>
      <c r="X44" s="781">
        <v>3.7968000000000002</v>
      </c>
      <c r="Y44" s="781">
        <v>18.983999999999998</v>
      </c>
      <c r="Z44" s="781">
        <v>54.239999999999995</v>
      </c>
      <c r="AA44" s="781">
        <v>81.359999999999985</v>
      </c>
      <c r="AB44" s="781">
        <v>54.239999999999995</v>
      </c>
      <c r="AC44" s="781">
        <v>0.2712</v>
      </c>
      <c r="AD44" s="781">
        <v>0.2712</v>
      </c>
      <c r="AE44" s="781">
        <v>0.2712</v>
      </c>
      <c r="AF44" s="781"/>
      <c r="AG44" s="781"/>
      <c r="AH44" s="781"/>
      <c r="AI44" s="784"/>
      <c r="AK44" s="783">
        <f>IFERROR(Tabela1[[#This Row],[EE(g)]]/Tabela1[[#This Row],[CMS(kg)]],0)</f>
        <v>0</v>
      </c>
    </row>
    <row r="45" spans="2:37" hidden="1">
      <c r="B45" s="774">
        <f>ROW()^2+(Tabela1[[#This Row],[ID2]])+ROW()</f>
        <v>2173</v>
      </c>
      <c r="C45" s="774">
        <v>103</v>
      </c>
      <c r="D45" s="774" t="s">
        <v>1256</v>
      </c>
      <c r="E45" s="775" t="s">
        <v>1262</v>
      </c>
      <c r="F45" s="775" t="s">
        <v>1261</v>
      </c>
      <c r="G45" s="775">
        <v>20</v>
      </c>
      <c r="H45" s="775" t="s">
        <v>0</v>
      </c>
      <c r="I45" s="776" t="s">
        <v>42</v>
      </c>
      <c r="J45" s="774" t="s">
        <v>42</v>
      </c>
      <c r="K45" s="774" t="s">
        <v>42</v>
      </c>
      <c r="L45" s="777">
        <v>100</v>
      </c>
      <c r="M45" s="778">
        <v>0</v>
      </c>
      <c r="N45" s="779">
        <v>71</v>
      </c>
      <c r="O45" s="780">
        <v>0</v>
      </c>
      <c r="P45" s="781">
        <v>0.42</v>
      </c>
      <c r="Q45" s="781">
        <v>0.18840000000000001</v>
      </c>
      <c r="R45" s="782">
        <v>0</v>
      </c>
      <c r="S45" s="781">
        <v>2.2000000000000002</v>
      </c>
      <c r="T45" s="781">
        <v>1.5</v>
      </c>
      <c r="U45" s="781">
        <v>0.75360000000000016</v>
      </c>
      <c r="V45" s="781">
        <v>0.56520000000000004</v>
      </c>
      <c r="W45" s="781">
        <v>3.1400000000000006</v>
      </c>
      <c r="X45" s="781">
        <v>0.8792000000000002</v>
      </c>
      <c r="Y45" s="781">
        <v>4.3960000000000008</v>
      </c>
      <c r="Z45" s="781">
        <v>12.560000000000002</v>
      </c>
      <c r="AA45" s="781">
        <v>18.840000000000003</v>
      </c>
      <c r="AB45" s="781">
        <v>12.560000000000002</v>
      </c>
      <c r="AC45" s="781">
        <v>6.2800000000000009E-2</v>
      </c>
      <c r="AD45" s="781">
        <v>6.2800000000000009E-2</v>
      </c>
      <c r="AE45" s="781">
        <v>6.2800000000000009E-2</v>
      </c>
      <c r="AF45" s="781"/>
      <c r="AG45" s="781"/>
      <c r="AH45" s="781"/>
      <c r="AI45" s="784"/>
      <c r="AK45" s="783">
        <f>IFERROR(Tabela1[[#This Row],[EE(g)]]/Tabela1[[#This Row],[CMS(kg)]],0)</f>
        <v>0</v>
      </c>
    </row>
    <row r="46" spans="2:37" hidden="1">
      <c r="B46" s="774">
        <f>ROW()^2+(Tabela1[[#This Row],[ID2]])+ROW()</f>
        <v>2266</v>
      </c>
      <c r="C46" s="774">
        <v>104</v>
      </c>
      <c r="D46" s="774" t="s">
        <v>1256</v>
      </c>
      <c r="E46" s="775" t="s">
        <v>1262</v>
      </c>
      <c r="F46" s="775" t="s">
        <v>1261</v>
      </c>
      <c r="G46" s="775">
        <v>20</v>
      </c>
      <c r="H46" s="775" t="s">
        <v>0</v>
      </c>
      <c r="I46" s="776" t="s">
        <v>42</v>
      </c>
      <c r="J46" s="774" t="s">
        <v>42</v>
      </c>
      <c r="K46" s="774" t="s">
        <v>42</v>
      </c>
      <c r="L46" s="777">
        <v>150</v>
      </c>
      <c r="M46" s="778">
        <v>0</v>
      </c>
      <c r="N46" s="779">
        <v>94</v>
      </c>
      <c r="O46" s="780">
        <v>0</v>
      </c>
      <c r="P46" s="781">
        <v>0.53</v>
      </c>
      <c r="Q46" s="781">
        <v>0.24</v>
      </c>
      <c r="R46" s="782">
        <v>0</v>
      </c>
      <c r="S46" s="781">
        <v>3</v>
      </c>
      <c r="T46" s="781">
        <v>2.2000000000000002</v>
      </c>
      <c r="U46" s="781">
        <v>0.96</v>
      </c>
      <c r="V46" s="781">
        <v>0.72</v>
      </c>
      <c r="W46" s="781">
        <v>4</v>
      </c>
      <c r="X46" s="781">
        <v>1.1200000000000001</v>
      </c>
      <c r="Y46" s="781">
        <v>5.6000000000000005</v>
      </c>
      <c r="Z46" s="781">
        <v>16</v>
      </c>
      <c r="AA46" s="781">
        <v>24</v>
      </c>
      <c r="AB46" s="781">
        <v>16</v>
      </c>
      <c r="AC46" s="781">
        <v>8.0000000000000016E-2</v>
      </c>
      <c r="AD46" s="781">
        <v>8.0000000000000016E-2</v>
      </c>
      <c r="AE46" s="781">
        <v>8.0000000000000016E-2</v>
      </c>
      <c r="AF46" s="781"/>
      <c r="AG46" s="781"/>
      <c r="AH46" s="781"/>
      <c r="AI46" s="784"/>
      <c r="AK46" s="783">
        <f>IFERROR(Tabela1[[#This Row],[EE(g)]]/Tabela1[[#This Row],[CMS(kg)]],0)</f>
        <v>0</v>
      </c>
    </row>
    <row r="47" spans="2:37" hidden="1">
      <c r="B47" s="774">
        <f>ROW()^2+(Tabela1[[#This Row],[ID2]])+ROW()</f>
        <v>2361</v>
      </c>
      <c r="C47" s="774">
        <v>105</v>
      </c>
      <c r="D47" s="774" t="s">
        <v>1256</v>
      </c>
      <c r="E47" s="775" t="s">
        <v>1262</v>
      </c>
      <c r="F47" s="775" t="s">
        <v>1261</v>
      </c>
      <c r="G47" s="775">
        <v>20</v>
      </c>
      <c r="H47" s="775" t="s">
        <v>0</v>
      </c>
      <c r="I47" s="776" t="s">
        <v>42</v>
      </c>
      <c r="J47" s="774" t="s">
        <v>42</v>
      </c>
      <c r="K47" s="774" t="s">
        <v>42</v>
      </c>
      <c r="L47" s="777">
        <v>200</v>
      </c>
      <c r="M47" s="778">
        <v>0</v>
      </c>
      <c r="N47" s="779">
        <v>108</v>
      </c>
      <c r="O47" s="780">
        <v>0</v>
      </c>
      <c r="P47" s="781">
        <v>0.57999999999999996</v>
      </c>
      <c r="Q47" s="781">
        <v>0.219</v>
      </c>
      <c r="R47" s="782">
        <v>0</v>
      </c>
      <c r="S47" s="781">
        <v>3.6</v>
      </c>
      <c r="T47" s="781">
        <v>2.6</v>
      </c>
      <c r="U47" s="781">
        <v>0.876</v>
      </c>
      <c r="V47" s="781">
        <v>0.65699999999999992</v>
      </c>
      <c r="W47" s="781">
        <v>3.65</v>
      </c>
      <c r="X47" s="781">
        <v>1.022</v>
      </c>
      <c r="Y47" s="781">
        <v>5.1099999999999994</v>
      </c>
      <c r="Z47" s="781">
        <v>14.6</v>
      </c>
      <c r="AA47" s="781">
        <v>21.9</v>
      </c>
      <c r="AB47" s="781">
        <v>14.6</v>
      </c>
      <c r="AC47" s="781">
        <v>7.2999999999999995E-2</v>
      </c>
      <c r="AD47" s="781">
        <v>7.2999999999999995E-2</v>
      </c>
      <c r="AE47" s="781">
        <v>7.2999999999999995E-2</v>
      </c>
      <c r="AF47" s="781"/>
      <c r="AG47" s="781"/>
      <c r="AH47" s="781"/>
      <c r="AI47" s="784"/>
      <c r="AK47" s="783">
        <f>IFERROR(Tabela1[[#This Row],[EE(g)]]/Tabela1[[#This Row],[CMS(kg)]],0)</f>
        <v>0</v>
      </c>
    </row>
    <row r="48" spans="2:37" hidden="1">
      <c r="B48" s="774">
        <f>ROW()^2+(Tabela1[[#This Row],[ID2]])+ROW()</f>
        <v>2458</v>
      </c>
      <c r="C48" s="774">
        <v>106</v>
      </c>
      <c r="D48" s="774" t="s">
        <v>1256</v>
      </c>
      <c r="E48" s="775" t="s">
        <v>1262</v>
      </c>
      <c r="F48" s="775" t="s">
        <v>1261</v>
      </c>
      <c r="G48" s="775">
        <v>20</v>
      </c>
      <c r="H48" s="775" t="s">
        <v>0</v>
      </c>
      <c r="I48" s="776" t="s">
        <v>42</v>
      </c>
      <c r="J48" s="774" t="s">
        <v>42</v>
      </c>
      <c r="K48" s="774" t="s">
        <v>42</v>
      </c>
      <c r="L48" s="777">
        <v>300</v>
      </c>
      <c r="M48" s="778">
        <v>0</v>
      </c>
      <c r="N48" s="779">
        <v>150</v>
      </c>
      <c r="O48" s="780">
        <v>0</v>
      </c>
      <c r="P48" s="781">
        <v>0.78</v>
      </c>
      <c r="Q48" s="781">
        <v>0.2928</v>
      </c>
      <c r="R48" s="782">
        <v>0</v>
      </c>
      <c r="S48" s="781">
        <v>5.0999999999999996</v>
      </c>
      <c r="T48" s="781">
        <v>3.8</v>
      </c>
      <c r="U48" s="781">
        <v>1.1712</v>
      </c>
      <c r="V48" s="781">
        <v>0.87839999999999985</v>
      </c>
      <c r="W48" s="781">
        <v>4.88</v>
      </c>
      <c r="X48" s="781">
        <v>1.3664000000000001</v>
      </c>
      <c r="Y48" s="781">
        <v>6.8319999999999999</v>
      </c>
      <c r="Z48" s="781">
        <v>19.52</v>
      </c>
      <c r="AA48" s="781">
        <v>29.28</v>
      </c>
      <c r="AB48" s="781">
        <v>19.52</v>
      </c>
      <c r="AC48" s="781">
        <v>9.7600000000000006E-2</v>
      </c>
      <c r="AD48" s="781">
        <v>9.7600000000000006E-2</v>
      </c>
      <c r="AE48" s="781">
        <v>9.7600000000000006E-2</v>
      </c>
      <c r="AF48" s="781"/>
      <c r="AG48" s="781"/>
      <c r="AH48" s="781"/>
      <c r="AI48" s="784"/>
      <c r="AK48" s="783">
        <f>IFERROR(Tabela1[[#This Row],[EE(g)]]/Tabela1[[#This Row],[CMS(kg)]],0)</f>
        <v>0</v>
      </c>
    </row>
    <row r="49" spans="2:37" hidden="1">
      <c r="B49" s="774">
        <f>ROW()^2+(Tabela1[[#This Row],[ID2]])+ROW()</f>
        <v>2557</v>
      </c>
      <c r="C49" s="774">
        <v>107</v>
      </c>
      <c r="D49" s="774" t="s">
        <v>1256</v>
      </c>
      <c r="E49" s="775" t="s">
        <v>1262</v>
      </c>
      <c r="F49" s="775" t="s">
        <v>1261</v>
      </c>
      <c r="G49" s="775">
        <v>30</v>
      </c>
      <c r="H49" s="775" t="s">
        <v>0</v>
      </c>
      <c r="I49" s="776" t="s">
        <v>42</v>
      </c>
      <c r="J49" s="774" t="s">
        <v>42</v>
      </c>
      <c r="K49" s="774" t="s">
        <v>42</v>
      </c>
      <c r="L49" s="777">
        <v>200</v>
      </c>
      <c r="M49" s="778">
        <v>0</v>
      </c>
      <c r="N49" s="779">
        <v>125</v>
      </c>
      <c r="O49" s="780">
        <v>0</v>
      </c>
      <c r="P49" s="781">
        <v>0.72</v>
      </c>
      <c r="Q49" s="781">
        <v>0.32579999999999998</v>
      </c>
      <c r="R49" s="782">
        <v>0</v>
      </c>
      <c r="S49" s="781">
        <v>3.9</v>
      </c>
      <c r="T49" s="781">
        <v>2.9</v>
      </c>
      <c r="U49" s="781">
        <v>1.3032000000000001</v>
      </c>
      <c r="V49" s="781">
        <v>0.97739999999999994</v>
      </c>
      <c r="W49" s="781">
        <v>5.4300000000000006</v>
      </c>
      <c r="X49" s="781">
        <v>1.5204000000000002</v>
      </c>
      <c r="Y49" s="781">
        <v>7.6020000000000003</v>
      </c>
      <c r="Z49" s="781">
        <v>21.720000000000002</v>
      </c>
      <c r="AA49" s="781">
        <v>32.580000000000005</v>
      </c>
      <c r="AB49" s="781">
        <v>21.720000000000002</v>
      </c>
      <c r="AC49" s="781">
        <v>0.10860000000000002</v>
      </c>
      <c r="AD49" s="781">
        <v>0.10860000000000002</v>
      </c>
      <c r="AE49" s="781">
        <v>0.10860000000000002</v>
      </c>
      <c r="AF49" s="781"/>
      <c r="AG49" s="781"/>
      <c r="AH49" s="781"/>
      <c r="AI49" s="784"/>
      <c r="AK49" s="783">
        <f>IFERROR(Tabela1[[#This Row],[EE(g)]]/Tabela1[[#This Row],[CMS(kg)]],0)</f>
        <v>0</v>
      </c>
    </row>
    <row r="50" spans="2:37" hidden="1">
      <c r="B50" s="774">
        <f>ROW()^2+(Tabela1[[#This Row],[ID2]])+ROW()</f>
        <v>2658</v>
      </c>
      <c r="C50" s="774">
        <v>108</v>
      </c>
      <c r="D50" s="774" t="s">
        <v>1256</v>
      </c>
      <c r="E50" s="775" t="s">
        <v>1262</v>
      </c>
      <c r="F50" s="775" t="s">
        <v>1261</v>
      </c>
      <c r="G50" s="775">
        <v>30</v>
      </c>
      <c r="H50" s="775" t="s">
        <v>0</v>
      </c>
      <c r="I50" s="776" t="s">
        <v>42</v>
      </c>
      <c r="J50" s="774" t="s">
        <v>42</v>
      </c>
      <c r="K50" s="774" t="s">
        <v>42</v>
      </c>
      <c r="L50" s="777">
        <v>250</v>
      </c>
      <c r="M50" s="778">
        <v>0</v>
      </c>
      <c r="N50" s="779">
        <v>137</v>
      </c>
      <c r="O50" s="780">
        <v>0</v>
      </c>
      <c r="P50" s="781">
        <v>0.76</v>
      </c>
      <c r="Q50" s="781">
        <v>0.2853</v>
      </c>
      <c r="R50" s="782">
        <v>0</v>
      </c>
      <c r="S50" s="781">
        <v>4.4000000000000004</v>
      </c>
      <c r="T50" s="781">
        <v>3.3</v>
      </c>
      <c r="U50" s="781">
        <v>1.1412</v>
      </c>
      <c r="V50" s="781">
        <v>0.85589999999999988</v>
      </c>
      <c r="W50" s="781">
        <v>4.7549999999999999</v>
      </c>
      <c r="X50" s="781">
        <v>1.3314000000000001</v>
      </c>
      <c r="Y50" s="781">
        <v>6.657</v>
      </c>
      <c r="Z50" s="781">
        <v>19.02</v>
      </c>
      <c r="AA50" s="781">
        <v>28.529999999999998</v>
      </c>
      <c r="AB50" s="781">
        <v>19.02</v>
      </c>
      <c r="AC50" s="781">
        <v>9.5100000000000004E-2</v>
      </c>
      <c r="AD50" s="781">
        <v>9.5100000000000004E-2</v>
      </c>
      <c r="AE50" s="781">
        <v>9.5100000000000004E-2</v>
      </c>
      <c r="AF50" s="781"/>
      <c r="AG50" s="781"/>
      <c r="AH50" s="781"/>
      <c r="AI50" s="784"/>
      <c r="AK50" s="783">
        <f>IFERROR(Tabela1[[#This Row],[EE(g)]]/Tabela1[[#This Row],[CMS(kg)]],0)</f>
        <v>0</v>
      </c>
    </row>
    <row r="51" spans="2:37" hidden="1">
      <c r="B51" s="774">
        <f>ROW()^2+(Tabela1[[#This Row],[ID2]])+ROW()</f>
        <v>2761</v>
      </c>
      <c r="C51" s="774">
        <v>109</v>
      </c>
      <c r="D51" s="774" t="s">
        <v>1256</v>
      </c>
      <c r="E51" s="775" t="s">
        <v>1262</v>
      </c>
      <c r="F51" s="775" t="s">
        <v>1261</v>
      </c>
      <c r="G51" s="775">
        <v>30</v>
      </c>
      <c r="H51" s="775" t="s">
        <v>0</v>
      </c>
      <c r="I51" s="776" t="s">
        <v>42</v>
      </c>
      <c r="J51" s="774" t="s">
        <v>42</v>
      </c>
      <c r="K51" s="774" t="s">
        <v>42</v>
      </c>
      <c r="L51" s="777">
        <v>300</v>
      </c>
      <c r="M51" s="778">
        <v>0</v>
      </c>
      <c r="N51" s="779">
        <v>158</v>
      </c>
      <c r="O51" s="780">
        <v>0</v>
      </c>
      <c r="P51" s="781">
        <v>0.86</v>
      </c>
      <c r="Q51" s="781">
        <v>0.3231</v>
      </c>
      <c r="R51" s="782">
        <v>0</v>
      </c>
      <c r="S51" s="781">
        <v>5.2</v>
      </c>
      <c r="T51" s="781">
        <v>3.9</v>
      </c>
      <c r="U51" s="781">
        <v>1.2924</v>
      </c>
      <c r="V51" s="781">
        <v>0.96929999999999983</v>
      </c>
      <c r="W51" s="781">
        <v>5.3849999999999998</v>
      </c>
      <c r="X51" s="781">
        <v>1.5078</v>
      </c>
      <c r="Y51" s="781">
        <v>7.5389999999999997</v>
      </c>
      <c r="Z51" s="781">
        <v>21.54</v>
      </c>
      <c r="AA51" s="781">
        <v>32.31</v>
      </c>
      <c r="AB51" s="781">
        <v>21.54</v>
      </c>
      <c r="AC51" s="781">
        <v>0.1077</v>
      </c>
      <c r="AD51" s="781">
        <v>0.1077</v>
      </c>
      <c r="AE51" s="781">
        <v>0.1077</v>
      </c>
      <c r="AF51" s="781"/>
      <c r="AG51" s="781"/>
      <c r="AH51" s="781"/>
      <c r="AI51" s="784"/>
      <c r="AK51" s="783">
        <f>IFERROR(Tabela1[[#This Row],[EE(g)]]/Tabela1[[#This Row],[CMS(kg)]],0)</f>
        <v>0</v>
      </c>
    </row>
    <row r="52" spans="2:37" hidden="1">
      <c r="B52" s="774">
        <f>ROW()^2+(Tabela1[[#This Row],[ID2]])+ROW()</f>
        <v>2866</v>
      </c>
      <c r="C52" s="774">
        <v>110</v>
      </c>
      <c r="D52" s="774" t="s">
        <v>1256</v>
      </c>
      <c r="E52" s="775" t="s">
        <v>1262</v>
      </c>
      <c r="F52" s="775" t="s">
        <v>1261</v>
      </c>
      <c r="G52" s="775">
        <v>30</v>
      </c>
      <c r="H52" s="775" t="s">
        <v>0</v>
      </c>
      <c r="I52" s="776" t="s">
        <v>42</v>
      </c>
      <c r="J52" s="774" t="s">
        <v>42</v>
      </c>
      <c r="K52" s="774" t="s">
        <v>42</v>
      </c>
      <c r="L52" s="777">
        <v>400</v>
      </c>
      <c r="M52" s="778">
        <v>0</v>
      </c>
      <c r="N52" s="779">
        <v>200</v>
      </c>
      <c r="O52" s="780">
        <v>0</v>
      </c>
      <c r="P52" s="781">
        <v>1.06</v>
      </c>
      <c r="Q52" s="781">
        <v>0.39779999999999999</v>
      </c>
      <c r="R52" s="782">
        <v>0</v>
      </c>
      <c r="S52" s="781">
        <v>6.7</v>
      </c>
      <c r="T52" s="781">
        <v>5.2</v>
      </c>
      <c r="U52" s="781">
        <v>1.5911999999999997</v>
      </c>
      <c r="V52" s="781">
        <v>1.1933999999999998</v>
      </c>
      <c r="W52" s="781">
        <v>6.629999999999999</v>
      </c>
      <c r="X52" s="781">
        <v>1.8564000000000001</v>
      </c>
      <c r="Y52" s="781">
        <v>9.2819999999999983</v>
      </c>
      <c r="Z52" s="781">
        <v>26.519999999999996</v>
      </c>
      <c r="AA52" s="781">
        <v>39.779999999999994</v>
      </c>
      <c r="AB52" s="781">
        <v>26.519999999999996</v>
      </c>
      <c r="AC52" s="781">
        <v>0.1326</v>
      </c>
      <c r="AD52" s="781">
        <v>0.1326</v>
      </c>
      <c r="AE52" s="781">
        <v>0.1326</v>
      </c>
      <c r="AF52" s="781"/>
      <c r="AG52" s="781"/>
      <c r="AH52" s="781"/>
      <c r="AI52" s="784"/>
      <c r="AK52" s="783">
        <f>IFERROR(Tabela1[[#This Row],[EE(g)]]/Tabela1[[#This Row],[CMS(kg)]],0)</f>
        <v>0</v>
      </c>
    </row>
    <row r="53" spans="2:37" hidden="1">
      <c r="B53" s="774">
        <f>ROW()^2+(Tabela1[[#This Row],[ID2]])+ROW()</f>
        <v>2973</v>
      </c>
      <c r="C53" s="774">
        <v>111</v>
      </c>
      <c r="D53" s="774" t="s">
        <v>1256</v>
      </c>
      <c r="E53" s="775" t="s">
        <v>1262</v>
      </c>
      <c r="F53" s="775" t="s">
        <v>1261</v>
      </c>
      <c r="G53" s="775">
        <v>40</v>
      </c>
      <c r="H53" s="775" t="s">
        <v>0</v>
      </c>
      <c r="I53" s="776" t="s">
        <v>42</v>
      </c>
      <c r="J53" s="774" t="s">
        <v>42</v>
      </c>
      <c r="K53" s="774" t="s">
        <v>42</v>
      </c>
      <c r="L53" s="777">
        <v>250</v>
      </c>
      <c r="M53" s="778">
        <v>0</v>
      </c>
      <c r="N53" s="779">
        <v>156</v>
      </c>
      <c r="O53" s="780">
        <v>0</v>
      </c>
      <c r="P53" s="781">
        <v>0.91</v>
      </c>
      <c r="Q53" s="781">
        <v>0.41160000000000002</v>
      </c>
      <c r="R53" s="782">
        <v>0</v>
      </c>
      <c r="S53" s="781">
        <v>4.8</v>
      </c>
      <c r="T53" s="781">
        <v>3.7</v>
      </c>
      <c r="U53" s="781">
        <v>1.6464000000000001</v>
      </c>
      <c r="V53" s="781">
        <v>1.2347999999999999</v>
      </c>
      <c r="W53" s="781">
        <v>6.86</v>
      </c>
      <c r="X53" s="781">
        <v>1.9208000000000003</v>
      </c>
      <c r="Y53" s="781">
        <v>9.604000000000001</v>
      </c>
      <c r="Z53" s="781">
        <v>27.44</v>
      </c>
      <c r="AA53" s="781">
        <v>41.160000000000004</v>
      </c>
      <c r="AB53" s="781">
        <v>27.44</v>
      </c>
      <c r="AC53" s="781">
        <v>0.13720000000000002</v>
      </c>
      <c r="AD53" s="781">
        <v>0.13720000000000002</v>
      </c>
      <c r="AE53" s="781">
        <v>0.13720000000000002</v>
      </c>
      <c r="AF53" s="781"/>
      <c r="AG53" s="781"/>
      <c r="AH53" s="781"/>
      <c r="AI53" s="784"/>
      <c r="AK53" s="783">
        <f>IFERROR(Tabela1[[#This Row],[EE(g)]]/Tabela1[[#This Row],[CMS(kg)]],0)</f>
        <v>0</v>
      </c>
    </row>
    <row r="54" spans="2:37" hidden="1">
      <c r="B54" s="774">
        <f>ROW()^2+(Tabela1[[#This Row],[ID2]])+ROW()</f>
        <v>3082</v>
      </c>
      <c r="C54" s="774">
        <v>112</v>
      </c>
      <c r="D54" s="774" t="s">
        <v>1256</v>
      </c>
      <c r="E54" s="775" t="s">
        <v>1262</v>
      </c>
      <c r="F54" s="775" t="s">
        <v>1261</v>
      </c>
      <c r="G54" s="775">
        <v>40</v>
      </c>
      <c r="H54" s="775" t="s">
        <v>0</v>
      </c>
      <c r="I54" s="776" t="s">
        <v>42</v>
      </c>
      <c r="J54" s="774" t="s">
        <v>42</v>
      </c>
      <c r="K54" s="774" t="s">
        <v>42</v>
      </c>
      <c r="L54" s="777">
        <v>300</v>
      </c>
      <c r="M54" s="778">
        <v>0</v>
      </c>
      <c r="N54" s="779">
        <v>179</v>
      </c>
      <c r="O54" s="780">
        <v>0</v>
      </c>
      <c r="P54" s="781">
        <v>1.03</v>
      </c>
      <c r="Q54" s="781">
        <v>0.46560000000000001</v>
      </c>
      <c r="R54" s="782">
        <v>0</v>
      </c>
      <c r="S54" s="781">
        <v>5.6</v>
      </c>
      <c r="T54" s="781">
        <v>4.4000000000000004</v>
      </c>
      <c r="U54" s="781">
        <v>1.8624000000000001</v>
      </c>
      <c r="V54" s="781">
        <v>1.3967999999999998</v>
      </c>
      <c r="W54" s="781">
        <v>7.76</v>
      </c>
      <c r="X54" s="781">
        <v>2.1728000000000001</v>
      </c>
      <c r="Y54" s="781">
        <v>10.864000000000001</v>
      </c>
      <c r="Z54" s="781">
        <v>31.04</v>
      </c>
      <c r="AA54" s="781">
        <v>46.56</v>
      </c>
      <c r="AB54" s="781">
        <v>31.04</v>
      </c>
      <c r="AC54" s="781">
        <v>0.1552</v>
      </c>
      <c r="AD54" s="781">
        <v>0.1552</v>
      </c>
      <c r="AE54" s="781">
        <v>0.1552</v>
      </c>
      <c r="AF54" s="781"/>
      <c r="AG54" s="781"/>
      <c r="AH54" s="781"/>
      <c r="AI54" s="784"/>
      <c r="AK54" s="783">
        <f>IFERROR(Tabela1[[#This Row],[EE(g)]]/Tabela1[[#This Row],[CMS(kg)]],0)</f>
        <v>0</v>
      </c>
    </row>
    <row r="55" spans="2:37" hidden="1">
      <c r="B55" s="774">
        <f>ROW()^2+(Tabela1[[#This Row],[ID2]])+ROW()</f>
        <v>3193</v>
      </c>
      <c r="C55" s="774">
        <v>113</v>
      </c>
      <c r="D55" s="774" t="s">
        <v>1256</v>
      </c>
      <c r="E55" s="775" t="s">
        <v>1262</v>
      </c>
      <c r="F55" s="775" t="s">
        <v>1261</v>
      </c>
      <c r="G55" s="775">
        <v>40</v>
      </c>
      <c r="H55" s="775" t="s">
        <v>0</v>
      </c>
      <c r="I55" s="776" t="s">
        <v>42</v>
      </c>
      <c r="J55" s="774" t="s">
        <v>42</v>
      </c>
      <c r="K55" s="774" t="s">
        <v>42</v>
      </c>
      <c r="L55" s="777">
        <v>400</v>
      </c>
      <c r="M55" s="778">
        <v>0</v>
      </c>
      <c r="N55" s="779">
        <v>208</v>
      </c>
      <c r="O55" s="780">
        <v>0</v>
      </c>
      <c r="P55" s="781">
        <v>1.1299999999999999</v>
      </c>
      <c r="Q55" s="781">
        <v>0.42720000000000002</v>
      </c>
      <c r="R55" s="782">
        <v>0</v>
      </c>
      <c r="S55" s="781">
        <v>6.8</v>
      </c>
      <c r="T55" s="781">
        <v>5.2</v>
      </c>
      <c r="U55" s="781">
        <v>1.7087999999999999</v>
      </c>
      <c r="V55" s="781">
        <v>1.2815999999999999</v>
      </c>
      <c r="W55" s="781">
        <v>7.1199999999999992</v>
      </c>
      <c r="X55" s="781">
        <v>1.9936</v>
      </c>
      <c r="Y55" s="781">
        <v>9.968</v>
      </c>
      <c r="Z55" s="781">
        <v>28.479999999999997</v>
      </c>
      <c r="AA55" s="781">
        <v>42.72</v>
      </c>
      <c r="AB55" s="781">
        <v>28.479999999999997</v>
      </c>
      <c r="AC55" s="781">
        <v>0.1424</v>
      </c>
      <c r="AD55" s="781">
        <v>0.1424</v>
      </c>
      <c r="AE55" s="781">
        <v>0.1424</v>
      </c>
      <c r="AF55" s="781"/>
      <c r="AG55" s="781"/>
      <c r="AH55" s="781"/>
      <c r="AI55" s="784"/>
      <c r="AK55" s="783">
        <f>IFERROR(Tabela1[[#This Row],[EE(g)]]/Tabela1[[#This Row],[CMS(kg)]],0)</f>
        <v>0</v>
      </c>
    </row>
    <row r="56" spans="2:37" hidden="1">
      <c r="B56" s="774">
        <f>ROW()^2+(Tabela1[[#This Row],[ID2]])+ROW()</f>
        <v>3306</v>
      </c>
      <c r="C56" s="774">
        <v>114</v>
      </c>
      <c r="D56" s="774" t="s">
        <v>1256</v>
      </c>
      <c r="E56" s="775" t="s">
        <v>1262</v>
      </c>
      <c r="F56" s="775" t="s">
        <v>1261</v>
      </c>
      <c r="G56" s="775">
        <v>40</v>
      </c>
      <c r="H56" s="775" t="s">
        <v>0</v>
      </c>
      <c r="I56" s="776" t="s">
        <v>42</v>
      </c>
      <c r="J56" s="774" t="s">
        <v>42</v>
      </c>
      <c r="K56" s="774" t="s">
        <v>42</v>
      </c>
      <c r="L56" s="777">
        <v>500</v>
      </c>
      <c r="M56" s="778">
        <v>0</v>
      </c>
      <c r="N56" s="779">
        <v>250</v>
      </c>
      <c r="O56" s="780">
        <v>0</v>
      </c>
      <c r="P56" s="781">
        <v>1.34</v>
      </c>
      <c r="Q56" s="781">
        <v>0.504</v>
      </c>
      <c r="R56" s="782">
        <v>0</v>
      </c>
      <c r="S56" s="781">
        <v>8.3000000000000007</v>
      </c>
      <c r="T56" s="781">
        <v>6.5</v>
      </c>
      <c r="U56" s="781">
        <v>2.016</v>
      </c>
      <c r="V56" s="781">
        <v>1.512</v>
      </c>
      <c r="W56" s="781">
        <v>8.4</v>
      </c>
      <c r="X56" s="781">
        <v>2.3520000000000003</v>
      </c>
      <c r="Y56" s="781">
        <v>11.760000000000002</v>
      </c>
      <c r="Z56" s="781">
        <v>33.6</v>
      </c>
      <c r="AA56" s="781">
        <v>50.400000000000006</v>
      </c>
      <c r="AB56" s="781">
        <v>33.6</v>
      </c>
      <c r="AC56" s="781">
        <v>0.16800000000000004</v>
      </c>
      <c r="AD56" s="781">
        <v>0.16800000000000004</v>
      </c>
      <c r="AE56" s="781">
        <v>0.16800000000000004</v>
      </c>
      <c r="AF56" s="781"/>
      <c r="AG56" s="781"/>
      <c r="AH56" s="781"/>
      <c r="AI56" s="784"/>
      <c r="AK56" s="783">
        <f>IFERROR(Tabela1[[#This Row],[EE(g)]]/Tabela1[[#This Row],[CMS(kg)]],0)</f>
        <v>0</v>
      </c>
    </row>
    <row r="57" spans="2:37" hidden="1">
      <c r="B57" s="774">
        <f>ROW()^2+(Tabela1[[#This Row],[ID2]])+ROW()</f>
        <v>3421</v>
      </c>
      <c r="C57" s="774">
        <v>115</v>
      </c>
      <c r="D57" s="774" t="s">
        <v>1256</v>
      </c>
      <c r="E57" s="775" t="s">
        <v>1262</v>
      </c>
      <c r="F57" s="775" t="s">
        <v>1261</v>
      </c>
      <c r="G57" s="775">
        <v>50</v>
      </c>
      <c r="H57" s="775" t="s">
        <v>0</v>
      </c>
      <c r="I57" s="776" t="s">
        <v>42</v>
      </c>
      <c r="J57" s="774" t="s">
        <v>42</v>
      </c>
      <c r="K57" s="774" t="s">
        <v>42</v>
      </c>
      <c r="L57" s="777">
        <v>250</v>
      </c>
      <c r="M57" s="778">
        <v>0</v>
      </c>
      <c r="N57" s="779">
        <v>169</v>
      </c>
      <c r="O57" s="780">
        <v>0</v>
      </c>
      <c r="P57" s="781">
        <v>0.98</v>
      </c>
      <c r="Q57" s="781">
        <v>0.4425</v>
      </c>
      <c r="R57" s="782">
        <v>0</v>
      </c>
      <c r="S57" s="781">
        <v>4.9000000000000004</v>
      </c>
      <c r="T57" s="781">
        <v>3.8</v>
      </c>
      <c r="U57" s="781">
        <v>1.77</v>
      </c>
      <c r="V57" s="781">
        <v>1.3274999999999999</v>
      </c>
      <c r="W57" s="781">
        <v>7.375</v>
      </c>
      <c r="X57" s="781">
        <v>2.0650000000000004</v>
      </c>
      <c r="Y57" s="781">
        <v>10.325000000000001</v>
      </c>
      <c r="Z57" s="781">
        <v>29.5</v>
      </c>
      <c r="AA57" s="781">
        <v>44.25</v>
      </c>
      <c r="AB57" s="781">
        <v>29.5</v>
      </c>
      <c r="AC57" s="781">
        <v>0.14750000000000002</v>
      </c>
      <c r="AD57" s="781">
        <v>0.14750000000000002</v>
      </c>
      <c r="AE57" s="781">
        <v>0.14750000000000002</v>
      </c>
      <c r="AF57" s="781"/>
      <c r="AG57" s="781"/>
      <c r="AH57" s="781"/>
      <c r="AI57" s="784"/>
      <c r="AK57" s="783">
        <f>IFERROR(Tabela1[[#This Row],[EE(g)]]/Tabela1[[#This Row],[CMS(kg)]],0)</f>
        <v>0</v>
      </c>
    </row>
    <row r="58" spans="2:37" hidden="1">
      <c r="B58" s="774">
        <f>ROW()^2+(Tabela1[[#This Row],[ID2]])+ROW()</f>
        <v>3538</v>
      </c>
      <c r="C58" s="774">
        <v>116</v>
      </c>
      <c r="D58" s="774" t="s">
        <v>1256</v>
      </c>
      <c r="E58" s="775" t="s">
        <v>1262</v>
      </c>
      <c r="F58" s="775" t="s">
        <v>1261</v>
      </c>
      <c r="G58" s="775">
        <v>50</v>
      </c>
      <c r="H58" s="775" t="s">
        <v>0</v>
      </c>
      <c r="I58" s="776" t="s">
        <v>42</v>
      </c>
      <c r="J58" s="774" t="s">
        <v>42</v>
      </c>
      <c r="K58" s="774" t="s">
        <v>42</v>
      </c>
      <c r="L58" s="777">
        <v>300</v>
      </c>
      <c r="M58" s="778">
        <v>0</v>
      </c>
      <c r="N58" s="779">
        <v>187</v>
      </c>
      <c r="O58" s="780">
        <v>0</v>
      </c>
      <c r="P58" s="781">
        <v>1.1000000000000001</v>
      </c>
      <c r="Q58" s="781">
        <v>0.4965</v>
      </c>
      <c r="R58" s="782">
        <v>0</v>
      </c>
      <c r="S58" s="781">
        <v>5.7</v>
      </c>
      <c r="T58" s="781">
        <v>4.5</v>
      </c>
      <c r="U58" s="781">
        <v>1.9859999999999998</v>
      </c>
      <c r="V58" s="781">
        <v>1.4894999999999996</v>
      </c>
      <c r="W58" s="781">
        <v>8.2749999999999986</v>
      </c>
      <c r="X58" s="781">
        <v>2.3169999999999997</v>
      </c>
      <c r="Y58" s="781">
        <v>11.584999999999999</v>
      </c>
      <c r="Z58" s="781">
        <v>33.099999999999994</v>
      </c>
      <c r="AA58" s="781">
        <v>49.649999999999991</v>
      </c>
      <c r="AB58" s="781">
        <v>33.099999999999994</v>
      </c>
      <c r="AC58" s="781">
        <v>0.16549999999999998</v>
      </c>
      <c r="AD58" s="781">
        <v>0.16549999999999998</v>
      </c>
      <c r="AE58" s="781">
        <v>0.16549999999999998</v>
      </c>
      <c r="AF58" s="781"/>
      <c r="AG58" s="781"/>
      <c r="AH58" s="781"/>
      <c r="AI58" s="784"/>
      <c r="AK58" s="783">
        <f>IFERROR(Tabela1[[#This Row],[EE(g)]]/Tabela1[[#This Row],[CMS(kg)]],0)</f>
        <v>0</v>
      </c>
    </row>
    <row r="59" spans="2:37" hidden="1">
      <c r="B59" s="774">
        <f>ROW()^2+(Tabela1[[#This Row],[ID2]])+ROW()</f>
        <v>3657</v>
      </c>
      <c r="C59" s="774">
        <v>117</v>
      </c>
      <c r="D59" s="774" t="s">
        <v>1256</v>
      </c>
      <c r="E59" s="775" t="s">
        <v>1262</v>
      </c>
      <c r="F59" s="775" t="s">
        <v>1261</v>
      </c>
      <c r="G59" s="775">
        <v>50</v>
      </c>
      <c r="H59" s="775" t="s">
        <v>0</v>
      </c>
      <c r="I59" s="776" t="s">
        <v>42</v>
      </c>
      <c r="J59" s="774" t="s">
        <v>42</v>
      </c>
      <c r="K59" s="774" t="s">
        <v>42</v>
      </c>
      <c r="L59" s="777">
        <v>400</v>
      </c>
      <c r="M59" s="778">
        <v>0</v>
      </c>
      <c r="N59" s="779">
        <v>215</v>
      </c>
      <c r="O59" s="780">
        <v>0</v>
      </c>
      <c r="P59" s="781">
        <v>1.2</v>
      </c>
      <c r="Q59" s="781">
        <v>0.45450000000000002</v>
      </c>
      <c r="R59" s="782">
        <v>0</v>
      </c>
      <c r="S59" s="781">
        <v>6.9</v>
      </c>
      <c r="T59" s="781">
        <v>5.3</v>
      </c>
      <c r="U59" s="781">
        <v>1.8179999999999998</v>
      </c>
      <c r="V59" s="781">
        <v>1.3634999999999997</v>
      </c>
      <c r="W59" s="781">
        <v>7.5749999999999993</v>
      </c>
      <c r="X59" s="781">
        <v>2.121</v>
      </c>
      <c r="Y59" s="781">
        <v>10.604999999999999</v>
      </c>
      <c r="Z59" s="781">
        <v>30.299999999999997</v>
      </c>
      <c r="AA59" s="781">
        <v>45.449999999999996</v>
      </c>
      <c r="AB59" s="781">
        <v>30.299999999999997</v>
      </c>
      <c r="AC59" s="781">
        <v>0.1515</v>
      </c>
      <c r="AD59" s="781">
        <v>0.1515</v>
      </c>
      <c r="AE59" s="781">
        <v>0.1515</v>
      </c>
      <c r="AF59" s="781"/>
      <c r="AG59" s="781"/>
      <c r="AH59" s="781"/>
      <c r="AI59" s="784"/>
      <c r="AK59" s="783">
        <f>IFERROR(Tabela1[[#This Row],[EE(g)]]/Tabela1[[#This Row],[CMS(kg)]],0)</f>
        <v>0</v>
      </c>
    </row>
    <row r="60" spans="2:37" hidden="1">
      <c r="B60" s="774">
        <f>ROW()^2+(Tabela1[[#This Row],[ID2]])+ROW()</f>
        <v>3778</v>
      </c>
      <c r="C60" s="774">
        <v>118</v>
      </c>
      <c r="D60" s="774" t="s">
        <v>1256</v>
      </c>
      <c r="E60" s="775" t="s">
        <v>1262</v>
      </c>
      <c r="F60" s="775" t="s">
        <v>1261</v>
      </c>
      <c r="G60" s="775">
        <v>50</v>
      </c>
      <c r="H60" s="775" t="s">
        <v>0</v>
      </c>
      <c r="I60" s="776" t="s">
        <v>42</v>
      </c>
      <c r="J60" s="774" t="s">
        <v>42</v>
      </c>
      <c r="K60" s="774" t="s">
        <v>42</v>
      </c>
      <c r="L60" s="777">
        <v>500</v>
      </c>
      <c r="M60" s="778">
        <v>0</v>
      </c>
      <c r="N60" s="779">
        <v>258</v>
      </c>
      <c r="O60" s="780">
        <v>0</v>
      </c>
      <c r="P60" s="781">
        <v>1.41</v>
      </c>
      <c r="Q60" s="781">
        <v>0.53249999999999997</v>
      </c>
      <c r="R60" s="782">
        <v>0</v>
      </c>
      <c r="S60" s="781">
        <v>8.4</v>
      </c>
      <c r="T60" s="781">
        <v>6.6</v>
      </c>
      <c r="U60" s="781">
        <v>2.13</v>
      </c>
      <c r="V60" s="781">
        <v>1.5974999999999997</v>
      </c>
      <c r="W60" s="781">
        <v>8.875</v>
      </c>
      <c r="X60" s="781">
        <v>2.4850000000000003</v>
      </c>
      <c r="Y60" s="781">
        <v>12.424999999999999</v>
      </c>
      <c r="Z60" s="781">
        <v>35.5</v>
      </c>
      <c r="AA60" s="781">
        <v>53.25</v>
      </c>
      <c r="AB60" s="781">
        <v>35.5</v>
      </c>
      <c r="AC60" s="781">
        <v>0.17749999999999999</v>
      </c>
      <c r="AD60" s="781">
        <v>0.17749999999999999</v>
      </c>
      <c r="AE60" s="781">
        <v>0.17749999999999999</v>
      </c>
      <c r="AF60" s="781"/>
      <c r="AG60" s="781"/>
      <c r="AH60" s="781"/>
      <c r="AI60" s="784"/>
      <c r="AK60" s="783">
        <f>IFERROR(Tabela1[[#This Row],[EE(g)]]/Tabela1[[#This Row],[CMS(kg)]],0)</f>
        <v>0</v>
      </c>
    </row>
    <row r="61" spans="2:37" hidden="1">
      <c r="B61" s="774">
        <f>ROW()^2+(Tabela1[[#This Row],[ID2]])+ROW()</f>
        <v>3901</v>
      </c>
      <c r="C61" s="774">
        <v>119</v>
      </c>
      <c r="D61" s="774" t="s">
        <v>1256</v>
      </c>
      <c r="E61" s="775" t="s">
        <v>1262</v>
      </c>
      <c r="F61" s="775" t="s">
        <v>1261</v>
      </c>
      <c r="G61" s="775">
        <v>50</v>
      </c>
      <c r="H61" s="775" t="s">
        <v>0</v>
      </c>
      <c r="I61" s="776" t="s">
        <v>42</v>
      </c>
      <c r="J61" s="774" t="s">
        <v>42</v>
      </c>
      <c r="K61" s="774" t="s">
        <v>42</v>
      </c>
      <c r="L61" s="777">
        <v>600</v>
      </c>
      <c r="M61" s="778">
        <v>0</v>
      </c>
      <c r="N61" s="779">
        <v>300</v>
      </c>
      <c r="O61" s="780">
        <v>0</v>
      </c>
      <c r="P61" s="781">
        <v>1.62</v>
      </c>
      <c r="Q61" s="781">
        <v>0.61050000000000004</v>
      </c>
      <c r="R61" s="782">
        <v>0</v>
      </c>
      <c r="S61" s="781">
        <v>9.9</v>
      </c>
      <c r="T61" s="781">
        <v>7.8</v>
      </c>
      <c r="U61" s="781">
        <v>2.4420000000000002</v>
      </c>
      <c r="V61" s="781">
        <v>1.8314999999999999</v>
      </c>
      <c r="W61" s="781">
        <v>10.175000000000001</v>
      </c>
      <c r="X61" s="781">
        <v>2.8490000000000006</v>
      </c>
      <c r="Y61" s="781">
        <v>14.245000000000001</v>
      </c>
      <c r="Z61" s="781">
        <v>40.700000000000003</v>
      </c>
      <c r="AA61" s="781">
        <v>61.050000000000004</v>
      </c>
      <c r="AB61" s="781">
        <v>40.700000000000003</v>
      </c>
      <c r="AC61" s="781">
        <v>0.20350000000000001</v>
      </c>
      <c r="AD61" s="781">
        <v>0.20350000000000001</v>
      </c>
      <c r="AE61" s="781">
        <v>0.20350000000000001</v>
      </c>
      <c r="AF61" s="781"/>
      <c r="AG61" s="781"/>
      <c r="AH61" s="781"/>
      <c r="AI61" s="784"/>
      <c r="AK61" s="783">
        <f>IFERROR(Tabela1[[#This Row],[EE(g)]]/Tabela1[[#This Row],[CMS(kg)]],0)</f>
        <v>0</v>
      </c>
    </row>
    <row r="62" spans="2:37" hidden="1">
      <c r="B62" s="774">
        <f>ROW()^2+(Tabela1[[#This Row],[ID2]])+ROW()</f>
        <v>4026</v>
      </c>
      <c r="C62" s="774">
        <v>120</v>
      </c>
      <c r="D62" s="774" t="s">
        <v>1256</v>
      </c>
      <c r="E62" s="775" t="s">
        <v>1262</v>
      </c>
      <c r="F62" s="775" t="s">
        <v>1261</v>
      </c>
      <c r="G62" s="775">
        <v>60</v>
      </c>
      <c r="H62" s="775" t="s">
        <v>0</v>
      </c>
      <c r="I62" s="776" t="s">
        <v>42</v>
      </c>
      <c r="J62" s="774" t="s">
        <v>42</v>
      </c>
      <c r="K62" s="774" t="s">
        <v>42</v>
      </c>
      <c r="L62" s="777">
        <v>250</v>
      </c>
      <c r="M62" s="778">
        <v>0</v>
      </c>
      <c r="N62" s="779">
        <v>171</v>
      </c>
      <c r="O62" s="780">
        <v>0</v>
      </c>
      <c r="P62" s="781">
        <v>1.04</v>
      </c>
      <c r="Q62" s="781">
        <v>0.47160000000000002</v>
      </c>
      <c r="R62" s="782">
        <v>0</v>
      </c>
      <c r="S62" s="781">
        <v>5</v>
      </c>
      <c r="T62" s="781">
        <v>3.9</v>
      </c>
      <c r="U62" s="781">
        <v>1.8864000000000001</v>
      </c>
      <c r="V62" s="781">
        <v>1.4147999999999998</v>
      </c>
      <c r="W62" s="781">
        <v>7.86</v>
      </c>
      <c r="X62" s="781">
        <v>2.2008000000000001</v>
      </c>
      <c r="Y62" s="781">
        <v>11.004000000000001</v>
      </c>
      <c r="Z62" s="781">
        <v>31.44</v>
      </c>
      <c r="AA62" s="781">
        <v>47.160000000000004</v>
      </c>
      <c r="AB62" s="781">
        <v>31.44</v>
      </c>
      <c r="AC62" s="781">
        <v>0.15720000000000001</v>
      </c>
      <c r="AD62" s="781">
        <v>0.15720000000000001</v>
      </c>
      <c r="AE62" s="781">
        <v>0.15720000000000001</v>
      </c>
      <c r="AF62" s="781"/>
      <c r="AG62" s="781"/>
      <c r="AH62" s="781"/>
      <c r="AI62" s="784"/>
      <c r="AK62" s="783">
        <f>IFERROR(Tabela1[[#This Row],[EE(g)]]/Tabela1[[#This Row],[CMS(kg)]],0)</f>
        <v>0</v>
      </c>
    </row>
    <row r="63" spans="2:37" hidden="1">
      <c r="B63" s="774">
        <f>ROW()^2+(Tabela1[[#This Row],[ID2]])+ROW()</f>
        <v>4153</v>
      </c>
      <c r="C63" s="774">
        <v>121</v>
      </c>
      <c r="D63" s="774" t="s">
        <v>1256</v>
      </c>
      <c r="E63" s="775" t="s">
        <v>1262</v>
      </c>
      <c r="F63" s="775" t="s">
        <v>1261</v>
      </c>
      <c r="G63" s="775">
        <v>60</v>
      </c>
      <c r="H63" s="775" t="s">
        <v>0</v>
      </c>
      <c r="I63" s="776" t="s">
        <v>42</v>
      </c>
      <c r="J63" s="774" t="s">
        <v>42</v>
      </c>
      <c r="K63" s="774" t="s">
        <v>42</v>
      </c>
      <c r="L63" s="777">
        <v>300</v>
      </c>
      <c r="M63" s="778">
        <v>0</v>
      </c>
      <c r="N63" s="779">
        <v>194</v>
      </c>
      <c r="O63" s="780">
        <v>0</v>
      </c>
      <c r="P63" s="781">
        <v>1.1599999999999999</v>
      </c>
      <c r="Q63" s="781">
        <v>0.52739999999999998</v>
      </c>
      <c r="R63" s="782">
        <v>0</v>
      </c>
      <c r="S63" s="781">
        <v>5.8</v>
      </c>
      <c r="T63" s="781">
        <v>4.5999999999999996</v>
      </c>
      <c r="U63" s="781">
        <v>2.1096000000000004</v>
      </c>
      <c r="V63" s="781">
        <v>1.5822000000000001</v>
      </c>
      <c r="W63" s="781">
        <v>8.7900000000000009</v>
      </c>
      <c r="X63" s="781">
        <v>2.4612000000000007</v>
      </c>
      <c r="Y63" s="781">
        <v>12.306000000000001</v>
      </c>
      <c r="Z63" s="781">
        <v>35.160000000000004</v>
      </c>
      <c r="AA63" s="781">
        <v>52.740000000000009</v>
      </c>
      <c r="AB63" s="781">
        <v>35.160000000000004</v>
      </c>
      <c r="AC63" s="781">
        <v>0.17580000000000004</v>
      </c>
      <c r="AD63" s="781">
        <v>0.17580000000000004</v>
      </c>
      <c r="AE63" s="781">
        <v>0.17580000000000004</v>
      </c>
      <c r="AF63" s="781"/>
      <c r="AG63" s="781"/>
      <c r="AH63" s="781"/>
      <c r="AI63" s="784"/>
      <c r="AK63" s="783">
        <f>IFERROR(Tabela1[[#This Row],[EE(g)]]/Tabela1[[#This Row],[CMS(kg)]],0)</f>
        <v>0</v>
      </c>
    </row>
    <row r="64" spans="2:37" hidden="1">
      <c r="B64" s="774">
        <f>ROW()^2+(Tabela1[[#This Row],[ID2]])+ROW()</f>
        <v>4282</v>
      </c>
      <c r="C64" s="774">
        <v>122</v>
      </c>
      <c r="D64" s="774" t="s">
        <v>1256</v>
      </c>
      <c r="E64" s="775" t="s">
        <v>1262</v>
      </c>
      <c r="F64" s="775" t="s">
        <v>1261</v>
      </c>
      <c r="G64" s="775">
        <v>60</v>
      </c>
      <c r="H64" s="775" t="s">
        <v>0</v>
      </c>
      <c r="I64" s="776" t="s">
        <v>42</v>
      </c>
      <c r="J64" s="774" t="s">
        <v>42</v>
      </c>
      <c r="K64" s="774" t="s">
        <v>42</v>
      </c>
      <c r="L64" s="777">
        <v>400</v>
      </c>
      <c r="M64" s="778">
        <v>0</v>
      </c>
      <c r="N64" s="779">
        <v>241</v>
      </c>
      <c r="O64" s="780">
        <v>0</v>
      </c>
      <c r="P64" s="781">
        <v>1.41</v>
      </c>
      <c r="Q64" s="781">
        <v>0.63719999999999999</v>
      </c>
      <c r="R64" s="782">
        <v>0</v>
      </c>
      <c r="S64" s="781">
        <v>7.4</v>
      </c>
      <c r="T64" s="781">
        <v>5.9</v>
      </c>
      <c r="U64" s="781">
        <v>2.5488</v>
      </c>
      <c r="V64" s="781">
        <v>1.9116</v>
      </c>
      <c r="W64" s="781">
        <v>10.620000000000001</v>
      </c>
      <c r="X64" s="781">
        <v>2.9736000000000002</v>
      </c>
      <c r="Y64" s="781">
        <v>14.868</v>
      </c>
      <c r="Z64" s="781">
        <v>42.480000000000004</v>
      </c>
      <c r="AA64" s="781">
        <v>63.720000000000006</v>
      </c>
      <c r="AB64" s="781">
        <v>42.480000000000004</v>
      </c>
      <c r="AC64" s="781">
        <v>0.21240000000000003</v>
      </c>
      <c r="AD64" s="781">
        <v>0.21240000000000003</v>
      </c>
      <c r="AE64" s="781">
        <v>0.21240000000000003</v>
      </c>
      <c r="AF64" s="781"/>
      <c r="AG64" s="781"/>
      <c r="AH64" s="781"/>
      <c r="AI64" s="784"/>
      <c r="AK64" s="783">
        <f>IFERROR(Tabela1[[#This Row],[EE(g)]]/Tabela1[[#This Row],[CMS(kg)]],0)</f>
        <v>0</v>
      </c>
    </row>
    <row r="65" spans="2:37" hidden="1">
      <c r="B65" s="774">
        <f>ROW()^2+(Tabela1[[#This Row],[ID2]])+ROW()</f>
        <v>4413</v>
      </c>
      <c r="C65" s="774">
        <v>123</v>
      </c>
      <c r="D65" s="774" t="s">
        <v>1256</v>
      </c>
      <c r="E65" s="775" t="s">
        <v>1262</v>
      </c>
      <c r="F65" s="775" t="s">
        <v>1261</v>
      </c>
      <c r="G65" s="775">
        <v>60</v>
      </c>
      <c r="H65" s="775" t="s">
        <v>0</v>
      </c>
      <c r="I65" s="776" t="s">
        <v>42</v>
      </c>
      <c r="J65" s="774" t="s">
        <v>42</v>
      </c>
      <c r="K65" s="774" t="s">
        <v>42</v>
      </c>
      <c r="L65" s="777">
        <v>500</v>
      </c>
      <c r="M65" s="778">
        <v>0</v>
      </c>
      <c r="N65" s="779">
        <v>265</v>
      </c>
      <c r="O65" s="780">
        <v>0</v>
      </c>
      <c r="P65" s="781">
        <v>1.48</v>
      </c>
      <c r="Q65" s="781">
        <v>0.55979999999999996</v>
      </c>
      <c r="R65" s="782">
        <v>0</v>
      </c>
      <c r="S65" s="781">
        <v>8.5</v>
      </c>
      <c r="T65" s="781">
        <v>6.7</v>
      </c>
      <c r="U65" s="781">
        <v>2.2391999999999999</v>
      </c>
      <c r="V65" s="781">
        <v>1.6793999999999998</v>
      </c>
      <c r="W65" s="781">
        <v>9.33</v>
      </c>
      <c r="X65" s="781">
        <v>2.6124000000000001</v>
      </c>
      <c r="Y65" s="781">
        <v>13.061999999999999</v>
      </c>
      <c r="Z65" s="781">
        <v>37.32</v>
      </c>
      <c r="AA65" s="781">
        <v>55.98</v>
      </c>
      <c r="AB65" s="781">
        <v>37.32</v>
      </c>
      <c r="AC65" s="781">
        <v>0.18659999999999999</v>
      </c>
      <c r="AD65" s="781">
        <v>0.18659999999999999</v>
      </c>
      <c r="AE65" s="781">
        <v>0.18659999999999999</v>
      </c>
      <c r="AF65" s="781"/>
      <c r="AG65" s="781"/>
      <c r="AH65" s="781"/>
      <c r="AI65" s="784"/>
      <c r="AK65" s="783">
        <f>IFERROR(Tabela1[[#This Row],[EE(g)]]/Tabela1[[#This Row],[CMS(kg)]],0)</f>
        <v>0</v>
      </c>
    </row>
    <row r="66" spans="2:37" hidden="1">
      <c r="B66" s="774">
        <f>ROW()^2+(Tabela1[[#This Row],[ID2]])+ROW()</f>
        <v>4546</v>
      </c>
      <c r="C66" s="774">
        <v>124</v>
      </c>
      <c r="D66" s="774" t="s">
        <v>1256</v>
      </c>
      <c r="E66" s="775" t="s">
        <v>1262</v>
      </c>
      <c r="F66" s="775" t="s">
        <v>1261</v>
      </c>
      <c r="G66" s="775">
        <v>60</v>
      </c>
      <c r="H66" s="775" t="s">
        <v>0</v>
      </c>
      <c r="I66" s="776" t="s">
        <v>42</v>
      </c>
      <c r="J66" s="774" t="s">
        <v>42</v>
      </c>
      <c r="K66" s="774" t="s">
        <v>42</v>
      </c>
      <c r="L66" s="777">
        <v>600</v>
      </c>
      <c r="M66" s="778">
        <v>0</v>
      </c>
      <c r="N66" s="779">
        <v>308</v>
      </c>
      <c r="O66" s="780">
        <v>0</v>
      </c>
      <c r="P66" s="781">
        <v>1.69</v>
      </c>
      <c r="Q66" s="781">
        <v>0.63900000000000001</v>
      </c>
      <c r="R66" s="782">
        <v>0</v>
      </c>
      <c r="S66" s="781">
        <v>10</v>
      </c>
      <c r="T66" s="781">
        <v>7.9</v>
      </c>
      <c r="U66" s="781">
        <v>2.5559999999999996</v>
      </c>
      <c r="V66" s="781">
        <v>1.9169999999999998</v>
      </c>
      <c r="W66" s="781">
        <v>10.649999999999999</v>
      </c>
      <c r="X66" s="781">
        <v>2.9820000000000002</v>
      </c>
      <c r="Y66" s="781">
        <v>14.91</v>
      </c>
      <c r="Z66" s="781">
        <v>42.599999999999994</v>
      </c>
      <c r="AA66" s="781">
        <v>63.9</v>
      </c>
      <c r="AB66" s="781">
        <v>42.599999999999994</v>
      </c>
      <c r="AC66" s="781">
        <v>0.21299999999999999</v>
      </c>
      <c r="AD66" s="781">
        <v>0.21299999999999999</v>
      </c>
      <c r="AE66" s="781">
        <v>0.21299999999999999</v>
      </c>
      <c r="AF66" s="781"/>
      <c r="AG66" s="781"/>
      <c r="AH66" s="781"/>
      <c r="AI66" s="784"/>
      <c r="AK66" s="783">
        <f>IFERROR(Tabela1[[#This Row],[EE(g)]]/Tabela1[[#This Row],[CMS(kg)]],0)</f>
        <v>0</v>
      </c>
    </row>
    <row r="67" spans="2:37" hidden="1">
      <c r="B67" s="774">
        <f>ROW()^2+(Tabela1[[#This Row],[ID2]])+ROW()</f>
        <v>4681</v>
      </c>
      <c r="C67" s="774">
        <v>125</v>
      </c>
      <c r="D67" s="774" t="s">
        <v>1256</v>
      </c>
      <c r="E67" s="775" t="s">
        <v>1262</v>
      </c>
      <c r="F67" s="775" t="s">
        <v>1261</v>
      </c>
      <c r="G67" s="775">
        <v>70</v>
      </c>
      <c r="H67" s="775" t="s">
        <v>0</v>
      </c>
      <c r="I67" s="776" t="s">
        <v>42</v>
      </c>
      <c r="J67" s="774" t="s">
        <v>42</v>
      </c>
      <c r="K67" s="774" t="s">
        <v>42</v>
      </c>
      <c r="L67" s="777">
        <v>150</v>
      </c>
      <c r="M67" s="778">
        <v>0</v>
      </c>
      <c r="N67" s="779">
        <v>154</v>
      </c>
      <c r="O67" s="780">
        <v>0</v>
      </c>
      <c r="P67" s="781">
        <v>1.01</v>
      </c>
      <c r="Q67" s="781">
        <v>0.57330000000000003</v>
      </c>
      <c r="R67" s="782">
        <v>0</v>
      </c>
      <c r="S67" s="781">
        <v>4</v>
      </c>
      <c r="T67" s="781">
        <v>3.2</v>
      </c>
      <c r="U67" s="781">
        <v>2.2932000000000001</v>
      </c>
      <c r="V67" s="781">
        <v>1.7198999999999998</v>
      </c>
      <c r="W67" s="781">
        <v>9.5549999999999997</v>
      </c>
      <c r="X67" s="781">
        <v>2.6754000000000002</v>
      </c>
      <c r="Y67" s="781">
        <v>13.377000000000001</v>
      </c>
      <c r="Z67" s="781">
        <v>38.22</v>
      </c>
      <c r="AA67" s="781">
        <v>57.33</v>
      </c>
      <c r="AB67" s="781">
        <v>38.22</v>
      </c>
      <c r="AC67" s="781">
        <v>0.19110000000000002</v>
      </c>
      <c r="AD67" s="781">
        <v>0.19110000000000002</v>
      </c>
      <c r="AE67" s="781">
        <v>0.19110000000000002</v>
      </c>
      <c r="AF67" s="781"/>
      <c r="AG67" s="781"/>
      <c r="AH67" s="781"/>
      <c r="AI67" s="784"/>
      <c r="AK67" s="783">
        <f>IFERROR(Tabela1[[#This Row],[EE(g)]]/Tabela1[[#This Row],[CMS(kg)]],0)</f>
        <v>0</v>
      </c>
    </row>
    <row r="68" spans="2:37" hidden="1">
      <c r="B68" s="774">
        <f>ROW()^2+(Tabela1[[#This Row],[ID2]])+ROW()</f>
        <v>4818</v>
      </c>
      <c r="C68" s="774">
        <v>126</v>
      </c>
      <c r="D68" s="774" t="s">
        <v>1256</v>
      </c>
      <c r="E68" s="775" t="s">
        <v>1262</v>
      </c>
      <c r="F68" s="775" t="s">
        <v>1261</v>
      </c>
      <c r="G68" s="775">
        <v>70</v>
      </c>
      <c r="H68" s="775" t="s">
        <v>0</v>
      </c>
      <c r="I68" s="776" t="s">
        <v>42</v>
      </c>
      <c r="J68" s="774" t="s">
        <v>42</v>
      </c>
      <c r="K68" s="774" t="s">
        <v>42</v>
      </c>
      <c r="L68" s="777">
        <v>200</v>
      </c>
      <c r="M68" s="778">
        <v>0</v>
      </c>
      <c r="N68" s="779">
        <v>183</v>
      </c>
      <c r="O68" s="780">
        <v>0</v>
      </c>
      <c r="P68" s="781">
        <v>1.19</v>
      </c>
      <c r="Q68" s="781">
        <v>0.67410000000000003</v>
      </c>
      <c r="R68" s="782">
        <v>0</v>
      </c>
      <c r="S68" s="781">
        <v>5</v>
      </c>
      <c r="T68" s="781">
        <v>4.0999999999999996</v>
      </c>
      <c r="U68" s="781">
        <v>2.6963999999999997</v>
      </c>
      <c r="V68" s="781">
        <v>2.0222999999999995</v>
      </c>
      <c r="W68" s="781">
        <v>11.234999999999999</v>
      </c>
      <c r="X68" s="781">
        <v>3.1457999999999999</v>
      </c>
      <c r="Y68" s="781">
        <v>15.728999999999999</v>
      </c>
      <c r="Z68" s="781">
        <v>44.94</v>
      </c>
      <c r="AA68" s="781">
        <v>67.41</v>
      </c>
      <c r="AB68" s="781">
        <v>44.94</v>
      </c>
      <c r="AC68" s="781">
        <v>0.22470000000000001</v>
      </c>
      <c r="AD68" s="781">
        <v>0.22470000000000001</v>
      </c>
      <c r="AE68" s="781">
        <v>0.22470000000000001</v>
      </c>
      <c r="AF68" s="781"/>
      <c r="AG68" s="781"/>
      <c r="AH68" s="781"/>
      <c r="AI68" s="784"/>
      <c r="AK68" s="783">
        <f>IFERROR(Tabela1[[#This Row],[EE(g)]]/Tabela1[[#This Row],[CMS(kg)]],0)</f>
        <v>0</v>
      </c>
    </row>
    <row r="69" spans="2:37" hidden="1">
      <c r="B69" s="774">
        <f>ROW()^2+(Tabela1[[#This Row],[ID2]])+ROW()</f>
        <v>4957</v>
      </c>
      <c r="C69" s="774">
        <v>127</v>
      </c>
      <c r="D69" s="774" t="s">
        <v>1256</v>
      </c>
      <c r="E69" s="775" t="s">
        <v>1262</v>
      </c>
      <c r="F69" s="775" t="s">
        <v>1261</v>
      </c>
      <c r="G69" s="775">
        <v>70</v>
      </c>
      <c r="H69" s="775" t="s">
        <v>0</v>
      </c>
      <c r="I69" s="776" t="s">
        <v>42</v>
      </c>
      <c r="J69" s="774" t="s">
        <v>42</v>
      </c>
      <c r="K69" s="774" t="s">
        <v>42</v>
      </c>
      <c r="L69" s="777">
        <v>300</v>
      </c>
      <c r="M69" s="778">
        <v>0</v>
      </c>
      <c r="N69" s="779">
        <v>202</v>
      </c>
      <c r="O69" s="780">
        <v>0</v>
      </c>
      <c r="P69" s="781">
        <v>1.23</v>
      </c>
      <c r="Q69" s="781">
        <v>0.55649999999999999</v>
      </c>
      <c r="R69" s="782">
        <v>0</v>
      </c>
      <c r="S69" s="781">
        <v>5.9</v>
      </c>
      <c r="T69" s="781">
        <v>4.7</v>
      </c>
      <c r="U69" s="781">
        <v>2.226</v>
      </c>
      <c r="V69" s="781">
        <v>1.6694999999999998</v>
      </c>
      <c r="W69" s="781">
        <v>9.2750000000000004</v>
      </c>
      <c r="X69" s="781">
        <v>2.5970000000000004</v>
      </c>
      <c r="Y69" s="781">
        <v>12.984999999999999</v>
      </c>
      <c r="Z69" s="781">
        <v>37.1</v>
      </c>
      <c r="AA69" s="781">
        <v>55.65</v>
      </c>
      <c r="AB69" s="781">
        <v>37.1</v>
      </c>
      <c r="AC69" s="781">
        <v>0.1855</v>
      </c>
      <c r="AD69" s="781">
        <v>0.1855</v>
      </c>
      <c r="AE69" s="781">
        <v>0.1855</v>
      </c>
      <c r="AF69" s="781"/>
      <c r="AG69" s="781"/>
      <c r="AH69" s="781"/>
      <c r="AI69" s="784"/>
      <c r="AK69" s="783">
        <f>IFERROR(Tabela1[[#This Row],[EE(g)]]/Tabela1[[#This Row],[CMS(kg)]],0)</f>
        <v>0</v>
      </c>
    </row>
    <row r="70" spans="2:37" hidden="1">
      <c r="B70" s="774">
        <f>ROW()^2+(Tabela1[[#This Row],[ID2]])+ROW()</f>
        <v>5098</v>
      </c>
      <c r="C70" s="774">
        <v>128</v>
      </c>
      <c r="D70" s="774" t="s">
        <v>1256</v>
      </c>
      <c r="E70" s="775" t="s">
        <v>1262</v>
      </c>
      <c r="F70" s="775" t="s">
        <v>1261</v>
      </c>
      <c r="G70" s="775">
        <v>70</v>
      </c>
      <c r="H70" s="775" t="s">
        <v>0</v>
      </c>
      <c r="I70" s="776" t="s">
        <v>42</v>
      </c>
      <c r="J70" s="774" t="s">
        <v>42</v>
      </c>
      <c r="K70" s="774" t="s">
        <v>42</v>
      </c>
      <c r="L70" s="777">
        <v>400</v>
      </c>
      <c r="M70" s="778">
        <v>0</v>
      </c>
      <c r="N70" s="779">
        <v>249</v>
      </c>
      <c r="O70" s="780">
        <v>0</v>
      </c>
      <c r="P70" s="781">
        <v>1.48</v>
      </c>
      <c r="Q70" s="781">
        <v>0.66779999999999995</v>
      </c>
      <c r="R70" s="782">
        <v>0</v>
      </c>
      <c r="S70" s="781">
        <v>7.5</v>
      </c>
      <c r="T70" s="781">
        <v>6</v>
      </c>
      <c r="U70" s="781">
        <v>2.6711999999999998</v>
      </c>
      <c r="V70" s="781">
        <v>2.0033999999999996</v>
      </c>
      <c r="W70" s="781">
        <v>11.129999999999999</v>
      </c>
      <c r="X70" s="781">
        <v>3.1164000000000001</v>
      </c>
      <c r="Y70" s="781">
        <v>15.582000000000001</v>
      </c>
      <c r="Z70" s="781">
        <v>44.519999999999996</v>
      </c>
      <c r="AA70" s="781">
        <v>66.78</v>
      </c>
      <c r="AB70" s="781">
        <v>44.519999999999996</v>
      </c>
      <c r="AC70" s="781">
        <v>0.22260000000000002</v>
      </c>
      <c r="AD70" s="781">
        <v>0.22260000000000002</v>
      </c>
      <c r="AE70" s="781">
        <v>0.22260000000000002</v>
      </c>
      <c r="AF70" s="781"/>
      <c r="AG70" s="781"/>
      <c r="AH70" s="781"/>
      <c r="AI70" s="784"/>
      <c r="AK70" s="783">
        <f>IFERROR(Tabela1[[#This Row],[EE(g)]]/Tabela1[[#This Row],[CMS(kg)]],0)</f>
        <v>0</v>
      </c>
    </row>
    <row r="71" spans="2:37" hidden="1">
      <c r="B71" s="774">
        <f>ROW()^2+(Tabela1[[#This Row],[ID2]])+ROW()</f>
        <v>5241</v>
      </c>
      <c r="C71" s="774">
        <v>129</v>
      </c>
      <c r="D71" s="774" t="s">
        <v>1256</v>
      </c>
      <c r="E71" s="775" t="s">
        <v>1262</v>
      </c>
      <c r="F71" s="775" t="s">
        <v>1261</v>
      </c>
      <c r="G71" s="775">
        <v>70</v>
      </c>
      <c r="H71" s="775" t="s">
        <v>0</v>
      </c>
      <c r="I71" s="776" t="s">
        <v>42</v>
      </c>
      <c r="J71" s="774" t="s">
        <v>42</v>
      </c>
      <c r="K71" s="774" t="s">
        <v>42</v>
      </c>
      <c r="L71" s="777">
        <v>500</v>
      </c>
      <c r="M71" s="778">
        <v>0</v>
      </c>
      <c r="N71" s="779">
        <v>296</v>
      </c>
      <c r="O71" s="780">
        <v>0</v>
      </c>
      <c r="P71" s="781">
        <v>1.72</v>
      </c>
      <c r="Q71" s="781">
        <v>0.78120000000000001</v>
      </c>
      <c r="R71" s="782">
        <v>0</v>
      </c>
      <c r="S71" s="781">
        <v>9.1</v>
      </c>
      <c r="T71" s="781">
        <v>7.4</v>
      </c>
      <c r="U71" s="781">
        <v>3.1248</v>
      </c>
      <c r="V71" s="781">
        <v>2.3435999999999999</v>
      </c>
      <c r="W71" s="781">
        <v>13.02</v>
      </c>
      <c r="X71" s="781">
        <v>3.6456000000000004</v>
      </c>
      <c r="Y71" s="781">
        <v>18.228000000000002</v>
      </c>
      <c r="Z71" s="781">
        <v>52.08</v>
      </c>
      <c r="AA71" s="781">
        <v>78.12</v>
      </c>
      <c r="AB71" s="781">
        <v>52.08</v>
      </c>
      <c r="AC71" s="781">
        <v>0.26040000000000002</v>
      </c>
      <c r="AD71" s="781">
        <v>0.26040000000000002</v>
      </c>
      <c r="AE71" s="781">
        <v>0.26040000000000002</v>
      </c>
      <c r="AF71" s="781"/>
      <c r="AG71" s="781"/>
      <c r="AH71" s="781"/>
      <c r="AI71" s="784"/>
      <c r="AK71" s="783">
        <f>IFERROR(Tabela1[[#This Row],[EE(g)]]/Tabela1[[#This Row],[CMS(kg)]],0)</f>
        <v>0</v>
      </c>
    </row>
    <row r="72" spans="2:37" hidden="1">
      <c r="B72" s="774">
        <f>ROW()^2+(Tabela1[[#This Row],[ID2]])+ROW()</f>
        <v>5386</v>
      </c>
      <c r="C72" s="774">
        <v>130</v>
      </c>
      <c r="D72" s="774" t="s">
        <v>1256</v>
      </c>
      <c r="E72" s="775" t="s">
        <v>1262</v>
      </c>
      <c r="F72" s="775" t="s">
        <v>1261</v>
      </c>
      <c r="G72" s="775">
        <v>80</v>
      </c>
      <c r="H72" s="775" t="s">
        <v>0</v>
      </c>
      <c r="I72" s="776" t="s">
        <v>42</v>
      </c>
      <c r="J72" s="774" t="s">
        <v>42</v>
      </c>
      <c r="K72" s="774" t="s">
        <v>42</v>
      </c>
      <c r="L72" s="777">
        <v>150</v>
      </c>
      <c r="M72" s="778">
        <v>0</v>
      </c>
      <c r="N72" s="779">
        <v>161</v>
      </c>
      <c r="O72" s="780">
        <v>0</v>
      </c>
      <c r="P72" s="781">
        <v>1.07</v>
      </c>
      <c r="Q72" s="781">
        <v>0.60719999999999996</v>
      </c>
      <c r="R72" s="782">
        <v>0</v>
      </c>
      <c r="S72" s="781">
        <v>4.0999999999999996</v>
      </c>
      <c r="T72" s="781">
        <v>3.3</v>
      </c>
      <c r="U72" s="781">
        <v>2.4287999999999998</v>
      </c>
      <c r="V72" s="781">
        <v>1.8215999999999999</v>
      </c>
      <c r="W72" s="781">
        <v>10.120000000000001</v>
      </c>
      <c r="X72" s="781">
        <v>2.8336000000000001</v>
      </c>
      <c r="Y72" s="781">
        <v>14.167999999999999</v>
      </c>
      <c r="Z72" s="781">
        <v>40.480000000000004</v>
      </c>
      <c r="AA72" s="781">
        <v>60.72</v>
      </c>
      <c r="AB72" s="781">
        <v>40.480000000000004</v>
      </c>
      <c r="AC72" s="781">
        <v>0.20240000000000002</v>
      </c>
      <c r="AD72" s="781">
        <v>0.20240000000000002</v>
      </c>
      <c r="AE72" s="781">
        <v>0.20240000000000002</v>
      </c>
      <c r="AF72" s="781"/>
      <c r="AG72" s="781"/>
      <c r="AH72" s="781"/>
      <c r="AI72" s="784"/>
      <c r="AK72" s="783">
        <f>IFERROR(Tabela1[[#This Row],[EE(g)]]/Tabela1[[#This Row],[CMS(kg)]],0)</f>
        <v>0</v>
      </c>
    </row>
    <row r="73" spans="2:37" hidden="1">
      <c r="B73" s="774">
        <f>ROW()^2+(Tabela1[[#This Row],[ID2]])+ROW()</f>
        <v>5533</v>
      </c>
      <c r="C73" s="774">
        <v>131</v>
      </c>
      <c r="D73" s="774" t="s">
        <v>1256</v>
      </c>
      <c r="E73" s="775" t="s">
        <v>1262</v>
      </c>
      <c r="F73" s="775" t="s">
        <v>1261</v>
      </c>
      <c r="G73" s="775">
        <v>80</v>
      </c>
      <c r="H73" s="775" t="s">
        <v>0</v>
      </c>
      <c r="I73" s="776" t="s">
        <v>42</v>
      </c>
      <c r="J73" s="774" t="s">
        <v>42</v>
      </c>
      <c r="K73" s="774" t="s">
        <v>42</v>
      </c>
      <c r="L73" s="777">
        <v>200</v>
      </c>
      <c r="M73" s="778">
        <v>0</v>
      </c>
      <c r="N73" s="779">
        <v>191</v>
      </c>
      <c r="O73" s="780">
        <v>0</v>
      </c>
      <c r="P73" s="781">
        <v>1.25</v>
      </c>
      <c r="Q73" s="781">
        <v>0.70799999999999996</v>
      </c>
      <c r="R73" s="782">
        <v>0</v>
      </c>
      <c r="S73" s="781">
        <v>5.0999999999999996</v>
      </c>
      <c r="T73" s="781">
        <v>4.2</v>
      </c>
      <c r="U73" s="781">
        <v>2.8320000000000003</v>
      </c>
      <c r="V73" s="781">
        <v>2.1240000000000001</v>
      </c>
      <c r="W73" s="781">
        <v>11.8</v>
      </c>
      <c r="X73" s="781">
        <v>3.3040000000000007</v>
      </c>
      <c r="Y73" s="781">
        <v>16.520000000000003</v>
      </c>
      <c r="Z73" s="781">
        <v>47.2</v>
      </c>
      <c r="AA73" s="781">
        <v>70.800000000000011</v>
      </c>
      <c r="AB73" s="781">
        <v>47.2</v>
      </c>
      <c r="AC73" s="781">
        <v>0.23600000000000004</v>
      </c>
      <c r="AD73" s="781">
        <v>0.23600000000000004</v>
      </c>
      <c r="AE73" s="781">
        <v>0.23600000000000004</v>
      </c>
      <c r="AF73" s="781"/>
      <c r="AG73" s="781"/>
      <c r="AH73" s="781"/>
      <c r="AI73" s="784"/>
      <c r="AK73" s="783">
        <f>IFERROR(Tabela1[[#This Row],[EE(g)]]/Tabela1[[#This Row],[CMS(kg)]],0)</f>
        <v>0</v>
      </c>
    </row>
    <row r="74" spans="2:37" hidden="1">
      <c r="B74" s="774">
        <f>ROW()^2+(Tabela1[[#This Row],[ID2]])+ROW()</f>
        <v>5682</v>
      </c>
      <c r="C74" s="774">
        <v>132</v>
      </c>
      <c r="D74" s="774" t="s">
        <v>1256</v>
      </c>
      <c r="E74" s="775" t="s">
        <v>1262</v>
      </c>
      <c r="F74" s="775" t="s">
        <v>1261</v>
      </c>
      <c r="G74" s="775">
        <v>80</v>
      </c>
      <c r="H74" s="775" t="s">
        <v>0</v>
      </c>
      <c r="I74" s="776" t="s">
        <v>42</v>
      </c>
      <c r="J74" s="774" t="s">
        <v>42</v>
      </c>
      <c r="K74" s="774" t="s">
        <v>42</v>
      </c>
      <c r="L74" s="777">
        <v>300</v>
      </c>
      <c r="M74" s="778">
        <v>0</v>
      </c>
      <c r="N74" s="779">
        <v>249</v>
      </c>
      <c r="O74" s="780">
        <v>0</v>
      </c>
      <c r="P74" s="781">
        <v>1.61</v>
      </c>
      <c r="Q74" s="781">
        <v>0.91200000000000003</v>
      </c>
      <c r="R74" s="782">
        <v>0</v>
      </c>
      <c r="S74" s="781">
        <v>7</v>
      </c>
      <c r="T74" s="781">
        <v>5.8</v>
      </c>
      <c r="U74" s="781">
        <v>3.6479999999999997</v>
      </c>
      <c r="V74" s="781">
        <v>2.7359999999999998</v>
      </c>
      <c r="W74" s="781">
        <v>15.2</v>
      </c>
      <c r="X74" s="781">
        <v>4.2560000000000002</v>
      </c>
      <c r="Y74" s="781">
        <v>21.28</v>
      </c>
      <c r="Z74" s="781">
        <v>60.8</v>
      </c>
      <c r="AA74" s="781">
        <v>91.2</v>
      </c>
      <c r="AB74" s="781">
        <v>60.8</v>
      </c>
      <c r="AC74" s="781">
        <v>0.30400000000000005</v>
      </c>
      <c r="AD74" s="781">
        <v>0.30400000000000005</v>
      </c>
      <c r="AE74" s="781">
        <v>0.30400000000000005</v>
      </c>
      <c r="AF74" s="781"/>
      <c r="AG74" s="781"/>
      <c r="AH74" s="781"/>
      <c r="AI74" s="784"/>
      <c r="AK74" s="783">
        <f>IFERROR(Tabela1[[#This Row],[EE(g)]]/Tabela1[[#This Row],[CMS(kg)]],0)</f>
        <v>0</v>
      </c>
    </row>
    <row r="75" spans="2:37" hidden="1">
      <c r="B75" s="774">
        <f>ROW()^2+(Tabela1[[#This Row],[ID2]])+ROW()</f>
        <v>5833</v>
      </c>
      <c r="C75" s="774">
        <v>133</v>
      </c>
      <c r="D75" s="774" t="s">
        <v>1256</v>
      </c>
      <c r="E75" s="775" t="s">
        <v>1262</v>
      </c>
      <c r="F75" s="775" t="s">
        <v>1261</v>
      </c>
      <c r="G75" s="775">
        <v>80</v>
      </c>
      <c r="H75" s="775" t="s">
        <v>0</v>
      </c>
      <c r="I75" s="776" t="s">
        <v>42</v>
      </c>
      <c r="J75" s="774" t="s">
        <v>42</v>
      </c>
      <c r="K75" s="774" t="s">
        <v>42</v>
      </c>
      <c r="L75" s="777">
        <v>400</v>
      </c>
      <c r="M75" s="778">
        <v>0</v>
      </c>
      <c r="N75" s="779">
        <v>256</v>
      </c>
      <c r="O75" s="780">
        <v>0</v>
      </c>
      <c r="P75" s="781">
        <v>1.54</v>
      </c>
      <c r="Q75" s="781">
        <v>0.69840000000000002</v>
      </c>
      <c r="R75" s="782">
        <v>0</v>
      </c>
      <c r="S75" s="781">
        <v>7.6</v>
      </c>
      <c r="T75" s="781">
        <v>6.1</v>
      </c>
      <c r="U75" s="781">
        <v>2.7936000000000001</v>
      </c>
      <c r="V75" s="781">
        <v>2.0952000000000002</v>
      </c>
      <c r="W75" s="781">
        <v>11.64</v>
      </c>
      <c r="X75" s="781">
        <v>3.2592000000000008</v>
      </c>
      <c r="Y75" s="781">
        <v>16.296000000000003</v>
      </c>
      <c r="Z75" s="781">
        <v>46.56</v>
      </c>
      <c r="AA75" s="781">
        <v>69.84</v>
      </c>
      <c r="AB75" s="781">
        <v>46.56</v>
      </c>
      <c r="AC75" s="781">
        <v>0.23280000000000003</v>
      </c>
      <c r="AD75" s="781">
        <v>0.23280000000000003</v>
      </c>
      <c r="AE75" s="781">
        <v>0.23280000000000003</v>
      </c>
      <c r="AF75" s="781"/>
      <c r="AG75" s="781"/>
      <c r="AH75" s="781"/>
      <c r="AI75" s="784"/>
      <c r="AK75" s="783">
        <f>IFERROR(Tabela1[[#This Row],[EE(g)]]/Tabela1[[#This Row],[CMS(kg)]],0)</f>
        <v>0</v>
      </c>
    </row>
    <row r="76" spans="2:37" hidden="1">
      <c r="B76" s="774">
        <f>ROW()^2+(Tabela1[[#This Row],[ID2]])+ROW()</f>
        <v>5986</v>
      </c>
      <c r="C76" s="774">
        <v>134</v>
      </c>
      <c r="D76" s="774" t="s">
        <v>1256</v>
      </c>
      <c r="E76" s="775" t="s">
        <v>1262</v>
      </c>
      <c r="F76" s="775" t="s">
        <v>1261</v>
      </c>
      <c r="G76" s="775">
        <v>80</v>
      </c>
      <c r="H76" s="775" t="s">
        <v>0</v>
      </c>
      <c r="I76" s="776" t="s">
        <v>42</v>
      </c>
      <c r="J76" s="774" t="s">
        <v>42</v>
      </c>
      <c r="K76" s="774" t="s">
        <v>42</v>
      </c>
      <c r="L76" s="777">
        <v>500</v>
      </c>
      <c r="M76" s="778">
        <v>0</v>
      </c>
      <c r="N76" s="779">
        <v>303</v>
      </c>
      <c r="O76" s="780">
        <v>0</v>
      </c>
      <c r="P76" s="781">
        <v>1.79</v>
      </c>
      <c r="Q76" s="781">
        <v>0.81120000000000003</v>
      </c>
      <c r="R76" s="782">
        <v>0</v>
      </c>
      <c r="S76" s="781">
        <v>9.1999999999999993</v>
      </c>
      <c r="T76" s="781">
        <v>7.5</v>
      </c>
      <c r="U76" s="781">
        <v>3.2447999999999997</v>
      </c>
      <c r="V76" s="781">
        <v>2.4335999999999993</v>
      </c>
      <c r="W76" s="781">
        <v>13.52</v>
      </c>
      <c r="X76" s="781">
        <v>3.7856000000000001</v>
      </c>
      <c r="Y76" s="781">
        <v>18.927999999999997</v>
      </c>
      <c r="Z76" s="781">
        <v>54.08</v>
      </c>
      <c r="AA76" s="781">
        <v>81.11999999999999</v>
      </c>
      <c r="AB76" s="781">
        <v>54.08</v>
      </c>
      <c r="AC76" s="781">
        <v>0.27039999999999997</v>
      </c>
      <c r="AD76" s="781">
        <v>0.27039999999999997</v>
      </c>
      <c r="AE76" s="781">
        <v>0.27039999999999997</v>
      </c>
      <c r="AF76" s="781"/>
      <c r="AG76" s="781"/>
      <c r="AH76" s="781"/>
      <c r="AI76" s="784"/>
      <c r="AK76" s="783">
        <f>IFERROR(Tabela1[[#This Row],[EE(g)]]/Tabela1[[#This Row],[CMS(kg)]],0)</f>
        <v>0</v>
      </c>
    </row>
    <row r="77" spans="2:37" hidden="1">
      <c r="B77" s="774">
        <f>ROW()^2+(Tabela1[[#This Row],[ID2]])+ROW()</f>
        <v>6007</v>
      </c>
      <c r="C77" s="774">
        <v>1</v>
      </c>
      <c r="D77" s="774" t="s">
        <v>1256</v>
      </c>
      <c r="E77" s="775" t="s">
        <v>1263</v>
      </c>
      <c r="F77" s="775" t="s">
        <v>1261</v>
      </c>
      <c r="G77" s="775">
        <v>20</v>
      </c>
      <c r="H77" s="775" t="s">
        <v>0</v>
      </c>
      <c r="I77" s="776" t="s">
        <v>42</v>
      </c>
      <c r="J77" s="774" t="s">
        <v>42</v>
      </c>
      <c r="K77" s="774" t="s">
        <v>42</v>
      </c>
      <c r="L77" s="777">
        <v>100</v>
      </c>
      <c r="M77" s="778">
        <v>0</v>
      </c>
      <c r="N77" s="779">
        <v>73</v>
      </c>
      <c r="O77" s="780">
        <v>0</v>
      </c>
      <c r="P77" s="781">
        <v>0.3</v>
      </c>
      <c r="Q77" s="781">
        <v>0.1716</v>
      </c>
      <c r="R77" s="782">
        <v>0</v>
      </c>
      <c r="S77" s="781">
        <v>2.2999999999999998</v>
      </c>
      <c r="T77" s="781">
        <v>1.5</v>
      </c>
      <c r="U77" s="781">
        <v>0.68640000000000001</v>
      </c>
      <c r="V77" s="781">
        <v>0.51480000000000004</v>
      </c>
      <c r="W77" s="781">
        <v>2.8600000000000003</v>
      </c>
      <c r="X77" s="781">
        <v>0.80080000000000018</v>
      </c>
      <c r="Y77" s="781">
        <v>4.0040000000000004</v>
      </c>
      <c r="Z77" s="781">
        <v>11.440000000000001</v>
      </c>
      <c r="AA77" s="781">
        <v>17.160000000000004</v>
      </c>
      <c r="AB77" s="781">
        <v>11.440000000000001</v>
      </c>
      <c r="AC77" s="781">
        <v>5.7200000000000008E-2</v>
      </c>
      <c r="AD77" s="781">
        <v>5.7200000000000008E-2</v>
      </c>
      <c r="AE77" s="781">
        <v>5.7200000000000008E-2</v>
      </c>
      <c r="AF77" s="781"/>
      <c r="AG77" s="781"/>
      <c r="AH77" s="781"/>
      <c r="AI77" s="784"/>
      <c r="AK77" s="783">
        <f>IFERROR(Tabela1[[#This Row],[EE(g)]]/Tabela1[[#This Row],[CMS(kg)]],0)</f>
        <v>0</v>
      </c>
    </row>
    <row r="78" spans="2:37" hidden="1">
      <c r="B78" s="774">
        <f>ROW()^2+(Tabela1[[#This Row],[ID2]])+ROW()</f>
        <v>6164</v>
      </c>
      <c r="C78" s="774">
        <v>2</v>
      </c>
      <c r="D78" s="774" t="s">
        <v>1256</v>
      </c>
      <c r="E78" s="775" t="s">
        <v>1263</v>
      </c>
      <c r="F78" s="775" t="s">
        <v>1261</v>
      </c>
      <c r="G78" s="775">
        <v>20</v>
      </c>
      <c r="H78" s="775" t="s">
        <v>0</v>
      </c>
      <c r="I78" s="776" t="s">
        <v>42</v>
      </c>
      <c r="J78" s="774" t="s">
        <v>42</v>
      </c>
      <c r="K78" s="774" t="s">
        <v>42</v>
      </c>
      <c r="L78" s="777">
        <v>150</v>
      </c>
      <c r="M78" s="778">
        <v>0</v>
      </c>
      <c r="N78" s="779">
        <v>99</v>
      </c>
      <c r="O78" s="780">
        <v>0</v>
      </c>
      <c r="P78" s="781">
        <v>0.41</v>
      </c>
      <c r="Q78" s="781">
        <v>0.2346</v>
      </c>
      <c r="R78" s="782">
        <v>0</v>
      </c>
      <c r="S78" s="781">
        <v>3.1</v>
      </c>
      <c r="T78" s="781">
        <v>2.2000000000000002</v>
      </c>
      <c r="U78" s="781">
        <v>0.93840000000000001</v>
      </c>
      <c r="V78" s="781">
        <v>0.70379999999999998</v>
      </c>
      <c r="W78" s="781">
        <v>3.91</v>
      </c>
      <c r="X78" s="781">
        <v>1.0948000000000002</v>
      </c>
      <c r="Y78" s="781">
        <v>5.4740000000000002</v>
      </c>
      <c r="Z78" s="781">
        <v>15.64</v>
      </c>
      <c r="AA78" s="781">
        <v>23.46</v>
      </c>
      <c r="AB78" s="781">
        <v>15.64</v>
      </c>
      <c r="AC78" s="781">
        <v>7.8200000000000006E-2</v>
      </c>
      <c r="AD78" s="781">
        <v>7.8200000000000006E-2</v>
      </c>
      <c r="AE78" s="781">
        <v>7.8200000000000006E-2</v>
      </c>
      <c r="AF78" s="781"/>
      <c r="AG78" s="781"/>
      <c r="AH78" s="781"/>
      <c r="AI78" s="784"/>
      <c r="AK78" s="783">
        <f>IFERROR(Tabela1[[#This Row],[EE(g)]]/Tabela1[[#This Row],[CMS(kg)]],0)</f>
        <v>0</v>
      </c>
    </row>
    <row r="79" spans="2:37" hidden="1">
      <c r="B79" s="774">
        <f>ROW()^2+(Tabela1[[#This Row],[ID2]])+ROW()</f>
        <v>6324</v>
      </c>
      <c r="C79" s="774">
        <v>4</v>
      </c>
      <c r="D79" s="774" t="s">
        <v>1256</v>
      </c>
      <c r="E79" s="775" t="s">
        <v>1263</v>
      </c>
      <c r="F79" s="775" t="s">
        <v>1261</v>
      </c>
      <c r="G79" s="775">
        <v>20</v>
      </c>
      <c r="H79" s="775" t="s">
        <v>0</v>
      </c>
      <c r="I79" s="776" t="s">
        <v>42</v>
      </c>
      <c r="J79" s="774" t="s">
        <v>42</v>
      </c>
      <c r="K79" s="774" t="s">
        <v>42</v>
      </c>
      <c r="L79" s="777">
        <v>200</v>
      </c>
      <c r="M79" s="778">
        <v>0</v>
      </c>
      <c r="N79" s="779">
        <v>111</v>
      </c>
      <c r="O79" s="780">
        <v>0</v>
      </c>
      <c r="P79" s="781">
        <v>0.39</v>
      </c>
      <c r="Q79" s="781">
        <v>0.1782</v>
      </c>
      <c r="R79" s="782">
        <v>0</v>
      </c>
      <c r="S79" s="781">
        <v>3.7</v>
      </c>
      <c r="T79" s="781">
        <v>2.5</v>
      </c>
      <c r="U79" s="781">
        <v>0.71279999999999999</v>
      </c>
      <c r="V79" s="781">
        <v>0.53459999999999996</v>
      </c>
      <c r="W79" s="781">
        <v>2.9699999999999998</v>
      </c>
      <c r="X79" s="781">
        <v>0.83160000000000001</v>
      </c>
      <c r="Y79" s="781">
        <v>4.1579999999999995</v>
      </c>
      <c r="Z79" s="781">
        <v>11.879999999999999</v>
      </c>
      <c r="AA79" s="781">
        <v>17.82</v>
      </c>
      <c r="AB79" s="781">
        <v>11.879999999999999</v>
      </c>
      <c r="AC79" s="781">
        <v>5.9400000000000001E-2</v>
      </c>
      <c r="AD79" s="781">
        <v>5.9400000000000001E-2</v>
      </c>
      <c r="AE79" s="781">
        <v>5.9400000000000001E-2</v>
      </c>
      <c r="AF79" s="781"/>
      <c r="AG79" s="781"/>
      <c r="AH79" s="781"/>
      <c r="AI79" s="784"/>
      <c r="AK79" s="783">
        <f>IFERROR(Tabela1[[#This Row],[EE(g)]]/Tabela1[[#This Row],[CMS(kg)]],0)</f>
        <v>0</v>
      </c>
    </row>
    <row r="80" spans="2:37" hidden="1">
      <c r="B80" s="774">
        <f>ROW()^2+(Tabela1[[#This Row],[ID2]])+ROW()</f>
        <v>6486</v>
      </c>
      <c r="C80" s="774">
        <v>6</v>
      </c>
      <c r="D80" s="774" t="s">
        <v>1256</v>
      </c>
      <c r="E80" s="775" t="s">
        <v>1263</v>
      </c>
      <c r="F80" s="775" t="s">
        <v>1261</v>
      </c>
      <c r="G80" s="775">
        <v>20</v>
      </c>
      <c r="H80" s="775" t="s">
        <v>0</v>
      </c>
      <c r="I80" s="776" t="s">
        <v>42</v>
      </c>
      <c r="J80" s="774" t="s">
        <v>42</v>
      </c>
      <c r="K80" s="774" t="s">
        <v>42</v>
      </c>
      <c r="L80" s="777">
        <v>300</v>
      </c>
      <c r="M80" s="778">
        <v>0</v>
      </c>
      <c r="N80" s="779">
        <v>148</v>
      </c>
      <c r="O80" s="780">
        <v>0</v>
      </c>
      <c r="P80" s="781">
        <v>0.48</v>
      </c>
      <c r="Q80" s="781">
        <v>0.18240000000000001</v>
      </c>
      <c r="R80" s="782">
        <v>0</v>
      </c>
      <c r="S80" s="781">
        <v>5.0999999999999996</v>
      </c>
      <c r="T80" s="781">
        <v>3.5</v>
      </c>
      <c r="U80" s="781">
        <v>0.72959999999999992</v>
      </c>
      <c r="V80" s="781">
        <v>0.54719999999999991</v>
      </c>
      <c r="W80" s="781">
        <v>3.04</v>
      </c>
      <c r="X80" s="781">
        <v>0.85120000000000007</v>
      </c>
      <c r="Y80" s="781">
        <v>4.2560000000000002</v>
      </c>
      <c r="Z80" s="781">
        <v>12.16</v>
      </c>
      <c r="AA80" s="781">
        <v>18.239999999999998</v>
      </c>
      <c r="AB80" s="781">
        <v>12.16</v>
      </c>
      <c r="AC80" s="781">
        <v>6.08E-2</v>
      </c>
      <c r="AD80" s="781">
        <v>6.08E-2</v>
      </c>
      <c r="AE80" s="781">
        <v>6.08E-2</v>
      </c>
      <c r="AF80" s="781"/>
      <c r="AG80" s="781"/>
      <c r="AH80" s="781"/>
      <c r="AI80" s="784"/>
      <c r="AK80" s="783">
        <f>IFERROR(Tabela1[[#This Row],[EE(g)]]/Tabela1[[#This Row],[CMS(kg)]],0)</f>
        <v>0</v>
      </c>
    </row>
    <row r="81" spans="2:37" hidden="1">
      <c r="B81" s="774">
        <f>ROW()^2+(Tabela1[[#This Row],[ID2]])+ROW()</f>
        <v>6650</v>
      </c>
      <c r="C81" s="774">
        <v>8</v>
      </c>
      <c r="D81" s="774" t="s">
        <v>1256</v>
      </c>
      <c r="E81" s="775" t="s">
        <v>1263</v>
      </c>
      <c r="F81" s="775" t="s">
        <v>1261</v>
      </c>
      <c r="G81" s="775">
        <v>30</v>
      </c>
      <c r="H81" s="775" t="s">
        <v>0</v>
      </c>
      <c r="I81" s="776" t="s">
        <v>42</v>
      </c>
      <c r="J81" s="774" t="s">
        <v>42</v>
      </c>
      <c r="K81" s="774" t="s">
        <v>42</v>
      </c>
      <c r="L81" s="777">
        <v>200</v>
      </c>
      <c r="M81" s="778">
        <v>0</v>
      </c>
      <c r="N81" s="779">
        <v>131</v>
      </c>
      <c r="O81" s="780">
        <v>0</v>
      </c>
      <c r="P81" s="781">
        <v>0.56000000000000005</v>
      </c>
      <c r="Q81" s="781">
        <v>0.31590000000000001</v>
      </c>
      <c r="R81" s="782">
        <v>0</v>
      </c>
      <c r="S81" s="781">
        <v>4.0999999999999996</v>
      </c>
      <c r="T81" s="781">
        <v>2.9</v>
      </c>
      <c r="U81" s="781">
        <v>1.2635999999999998</v>
      </c>
      <c r="V81" s="781">
        <v>0.94769999999999988</v>
      </c>
      <c r="W81" s="781">
        <v>5.2649999999999997</v>
      </c>
      <c r="X81" s="781">
        <v>1.4742</v>
      </c>
      <c r="Y81" s="781">
        <v>7.3709999999999996</v>
      </c>
      <c r="Z81" s="781">
        <v>21.06</v>
      </c>
      <c r="AA81" s="781">
        <v>31.589999999999996</v>
      </c>
      <c r="AB81" s="781">
        <v>21.06</v>
      </c>
      <c r="AC81" s="781">
        <v>0.1053</v>
      </c>
      <c r="AD81" s="781">
        <v>0.1053</v>
      </c>
      <c r="AE81" s="781">
        <v>0.1053</v>
      </c>
      <c r="AF81" s="781"/>
      <c r="AG81" s="781"/>
      <c r="AH81" s="781"/>
      <c r="AI81" s="784"/>
      <c r="AK81" s="783">
        <f>IFERROR(Tabela1[[#This Row],[EE(g)]]/Tabela1[[#This Row],[CMS(kg)]],0)</f>
        <v>0</v>
      </c>
    </row>
    <row r="82" spans="2:37" hidden="1">
      <c r="B82" s="774">
        <f>ROW()^2+(Tabela1[[#This Row],[ID2]])+ROW()</f>
        <v>6816</v>
      </c>
      <c r="C82" s="774">
        <v>10</v>
      </c>
      <c r="D82" s="774" t="s">
        <v>1256</v>
      </c>
      <c r="E82" s="775" t="s">
        <v>1263</v>
      </c>
      <c r="F82" s="775" t="s">
        <v>1261</v>
      </c>
      <c r="G82" s="775">
        <v>30</v>
      </c>
      <c r="H82" s="775" t="s">
        <v>0</v>
      </c>
      <c r="I82" s="776" t="s">
        <v>42</v>
      </c>
      <c r="J82" s="774" t="s">
        <v>42</v>
      </c>
      <c r="K82" s="774" t="s">
        <v>42</v>
      </c>
      <c r="L82" s="777">
        <v>250</v>
      </c>
      <c r="M82" s="778">
        <v>0</v>
      </c>
      <c r="N82" s="779">
        <v>139</v>
      </c>
      <c r="O82" s="780">
        <v>0</v>
      </c>
      <c r="P82" s="781">
        <v>0.5</v>
      </c>
      <c r="Q82" s="781">
        <v>0.22770000000000001</v>
      </c>
      <c r="R82" s="782">
        <v>0</v>
      </c>
      <c r="S82" s="781">
        <v>4.5</v>
      </c>
      <c r="T82" s="781">
        <v>3.2</v>
      </c>
      <c r="U82" s="781">
        <v>0.91079999999999994</v>
      </c>
      <c r="V82" s="781">
        <v>0.68309999999999993</v>
      </c>
      <c r="W82" s="781">
        <v>3.7949999999999999</v>
      </c>
      <c r="X82" s="781">
        <v>1.0626000000000002</v>
      </c>
      <c r="Y82" s="781">
        <v>5.3129999999999997</v>
      </c>
      <c r="Z82" s="781">
        <v>15.18</v>
      </c>
      <c r="AA82" s="781">
        <v>22.77</v>
      </c>
      <c r="AB82" s="781">
        <v>15.18</v>
      </c>
      <c r="AC82" s="781">
        <v>7.5900000000000009E-2</v>
      </c>
      <c r="AD82" s="781">
        <v>7.5900000000000009E-2</v>
      </c>
      <c r="AE82" s="781">
        <v>7.5900000000000009E-2</v>
      </c>
      <c r="AF82" s="781"/>
      <c r="AG82" s="781"/>
      <c r="AH82" s="781"/>
      <c r="AI82" s="784"/>
      <c r="AK82" s="783">
        <f>IFERROR(Tabela1[[#This Row],[EE(g)]]/Tabela1[[#This Row],[CMS(kg)]],0)</f>
        <v>0</v>
      </c>
    </row>
    <row r="83" spans="2:37" hidden="1">
      <c r="B83" s="774">
        <f>ROW()^2+(Tabela1[[#This Row],[ID2]])+ROW()</f>
        <v>6984</v>
      </c>
      <c r="C83" s="774">
        <v>12</v>
      </c>
      <c r="D83" s="774" t="s">
        <v>1256</v>
      </c>
      <c r="E83" s="775" t="s">
        <v>1263</v>
      </c>
      <c r="F83" s="775" t="s">
        <v>1261</v>
      </c>
      <c r="G83" s="775">
        <v>30</v>
      </c>
      <c r="H83" s="775" t="s">
        <v>0</v>
      </c>
      <c r="I83" s="776" t="s">
        <v>42</v>
      </c>
      <c r="J83" s="774" t="s">
        <v>42</v>
      </c>
      <c r="K83" s="774" t="s">
        <v>42</v>
      </c>
      <c r="L83" s="777">
        <v>300</v>
      </c>
      <c r="M83" s="778">
        <v>0</v>
      </c>
      <c r="N83" s="779">
        <v>162</v>
      </c>
      <c r="O83" s="780">
        <v>0</v>
      </c>
      <c r="P83" s="781">
        <v>0.57999999999999996</v>
      </c>
      <c r="Q83" s="781">
        <v>0.26369999999999999</v>
      </c>
      <c r="R83" s="782">
        <v>0</v>
      </c>
      <c r="S83" s="781">
        <v>5.3</v>
      </c>
      <c r="T83" s="781">
        <v>3.8</v>
      </c>
      <c r="U83" s="781">
        <v>1.0548000000000002</v>
      </c>
      <c r="V83" s="781">
        <v>0.79110000000000003</v>
      </c>
      <c r="W83" s="781">
        <v>4.3950000000000005</v>
      </c>
      <c r="X83" s="781">
        <v>1.2306000000000004</v>
      </c>
      <c r="Y83" s="781">
        <v>6.1530000000000005</v>
      </c>
      <c r="Z83" s="781">
        <v>17.580000000000002</v>
      </c>
      <c r="AA83" s="781">
        <v>26.370000000000005</v>
      </c>
      <c r="AB83" s="781">
        <v>17.580000000000002</v>
      </c>
      <c r="AC83" s="781">
        <v>8.790000000000002E-2</v>
      </c>
      <c r="AD83" s="781">
        <v>8.790000000000002E-2</v>
      </c>
      <c r="AE83" s="781">
        <v>8.790000000000002E-2</v>
      </c>
      <c r="AF83" s="781"/>
      <c r="AG83" s="781"/>
      <c r="AH83" s="781"/>
      <c r="AI83" s="784"/>
      <c r="AK83" s="783">
        <f>IFERROR(Tabela1[[#This Row],[EE(g)]]/Tabela1[[#This Row],[CMS(kg)]],0)</f>
        <v>0</v>
      </c>
    </row>
    <row r="84" spans="2:37" hidden="1">
      <c r="B84" s="774">
        <f>ROW()^2+(Tabela1[[#This Row],[ID2]])+ROW()</f>
        <v>7154</v>
      </c>
      <c r="C84" s="774">
        <v>14</v>
      </c>
      <c r="D84" s="774" t="s">
        <v>1256</v>
      </c>
      <c r="E84" s="775" t="s">
        <v>1263</v>
      </c>
      <c r="F84" s="775" t="s">
        <v>1261</v>
      </c>
      <c r="G84" s="775">
        <v>30</v>
      </c>
      <c r="H84" s="775" t="s">
        <v>0</v>
      </c>
      <c r="I84" s="776" t="s">
        <v>42</v>
      </c>
      <c r="J84" s="774" t="s">
        <v>42</v>
      </c>
      <c r="K84" s="774" t="s">
        <v>42</v>
      </c>
      <c r="L84" s="777">
        <v>400</v>
      </c>
      <c r="M84" s="778">
        <v>0</v>
      </c>
      <c r="N84" s="779">
        <v>208</v>
      </c>
      <c r="O84" s="780">
        <v>0</v>
      </c>
      <c r="P84" s="781">
        <v>0.74</v>
      </c>
      <c r="Q84" s="781">
        <v>0.33479999999999999</v>
      </c>
      <c r="R84" s="782">
        <v>0</v>
      </c>
      <c r="S84" s="781">
        <v>6.9</v>
      </c>
      <c r="T84" s="781">
        <v>5</v>
      </c>
      <c r="U84" s="781">
        <v>1.3392000000000002</v>
      </c>
      <c r="V84" s="781">
        <v>1.0044</v>
      </c>
      <c r="W84" s="781">
        <v>5.58</v>
      </c>
      <c r="X84" s="781">
        <v>1.5624000000000002</v>
      </c>
      <c r="Y84" s="781">
        <v>7.8120000000000012</v>
      </c>
      <c r="Z84" s="781">
        <v>22.32</v>
      </c>
      <c r="AA84" s="781">
        <v>33.480000000000004</v>
      </c>
      <c r="AB84" s="781">
        <v>22.32</v>
      </c>
      <c r="AC84" s="781">
        <v>0.11160000000000002</v>
      </c>
      <c r="AD84" s="781">
        <v>0.11160000000000002</v>
      </c>
      <c r="AE84" s="781">
        <v>0.11160000000000002</v>
      </c>
      <c r="AF84" s="781"/>
      <c r="AG84" s="781"/>
      <c r="AH84" s="781"/>
      <c r="AI84" s="784"/>
      <c r="AK84" s="783">
        <f>IFERROR(Tabela1[[#This Row],[EE(g)]]/Tabela1[[#This Row],[CMS(kg)]],0)</f>
        <v>0</v>
      </c>
    </row>
    <row r="85" spans="2:37" hidden="1">
      <c r="B85" s="774">
        <f>ROW()^2+(Tabela1[[#This Row],[ID2]])+ROW()</f>
        <v>7325</v>
      </c>
      <c r="C85" s="774">
        <v>15</v>
      </c>
      <c r="D85" s="774" t="s">
        <v>1256</v>
      </c>
      <c r="E85" s="775" t="s">
        <v>1263</v>
      </c>
      <c r="F85" s="775" t="s">
        <v>1261</v>
      </c>
      <c r="G85" s="775">
        <v>40</v>
      </c>
      <c r="H85" s="775" t="s">
        <v>0</v>
      </c>
      <c r="I85" s="776" t="s">
        <v>42</v>
      </c>
      <c r="J85" s="774" t="s">
        <v>42</v>
      </c>
      <c r="K85" s="774" t="s">
        <v>42</v>
      </c>
      <c r="L85" s="777">
        <v>250</v>
      </c>
      <c r="M85" s="778">
        <v>0</v>
      </c>
      <c r="N85" s="779">
        <v>163</v>
      </c>
      <c r="O85" s="780">
        <v>0</v>
      </c>
      <c r="P85" s="781">
        <v>0.7</v>
      </c>
      <c r="Q85" s="781">
        <v>0.3972</v>
      </c>
      <c r="R85" s="782">
        <v>0</v>
      </c>
      <c r="S85" s="781">
        <v>5</v>
      </c>
      <c r="T85" s="781">
        <v>3.7</v>
      </c>
      <c r="U85" s="781">
        <v>1.5887999999999998</v>
      </c>
      <c r="V85" s="781">
        <v>1.1915999999999998</v>
      </c>
      <c r="W85" s="781">
        <v>6.6199999999999992</v>
      </c>
      <c r="X85" s="781">
        <v>1.8535999999999999</v>
      </c>
      <c r="Y85" s="781">
        <v>9.2679999999999989</v>
      </c>
      <c r="Z85" s="781">
        <v>26.479999999999997</v>
      </c>
      <c r="AA85" s="781">
        <v>39.72</v>
      </c>
      <c r="AB85" s="781">
        <v>26.479999999999997</v>
      </c>
      <c r="AC85" s="781">
        <v>0.13239999999999999</v>
      </c>
      <c r="AD85" s="781">
        <v>0.13239999999999999</v>
      </c>
      <c r="AE85" s="781">
        <v>0.13239999999999999</v>
      </c>
      <c r="AF85" s="781"/>
      <c r="AG85" s="781"/>
      <c r="AH85" s="781"/>
      <c r="AI85" s="784"/>
      <c r="AK85" s="783">
        <f>IFERROR(Tabela1[[#This Row],[EE(g)]]/Tabela1[[#This Row],[CMS(kg)]],0)</f>
        <v>0</v>
      </c>
    </row>
    <row r="86" spans="2:37" hidden="1">
      <c r="B86" s="774">
        <f>ROW()^2+(Tabela1[[#This Row],[ID2]])+ROW()</f>
        <v>7498</v>
      </c>
      <c r="C86" s="774">
        <v>16</v>
      </c>
      <c r="D86" s="774" t="s">
        <v>1256</v>
      </c>
      <c r="E86" s="775" t="s">
        <v>1263</v>
      </c>
      <c r="F86" s="775" t="s">
        <v>1261</v>
      </c>
      <c r="G86" s="775">
        <v>40</v>
      </c>
      <c r="H86" s="775" t="s">
        <v>0</v>
      </c>
      <c r="I86" s="776" t="s">
        <v>42</v>
      </c>
      <c r="J86" s="774" t="s">
        <v>42</v>
      </c>
      <c r="K86" s="774" t="s">
        <v>42</v>
      </c>
      <c r="L86" s="777">
        <v>300</v>
      </c>
      <c r="M86" s="778">
        <v>0</v>
      </c>
      <c r="N86" s="779">
        <v>190</v>
      </c>
      <c r="O86" s="780">
        <v>0</v>
      </c>
      <c r="P86" s="781">
        <v>0.82</v>
      </c>
      <c r="Q86" s="781">
        <v>0.46079999999999999</v>
      </c>
      <c r="R86" s="782">
        <v>0</v>
      </c>
      <c r="S86" s="781">
        <v>5.9</v>
      </c>
      <c r="T86" s="781">
        <v>4.4000000000000004</v>
      </c>
      <c r="U86" s="781">
        <v>1.8431999999999997</v>
      </c>
      <c r="V86" s="781">
        <v>1.3823999999999996</v>
      </c>
      <c r="W86" s="781">
        <v>7.6799999999999988</v>
      </c>
      <c r="X86" s="781">
        <v>2.1503999999999999</v>
      </c>
      <c r="Y86" s="781">
        <v>10.751999999999999</v>
      </c>
      <c r="Z86" s="781">
        <v>30.719999999999995</v>
      </c>
      <c r="AA86" s="781">
        <v>46.079999999999991</v>
      </c>
      <c r="AB86" s="781">
        <v>30.719999999999995</v>
      </c>
      <c r="AC86" s="781">
        <v>0.15359999999999999</v>
      </c>
      <c r="AD86" s="781">
        <v>0.15359999999999999</v>
      </c>
      <c r="AE86" s="781">
        <v>0.15359999999999999</v>
      </c>
      <c r="AF86" s="781"/>
      <c r="AG86" s="781"/>
      <c r="AH86" s="781"/>
      <c r="AI86" s="784"/>
      <c r="AK86" s="783">
        <f>IFERROR(Tabela1[[#This Row],[EE(g)]]/Tabela1[[#This Row],[CMS(kg)]],0)</f>
        <v>0</v>
      </c>
    </row>
    <row r="87" spans="2:37" hidden="1">
      <c r="B87" s="774">
        <f>ROW()^2+(Tabela1[[#This Row],[ID2]])+ROW()</f>
        <v>7673</v>
      </c>
      <c r="C87" s="774">
        <v>17</v>
      </c>
      <c r="D87" s="774" t="s">
        <v>1256</v>
      </c>
      <c r="E87" s="775" t="s">
        <v>1263</v>
      </c>
      <c r="F87" s="775" t="s">
        <v>1261</v>
      </c>
      <c r="G87" s="775">
        <v>40</v>
      </c>
      <c r="H87" s="775" t="s">
        <v>0</v>
      </c>
      <c r="I87" s="776" t="s">
        <v>42</v>
      </c>
      <c r="J87" s="774" t="s">
        <v>42</v>
      </c>
      <c r="K87" s="774" t="s">
        <v>42</v>
      </c>
      <c r="L87" s="777">
        <v>400</v>
      </c>
      <c r="M87" s="778">
        <v>0</v>
      </c>
      <c r="N87" s="779">
        <v>213</v>
      </c>
      <c r="O87" s="780">
        <v>0</v>
      </c>
      <c r="P87" s="781">
        <v>0.7</v>
      </c>
      <c r="Q87" s="781">
        <v>0.34920000000000001</v>
      </c>
      <c r="R87" s="782">
        <v>0</v>
      </c>
      <c r="S87" s="781">
        <v>7</v>
      </c>
      <c r="T87" s="781">
        <v>5.0999999999999996</v>
      </c>
      <c r="U87" s="781">
        <v>1.3968</v>
      </c>
      <c r="V87" s="781">
        <v>1.0476000000000001</v>
      </c>
      <c r="W87" s="781">
        <v>5.82</v>
      </c>
      <c r="X87" s="781">
        <v>1.6296000000000004</v>
      </c>
      <c r="Y87" s="781">
        <v>8.1480000000000015</v>
      </c>
      <c r="Z87" s="781">
        <v>23.28</v>
      </c>
      <c r="AA87" s="781">
        <v>34.92</v>
      </c>
      <c r="AB87" s="781">
        <v>23.28</v>
      </c>
      <c r="AC87" s="781">
        <v>0.11640000000000002</v>
      </c>
      <c r="AD87" s="781">
        <v>0.11640000000000002</v>
      </c>
      <c r="AE87" s="781">
        <v>0.11640000000000002</v>
      </c>
      <c r="AF87" s="781"/>
      <c r="AG87" s="781"/>
      <c r="AH87" s="781"/>
      <c r="AI87" s="784"/>
      <c r="AK87" s="783">
        <f>IFERROR(Tabela1[[#This Row],[EE(g)]]/Tabela1[[#This Row],[CMS(kg)]],0)</f>
        <v>0</v>
      </c>
    </row>
    <row r="88" spans="2:37" hidden="1">
      <c r="B88" s="774">
        <f>ROW()^2+(Tabela1[[#This Row],[ID2]])+ROW()</f>
        <v>7850</v>
      </c>
      <c r="C88" s="774">
        <v>18</v>
      </c>
      <c r="D88" s="774" t="s">
        <v>1256</v>
      </c>
      <c r="E88" s="775" t="s">
        <v>1263</v>
      </c>
      <c r="F88" s="775" t="s">
        <v>1261</v>
      </c>
      <c r="G88" s="775">
        <v>40</v>
      </c>
      <c r="H88" s="775" t="s">
        <v>0</v>
      </c>
      <c r="I88" s="776" t="s">
        <v>42</v>
      </c>
      <c r="J88" s="774" t="s">
        <v>42</v>
      </c>
      <c r="K88" s="774" t="s">
        <v>42</v>
      </c>
      <c r="L88" s="777">
        <v>500</v>
      </c>
      <c r="M88" s="778">
        <v>0</v>
      </c>
      <c r="N88" s="779">
        <v>259</v>
      </c>
      <c r="O88" s="780">
        <v>0</v>
      </c>
      <c r="P88" s="781">
        <v>0.93</v>
      </c>
      <c r="Q88" s="781">
        <v>0.42120000000000002</v>
      </c>
      <c r="R88" s="782">
        <v>0</v>
      </c>
      <c r="S88" s="781">
        <v>8.6</v>
      </c>
      <c r="T88" s="781">
        <v>6.3</v>
      </c>
      <c r="U88" s="781">
        <v>1.6847999999999999</v>
      </c>
      <c r="V88" s="781">
        <v>1.2635999999999998</v>
      </c>
      <c r="W88" s="781">
        <v>7.02</v>
      </c>
      <c r="X88" s="781">
        <v>1.9656</v>
      </c>
      <c r="Y88" s="781">
        <v>9.8279999999999994</v>
      </c>
      <c r="Z88" s="781">
        <v>28.08</v>
      </c>
      <c r="AA88" s="781">
        <v>42.12</v>
      </c>
      <c r="AB88" s="781">
        <v>28.08</v>
      </c>
      <c r="AC88" s="781">
        <v>0.1404</v>
      </c>
      <c r="AD88" s="781">
        <v>0.1404</v>
      </c>
      <c r="AE88" s="781">
        <v>0.1404</v>
      </c>
      <c r="AF88" s="781"/>
      <c r="AG88" s="781"/>
      <c r="AH88" s="781"/>
      <c r="AI88" s="784"/>
      <c r="AK88" s="783">
        <f>IFERROR(Tabela1[[#This Row],[EE(g)]]/Tabela1[[#This Row],[CMS(kg)]],0)</f>
        <v>0</v>
      </c>
    </row>
    <row r="89" spans="2:37" hidden="1">
      <c r="B89" s="774">
        <f>ROW()^2+(Tabela1[[#This Row],[ID2]])+ROW()</f>
        <v>8029</v>
      </c>
      <c r="C89" s="774">
        <v>19</v>
      </c>
      <c r="D89" s="774" t="s">
        <v>1256</v>
      </c>
      <c r="E89" s="775" t="s">
        <v>1263</v>
      </c>
      <c r="F89" s="775" t="s">
        <v>1261</v>
      </c>
      <c r="G89" s="775">
        <v>50</v>
      </c>
      <c r="H89" s="775" t="s">
        <v>0</v>
      </c>
      <c r="I89" s="776" t="s">
        <v>42</v>
      </c>
      <c r="J89" s="774" t="s">
        <v>42</v>
      </c>
      <c r="K89" s="774" t="s">
        <v>42</v>
      </c>
      <c r="L89" s="777">
        <v>250</v>
      </c>
      <c r="M89" s="778">
        <v>0</v>
      </c>
      <c r="N89" s="779">
        <v>169</v>
      </c>
      <c r="O89" s="780">
        <v>0</v>
      </c>
      <c r="P89" s="781">
        <v>0.73</v>
      </c>
      <c r="Q89" s="781">
        <v>0.41399999999999998</v>
      </c>
      <c r="R89" s="782">
        <v>0</v>
      </c>
      <c r="S89" s="781">
        <v>5.0999999999999996</v>
      </c>
      <c r="T89" s="781">
        <v>3.8</v>
      </c>
      <c r="U89" s="781">
        <v>1.6559999999999999</v>
      </c>
      <c r="V89" s="781">
        <v>1.2419999999999998</v>
      </c>
      <c r="W89" s="781">
        <v>6.8999999999999995</v>
      </c>
      <c r="X89" s="781">
        <v>1.9319999999999999</v>
      </c>
      <c r="Y89" s="781">
        <v>9.66</v>
      </c>
      <c r="Z89" s="781">
        <v>27.599999999999998</v>
      </c>
      <c r="AA89" s="781">
        <v>41.4</v>
      </c>
      <c r="AB89" s="781">
        <v>27.599999999999998</v>
      </c>
      <c r="AC89" s="781">
        <v>0.13799999999999998</v>
      </c>
      <c r="AD89" s="781">
        <v>0.13799999999999998</v>
      </c>
      <c r="AE89" s="781">
        <v>0.13799999999999998</v>
      </c>
      <c r="AF89" s="781"/>
      <c r="AG89" s="781"/>
      <c r="AH89" s="781"/>
      <c r="AI89" s="784"/>
      <c r="AK89" s="783">
        <f>IFERROR(Tabela1[[#This Row],[EE(g)]]/Tabela1[[#This Row],[CMS(kg)]],0)</f>
        <v>0</v>
      </c>
    </row>
    <row r="90" spans="2:37" hidden="1">
      <c r="B90" s="774">
        <f>ROW()^2+(Tabela1[[#This Row],[ID2]])+ROW()</f>
        <v>8210</v>
      </c>
      <c r="C90" s="774">
        <v>20</v>
      </c>
      <c r="D90" s="774" t="s">
        <v>1256</v>
      </c>
      <c r="E90" s="775" t="s">
        <v>1263</v>
      </c>
      <c r="F90" s="775" t="s">
        <v>1261</v>
      </c>
      <c r="G90" s="775">
        <v>50</v>
      </c>
      <c r="H90" s="775" t="s">
        <v>0</v>
      </c>
      <c r="I90" s="776" t="s">
        <v>42</v>
      </c>
      <c r="J90" s="774" t="s">
        <v>42</v>
      </c>
      <c r="K90" s="774" t="s">
        <v>42</v>
      </c>
      <c r="L90" s="777">
        <v>300</v>
      </c>
      <c r="M90" s="778">
        <v>0</v>
      </c>
      <c r="N90" s="779">
        <v>195</v>
      </c>
      <c r="O90" s="780">
        <v>0</v>
      </c>
      <c r="P90" s="781">
        <v>0.85</v>
      </c>
      <c r="Q90" s="781">
        <v>0.47849999999999998</v>
      </c>
      <c r="R90" s="782">
        <v>0</v>
      </c>
      <c r="S90" s="781">
        <v>6</v>
      </c>
      <c r="T90" s="781">
        <v>4.5</v>
      </c>
      <c r="U90" s="781">
        <v>1.9139999999999999</v>
      </c>
      <c r="V90" s="781">
        <v>1.4354999999999998</v>
      </c>
      <c r="W90" s="781">
        <v>7.9749999999999996</v>
      </c>
      <c r="X90" s="781">
        <v>2.2330000000000001</v>
      </c>
      <c r="Y90" s="781">
        <v>11.164999999999999</v>
      </c>
      <c r="Z90" s="781">
        <v>31.9</v>
      </c>
      <c r="AA90" s="781">
        <v>47.85</v>
      </c>
      <c r="AB90" s="781">
        <v>31.9</v>
      </c>
      <c r="AC90" s="781">
        <v>0.1595</v>
      </c>
      <c r="AD90" s="781">
        <v>0.1595</v>
      </c>
      <c r="AE90" s="781">
        <v>0.1595</v>
      </c>
      <c r="AF90" s="781"/>
      <c r="AG90" s="781"/>
      <c r="AH90" s="781"/>
      <c r="AI90" s="784"/>
      <c r="AK90" s="783">
        <f>IFERROR(Tabela1[[#This Row],[EE(g)]]/Tabela1[[#This Row],[CMS(kg)]],0)</f>
        <v>0</v>
      </c>
    </row>
    <row r="91" spans="2:37" hidden="1">
      <c r="B91" s="774">
        <f>ROW()^2+(Tabela1[[#This Row],[ID2]])+ROW()</f>
        <v>8393</v>
      </c>
      <c r="C91" s="774">
        <v>21</v>
      </c>
      <c r="D91" s="774" t="s">
        <v>1256</v>
      </c>
      <c r="E91" s="775" t="s">
        <v>1263</v>
      </c>
      <c r="F91" s="775" t="s">
        <v>1261</v>
      </c>
      <c r="G91" s="775">
        <v>50</v>
      </c>
      <c r="H91" s="775" t="s">
        <v>0</v>
      </c>
      <c r="I91" s="776" t="s">
        <v>42</v>
      </c>
      <c r="J91" s="774" t="s">
        <v>42</v>
      </c>
      <c r="K91" s="774" t="s">
        <v>42</v>
      </c>
      <c r="L91" s="777">
        <v>400</v>
      </c>
      <c r="M91" s="778">
        <v>0</v>
      </c>
      <c r="N91" s="779">
        <v>218</v>
      </c>
      <c r="O91" s="780">
        <v>0</v>
      </c>
      <c r="P91" s="781">
        <v>0.8</v>
      </c>
      <c r="Q91" s="781">
        <v>0.36299999999999999</v>
      </c>
      <c r="R91" s="782">
        <v>0</v>
      </c>
      <c r="S91" s="781">
        <v>7</v>
      </c>
      <c r="T91" s="781">
        <v>5.0999999999999996</v>
      </c>
      <c r="U91" s="781">
        <v>1.452</v>
      </c>
      <c r="V91" s="781">
        <v>1.089</v>
      </c>
      <c r="W91" s="781">
        <v>6.05</v>
      </c>
      <c r="X91" s="781">
        <v>1.6940000000000002</v>
      </c>
      <c r="Y91" s="781">
        <v>8.4699999999999989</v>
      </c>
      <c r="Z91" s="781">
        <v>24.2</v>
      </c>
      <c r="AA91" s="781">
        <v>36.299999999999997</v>
      </c>
      <c r="AB91" s="781">
        <v>24.2</v>
      </c>
      <c r="AC91" s="781">
        <v>0.121</v>
      </c>
      <c r="AD91" s="781">
        <v>0.121</v>
      </c>
      <c r="AE91" s="781">
        <v>0.121</v>
      </c>
      <c r="AF91" s="781"/>
      <c r="AG91" s="781"/>
      <c r="AH91" s="781"/>
      <c r="AI91" s="784"/>
      <c r="AK91" s="783">
        <f>IFERROR(Tabela1[[#This Row],[EE(g)]]/Tabela1[[#This Row],[CMS(kg)]],0)</f>
        <v>0</v>
      </c>
    </row>
    <row r="92" spans="2:37" hidden="1">
      <c r="B92" s="774">
        <f>ROW()^2+(Tabela1[[#This Row],[ID2]])+ROW()</f>
        <v>8578</v>
      </c>
      <c r="C92" s="774">
        <v>22</v>
      </c>
      <c r="D92" s="774" t="s">
        <v>1256</v>
      </c>
      <c r="E92" s="775" t="s">
        <v>1263</v>
      </c>
      <c r="F92" s="775" t="s">
        <v>1261</v>
      </c>
      <c r="G92" s="775">
        <v>50</v>
      </c>
      <c r="H92" s="775" t="s">
        <v>0</v>
      </c>
      <c r="I92" s="776" t="s">
        <v>42</v>
      </c>
      <c r="J92" s="774" t="s">
        <v>42</v>
      </c>
      <c r="K92" s="774" t="s">
        <v>42</v>
      </c>
      <c r="L92" s="777">
        <v>500</v>
      </c>
      <c r="M92" s="778">
        <v>0</v>
      </c>
      <c r="N92" s="779">
        <v>264</v>
      </c>
      <c r="O92" s="780">
        <v>0</v>
      </c>
      <c r="P92" s="781">
        <v>0.96</v>
      </c>
      <c r="Q92" s="781">
        <v>0.435</v>
      </c>
      <c r="R92" s="782">
        <v>0</v>
      </c>
      <c r="S92" s="781">
        <v>8.6</v>
      </c>
      <c r="T92" s="781">
        <v>6.3</v>
      </c>
      <c r="U92" s="781">
        <v>1.74</v>
      </c>
      <c r="V92" s="781">
        <v>1.3049999999999999</v>
      </c>
      <c r="W92" s="781">
        <v>7.25</v>
      </c>
      <c r="X92" s="781">
        <v>2.0300000000000002</v>
      </c>
      <c r="Y92" s="781">
        <v>10.15</v>
      </c>
      <c r="Z92" s="781">
        <v>29</v>
      </c>
      <c r="AA92" s="781">
        <v>43.5</v>
      </c>
      <c r="AB92" s="781">
        <v>29</v>
      </c>
      <c r="AC92" s="781">
        <v>0.14499999999999999</v>
      </c>
      <c r="AD92" s="781">
        <v>0.14499999999999999</v>
      </c>
      <c r="AE92" s="781">
        <v>0.14499999999999999</v>
      </c>
      <c r="AF92" s="781"/>
      <c r="AG92" s="781"/>
      <c r="AH92" s="781"/>
      <c r="AI92" s="784"/>
      <c r="AK92" s="783">
        <f>IFERROR(Tabela1[[#This Row],[EE(g)]]/Tabela1[[#This Row],[CMS(kg)]],0)</f>
        <v>0</v>
      </c>
    </row>
    <row r="93" spans="2:37" hidden="1">
      <c r="B93" s="774">
        <f>ROW()^2+(Tabela1[[#This Row],[ID2]])+ROW()</f>
        <v>8765</v>
      </c>
      <c r="C93" s="774">
        <v>23</v>
      </c>
      <c r="D93" s="774" t="s">
        <v>1256</v>
      </c>
      <c r="E93" s="775" t="s">
        <v>1263</v>
      </c>
      <c r="F93" s="775" t="s">
        <v>1261</v>
      </c>
      <c r="G93" s="775">
        <v>50</v>
      </c>
      <c r="H93" s="775" t="s">
        <v>0</v>
      </c>
      <c r="I93" s="776" t="s">
        <v>42</v>
      </c>
      <c r="J93" s="774" t="s">
        <v>42</v>
      </c>
      <c r="K93" s="774" t="s">
        <v>42</v>
      </c>
      <c r="L93" s="777">
        <v>600</v>
      </c>
      <c r="M93" s="778">
        <v>0</v>
      </c>
      <c r="N93" s="779">
        <v>310</v>
      </c>
      <c r="O93" s="780">
        <v>0</v>
      </c>
      <c r="P93" s="781">
        <v>1.1199999999999999</v>
      </c>
      <c r="Q93" s="781">
        <v>0.50700000000000001</v>
      </c>
      <c r="R93" s="782">
        <v>0</v>
      </c>
      <c r="S93" s="781">
        <v>10.199999999999999</v>
      </c>
      <c r="T93" s="781">
        <v>7.6</v>
      </c>
      <c r="U93" s="781">
        <v>2.028</v>
      </c>
      <c r="V93" s="781">
        <v>1.5209999999999999</v>
      </c>
      <c r="W93" s="781">
        <v>8.4499999999999993</v>
      </c>
      <c r="X93" s="781">
        <v>2.3660000000000001</v>
      </c>
      <c r="Y93" s="781">
        <v>11.83</v>
      </c>
      <c r="Z93" s="781">
        <v>33.799999999999997</v>
      </c>
      <c r="AA93" s="781">
        <v>50.699999999999996</v>
      </c>
      <c r="AB93" s="781">
        <v>33.799999999999997</v>
      </c>
      <c r="AC93" s="781">
        <v>0.16900000000000001</v>
      </c>
      <c r="AD93" s="781">
        <v>0.16900000000000001</v>
      </c>
      <c r="AE93" s="781">
        <v>0.16900000000000001</v>
      </c>
      <c r="AF93" s="781"/>
      <c r="AG93" s="781"/>
      <c r="AH93" s="781"/>
      <c r="AI93" s="784"/>
      <c r="AK93" s="783">
        <f>IFERROR(Tabela1[[#This Row],[EE(g)]]/Tabela1[[#This Row],[CMS(kg)]],0)</f>
        <v>0</v>
      </c>
    </row>
    <row r="94" spans="2:37" hidden="1">
      <c r="B94" s="774">
        <f>ROW()^2+(Tabela1[[#This Row],[ID2]])+ROW()</f>
        <v>8954</v>
      </c>
      <c r="C94" s="774">
        <v>24</v>
      </c>
      <c r="D94" s="774" t="s">
        <v>1256</v>
      </c>
      <c r="E94" s="775" t="s">
        <v>1263</v>
      </c>
      <c r="F94" s="775" t="s">
        <v>1261</v>
      </c>
      <c r="G94" s="775">
        <v>60</v>
      </c>
      <c r="H94" s="775" t="s">
        <v>0</v>
      </c>
      <c r="I94" s="776" t="s">
        <v>42</v>
      </c>
      <c r="J94" s="774" t="s">
        <v>42</v>
      </c>
      <c r="K94" s="774" t="s">
        <v>42</v>
      </c>
      <c r="L94" s="777">
        <v>250</v>
      </c>
      <c r="M94" s="778">
        <v>0</v>
      </c>
      <c r="N94" s="779">
        <v>174</v>
      </c>
      <c r="O94" s="780">
        <v>0</v>
      </c>
      <c r="P94" s="781">
        <v>0.76</v>
      </c>
      <c r="Q94" s="781">
        <v>0.43020000000000003</v>
      </c>
      <c r="R94" s="782">
        <v>0</v>
      </c>
      <c r="S94" s="781">
        <v>5.0999999999999996</v>
      </c>
      <c r="T94" s="781">
        <v>3.8</v>
      </c>
      <c r="U94" s="781">
        <v>1.7208000000000001</v>
      </c>
      <c r="V94" s="781">
        <v>1.2906</v>
      </c>
      <c r="W94" s="781">
        <v>7.1700000000000008</v>
      </c>
      <c r="X94" s="781">
        <v>2.0076000000000005</v>
      </c>
      <c r="Y94" s="781">
        <v>10.038</v>
      </c>
      <c r="Z94" s="781">
        <v>28.680000000000003</v>
      </c>
      <c r="AA94" s="781">
        <v>43.02</v>
      </c>
      <c r="AB94" s="781">
        <v>28.680000000000003</v>
      </c>
      <c r="AC94" s="781">
        <v>0.14340000000000003</v>
      </c>
      <c r="AD94" s="781">
        <v>0.14340000000000003</v>
      </c>
      <c r="AE94" s="781">
        <v>0.14340000000000003</v>
      </c>
      <c r="AF94" s="781"/>
      <c r="AG94" s="781"/>
      <c r="AH94" s="781"/>
      <c r="AI94" s="784"/>
      <c r="AK94" s="783">
        <f>IFERROR(Tabela1[[#This Row],[EE(g)]]/Tabela1[[#This Row],[CMS(kg)]],0)</f>
        <v>0</v>
      </c>
    </row>
    <row r="95" spans="2:37" hidden="1">
      <c r="B95" s="774">
        <f>ROW()^2+(Tabela1[[#This Row],[ID2]])+ROW()</f>
        <v>9145</v>
      </c>
      <c r="C95" s="774">
        <v>25</v>
      </c>
      <c r="D95" s="774" t="s">
        <v>1256</v>
      </c>
      <c r="E95" s="775" t="s">
        <v>1263</v>
      </c>
      <c r="F95" s="775" t="s">
        <v>1261</v>
      </c>
      <c r="G95" s="775">
        <v>60</v>
      </c>
      <c r="H95" s="775" t="s">
        <v>0</v>
      </c>
      <c r="I95" s="776" t="s">
        <v>42</v>
      </c>
      <c r="J95" s="774" t="s">
        <v>42</v>
      </c>
      <c r="K95" s="774" t="s">
        <v>42</v>
      </c>
      <c r="L95" s="777">
        <v>300</v>
      </c>
      <c r="M95" s="778">
        <v>0</v>
      </c>
      <c r="N95" s="779">
        <v>201</v>
      </c>
      <c r="O95" s="780">
        <v>0</v>
      </c>
      <c r="P95" s="781">
        <v>0.87</v>
      </c>
      <c r="Q95" s="781">
        <v>0.495</v>
      </c>
      <c r="R95" s="782">
        <v>0</v>
      </c>
      <c r="S95" s="781">
        <v>6</v>
      </c>
      <c r="T95" s="781">
        <v>4.5</v>
      </c>
      <c r="U95" s="781">
        <v>1.9799999999999998</v>
      </c>
      <c r="V95" s="781">
        <v>1.4849999999999999</v>
      </c>
      <c r="W95" s="781">
        <v>8.25</v>
      </c>
      <c r="X95" s="781">
        <v>2.31</v>
      </c>
      <c r="Y95" s="781">
        <v>11.549999999999999</v>
      </c>
      <c r="Z95" s="781">
        <v>33</v>
      </c>
      <c r="AA95" s="781">
        <v>49.5</v>
      </c>
      <c r="AB95" s="781">
        <v>33</v>
      </c>
      <c r="AC95" s="781">
        <v>0.16500000000000001</v>
      </c>
      <c r="AD95" s="781">
        <v>0.16500000000000001</v>
      </c>
      <c r="AE95" s="781">
        <v>0.16500000000000001</v>
      </c>
      <c r="AF95" s="781"/>
      <c r="AG95" s="781"/>
      <c r="AH95" s="781"/>
      <c r="AI95" s="784"/>
      <c r="AK95" s="783">
        <f>IFERROR(Tabela1[[#This Row],[EE(g)]]/Tabela1[[#This Row],[CMS(kg)]],0)</f>
        <v>0</v>
      </c>
    </row>
    <row r="96" spans="2:37" hidden="1">
      <c r="B96" s="774">
        <f>ROW()^2+(Tabela1[[#This Row],[ID2]])+ROW()</f>
        <v>9338</v>
      </c>
      <c r="C96" s="774">
        <v>26</v>
      </c>
      <c r="D96" s="774" t="s">
        <v>1256</v>
      </c>
      <c r="E96" s="775" t="s">
        <v>1263</v>
      </c>
      <c r="F96" s="775" t="s">
        <v>1261</v>
      </c>
      <c r="G96" s="775">
        <v>60</v>
      </c>
      <c r="H96" s="775" t="s">
        <v>0</v>
      </c>
      <c r="I96" s="776" t="s">
        <v>42</v>
      </c>
      <c r="J96" s="774" t="s">
        <v>42</v>
      </c>
      <c r="K96" s="774" t="s">
        <v>42</v>
      </c>
      <c r="L96" s="777">
        <v>400</v>
      </c>
      <c r="M96" s="778">
        <v>0</v>
      </c>
      <c r="N96" s="779">
        <v>254</v>
      </c>
      <c r="O96" s="780">
        <v>0</v>
      </c>
      <c r="P96" s="781">
        <v>1.1000000000000001</v>
      </c>
      <c r="Q96" s="781">
        <v>0.62460000000000004</v>
      </c>
      <c r="R96" s="782">
        <v>0</v>
      </c>
      <c r="S96" s="781">
        <v>7.8</v>
      </c>
      <c r="T96" s="781">
        <v>5.9</v>
      </c>
      <c r="U96" s="781">
        <v>2.4984000000000002</v>
      </c>
      <c r="V96" s="781">
        <v>1.8738000000000001</v>
      </c>
      <c r="W96" s="781">
        <v>10.410000000000002</v>
      </c>
      <c r="X96" s="781">
        <v>2.9148000000000005</v>
      </c>
      <c r="Y96" s="781">
        <v>14.574000000000002</v>
      </c>
      <c r="Z96" s="781">
        <v>41.640000000000008</v>
      </c>
      <c r="AA96" s="781">
        <v>62.460000000000008</v>
      </c>
      <c r="AB96" s="781">
        <v>41.640000000000008</v>
      </c>
      <c r="AC96" s="781">
        <v>0.20820000000000005</v>
      </c>
      <c r="AD96" s="781">
        <v>0.20820000000000005</v>
      </c>
      <c r="AE96" s="781">
        <v>0.20820000000000005</v>
      </c>
      <c r="AF96" s="781"/>
      <c r="AG96" s="781"/>
      <c r="AH96" s="781"/>
      <c r="AI96" s="784"/>
      <c r="AK96" s="783">
        <f>IFERROR(Tabela1[[#This Row],[EE(g)]]/Tabela1[[#This Row],[CMS(kg)]],0)</f>
        <v>0</v>
      </c>
    </row>
    <row r="97" spans="2:37" hidden="1">
      <c r="B97" s="774">
        <f>ROW()^2+(Tabela1[[#This Row],[ID2]])+ROW()</f>
        <v>9533</v>
      </c>
      <c r="C97" s="774">
        <v>27</v>
      </c>
      <c r="D97" s="774" t="s">
        <v>1256</v>
      </c>
      <c r="E97" s="775" t="s">
        <v>1263</v>
      </c>
      <c r="F97" s="775" t="s">
        <v>1261</v>
      </c>
      <c r="G97" s="775">
        <v>60</v>
      </c>
      <c r="H97" s="775" t="s">
        <v>0</v>
      </c>
      <c r="I97" s="776" t="s">
        <v>42</v>
      </c>
      <c r="J97" s="774" t="s">
        <v>42</v>
      </c>
      <c r="K97" s="774" t="s">
        <v>42</v>
      </c>
      <c r="L97" s="777">
        <v>500</v>
      </c>
      <c r="M97" s="778">
        <v>0</v>
      </c>
      <c r="N97" s="779">
        <v>269</v>
      </c>
      <c r="O97" s="780">
        <v>0</v>
      </c>
      <c r="P97" s="781">
        <v>0.99</v>
      </c>
      <c r="Q97" s="781">
        <v>0.44819999999999999</v>
      </c>
      <c r="R97" s="782">
        <v>0</v>
      </c>
      <c r="S97" s="781">
        <v>8.6999999999999993</v>
      </c>
      <c r="T97" s="781">
        <v>6.4</v>
      </c>
      <c r="U97" s="781">
        <v>1.7928000000000002</v>
      </c>
      <c r="V97" s="781">
        <v>1.3446</v>
      </c>
      <c r="W97" s="781">
        <v>7.4700000000000006</v>
      </c>
      <c r="X97" s="781">
        <v>2.0916000000000006</v>
      </c>
      <c r="Y97" s="781">
        <v>10.458000000000002</v>
      </c>
      <c r="Z97" s="781">
        <v>29.880000000000003</v>
      </c>
      <c r="AA97" s="781">
        <v>44.820000000000007</v>
      </c>
      <c r="AB97" s="781">
        <v>29.880000000000003</v>
      </c>
      <c r="AC97" s="781">
        <v>0.14940000000000003</v>
      </c>
      <c r="AD97" s="781">
        <v>0.14940000000000003</v>
      </c>
      <c r="AE97" s="781">
        <v>0.14940000000000003</v>
      </c>
      <c r="AF97" s="781"/>
      <c r="AG97" s="781"/>
      <c r="AH97" s="781"/>
      <c r="AI97" s="784"/>
      <c r="AK97" s="783">
        <f>IFERROR(Tabela1[[#This Row],[EE(g)]]/Tabela1[[#This Row],[CMS(kg)]],0)</f>
        <v>0</v>
      </c>
    </row>
    <row r="98" spans="2:37" hidden="1">
      <c r="B98" s="774">
        <f>ROW()^2+(Tabela1[[#This Row],[ID2]])+ROW()</f>
        <v>9730</v>
      </c>
      <c r="C98" s="774">
        <v>28</v>
      </c>
      <c r="D98" s="774" t="s">
        <v>1256</v>
      </c>
      <c r="E98" s="775" t="s">
        <v>1263</v>
      </c>
      <c r="F98" s="775" t="s">
        <v>1261</v>
      </c>
      <c r="G98" s="775">
        <v>60</v>
      </c>
      <c r="H98" s="775" t="s">
        <v>0</v>
      </c>
      <c r="I98" s="776" t="s">
        <v>42</v>
      </c>
      <c r="J98" s="774" t="s">
        <v>42</v>
      </c>
      <c r="K98" s="774" t="s">
        <v>42</v>
      </c>
      <c r="L98" s="777">
        <v>600</v>
      </c>
      <c r="M98" s="778">
        <v>0</v>
      </c>
      <c r="N98" s="779">
        <v>315</v>
      </c>
      <c r="O98" s="780">
        <v>0</v>
      </c>
      <c r="P98" s="781">
        <v>1.1500000000000001</v>
      </c>
      <c r="Q98" s="781">
        <v>0.52200000000000002</v>
      </c>
      <c r="R98" s="782">
        <v>0</v>
      </c>
      <c r="S98" s="781">
        <v>10.3</v>
      </c>
      <c r="T98" s="781">
        <v>7.6</v>
      </c>
      <c r="U98" s="781">
        <v>2.0879999999999996</v>
      </c>
      <c r="V98" s="781">
        <v>1.5659999999999996</v>
      </c>
      <c r="W98" s="781">
        <v>8.6999999999999993</v>
      </c>
      <c r="X98" s="781">
        <v>2.4359999999999999</v>
      </c>
      <c r="Y98" s="781">
        <v>12.179999999999998</v>
      </c>
      <c r="Z98" s="781">
        <v>34.799999999999997</v>
      </c>
      <c r="AA98" s="781">
        <v>52.199999999999996</v>
      </c>
      <c r="AB98" s="781">
        <v>34.799999999999997</v>
      </c>
      <c r="AC98" s="781">
        <v>0.17399999999999999</v>
      </c>
      <c r="AD98" s="781">
        <v>0.17399999999999999</v>
      </c>
      <c r="AE98" s="781">
        <v>0.17399999999999999</v>
      </c>
      <c r="AF98" s="781"/>
      <c r="AG98" s="781"/>
      <c r="AH98" s="781"/>
      <c r="AI98" s="784"/>
      <c r="AK98" s="783">
        <f>IFERROR(Tabela1[[#This Row],[EE(g)]]/Tabela1[[#This Row],[CMS(kg)]],0)</f>
        <v>0</v>
      </c>
    </row>
    <row r="99" spans="2:37" hidden="1">
      <c r="B99" s="774">
        <f>ROW()^2+(Tabela1[[#This Row],[ID2]])+ROW()</f>
        <v>9929</v>
      </c>
      <c r="C99" s="774">
        <v>29</v>
      </c>
      <c r="D99" s="774" t="s">
        <v>1256</v>
      </c>
      <c r="E99" s="775" t="s">
        <v>1263</v>
      </c>
      <c r="F99" s="775" t="s">
        <v>1261</v>
      </c>
      <c r="G99" s="775">
        <v>70</v>
      </c>
      <c r="H99" s="775" t="s">
        <v>0</v>
      </c>
      <c r="I99" s="776" t="s">
        <v>42</v>
      </c>
      <c r="J99" s="774" t="s">
        <v>42</v>
      </c>
      <c r="K99" s="774" t="s">
        <v>42</v>
      </c>
      <c r="L99" s="777">
        <v>150</v>
      </c>
      <c r="M99" s="778">
        <v>0</v>
      </c>
      <c r="N99" s="779">
        <v>125</v>
      </c>
      <c r="O99" s="780">
        <v>0</v>
      </c>
      <c r="P99" s="781">
        <v>0.55000000000000004</v>
      </c>
      <c r="Q99" s="781">
        <v>0.31290000000000001</v>
      </c>
      <c r="R99" s="782">
        <v>0</v>
      </c>
      <c r="S99" s="781">
        <v>3.4</v>
      </c>
      <c r="T99" s="781">
        <v>2.4</v>
      </c>
      <c r="U99" s="781">
        <v>1.2515999999999998</v>
      </c>
      <c r="V99" s="781">
        <v>0.93869999999999987</v>
      </c>
      <c r="W99" s="781">
        <v>5.2149999999999999</v>
      </c>
      <c r="X99" s="781">
        <v>1.4601999999999999</v>
      </c>
      <c r="Y99" s="781">
        <v>7.3009999999999993</v>
      </c>
      <c r="Z99" s="781">
        <v>20.86</v>
      </c>
      <c r="AA99" s="781">
        <v>31.29</v>
      </c>
      <c r="AB99" s="781">
        <v>20.86</v>
      </c>
      <c r="AC99" s="781">
        <v>0.1043</v>
      </c>
      <c r="AD99" s="781">
        <v>0.1043</v>
      </c>
      <c r="AE99" s="781">
        <v>0.1043</v>
      </c>
      <c r="AF99" s="781"/>
      <c r="AG99" s="781"/>
      <c r="AH99" s="781"/>
      <c r="AI99" s="784"/>
      <c r="AK99" s="783">
        <f>IFERROR(Tabela1[[#This Row],[EE(g)]]/Tabela1[[#This Row],[CMS(kg)]],0)</f>
        <v>0</v>
      </c>
    </row>
    <row r="100" spans="2:37" hidden="1">
      <c r="B100" s="774">
        <f>ROW()^2+(Tabela1[[#This Row],[ID2]])+ROW()</f>
        <v>10130</v>
      </c>
      <c r="C100" s="774">
        <v>30</v>
      </c>
      <c r="D100" s="774" t="s">
        <v>1256</v>
      </c>
      <c r="E100" s="775" t="s">
        <v>1263</v>
      </c>
      <c r="F100" s="775" t="s">
        <v>1261</v>
      </c>
      <c r="G100" s="775">
        <v>70</v>
      </c>
      <c r="H100" s="775" t="s">
        <v>0</v>
      </c>
      <c r="I100" s="776" t="s">
        <v>42</v>
      </c>
      <c r="J100" s="774" t="s">
        <v>42</v>
      </c>
      <c r="K100" s="774" t="s">
        <v>42</v>
      </c>
      <c r="L100" s="777">
        <v>200</v>
      </c>
      <c r="M100" s="778">
        <v>0</v>
      </c>
      <c r="N100" s="779">
        <v>152</v>
      </c>
      <c r="O100" s="780">
        <v>0</v>
      </c>
      <c r="P100" s="781">
        <v>0.67</v>
      </c>
      <c r="Q100" s="781">
        <v>0.378</v>
      </c>
      <c r="R100" s="782">
        <v>0</v>
      </c>
      <c r="S100" s="781">
        <v>4.3</v>
      </c>
      <c r="T100" s="781">
        <v>3.1</v>
      </c>
      <c r="U100" s="781">
        <v>1.5120000000000002</v>
      </c>
      <c r="V100" s="781">
        <v>1.1340000000000001</v>
      </c>
      <c r="W100" s="781">
        <v>6.3000000000000007</v>
      </c>
      <c r="X100" s="781">
        <v>1.7640000000000005</v>
      </c>
      <c r="Y100" s="781">
        <v>8.8200000000000021</v>
      </c>
      <c r="Z100" s="781">
        <v>25.200000000000003</v>
      </c>
      <c r="AA100" s="781">
        <v>37.800000000000004</v>
      </c>
      <c r="AB100" s="781">
        <v>25.200000000000003</v>
      </c>
      <c r="AC100" s="781">
        <v>0.12600000000000003</v>
      </c>
      <c r="AD100" s="781">
        <v>0.12600000000000003</v>
      </c>
      <c r="AE100" s="781">
        <v>0.12600000000000003</v>
      </c>
      <c r="AF100" s="781"/>
      <c r="AG100" s="781"/>
      <c r="AH100" s="781"/>
      <c r="AI100" s="784"/>
      <c r="AK100" s="783">
        <f>IFERROR(Tabela1[[#This Row],[EE(g)]]/Tabela1[[#This Row],[CMS(kg)]],0)</f>
        <v>0</v>
      </c>
    </row>
    <row r="101" spans="2:37" hidden="1">
      <c r="B101" s="774">
        <f>ROW()^2+(Tabela1[[#This Row],[ID2]])+ROW()</f>
        <v>10333</v>
      </c>
      <c r="C101" s="774">
        <v>31</v>
      </c>
      <c r="D101" s="774" t="s">
        <v>1256</v>
      </c>
      <c r="E101" s="775" t="s">
        <v>1263</v>
      </c>
      <c r="F101" s="775" t="s">
        <v>1261</v>
      </c>
      <c r="G101" s="775">
        <v>70</v>
      </c>
      <c r="H101" s="775" t="s">
        <v>0</v>
      </c>
      <c r="I101" s="776" t="s">
        <v>42</v>
      </c>
      <c r="J101" s="774" t="s">
        <v>42</v>
      </c>
      <c r="K101" s="774" t="s">
        <v>42</v>
      </c>
      <c r="L101" s="777">
        <v>300</v>
      </c>
      <c r="M101" s="778">
        <v>0</v>
      </c>
      <c r="N101" s="779">
        <v>206</v>
      </c>
      <c r="O101" s="780">
        <v>0</v>
      </c>
      <c r="P101" s="781">
        <v>0.9</v>
      </c>
      <c r="Q101" s="781">
        <v>0.51029999999999998</v>
      </c>
      <c r="R101" s="782">
        <v>0</v>
      </c>
      <c r="S101" s="781">
        <v>6.1</v>
      </c>
      <c r="T101" s="781">
        <v>4.5999999999999996</v>
      </c>
      <c r="U101" s="781">
        <v>2.0411999999999999</v>
      </c>
      <c r="V101" s="781">
        <v>1.5308999999999999</v>
      </c>
      <c r="W101" s="781">
        <v>8.5050000000000008</v>
      </c>
      <c r="X101" s="781">
        <v>2.3814000000000002</v>
      </c>
      <c r="Y101" s="781">
        <v>11.907</v>
      </c>
      <c r="Z101" s="781">
        <v>34.020000000000003</v>
      </c>
      <c r="AA101" s="781">
        <v>51.03</v>
      </c>
      <c r="AB101" s="781">
        <v>34.020000000000003</v>
      </c>
      <c r="AC101" s="781">
        <v>0.17010000000000003</v>
      </c>
      <c r="AD101" s="781">
        <v>0.17010000000000003</v>
      </c>
      <c r="AE101" s="781">
        <v>0.17010000000000003</v>
      </c>
      <c r="AF101" s="781"/>
      <c r="AG101" s="781"/>
      <c r="AH101" s="781"/>
      <c r="AI101" s="784"/>
      <c r="AK101" s="783">
        <f>IFERROR(Tabela1[[#This Row],[EE(g)]]/Tabela1[[#This Row],[CMS(kg)]],0)</f>
        <v>0</v>
      </c>
    </row>
    <row r="102" spans="2:37" hidden="1">
      <c r="B102" s="774">
        <f>ROW()^2+(Tabela1[[#This Row],[ID2]])+ROW()</f>
        <v>10538</v>
      </c>
      <c r="C102" s="774">
        <v>32</v>
      </c>
      <c r="D102" s="774" t="s">
        <v>1256</v>
      </c>
      <c r="E102" s="775" t="s">
        <v>1263</v>
      </c>
      <c r="F102" s="775" t="s">
        <v>1261</v>
      </c>
      <c r="G102" s="775">
        <v>70</v>
      </c>
      <c r="H102" s="775" t="s">
        <v>0</v>
      </c>
      <c r="I102" s="776" t="s">
        <v>42</v>
      </c>
      <c r="J102" s="774" t="s">
        <v>42</v>
      </c>
      <c r="K102" s="774" t="s">
        <v>42</v>
      </c>
      <c r="L102" s="777">
        <v>400</v>
      </c>
      <c r="M102" s="778">
        <v>0</v>
      </c>
      <c r="N102" s="779">
        <v>259</v>
      </c>
      <c r="O102" s="780">
        <v>0</v>
      </c>
      <c r="P102" s="781">
        <v>1.1299999999999999</v>
      </c>
      <c r="Q102" s="781">
        <v>0.64049999999999996</v>
      </c>
      <c r="R102" s="782">
        <v>0</v>
      </c>
      <c r="S102" s="781">
        <v>7.9</v>
      </c>
      <c r="T102" s="781">
        <v>6</v>
      </c>
      <c r="U102" s="781">
        <v>2.5619999999999998</v>
      </c>
      <c r="V102" s="781">
        <v>1.9214999999999995</v>
      </c>
      <c r="W102" s="781">
        <v>10.674999999999999</v>
      </c>
      <c r="X102" s="781">
        <v>2.9889999999999999</v>
      </c>
      <c r="Y102" s="781">
        <v>14.944999999999999</v>
      </c>
      <c r="Z102" s="781">
        <v>42.699999999999996</v>
      </c>
      <c r="AA102" s="781">
        <v>64.05</v>
      </c>
      <c r="AB102" s="781">
        <v>42.699999999999996</v>
      </c>
      <c r="AC102" s="781">
        <v>0.2135</v>
      </c>
      <c r="AD102" s="781">
        <v>0.2135</v>
      </c>
      <c r="AE102" s="781">
        <v>0.2135</v>
      </c>
      <c r="AF102" s="781"/>
      <c r="AG102" s="781"/>
      <c r="AH102" s="781"/>
      <c r="AI102" s="784"/>
      <c r="AK102" s="783">
        <f>IFERROR(Tabela1[[#This Row],[EE(g)]]/Tabela1[[#This Row],[CMS(kg)]],0)</f>
        <v>0</v>
      </c>
    </row>
    <row r="103" spans="2:37" hidden="1">
      <c r="B103" s="774">
        <f>ROW()^2+(Tabela1[[#This Row],[ID2]])+ROW()</f>
        <v>10745</v>
      </c>
      <c r="C103" s="774">
        <v>33</v>
      </c>
      <c r="D103" s="774" t="s">
        <v>1256</v>
      </c>
      <c r="E103" s="775" t="s">
        <v>1263</v>
      </c>
      <c r="F103" s="775" t="s">
        <v>1261</v>
      </c>
      <c r="G103" s="775">
        <v>70</v>
      </c>
      <c r="H103" s="775" t="s">
        <v>0</v>
      </c>
      <c r="I103" s="776" t="s">
        <v>42</v>
      </c>
      <c r="J103" s="774" t="s">
        <v>42</v>
      </c>
      <c r="K103" s="774" t="s">
        <v>42</v>
      </c>
      <c r="L103" s="777">
        <v>500</v>
      </c>
      <c r="M103" s="778">
        <v>0</v>
      </c>
      <c r="N103" s="779">
        <v>313</v>
      </c>
      <c r="O103" s="780">
        <v>0</v>
      </c>
      <c r="P103" s="781">
        <v>1.36</v>
      </c>
      <c r="Q103" s="781">
        <v>0.77280000000000004</v>
      </c>
      <c r="R103" s="782">
        <v>0</v>
      </c>
      <c r="S103" s="781">
        <v>9.6</v>
      </c>
      <c r="T103" s="781">
        <v>7.4</v>
      </c>
      <c r="U103" s="781">
        <v>3.0912000000000002</v>
      </c>
      <c r="V103" s="781">
        <v>2.3184</v>
      </c>
      <c r="W103" s="781">
        <v>12.88</v>
      </c>
      <c r="X103" s="781">
        <v>3.6064000000000003</v>
      </c>
      <c r="Y103" s="781">
        <v>18.032</v>
      </c>
      <c r="Z103" s="781">
        <v>51.52</v>
      </c>
      <c r="AA103" s="781">
        <v>77.28</v>
      </c>
      <c r="AB103" s="781">
        <v>51.52</v>
      </c>
      <c r="AC103" s="781">
        <v>0.2576</v>
      </c>
      <c r="AD103" s="781">
        <v>0.2576</v>
      </c>
      <c r="AE103" s="781">
        <v>0.2576</v>
      </c>
      <c r="AF103" s="781"/>
      <c r="AG103" s="781"/>
      <c r="AH103" s="781"/>
      <c r="AI103" s="784"/>
      <c r="AK103" s="783">
        <f>IFERROR(Tabela1[[#This Row],[EE(g)]]/Tabela1[[#This Row],[CMS(kg)]],0)</f>
        <v>0</v>
      </c>
    </row>
    <row r="104" spans="2:37" hidden="1">
      <c r="B104" s="774">
        <f>ROW()^2+(Tabela1[[#This Row],[ID2]])+ROW()</f>
        <v>10954</v>
      </c>
      <c r="C104" s="774">
        <v>34</v>
      </c>
      <c r="D104" s="774" t="s">
        <v>1256</v>
      </c>
      <c r="E104" s="775" t="s">
        <v>1263</v>
      </c>
      <c r="F104" s="775" t="s">
        <v>1261</v>
      </c>
      <c r="G104" s="775">
        <v>80</v>
      </c>
      <c r="H104" s="775" t="s">
        <v>0</v>
      </c>
      <c r="I104" s="776" t="s">
        <v>42</v>
      </c>
      <c r="J104" s="774" t="s">
        <v>42</v>
      </c>
      <c r="K104" s="774" t="s">
        <v>42</v>
      </c>
      <c r="L104" s="777">
        <v>150</v>
      </c>
      <c r="M104" s="778">
        <v>0</v>
      </c>
      <c r="N104" s="779">
        <v>130</v>
      </c>
      <c r="O104" s="780">
        <v>0</v>
      </c>
      <c r="P104" s="781">
        <v>0.57999999999999996</v>
      </c>
      <c r="Q104" s="781">
        <v>0.32640000000000002</v>
      </c>
      <c r="R104" s="782">
        <v>0</v>
      </c>
      <c r="S104" s="781">
        <v>3.4</v>
      </c>
      <c r="T104" s="781">
        <v>2.5</v>
      </c>
      <c r="U104" s="781">
        <v>1.3056000000000001</v>
      </c>
      <c r="V104" s="781">
        <v>0.97919999999999996</v>
      </c>
      <c r="W104" s="781">
        <v>5.44</v>
      </c>
      <c r="X104" s="781">
        <v>1.5232000000000003</v>
      </c>
      <c r="Y104" s="781">
        <v>7.6160000000000005</v>
      </c>
      <c r="Z104" s="781">
        <v>21.76</v>
      </c>
      <c r="AA104" s="781">
        <v>32.64</v>
      </c>
      <c r="AB104" s="781">
        <v>21.76</v>
      </c>
      <c r="AC104" s="781">
        <v>0.10880000000000001</v>
      </c>
      <c r="AD104" s="781">
        <v>0.10880000000000001</v>
      </c>
      <c r="AE104" s="781">
        <v>0.10880000000000001</v>
      </c>
      <c r="AF104" s="781"/>
      <c r="AG104" s="781"/>
      <c r="AH104" s="781"/>
      <c r="AI104" s="784"/>
      <c r="AK104" s="783">
        <f>IFERROR(Tabela1[[#This Row],[EE(g)]]/Tabela1[[#This Row],[CMS(kg)]],0)</f>
        <v>0</v>
      </c>
    </row>
    <row r="105" spans="2:37" hidden="1">
      <c r="B105" s="774">
        <f>ROW()^2+(Tabela1[[#This Row],[ID2]])+ROW()</f>
        <v>11165</v>
      </c>
      <c r="C105" s="774">
        <v>35</v>
      </c>
      <c r="D105" s="774" t="s">
        <v>1256</v>
      </c>
      <c r="E105" s="775" t="s">
        <v>1263</v>
      </c>
      <c r="F105" s="775" t="s">
        <v>1261</v>
      </c>
      <c r="G105" s="775">
        <v>80</v>
      </c>
      <c r="H105" s="775" t="s">
        <v>0</v>
      </c>
      <c r="I105" s="776" t="s">
        <v>42</v>
      </c>
      <c r="J105" s="774" t="s">
        <v>42</v>
      </c>
      <c r="K105" s="774" t="s">
        <v>42</v>
      </c>
      <c r="L105" s="777">
        <v>200</v>
      </c>
      <c r="M105" s="778">
        <v>0</v>
      </c>
      <c r="N105" s="779">
        <v>157</v>
      </c>
      <c r="O105" s="780">
        <v>0</v>
      </c>
      <c r="P105" s="781">
        <v>0.69</v>
      </c>
      <c r="Q105" s="781">
        <v>0.39360000000000001</v>
      </c>
      <c r="R105" s="782">
        <v>0</v>
      </c>
      <c r="S105" s="781">
        <v>4.3</v>
      </c>
      <c r="T105" s="781">
        <v>3.2</v>
      </c>
      <c r="U105" s="781">
        <v>1.5743999999999998</v>
      </c>
      <c r="V105" s="781">
        <v>1.1807999999999996</v>
      </c>
      <c r="W105" s="781">
        <v>6.5599999999999987</v>
      </c>
      <c r="X105" s="781">
        <v>1.8368</v>
      </c>
      <c r="Y105" s="781">
        <v>9.1839999999999993</v>
      </c>
      <c r="Z105" s="781">
        <v>26.239999999999995</v>
      </c>
      <c r="AA105" s="781">
        <v>39.359999999999992</v>
      </c>
      <c r="AB105" s="781">
        <v>26.239999999999995</v>
      </c>
      <c r="AC105" s="781">
        <v>0.13119999999999998</v>
      </c>
      <c r="AD105" s="781">
        <v>0.13119999999999998</v>
      </c>
      <c r="AE105" s="781">
        <v>0.13119999999999998</v>
      </c>
      <c r="AF105" s="781"/>
      <c r="AG105" s="781"/>
      <c r="AH105" s="781"/>
      <c r="AI105" s="784"/>
      <c r="AK105" s="783">
        <f>IFERROR(Tabela1[[#This Row],[EE(g)]]/Tabela1[[#This Row],[CMS(kg)]],0)</f>
        <v>0</v>
      </c>
    </row>
    <row r="106" spans="2:37" hidden="1">
      <c r="B106" s="774">
        <f>ROW()^2+(Tabela1[[#This Row],[ID2]])+ROW()</f>
        <v>11378</v>
      </c>
      <c r="C106" s="774">
        <v>36</v>
      </c>
      <c r="D106" s="774" t="s">
        <v>1256</v>
      </c>
      <c r="E106" s="775" t="s">
        <v>1263</v>
      </c>
      <c r="F106" s="775" t="s">
        <v>1261</v>
      </c>
      <c r="G106" s="775">
        <v>80</v>
      </c>
      <c r="H106" s="775" t="s">
        <v>0</v>
      </c>
      <c r="I106" s="776" t="s">
        <v>42</v>
      </c>
      <c r="J106" s="774" t="s">
        <v>42</v>
      </c>
      <c r="K106" s="774" t="s">
        <v>42</v>
      </c>
      <c r="L106" s="777">
        <v>300</v>
      </c>
      <c r="M106" s="778">
        <v>0</v>
      </c>
      <c r="N106" s="779">
        <v>211</v>
      </c>
      <c r="O106" s="780">
        <v>0</v>
      </c>
      <c r="P106" s="781">
        <v>0.93</v>
      </c>
      <c r="Q106" s="781">
        <v>0.52559999999999996</v>
      </c>
      <c r="R106" s="782">
        <v>0</v>
      </c>
      <c r="S106" s="781">
        <v>6.1</v>
      </c>
      <c r="T106" s="781">
        <v>4.5999999999999996</v>
      </c>
      <c r="U106" s="781">
        <v>2.1023999999999998</v>
      </c>
      <c r="V106" s="781">
        <v>1.5767999999999998</v>
      </c>
      <c r="W106" s="781">
        <v>8.76</v>
      </c>
      <c r="X106" s="781">
        <v>2.4528000000000003</v>
      </c>
      <c r="Y106" s="781">
        <v>12.263999999999999</v>
      </c>
      <c r="Z106" s="781">
        <v>35.04</v>
      </c>
      <c r="AA106" s="781">
        <v>52.56</v>
      </c>
      <c r="AB106" s="781">
        <v>35.04</v>
      </c>
      <c r="AC106" s="781">
        <v>0.17520000000000002</v>
      </c>
      <c r="AD106" s="781">
        <v>0.17520000000000002</v>
      </c>
      <c r="AE106" s="781">
        <v>0.17520000000000002</v>
      </c>
      <c r="AF106" s="781"/>
      <c r="AG106" s="781"/>
      <c r="AH106" s="781"/>
      <c r="AI106" s="784"/>
      <c r="AK106" s="783">
        <f>IFERROR(Tabela1[[#This Row],[EE(g)]]/Tabela1[[#This Row],[CMS(kg)]],0)</f>
        <v>0</v>
      </c>
    </row>
    <row r="107" spans="2:37" hidden="1">
      <c r="B107" s="774">
        <f>ROW()^2+(Tabela1[[#This Row],[ID2]])+ROW()</f>
        <v>11593</v>
      </c>
      <c r="C107" s="774">
        <v>37</v>
      </c>
      <c r="D107" s="774" t="s">
        <v>1256</v>
      </c>
      <c r="E107" s="775" t="s">
        <v>1263</v>
      </c>
      <c r="F107" s="775" t="s">
        <v>1261</v>
      </c>
      <c r="G107" s="775">
        <v>80</v>
      </c>
      <c r="H107" s="775" t="s">
        <v>0</v>
      </c>
      <c r="I107" s="776" t="s">
        <v>42</v>
      </c>
      <c r="J107" s="774" t="s">
        <v>42</v>
      </c>
      <c r="K107" s="774" t="s">
        <v>42</v>
      </c>
      <c r="L107" s="777">
        <v>400</v>
      </c>
      <c r="M107" s="778">
        <v>0</v>
      </c>
      <c r="N107" s="779">
        <v>265</v>
      </c>
      <c r="O107" s="780">
        <v>0</v>
      </c>
      <c r="P107" s="781">
        <v>1.1599999999999999</v>
      </c>
      <c r="Q107" s="781">
        <v>0.65759999999999996</v>
      </c>
      <c r="R107" s="782">
        <v>0</v>
      </c>
      <c r="S107" s="781">
        <v>7.9</v>
      </c>
      <c r="T107" s="781">
        <v>6</v>
      </c>
      <c r="U107" s="781">
        <v>2.6304000000000003</v>
      </c>
      <c r="V107" s="781">
        <v>1.9727999999999999</v>
      </c>
      <c r="W107" s="781">
        <v>10.96</v>
      </c>
      <c r="X107" s="781">
        <v>3.0688000000000004</v>
      </c>
      <c r="Y107" s="781">
        <v>15.344000000000001</v>
      </c>
      <c r="Z107" s="781">
        <v>43.84</v>
      </c>
      <c r="AA107" s="781">
        <v>65.760000000000005</v>
      </c>
      <c r="AB107" s="781">
        <v>43.84</v>
      </c>
      <c r="AC107" s="781">
        <v>0.21920000000000003</v>
      </c>
      <c r="AD107" s="781">
        <v>0.21920000000000003</v>
      </c>
      <c r="AE107" s="781">
        <v>0.21920000000000003</v>
      </c>
      <c r="AF107" s="781"/>
      <c r="AG107" s="781"/>
      <c r="AH107" s="781"/>
      <c r="AI107" s="784"/>
      <c r="AK107" s="783">
        <f>IFERROR(Tabela1[[#This Row],[EE(g)]]/Tabela1[[#This Row],[CMS(kg)]],0)</f>
        <v>0</v>
      </c>
    </row>
    <row r="108" spans="2:37" hidden="1">
      <c r="B108" s="774">
        <f>ROW()^2+(Tabela1[[#This Row],[ID2]])+ROW()</f>
        <v>11810</v>
      </c>
      <c r="C108" s="774">
        <v>38</v>
      </c>
      <c r="D108" s="774" t="s">
        <v>1256</v>
      </c>
      <c r="E108" s="775" t="s">
        <v>1263</v>
      </c>
      <c r="F108" s="775" t="s">
        <v>1261</v>
      </c>
      <c r="G108" s="775">
        <v>80</v>
      </c>
      <c r="H108" s="775" t="s">
        <v>0</v>
      </c>
      <c r="I108" s="776" t="s">
        <v>42</v>
      </c>
      <c r="J108" s="774" t="s">
        <v>42</v>
      </c>
      <c r="K108" s="774" t="s">
        <v>42</v>
      </c>
      <c r="L108" s="777">
        <v>500</v>
      </c>
      <c r="M108" s="778">
        <v>0</v>
      </c>
      <c r="N108" s="779">
        <v>318</v>
      </c>
      <c r="O108" s="780">
        <v>0</v>
      </c>
      <c r="P108" s="781">
        <v>1.39</v>
      </c>
      <c r="Q108" s="781">
        <v>0.78959999999999997</v>
      </c>
      <c r="R108" s="782">
        <v>0</v>
      </c>
      <c r="S108" s="781">
        <v>9.6999999999999993</v>
      </c>
      <c r="T108" s="781">
        <v>7.5</v>
      </c>
      <c r="U108" s="781">
        <v>3.1583999999999994</v>
      </c>
      <c r="V108" s="781">
        <v>2.3687999999999994</v>
      </c>
      <c r="W108" s="781">
        <v>13.159999999999998</v>
      </c>
      <c r="X108" s="781">
        <v>3.6848000000000001</v>
      </c>
      <c r="Y108" s="781">
        <v>18.423999999999999</v>
      </c>
      <c r="Z108" s="781">
        <v>52.639999999999993</v>
      </c>
      <c r="AA108" s="781">
        <v>78.959999999999994</v>
      </c>
      <c r="AB108" s="781">
        <v>52.639999999999993</v>
      </c>
      <c r="AC108" s="781">
        <v>0.26319999999999999</v>
      </c>
      <c r="AD108" s="781">
        <v>0.26319999999999999</v>
      </c>
      <c r="AE108" s="781">
        <v>0.26319999999999999</v>
      </c>
      <c r="AF108" s="781"/>
      <c r="AG108" s="781"/>
      <c r="AH108" s="781"/>
      <c r="AI108" s="784"/>
      <c r="AK108" s="783">
        <f>IFERROR(Tabela1[[#This Row],[EE(g)]]/Tabela1[[#This Row],[CMS(kg)]],0)</f>
        <v>0</v>
      </c>
    </row>
    <row r="109" spans="2:37" hidden="1">
      <c r="B109" s="774">
        <f>ROW()^2+(Tabela1[[#This Row],[ID2]])+ROW()</f>
        <v>12029</v>
      </c>
      <c r="C109" s="774">
        <v>39</v>
      </c>
      <c r="D109" s="774" t="s">
        <v>1256</v>
      </c>
      <c r="E109" s="775" t="s">
        <v>1264</v>
      </c>
      <c r="F109" s="775" t="s">
        <v>1261</v>
      </c>
      <c r="G109" s="775">
        <v>20</v>
      </c>
      <c r="H109" s="775" t="s">
        <v>0</v>
      </c>
      <c r="I109" s="776" t="s">
        <v>42</v>
      </c>
      <c r="J109" s="774" t="s">
        <v>42</v>
      </c>
      <c r="K109" s="774" t="s">
        <v>42</v>
      </c>
      <c r="L109" s="777">
        <v>100</v>
      </c>
      <c r="M109" s="778">
        <v>0</v>
      </c>
      <c r="N109" s="779">
        <v>70</v>
      </c>
      <c r="O109" s="780">
        <v>0</v>
      </c>
      <c r="P109" s="781">
        <v>0.39</v>
      </c>
      <c r="Q109" s="781">
        <v>0.1764</v>
      </c>
      <c r="R109" s="782">
        <v>0</v>
      </c>
      <c r="S109" s="781">
        <v>2.2000000000000002</v>
      </c>
      <c r="T109" s="781">
        <v>1.5</v>
      </c>
      <c r="U109" s="781">
        <v>0.70559999999999989</v>
      </c>
      <c r="V109" s="781">
        <v>0.52919999999999989</v>
      </c>
      <c r="W109" s="781">
        <v>2.94</v>
      </c>
      <c r="X109" s="781">
        <v>0.82320000000000004</v>
      </c>
      <c r="Y109" s="781">
        <v>4.1159999999999997</v>
      </c>
      <c r="Z109" s="781">
        <v>11.76</v>
      </c>
      <c r="AA109" s="781">
        <v>17.64</v>
      </c>
      <c r="AB109" s="781">
        <v>11.76</v>
      </c>
      <c r="AC109" s="781">
        <v>5.8799999999999998E-2</v>
      </c>
      <c r="AD109" s="781">
        <v>5.8799999999999998E-2</v>
      </c>
      <c r="AE109" s="781">
        <v>5.8799999999999998E-2</v>
      </c>
      <c r="AF109" s="781"/>
      <c r="AG109" s="781"/>
      <c r="AH109" s="781"/>
      <c r="AI109" s="784"/>
      <c r="AK109" s="783">
        <f>IFERROR(Tabela1[[#This Row],[EE(g)]]/Tabela1[[#This Row],[CMS(kg)]],0)</f>
        <v>0</v>
      </c>
    </row>
    <row r="110" spans="2:37" hidden="1">
      <c r="B110" s="774">
        <f>ROW()^2+(Tabela1[[#This Row],[ID2]])+ROW()</f>
        <v>12250</v>
      </c>
      <c r="C110" s="774">
        <v>40</v>
      </c>
      <c r="D110" s="774" t="s">
        <v>1256</v>
      </c>
      <c r="E110" s="775" t="s">
        <v>1264</v>
      </c>
      <c r="F110" s="775" t="s">
        <v>1261</v>
      </c>
      <c r="G110" s="775">
        <v>20</v>
      </c>
      <c r="H110" s="775" t="s">
        <v>0</v>
      </c>
      <c r="I110" s="776" t="s">
        <v>42</v>
      </c>
      <c r="J110" s="774" t="s">
        <v>42</v>
      </c>
      <c r="K110" s="774" t="s">
        <v>42</v>
      </c>
      <c r="L110" s="777">
        <v>150</v>
      </c>
      <c r="M110" s="778">
        <v>0</v>
      </c>
      <c r="N110" s="779">
        <v>93</v>
      </c>
      <c r="O110" s="780">
        <v>0</v>
      </c>
      <c r="P110" s="781">
        <v>0.5</v>
      </c>
      <c r="Q110" s="781">
        <v>0.22800000000000001</v>
      </c>
      <c r="R110" s="782">
        <v>0</v>
      </c>
      <c r="S110" s="781">
        <v>3</v>
      </c>
      <c r="T110" s="781">
        <v>2.1</v>
      </c>
      <c r="U110" s="781">
        <v>0.91199999999999992</v>
      </c>
      <c r="V110" s="781">
        <v>0.68399999999999994</v>
      </c>
      <c r="W110" s="781">
        <v>3.8</v>
      </c>
      <c r="X110" s="781">
        <v>1.0640000000000001</v>
      </c>
      <c r="Y110" s="781">
        <v>5.32</v>
      </c>
      <c r="Z110" s="781">
        <v>15.2</v>
      </c>
      <c r="AA110" s="781">
        <v>22.8</v>
      </c>
      <c r="AB110" s="781">
        <v>15.2</v>
      </c>
      <c r="AC110" s="781">
        <v>7.6000000000000012E-2</v>
      </c>
      <c r="AD110" s="781">
        <v>7.6000000000000012E-2</v>
      </c>
      <c r="AE110" s="781">
        <v>7.6000000000000012E-2</v>
      </c>
      <c r="AF110" s="781"/>
      <c r="AG110" s="781"/>
      <c r="AH110" s="781"/>
      <c r="AI110" s="784"/>
      <c r="AK110" s="783">
        <f>IFERROR(Tabela1[[#This Row],[EE(g)]]/Tabela1[[#This Row],[CMS(kg)]],0)</f>
        <v>0</v>
      </c>
    </row>
    <row r="111" spans="2:37" hidden="1">
      <c r="B111" s="774">
        <f>ROW()^2+(Tabela1[[#This Row],[ID2]])+ROW()</f>
        <v>12473</v>
      </c>
      <c r="C111" s="774">
        <v>41</v>
      </c>
      <c r="D111" s="774" t="s">
        <v>1256</v>
      </c>
      <c r="E111" s="775" t="s">
        <v>1264</v>
      </c>
      <c r="F111" s="775" t="s">
        <v>1261</v>
      </c>
      <c r="G111" s="775">
        <v>20</v>
      </c>
      <c r="H111" s="775" t="s">
        <v>0</v>
      </c>
      <c r="I111" s="776" t="s">
        <v>42</v>
      </c>
      <c r="J111" s="774" t="s">
        <v>42</v>
      </c>
      <c r="K111" s="774" t="s">
        <v>42</v>
      </c>
      <c r="L111" s="777">
        <v>200</v>
      </c>
      <c r="M111" s="778">
        <v>0</v>
      </c>
      <c r="N111" s="779">
        <v>107</v>
      </c>
      <c r="O111" s="780">
        <v>0</v>
      </c>
      <c r="P111" s="781">
        <v>0.55000000000000004</v>
      </c>
      <c r="Q111" s="781">
        <v>0.20880000000000001</v>
      </c>
      <c r="R111" s="782">
        <v>0</v>
      </c>
      <c r="S111" s="781">
        <v>3.5</v>
      </c>
      <c r="T111" s="781">
        <v>2.6</v>
      </c>
      <c r="U111" s="781">
        <v>0.83519999999999994</v>
      </c>
      <c r="V111" s="781">
        <v>0.62639999999999985</v>
      </c>
      <c r="W111" s="781">
        <v>3.4799999999999995</v>
      </c>
      <c r="X111" s="781">
        <v>0.97440000000000004</v>
      </c>
      <c r="Y111" s="781">
        <v>4.8719999999999999</v>
      </c>
      <c r="Z111" s="781">
        <v>13.919999999999998</v>
      </c>
      <c r="AA111" s="781">
        <v>20.88</v>
      </c>
      <c r="AB111" s="781">
        <v>13.919999999999998</v>
      </c>
      <c r="AC111" s="781">
        <v>6.9599999999999995E-2</v>
      </c>
      <c r="AD111" s="781">
        <v>6.9599999999999995E-2</v>
      </c>
      <c r="AE111" s="781">
        <v>6.9599999999999995E-2</v>
      </c>
      <c r="AF111" s="781"/>
      <c r="AG111" s="781"/>
      <c r="AH111" s="781"/>
      <c r="AI111" s="784"/>
      <c r="AK111" s="783">
        <f>IFERROR(Tabela1[[#This Row],[EE(g)]]/Tabela1[[#This Row],[CMS(kg)]],0)</f>
        <v>0</v>
      </c>
    </row>
    <row r="112" spans="2:37" hidden="1">
      <c r="B112" s="774">
        <f>ROW()^2+(Tabela1[[#This Row],[ID2]])+ROW()</f>
        <v>12698</v>
      </c>
      <c r="C112" s="774">
        <v>42</v>
      </c>
      <c r="D112" s="774" t="s">
        <v>1256</v>
      </c>
      <c r="E112" s="775" t="s">
        <v>1264</v>
      </c>
      <c r="F112" s="775" t="s">
        <v>1261</v>
      </c>
      <c r="G112" s="775">
        <v>20</v>
      </c>
      <c r="H112" s="775" t="s">
        <v>0</v>
      </c>
      <c r="I112" s="776" t="s">
        <v>42</v>
      </c>
      <c r="J112" s="774" t="s">
        <v>42</v>
      </c>
      <c r="K112" s="774" t="s">
        <v>42</v>
      </c>
      <c r="L112" s="777">
        <v>300</v>
      </c>
      <c r="M112" s="778">
        <v>0</v>
      </c>
      <c r="N112" s="779">
        <v>149</v>
      </c>
      <c r="O112" s="780">
        <v>0</v>
      </c>
      <c r="P112" s="781">
        <v>0.75</v>
      </c>
      <c r="Q112" s="781">
        <v>0.28199999999999997</v>
      </c>
      <c r="R112" s="782">
        <v>0</v>
      </c>
      <c r="S112" s="781">
        <v>5</v>
      </c>
      <c r="T112" s="781">
        <v>3.8</v>
      </c>
      <c r="U112" s="781">
        <v>1.1279999999999999</v>
      </c>
      <c r="V112" s="781">
        <v>0.84599999999999986</v>
      </c>
      <c r="W112" s="781">
        <v>4.6999999999999993</v>
      </c>
      <c r="X112" s="781">
        <v>1.3160000000000001</v>
      </c>
      <c r="Y112" s="781">
        <v>6.58</v>
      </c>
      <c r="Z112" s="781">
        <v>18.799999999999997</v>
      </c>
      <c r="AA112" s="781">
        <v>28.2</v>
      </c>
      <c r="AB112" s="781">
        <v>18.799999999999997</v>
      </c>
      <c r="AC112" s="781">
        <v>9.4E-2</v>
      </c>
      <c r="AD112" s="781">
        <v>9.4E-2</v>
      </c>
      <c r="AE112" s="781">
        <v>9.4E-2</v>
      </c>
      <c r="AF112" s="781"/>
      <c r="AG112" s="781"/>
      <c r="AH112" s="781"/>
      <c r="AI112" s="784"/>
      <c r="AK112" s="783">
        <f>IFERROR(Tabela1[[#This Row],[EE(g)]]/Tabela1[[#This Row],[CMS(kg)]],0)</f>
        <v>0</v>
      </c>
    </row>
    <row r="113" spans="2:37" hidden="1">
      <c r="B113" s="774">
        <f>ROW()^2+(Tabela1[[#This Row],[ID2]])+ROW()</f>
        <v>12925</v>
      </c>
      <c r="C113" s="774">
        <v>43</v>
      </c>
      <c r="D113" s="774" t="s">
        <v>1256</v>
      </c>
      <c r="E113" s="775" t="s">
        <v>1264</v>
      </c>
      <c r="F113" s="775" t="s">
        <v>1261</v>
      </c>
      <c r="G113" s="775">
        <v>30</v>
      </c>
      <c r="H113" s="775" t="s">
        <v>0</v>
      </c>
      <c r="I113" s="776" t="s">
        <v>42</v>
      </c>
      <c r="J113" s="774" t="s">
        <v>42</v>
      </c>
      <c r="K113" s="774" t="s">
        <v>42</v>
      </c>
      <c r="L113" s="777">
        <v>200</v>
      </c>
      <c r="M113" s="778">
        <v>0</v>
      </c>
      <c r="N113" s="779">
        <v>123</v>
      </c>
      <c r="O113" s="780">
        <v>0</v>
      </c>
      <c r="P113" s="781">
        <v>0.68</v>
      </c>
      <c r="Q113" s="781">
        <v>0.30869999999999997</v>
      </c>
      <c r="R113" s="782">
        <v>0</v>
      </c>
      <c r="S113" s="781">
        <v>3.8</v>
      </c>
      <c r="T113" s="781">
        <v>2.9</v>
      </c>
      <c r="U113" s="781">
        <v>1.2348000000000001</v>
      </c>
      <c r="V113" s="781">
        <v>0.92610000000000003</v>
      </c>
      <c r="W113" s="781">
        <v>5.1450000000000005</v>
      </c>
      <c r="X113" s="781">
        <v>1.4406000000000003</v>
      </c>
      <c r="Y113" s="781">
        <v>7.2030000000000012</v>
      </c>
      <c r="Z113" s="781">
        <v>20.580000000000002</v>
      </c>
      <c r="AA113" s="781">
        <v>30.870000000000005</v>
      </c>
      <c r="AB113" s="781">
        <v>20.580000000000002</v>
      </c>
      <c r="AC113" s="781">
        <v>0.10290000000000002</v>
      </c>
      <c r="AD113" s="781">
        <v>0.10290000000000002</v>
      </c>
      <c r="AE113" s="781">
        <v>0.10290000000000002</v>
      </c>
      <c r="AF113" s="781"/>
      <c r="AG113" s="781"/>
      <c r="AH113" s="781"/>
      <c r="AI113" s="784"/>
      <c r="AK113" s="783">
        <f>IFERROR(Tabela1[[#This Row],[EE(g)]]/Tabela1[[#This Row],[CMS(kg)]],0)</f>
        <v>0</v>
      </c>
    </row>
    <row r="114" spans="2:37" hidden="1">
      <c r="B114" s="774">
        <f>ROW()^2+(Tabela1[[#This Row],[ID2]])+ROW()</f>
        <v>13154</v>
      </c>
      <c r="C114" s="774">
        <v>44</v>
      </c>
      <c r="D114" s="774" t="s">
        <v>1256</v>
      </c>
      <c r="E114" s="775" t="s">
        <v>1264</v>
      </c>
      <c r="F114" s="775" t="s">
        <v>1261</v>
      </c>
      <c r="G114" s="775">
        <v>30</v>
      </c>
      <c r="H114" s="775" t="s">
        <v>0</v>
      </c>
      <c r="I114" s="776" t="s">
        <v>42</v>
      </c>
      <c r="J114" s="774" t="s">
        <v>42</v>
      </c>
      <c r="K114" s="774" t="s">
        <v>42</v>
      </c>
      <c r="L114" s="777">
        <v>250</v>
      </c>
      <c r="M114" s="778">
        <v>0</v>
      </c>
      <c r="N114" s="779">
        <v>135</v>
      </c>
      <c r="O114" s="780">
        <v>0</v>
      </c>
      <c r="P114" s="781">
        <v>0.72</v>
      </c>
      <c r="Q114" s="781">
        <v>0.27089999999999997</v>
      </c>
      <c r="R114" s="782">
        <v>0</v>
      </c>
      <c r="S114" s="781">
        <v>4.4000000000000004</v>
      </c>
      <c r="T114" s="781">
        <v>3.3</v>
      </c>
      <c r="U114" s="781">
        <v>1.0835999999999999</v>
      </c>
      <c r="V114" s="781">
        <v>0.81269999999999987</v>
      </c>
      <c r="W114" s="781">
        <v>4.5149999999999997</v>
      </c>
      <c r="X114" s="781">
        <v>1.2642</v>
      </c>
      <c r="Y114" s="781">
        <v>6.3209999999999997</v>
      </c>
      <c r="Z114" s="781">
        <v>18.059999999999999</v>
      </c>
      <c r="AA114" s="781">
        <v>27.089999999999996</v>
      </c>
      <c r="AB114" s="781">
        <v>18.059999999999999</v>
      </c>
      <c r="AC114" s="781">
        <v>9.0299999999999991E-2</v>
      </c>
      <c r="AD114" s="781">
        <v>9.0299999999999991E-2</v>
      </c>
      <c r="AE114" s="781">
        <v>9.0299999999999991E-2</v>
      </c>
      <c r="AF114" s="781"/>
      <c r="AG114" s="781"/>
      <c r="AH114" s="781"/>
      <c r="AI114" s="784"/>
      <c r="AK114" s="783">
        <f>IFERROR(Tabela1[[#This Row],[EE(g)]]/Tabela1[[#This Row],[CMS(kg)]],0)</f>
        <v>0</v>
      </c>
    </row>
    <row r="115" spans="2:37" hidden="1">
      <c r="B115" s="774">
        <f>ROW()^2+(Tabela1[[#This Row],[ID2]])+ROW()</f>
        <v>13385</v>
      </c>
      <c r="C115" s="774">
        <v>45</v>
      </c>
      <c r="D115" s="774" t="s">
        <v>1256</v>
      </c>
      <c r="E115" s="775" t="s">
        <v>1264</v>
      </c>
      <c r="F115" s="775" t="s">
        <v>1261</v>
      </c>
      <c r="G115" s="775">
        <v>30</v>
      </c>
      <c r="H115" s="775" t="s">
        <v>0</v>
      </c>
      <c r="I115" s="776" t="s">
        <v>42</v>
      </c>
      <c r="J115" s="774" t="s">
        <v>42</v>
      </c>
      <c r="K115" s="774" t="s">
        <v>42</v>
      </c>
      <c r="L115" s="777">
        <v>300</v>
      </c>
      <c r="M115" s="778">
        <v>0</v>
      </c>
      <c r="N115" s="779">
        <v>156</v>
      </c>
      <c r="O115" s="780">
        <v>0</v>
      </c>
      <c r="P115" s="781">
        <v>0.82</v>
      </c>
      <c r="Q115" s="781">
        <v>0.30780000000000002</v>
      </c>
      <c r="R115" s="782">
        <v>0</v>
      </c>
      <c r="S115" s="781">
        <v>5.0999999999999996</v>
      </c>
      <c r="T115" s="781">
        <v>3.9</v>
      </c>
      <c r="U115" s="781">
        <v>1.2312000000000001</v>
      </c>
      <c r="V115" s="781">
        <v>0.92339999999999989</v>
      </c>
      <c r="W115" s="781">
        <v>5.13</v>
      </c>
      <c r="X115" s="781">
        <v>1.4364000000000001</v>
      </c>
      <c r="Y115" s="781">
        <v>7.1820000000000004</v>
      </c>
      <c r="Z115" s="781">
        <v>20.52</v>
      </c>
      <c r="AA115" s="781">
        <v>30.78</v>
      </c>
      <c r="AB115" s="781">
        <v>20.52</v>
      </c>
      <c r="AC115" s="781">
        <v>0.10260000000000001</v>
      </c>
      <c r="AD115" s="781">
        <v>0.10260000000000001</v>
      </c>
      <c r="AE115" s="781">
        <v>0.10260000000000001</v>
      </c>
      <c r="AF115" s="781"/>
      <c r="AG115" s="781"/>
      <c r="AH115" s="781"/>
      <c r="AI115" s="784"/>
      <c r="AK115" s="783">
        <f>IFERROR(Tabela1[[#This Row],[EE(g)]]/Tabela1[[#This Row],[CMS(kg)]],0)</f>
        <v>0</v>
      </c>
    </row>
    <row r="116" spans="2:37" hidden="1">
      <c r="B116" s="774">
        <f>ROW()^2+(Tabela1[[#This Row],[ID2]])+ROW()</f>
        <v>13618</v>
      </c>
      <c r="C116" s="774">
        <v>46</v>
      </c>
      <c r="D116" s="774" t="s">
        <v>1256</v>
      </c>
      <c r="E116" s="775" t="s">
        <v>1264</v>
      </c>
      <c r="F116" s="775" t="s">
        <v>1261</v>
      </c>
      <c r="G116" s="775">
        <v>30</v>
      </c>
      <c r="H116" s="775" t="s">
        <v>0</v>
      </c>
      <c r="I116" s="776" t="s">
        <v>42</v>
      </c>
      <c r="J116" s="774" t="s">
        <v>42</v>
      </c>
      <c r="K116" s="774" t="s">
        <v>42</v>
      </c>
      <c r="L116" s="777">
        <v>400</v>
      </c>
      <c r="M116" s="778">
        <v>0</v>
      </c>
      <c r="N116" s="779">
        <v>198</v>
      </c>
      <c r="O116" s="780">
        <v>0</v>
      </c>
      <c r="P116" s="781">
        <v>1.01</v>
      </c>
      <c r="Q116" s="781">
        <v>0.38250000000000001</v>
      </c>
      <c r="R116" s="782">
        <v>0</v>
      </c>
      <c r="S116" s="781">
        <v>6.6</v>
      </c>
      <c r="T116" s="781">
        <v>5.0999999999999996</v>
      </c>
      <c r="U116" s="781">
        <v>1.53</v>
      </c>
      <c r="V116" s="781">
        <v>1.1475</v>
      </c>
      <c r="W116" s="781">
        <v>6.3750000000000009</v>
      </c>
      <c r="X116" s="781">
        <v>1.7850000000000004</v>
      </c>
      <c r="Y116" s="781">
        <v>8.9250000000000007</v>
      </c>
      <c r="Z116" s="781">
        <v>25.500000000000004</v>
      </c>
      <c r="AA116" s="781">
        <v>38.250000000000007</v>
      </c>
      <c r="AB116" s="781">
        <v>25.500000000000004</v>
      </c>
      <c r="AC116" s="781">
        <v>0.12750000000000003</v>
      </c>
      <c r="AD116" s="781">
        <v>0.12750000000000003</v>
      </c>
      <c r="AE116" s="781">
        <v>0.12750000000000003</v>
      </c>
      <c r="AF116" s="781"/>
      <c r="AG116" s="781"/>
      <c r="AH116" s="781"/>
      <c r="AI116" s="784"/>
      <c r="AK116" s="783">
        <f>IFERROR(Tabela1[[#This Row],[EE(g)]]/Tabela1[[#This Row],[CMS(kg)]],0)</f>
        <v>0</v>
      </c>
    </row>
    <row r="117" spans="2:37" hidden="1">
      <c r="B117" s="774">
        <f>ROW()^2+(Tabela1[[#This Row],[ID2]])+ROW()</f>
        <v>13853</v>
      </c>
      <c r="C117" s="774">
        <v>47</v>
      </c>
      <c r="D117" s="774" t="s">
        <v>1256</v>
      </c>
      <c r="E117" s="775" t="s">
        <v>1264</v>
      </c>
      <c r="F117" s="775" t="s">
        <v>1261</v>
      </c>
      <c r="G117" s="775">
        <v>40</v>
      </c>
      <c r="H117" s="775" t="s">
        <v>0</v>
      </c>
      <c r="I117" s="776" t="s">
        <v>42</v>
      </c>
      <c r="J117" s="774" t="s">
        <v>42</v>
      </c>
      <c r="K117" s="774" t="s">
        <v>42</v>
      </c>
      <c r="L117" s="777">
        <v>250</v>
      </c>
      <c r="M117" s="778">
        <v>0</v>
      </c>
      <c r="N117" s="779">
        <v>153</v>
      </c>
      <c r="O117" s="780">
        <v>0</v>
      </c>
      <c r="P117" s="781">
        <v>0.86</v>
      </c>
      <c r="Q117" s="781">
        <v>0.39</v>
      </c>
      <c r="R117" s="782">
        <v>0</v>
      </c>
      <c r="S117" s="781">
        <v>4.7</v>
      </c>
      <c r="T117" s="781">
        <v>3.6</v>
      </c>
      <c r="U117" s="781">
        <v>1.56</v>
      </c>
      <c r="V117" s="781">
        <v>1.17</v>
      </c>
      <c r="W117" s="781">
        <v>6.5</v>
      </c>
      <c r="X117" s="781">
        <v>1.8200000000000003</v>
      </c>
      <c r="Y117" s="781">
        <v>9.1</v>
      </c>
      <c r="Z117" s="781">
        <v>26</v>
      </c>
      <c r="AA117" s="781">
        <v>39</v>
      </c>
      <c r="AB117" s="781">
        <v>26</v>
      </c>
      <c r="AC117" s="781">
        <v>0.13</v>
      </c>
      <c r="AD117" s="781">
        <v>0.13</v>
      </c>
      <c r="AE117" s="781">
        <v>0.13</v>
      </c>
      <c r="AF117" s="781"/>
      <c r="AG117" s="781"/>
      <c r="AH117" s="781"/>
      <c r="AI117" s="784"/>
      <c r="AK117" s="783">
        <f>IFERROR(Tabela1[[#This Row],[EE(g)]]/Tabela1[[#This Row],[CMS(kg)]],0)</f>
        <v>0</v>
      </c>
    </row>
    <row r="118" spans="2:37" hidden="1">
      <c r="B118" s="774">
        <f>ROW()^2+(Tabela1[[#This Row],[ID2]])+ROW()</f>
        <v>14090</v>
      </c>
      <c r="C118" s="774">
        <v>48</v>
      </c>
      <c r="D118" s="774" t="s">
        <v>1256</v>
      </c>
      <c r="E118" s="775" t="s">
        <v>1264</v>
      </c>
      <c r="F118" s="775" t="s">
        <v>1261</v>
      </c>
      <c r="G118" s="775">
        <v>40</v>
      </c>
      <c r="H118" s="775" t="s">
        <v>0</v>
      </c>
      <c r="I118" s="776" t="s">
        <v>42</v>
      </c>
      <c r="J118" s="774" t="s">
        <v>42</v>
      </c>
      <c r="K118" s="774" t="s">
        <v>42</v>
      </c>
      <c r="L118" s="777">
        <v>300</v>
      </c>
      <c r="M118" s="778">
        <v>0</v>
      </c>
      <c r="N118" s="779">
        <v>176</v>
      </c>
      <c r="O118" s="780">
        <v>0</v>
      </c>
      <c r="P118" s="781">
        <v>0.98</v>
      </c>
      <c r="Q118" s="781">
        <v>0.44280000000000003</v>
      </c>
      <c r="R118" s="782">
        <v>0</v>
      </c>
      <c r="S118" s="781">
        <v>5.5</v>
      </c>
      <c r="T118" s="781">
        <v>4.3</v>
      </c>
      <c r="U118" s="781">
        <v>1.7711999999999999</v>
      </c>
      <c r="V118" s="781">
        <v>1.3283999999999998</v>
      </c>
      <c r="W118" s="781">
        <v>7.38</v>
      </c>
      <c r="X118" s="781">
        <v>2.0664000000000002</v>
      </c>
      <c r="Y118" s="781">
        <v>10.332000000000001</v>
      </c>
      <c r="Z118" s="781">
        <v>29.52</v>
      </c>
      <c r="AA118" s="781">
        <v>44.28</v>
      </c>
      <c r="AB118" s="781">
        <v>29.52</v>
      </c>
      <c r="AC118" s="781">
        <v>0.14760000000000001</v>
      </c>
      <c r="AD118" s="781">
        <v>0.14760000000000001</v>
      </c>
      <c r="AE118" s="781">
        <v>0.14760000000000001</v>
      </c>
      <c r="AF118" s="781"/>
      <c r="AG118" s="781"/>
      <c r="AH118" s="781"/>
      <c r="AI118" s="784"/>
      <c r="AK118" s="783">
        <f>IFERROR(Tabela1[[#This Row],[EE(g)]]/Tabela1[[#This Row],[CMS(kg)]],0)</f>
        <v>0</v>
      </c>
    </row>
    <row r="119" spans="2:37" hidden="1">
      <c r="B119" s="774">
        <f>ROW()^2+(Tabela1[[#This Row],[ID2]])+ROW()</f>
        <v>14329</v>
      </c>
      <c r="C119" s="774">
        <v>49</v>
      </c>
      <c r="D119" s="774" t="s">
        <v>1256</v>
      </c>
      <c r="E119" s="775" t="s">
        <v>1264</v>
      </c>
      <c r="F119" s="775" t="s">
        <v>1261</v>
      </c>
      <c r="G119" s="775">
        <v>40</v>
      </c>
      <c r="H119" s="775" t="s">
        <v>0</v>
      </c>
      <c r="I119" s="776" t="s">
        <v>42</v>
      </c>
      <c r="J119" s="774" t="s">
        <v>42</v>
      </c>
      <c r="K119" s="774" t="s">
        <v>42</v>
      </c>
      <c r="L119" s="777">
        <v>400</v>
      </c>
      <c r="M119" s="778">
        <v>0</v>
      </c>
      <c r="N119" s="779">
        <v>205</v>
      </c>
      <c r="O119" s="780">
        <v>0</v>
      </c>
      <c r="P119" s="781">
        <v>1.08</v>
      </c>
      <c r="Q119" s="781">
        <v>0.40799999999999997</v>
      </c>
      <c r="R119" s="782">
        <v>0</v>
      </c>
      <c r="S119" s="781">
        <v>6.7</v>
      </c>
      <c r="T119" s="781">
        <v>5.2</v>
      </c>
      <c r="U119" s="781">
        <v>1.6320000000000001</v>
      </c>
      <c r="V119" s="781">
        <v>1.224</v>
      </c>
      <c r="W119" s="781">
        <v>6.8000000000000007</v>
      </c>
      <c r="X119" s="781">
        <v>1.9040000000000004</v>
      </c>
      <c r="Y119" s="781">
        <v>9.5200000000000014</v>
      </c>
      <c r="Z119" s="781">
        <v>27.200000000000003</v>
      </c>
      <c r="AA119" s="781">
        <v>40.800000000000004</v>
      </c>
      <c r="AB119" s="781">
        <v>27.200000000000003</v>
      </c>
      <c r="AC119" s="781">
        <v>0.13600000000000001</v>
      </c>
      <c r="AD119" s="781">
        <v>0.13600000000000001</v>
      </c>
      <c r="AE119" s="781">
        <v>0.13600000000000001</v>
      </c>
      <c r="AF119" s="781"/>
      <c r="AG119" s="781"/>
      <c r="AH119" s="781"/>
      <c r="AI119" s="784"/>
      <c r="AK119" s="783">
        <f>IFERROR(Tabela1[[#This Row],[EE(g)]]/Tabela1[[#This Row],[CMS(kg)]],0)</f>
        <v>0</v>
      </c>
    </row>
    <row r="120" spans="2:37" hidden="1">
      <c r="B120" s="774">
        <f>ROW()^2+(Tabela1[[#This Row],[ID2]])+ROW()</f>
        <v>14570</v>
      </c>
      <c r="C120" s="774">
        <v>50</v>
      </c>
      <c r="D120" s="774" t="s">
        <v>1256</v>
      </c>
      <c r="E120" s="775" t="s">
        <v>1264</v>
      </c>
      <c r="F120" s="775" t="s">
        <v>1261</v>
      </c>
      <c r="G120" s="775">
        <v>40</v>
      </c>
      <c r="H120" s="775" t="s">
        <v>0</v>
      </c>
      <c r="I120" s="776" t="s">
        <v>42</v>
      </c>
      <c r="J120" s="774" t="s">
        <v>42</v>
      </c>
      <c r="K120" s="774" t="s">
        <v>42</v>
      </c>
      <c r="L120" s="777">
        <v>500</v>
      </c>
      <c r="M120" s="778">
        <v>0</v>
      </c>
      <c r="N120" s="779">
        <v>247</v>
      </c>
      <c r="O120" s="780">
        <v>0</v>
      </c>
      <c r="P120" s="781">
        <v>1.28</v>
      </c>
      <c r="Q120" s="781">
        <v>0.48359999999999997</v>
      </c>
      <c r="R120" s="782">
        <v>0</v>
      </c>
      <c r="S120" s="781">
        <v>8.1999999999999993</v>
      </c>
      <c r="T120" s="781">
        <v>6.4</v>
      </c>
      <c r="U120" s="781">
        <v>1.9344000000000001</v>
      </c>
      <c r="V120" s="781">
        <v>1.4507999999999999</v>
      </c>
      <c r="W120" s="781">
        <v>8.06</v>
      </c>
      <c r="X120" s="781">
        <v>2.2568000000000001</v>
      </c>
      <c r="Y120" s="781">
        <v>11.284000000000001</v>
      </c>
      <c r="Z120" s="781">
        <v>32.24</v>
      </c>
      <c r="AA120" s="781">
        <v>48.36</v>
      </c>
      <c r="AB120" s="781">
        <v>32.24</v>
      </c>
      <c r="AC120" s="781">
        <v>0.16120000000000001</v>
      </c>
      <c r="AD120" s="781">
        <v>0.16120000000000001</v>
      </c>
      <c r="AE120" s="781">
        <v>0.16120000000000001</v>
      </c>
      <c r="AF120" s="781"/>
      <c r="AG120" s="781"/>
      <c r="AH120" s="781"/>
      <c r="AI120" s="784"/>
      <c r="AK120" s="783">
        <f>IFERROR(Tabela1[[#This Row],[EE(g)]]/Tabela1[[#This Row],[CMS(kg)]],0)</f>
        <v>0</v>
      </c>
    </row>
    <row r="121" spans="2:37" hidden="1">
      <c r="B121" s="774">
        <f>ROW()^2+(Tabela1[[#This Row],[ID2]])+ROW()</f>
        <v>14813</v>
      </c>
      <c r="C121" s="774">
        <v>51</v>
      </c>
      <c r="D121" s="774" t="s">
        <v>1256</v>
      </c>
      <c r="E121" s="775" t="s">
        <v>1264</v>
      </c>
      <c r="F121" s="775" t="s">
        <v>1261</v>
      </c>
      <c r="G121" s="775">
        <v>50</v>
      </c>
      <c r="H121" s="775" t="s">
        <v>0</v>
      </c>
      <c r="I121" s="776" t="s">
        <v>42</v>
      </c>
      <c r="J121" s="774" t="s">
        <v>42</v>
      </c>
      <c r="K121" s="774" t="s">
        <v>42</v>
      </c>
      <c r="L121" s="777">
        <v>250</v>
      </c>
      <c r="M121" s="778">
        <v>0</v>
      </c>
      <c r="N121" s="779">
        <v>160</v>
      </c>
      <c r="O121" s="780">
        <v>0</v>
      </c>
      <c r="P121" s="781">
        <v>0.92</v>
      </c>
      <c r="Q121" s="781">
        <v>0.41699999999999998</v>
      </c>
      <c r="R121" s="782">
        <v>0</v>
      </c>
      <c r="S121" s="781">
        <v>4.8</v>
      </c>
      <c r="T121" s="781">
        <v>3.7</v>
      </c>
      <c r="U121" s="781">
        <v>1.6679999999999999</v>
      </c>
      <c r="V121" s="781">
        <v>1.2509999999999999</v>
      </c>
      <c r="W121" s="781">
        <v>6.9499999999999993</v>
      </c>
      <c r="X121" s="781">
        <v>1.946</v>
      </c>
      <c r="Y121" s="781">
        <v>9.7299999999999986</v>
      </c>
      <c r="Z121" s="781">
        <v>27.799999999999997</v>
      </c>
      <c r="AA121" s="781">
        <v>41.699999999999996</v>
      </c>
      <c r="AB121" s="781">
        <v>27.799999999999997</v>
      </c>
      <c r="AC121" s="781">
        <v>0.13899999999999998</v>
      </c>
      <c r="AD121" s="781">
        <v>0.13899999999999998</v>
      </c>
      <c r="AE121" s="781">
        <v>0.13899999999999998</v>
      </c>
      <c r="AF121" s="781"/>
      <c r="AG121" s="781"/>
      <c r="AH121" s="781"/>
      <c r="AI121" s="784"/>
      <c r="AK121" s="783">
        <f>IFERROR(Tabela1[[#This Row],[EE(g)]]/Tabela1[[#This Row],[CMS(kg)]],0)</f>
        <v>0</v>
      </c>
    </row>
    <row r="122" spans="2:37" hidden="1">
      <c r="B122" s="774">
        <f>ROW()^2+(Tabela1[[#This Row],[ID2]])+ROW()</f>
        <v>15058</v>
      </c>
      <c r="C122" s="774">
        <v>52</v>
      </c>
      <c r="D122" s="774" t="s">
        <v>1256</v>
      </c>
      <c r="E122" s="775" t="s">
        <v>1264</v>
      </c>
      <c r="F122" s="775" t="s">
        <v>1261</v>
      </c>
      <c r="G122" s="775">
        <v>50</v>
      </c>
      <c r="H122" s="775" t="s">
        <v>0</v>
      </c>
      <c r="I122" s="776" t="s">
        <v>42</v>
      </c>
      <c r="J122" s="774" t="s">
        <v>42</v>
      </c>
      <c r="K122" s="774" t="s">
        <v>42</v>
      </c>
      <c r="L122" s="777">
        <v>300</v>
      </c>
      <c r="M122" s="778">
        <v>0</v>
      </c>
      <c r="N122" s="779">
        <v>183</v>
      </c>
      <c r="O122" s="780">
        <v>0</v>
      </c>
      <c r="P122" s="781">
        <v>1.04</v>
      </c>
      <c r="Q122" s="781">
        <v>0.46949999999999997</v>
      </c>
      <c r="R122" s="782">
        <v>0</v>
      </c>
      <c r="S122" s="781">
        <v>5.6</v>
      </c>
      <c r="T122" s="781">
        <v>4.4000000000000004</v>
      </c>
      <c r="U122" s="781">
        <v>1.8780000000000001</v>
      </c>
      <c r="V122" s="781">
        <v>1.4085000000000001</v>
      </c>
      <c r="W122" s="781">
        <v>7.8250000000000011</v>
      </c>
      <c r="X122" s="781">
        <v>2.1910000000000003</v>
      </c>
      <c r="Y122" s="781">
        <v>10.955000000000002</v>
      </c>
      <c r="Z122" s="781">
        <v>31.300000000000004</v>
      </c>
      <c r="AA122" s="781">
        <v>46.95</v>
      </c>
      <c r="AB122" s="781">
        <v>31.300000000000004</v>
      </c>
      <c r="AC122" s="781">
        <v>0.15650000000000003</v>
      </c>
      <c r="AD122" s="781">
        <v>0.15650000000000003</v>
      </c>
      <c r="AE122" s="781">
        <v>0.15650000000000003</v>
      </c>
      <c r="AF122" s="781"/>
      <c r="AG122" s="781"/>
      <c r="AH122" s="781"/>
      <c r="AI122" s="784"/>
      <c r="AK122" s="783">
        <f>IFERROR(Tabela1[[#This Row],[EE(g)]]/Tabela1[[#This Row],[CMS(kg)]],0)</f>
        <v>0</v>
      </c>
    </row>
    <row r="123" spans="2:37" hidden="1">
      <c r="B123" s="774">
        <f>ROW()^2+(Tabela1[[#This Row],[ID2]])+ROW()</f>
        <v>15305</v>
      </c>
      <c r="C123" s="774">
        <v>53</v>
      </c>
      <c r="D123" s="774" t="s">
        <v>1256</v>
      </c>
      <c r="E123" s="775" t="s">
        <v>1264</v>
      </c>
      <c r="F123" s="775" t="s">
        <v>1261</v>
      </c>
      <c r="G123" s="775">
        <v>50</v>
      </c>
      <c r="H123" s="775" t="s">
        <v>0</v>
      </c>
      <c r="I123" s="776" t="s">
        <v>42</v>
      </c>
      <c r="J123" s="774" t="s">
        <v>42</v>
      </c>
      <c r="K123" s="774" t="s">
        <v>42</v>
      </c>
      <c r="L123" s="777">
        <v>400</v>
      </c>
      <c r="M123" s="778">
        <v>0</v>
      </c>
      <c r="N123" s="779">
        <v>230</v>
      </c>
      <c r="O123" s="780">
        <v>0</v>
      </c>
      <c r="P123" s="781">
        <v>1.28</v>
      </c>
      <c r="Q123" s="781">
        <v>0.57750000000000001</v>
      </c>
      <c r="R123" s="782">
        <v>0</v>
      </c>
      <c r="S123" s="781">
        <v>7.2</v>
      </c>
      <c r="T123" s="781">
        <v>5.7</v>
      </c>
      <c r="U123" s="781">
        <v>2.31</v>
      </c>
      <c r="V123" s="781">
        <v>1.7324999999999999</v>
      </c>
      <c r="W123" s="781">
        <v>9.625</v>
      </c>
      <c r="X123" s="781">
        <v>2.6950000000000003</v>
      </c>
      <c r="Y123" s="781">
        <v>13.475</v>
      </c>
      <c r="Z123" s="781">
        <v>38.5</v>
      </c>
      <c r="AA123" s="781">
        <v>57.75</v>
      </c>
      <c r="AB123" s="781">
        <v>38.5</v>
      </c>
      <c r="AC123" s="781">
        <v>0.1925</v>
      </c>
      <c r="AD123" s="781">
        <v>0.1925</v>
      </c>
      <c r="AE123" s="781">
        <v>0.1925</v>
      </c>
      <c r="AF123" s="781"/>
      <c r="AG123" s="781"/>
      <c r="AH123" s="781"/>
      <c r="AI123" s="784"/>
      <c r="AK123" s="783">
        <f>IFERROR(Tabela1[[#This Row],[EE(g)]]/Tabela1[[#This Row],[CMS(kg)]],0)</f>
        <v>0</v>
      </c>
    </row>
    <row r="124" spans="2:37" hidden="1">
      <c r="B124" s="774">
        <f>ROW()^2+(Tabela1[[#This Row],[ID2]])+ROW()</f>
        <v>15554</v>
      </c>
      <c r="C124" s="774">
        <v>54</v>
      </c>
      <c r="D124" s="774" t="s">
        <v>1256</v>
      </c>
      <c r="E124" s="775" t="s">
        <v>1264</v>
      </c>
      <c r="F124" s="775" t="s">
        <v>1261</v>
      </c>
      <c r="G124" s="775">
        <v>50</v>
      </c>
      <c r="H124" s="775" t="s">
        <v>0</v>
      </c>
      <c r="I124" s="776" t="s">
        <v>42</v>
      </c>
      <c r="J124" s="774" t="s">
        <v>42</v>
      </c>
      <c r="K124" s="774" t="s">
        <v>42</v>
      </c>
      <c r="L124" s="777">
        <v>500</v>
      </c>
      <c r="M124" s="778">
        <v>0</v>
      </c>
      <c r="N124" s="779">
        <v>254</v>
      </c>
      <c r="O124" s="780">
        <v>0</v>
      </c>
      <c r="P124" s="781">
        <v>1.35</v>
      </c>
      <c r="Q124" s="781">
        <v>0.50849999999999995</v>
      </c>
      <c r="R124" s="782">
        <v>0</v>
      </c>
      <c r="S124" s="781">
        <v>8.3000000000000007</v>
      </c>
      <c r="T124" s="781">
        <v>6.5</v>
      </c>
      <c r="U124" s="781">
        <v>2.0339999999999998</v>
      </c>
      <c r="V124" s="781">
        <v>1.5254999999999999</v>
      </c>
      <c r="W124" s="781">
        <v>8.4749999999999996</v>
      </c>
      <c r="X124" s="781">
        <v>2.3730000000000002</v>
      </c>
      <c r="Y124" s="781">
        <v>11.865</v>
      </c>
      <c r="Z124" s="781">
        <v>33.9</v>
      </c>
      <c r="AA124" s="781">
        <v>50.85</v>
      </c>
      <c r="AB124" s="781">
        <v>33.9</v>
      </c>
      <c r="AC124" s="781">
        <v>0.16950000000000001</v>
      </c>
      <c r="AD124" s="781">
        <v>0.16950000000000001</v>
      </c>
      <c r="AE124" s="781">
        <v>0.16950000000000001</v>
      </c>
      <c r="AF124" s="781"/>
      <c r="AG124" s="781"/>
      <c r="AH124" s="781"/>
      <c r="AI124" s="784"/>
      <c r="AK124" s="783">
        <f>IFERROR(Tabela1[[#This Row],[EE(g)]]/Tabela1[[#This Row],[CMS(kg)]],0)</f>
        <v>0</v>
      </c>
    </row>
    <row r="125" spans="2:37" hidden="1">
      <c r="B125" s="774">
        <f>ROW()^2+(Tabela1[[#This Row],[ID2]])+ROW()</f>
        <v>15805</v>
      </c>
      <c r="C125" s="774">
        <v>55</v>
      </c>
      <c r="D125" s="774" t="s">
        <v>1256</v>
      </c>
      <c r="E125" s="775" t="s">
        <v>1264</v>
      </c>
      <c r="F125" s="775" t="s">
        <v>1261</v>
      </c>
      <c r="G125" s="775">
        <v>50</v>
      </c>
      <c r="H125" s="775" t="s">
        <v>0</v>
      </c>
      <c r="I125" s="776" t="s">
        <v>42</v>
      </c>
      <c r="J125" s="774" t="s">
        <v>42</v>
      </c>
      <c r="K125" s="774" t="s">
        <v>42</v>
      </c>
      <c r="L125" s="777">
        <v>600</v>
      </c>
      <c r="M125" s="778">
        <v>0</v>
      </c>
      <c r="N125" s="779">
        <v>297</v>
      </c>
      <c r="O125" s="780">
        <v>0</v>
      </c>
      <c r="P125" s="781">
        <v>1.55</v>
      </c>
      <c r="Q125" s="781">
        <v>0.58499999999999996</v>
      </c>
      <c r="R125" s="782">
        <v>0</v>
      </c>
      <c r="S125" s="781">
        <v>9.8000000000000007</v>
      </c>
      <c r="T125" s="781">
        <v>7.7</v>
      </c>
      <c r="U125" s="781">
        <v>2.34</v>
      </c>
      <c r="V125" s="781">
        <v>1.7549999999999999</v>
      </c>
      <c r="W125" s="781">
        <v>9.75</v>
      </c>
      <c r="X125" s="781">
        <v>2.73</v>
      </c>
      <c r="Y125" s="781">
        <v>13.65</v>
      </c>
      <c r="Z125" s="781">
        <v>39</v>
      </c>
      <c r="AA125" s="781">
        <v>58.5</v>
      </c>
      <c r="AB125" s="781">
        <v>39</v>
      </c>
      <c r="AC125" s="781">
        <v>0.19500000000000001</v>
      </c>
      <c r="AD125" s="781">
        <v>0.19500000000000001</v>
      </c>
      <c r="AE125" s="781">
        <v>0.19500000000000001</v>
      </c>
      <c r="AF125" s="781"/>
      <c r="AG125" s="781"/>
      <c r="AH125" s="781"/>
      <c r="AI125" s="784"/>
      <c r="AK125" s="783">
        <f>IFERROR(Tabela1[[#This Row],[EE(g)]]/Tabela1[[#This Row],[CMS(kg)]],0)</f>
        <v>0</v>
      </c>
    </row>
    <row r="126" spans="2:37" hidden="1">
      <c r="B126" s="774">
        <f>ROW()^2+(Tabela1[[#This Row],[ID2]])+ROW()</f>
        <v>16058</v>
      </c>
      <c r="C126" s="774">
        <v>56</v>
      </c>
      <c r="D126" s="774" t="s">
        <v>1256</v>
      </c>
      <c r="E126" s="775" t="s">
        <v>1264</v>
      </c>
      <c r="F126" s="775" t="s">
        <v>1261</v>
      </c>
      <c r="G126" s="775">
        <v>60</v>
      </c>
      <c r="H126" s="775" t="s">
        <v>0</v>
      </c>
      <c r="I126" s="776" t="s">
        <v>42</v>
      </c>
      <c r="J126" s="774" t="s">
        <v>42</v>
      </c>
      <c r="K126" s="774" t="s">
        <v>42</v>
      </c>
      <c r="L126" s="777">
        <v>250</v>
      </c>
      <c r="M126" s="778">
        <v>0</v>
      </c>
      <c r="N126" s="779">
        <v>198</v>
      </c>
      <c r="O126" s="780">
        <v>0</v>
      </c>
      <c r="P126" s="781">
        <v>1.23</v>
      </c>
      <c r="Q126" s="781">
        <v>0.6966</v>
      </c>
      <c r="R126" s="782">
        <v>0</v>
      </c>
      <c r="S126" s="781">
        <v>5.7</v>
      </c>
      <c r="T126" s="781">
        <v>4.5999999999999996</v>
      </c>
      <c r="U126" s="781">
        <v>2.7864</v>
      </c>
      <c r="V126" s="781">
        <v>2.0897999999999999</v>
      </c>
      <c r="W126" s="781">
        <v>11.61</v>
      </c>
      <c r="X126" s="781">
        <v>3.2508000000000004</v>
      </c>
      <c r="Y126" s="781">
        <v>16.254000000000001</v>
      </c>
      <c r="Z126" s="781">
        <v>46.44</v>
      </c>
      <c r="AA126" s="781">
        <v>69.66</v>
      </c>
      <c r="AB126" s="781">
        <v>46.44</v>
      </c>
      <c r="AC126" s="781">
        <v>0.23220000000000002</v>
      </c>
      <c r="AD126" s="781">
        <v>0.23220000000000002</v>
      </c>
      <c r="AE126" s="781">
        <v>0.23220000000000002</v>
      </c>
      <c r="AF126" s="781"/>
      <c r="AG126" s="781"/>
      <c r="AH126" s="781"/>
      <c r="AI126" s="784"/>
      <c r="AK126" s="783">
        <f>IFERROR(Tabela1[[#This Row],[EE(g)]]/Tabela1[[#This Row],[CMS(kg)]],0)</f>
        <v>0</v>
      </c>
    </row>
    <row r="127" spans="2:37" hidden="1">
      <c r="B127" s="774">
        <f>ROW()^2+(Tabela1[[#This Row],[ID2]])+ROW()</f>
        <v>16313</v>
      </c>
      <c r="C127" s="774">
        <v>57</v>
      </c>
      <c r="D127" s="774" t="s">
        <v>1256</v>
      </c>
      <c r="E127" s="775" t="s">
        <v>1264</v>
      </c>
      <c r="F127" s="775" t="s">
        <v>1261</v>
      </c>
      <c r="G127" s="775">
        <v>60</v>
      </c>
      <c r="H127" s="775" t="s">
        <v>0</v>
      </c>
      <c r="I127" s="776" t="s">
        <v>42</v>
      </c>
      <c r="J127" s="774" t="s">
        <v>42</v>
      </c>
      <c r="K127" s="774" t="s">
        <v>42</v>
      </c>
      <c r="L127" s="777">
        <v>300</v>
      </c>
      <c r="M127" s="778">
        <v>0</v>
      </c>
      <c r="N127" s="779">
        <v>190</v>
      </c>
      <c r="O127" s="780">
        <v>0</v>
      </c>
      <c r="P127" s="781">
        <v>1.1000000000000001</v>
      </c>
      <c r="Q127" s="781">
        <v>0.49680000000000002</v>
      </c>
      <c r="R127" s="782">
        <v>0</v>
      </c>
      <c r="S127" s="781">
        <v>5.7</v>
      </c>
      <c r="T127" s="781">
        <v>4.5</v>
      </c>
      <c r="U127" s="781">
        <v>1.9871999999999999</v>
      </c>
      <c r="V127" s="781">
        <v>1.4903999999999997</v>
      </c>
      <c r="W127" s="781">
        <v>8.2799999999999994</v>
      </c>
      <c r="X127" s="781">
        <v>2.3184</v>
      </c>
      <c r="Y127" s="781">
        <v>11.591999999999999</v>
      </c>
      <c r="Z127" s="781">
        <v>33.119999999999997</v>
      </c>
      <c r="AA127" s="781">
        <v>49.68</v>
      </c>
      <c r="AB127" s="781">
        <v>33.119999999999997</v>
      </c>
      <c r="AC127" s="781">
        <v>0.1656</v>
      </c>
      <c r="AD127" s="781">
        <v>0.1656</v>
      </c>
      <c r="AE127" s="781">
        <v>0.1656</v>
      </c>
      <c r="AF127" s="781"/>
      <c r="AG127" s="781"/>
      <c r="AH127" s="781"/>
      <c r="AI127" s="784"/>
      <c r="AK127" s="783">
        <f>IFERROR(Tabela1[[#This Row],[EE(g)]]/Tabela1[[#This Row],[CMS(kg)]],0)</f>
        <v>0</v>
      </c>
    </row>
    <row r="128" spans="2:37" hidden="1">
      <c r="B128" s="774">
        <f>ROW()^2+(Tabela1[[#This Row],[ID2]])+ROW()</f>
        <v>16570</v>
      </c>
      <c r="C128" s="774">
        <v>58</v>
      </c>
      <c r="D128" s="774" t="s">
        <v>1256</v>
      </c>
      <c r="E128" s="775" t="s">
        <v>1264</v>
      </c>
      <c r="F128" s="775" t="s">
        <v>1261</v>
      </c>
      <c r="G128" s="775">
        <v>60</v>
      </c>
      <c r="H128" s="775" t="s">
        <v>0</v>
      </c>
      <c r="I128" s="776" t="s">
        <v>42</v>
      </c>
      <c r="J128" s="774" t="s">
        <v>42</v>
      </c>
      <c r="K128" s="774" t="s">
        <v>42</v>
      </c>
      <c r="L128" s="777">
        <v>400</v>
      </c>
      <c r="M128" s="778">
        <v>0</v>
      </c>
      <c r="N128" s="779">
        <v>237</v>
      </c>
      <c r="O128" s="780">
        <v>0</v>
      </c>
      <c r="P128" s="781">
        <v>1.34</v>
      </c>
      <c r="Q128" s="781">
        <v>0.6048</v>
      </c>
      <c r="R128" s="782">
        <v>0</v>
      </c>
      <c r="S128" s="781">
        <v>7.3</v>
      </c>
      <c r="T128" s="781">
        <v>5.8</v>
      </c>
      <c r="U128" s="781">
        <v>2.4192</v>
      </c>
      <c r="V128" s="781">
        <v>1.8143999999999998</v>
      </c>
      <c r="W128" s="781">
        <v>10.08</v>
      </c>
      <c r="X128" s="781">
        <v>2.8224000000000005</v>
      </c>
      <c r="Y128" s="781">
        <v>14.112</v>
      </c>
      <c r="Z128" s="781">
        <v>40.32</v>
      </c>
      <c r="AA128" s="781">
        <v>60.480000000000004</v>
      </c>
      <c r="AB128" s="781">
        <v>40.32</v>
      </c>
      <c r="AC128" s="781">
        <v>0.2016</v>
      </c>
      <c r="AD128" s="781">
        <v>0.2016</v>
      </c>
      <c r="AE128" s="781">
        <v>0.2016</v>
      </c>
      <c r="AF128" s="781"/>
      <c r="AG128" s="781"/>
      <c r="AH128" s="781"/>
      <c r="AI128" s="784"/>
      <c r="AK128" s="783">
        <f>IFERROR(Tabela1[[#This Row],[EE(g)]]/Tabela1[[#This Row],[CMS(kg)]],0)</f>
        <v>0</v>
      </c>
    </row>
    <row r="129" spans="2:37" hidden="1">
      <c r="B129" s="774">
        <f>ROW()^2+(Tabela1[[#This Row],[ID2]])+ROW()</f>
        <v>16829</v>
      </c>
      <c r="C129" s="774">
        <v>59</v>
      </c>
      <c r="D129" s="774" t="s">
        <v>1256</v>
      </c>
      <c r="E129" s="775" t="s">
        <v>1264</v>
      </c>
      <c r="F129" s="775" t="s">
        <v>1261</v>
      </c>
      <c r="G129" s="775">
        <v>60</v>
      </c>
      <c r="H129" s="775" t="s">
        <v>0</v>
      </c>
      <c r="I129" s="776" t="s">
        <v>42</v>
      </c>
      <c r="J129" s="774" t="s">
        <v>42</v>
      </c>
      <c r="K129" s="774" t="s">
        <v>42</v>
      </c>
      <c r="L129" s="777">
        <v>500</v>
      </c>
      <c r="M129" s="778">
        <v>0</v>
      </c>
      <c r="N129" s="779">
        <v>283</v>
      </c>
      <c r="O129" s="780">
        <v>0</v>
      </c>
      <c r="P129" s="781">
        <v>1.58</v>
      </c>
      <c r="Q129" s="781">
        <v>0.71460000000000001</v>
      </c>
      <c r="R129" s="782">
        <v>0</v>
      </c>
      <c r="S129" s="781">
        <v>8.9</v>
      </c>
      <c r="T129" s="781">
        <v>7.2</v>
      </c>
      <c r="U129" s="781">
        <v>2.8584000000000001</v>
      </c>
      <c r="V129" s="781">
        <v>2.1437999999999997</v>
      </c>
      <c r="W129" s="781">
        <v>11.91</v>
      </c>
      <c r="X129" s="781">
        <v>3.3348000000000004</v>
      </c>
      <c r="Y129" s="781">
        <v>16.673999999999999</v>
      </c>
      <c r="Z129" s="781">
        <v>47.64</v>
      </c>
      <c r="AA129" s="781">
        <v>71.460000000000008</v>
      </c>
      <c r="AB129" s="781">
        <v>47.64</v>
      </c>
      <c r="AC129" s="781">
        <v>0.23820000000000002</v>
      </c>
      <c r="AD129" s="781">
        <v>0.23820000000000002</v>
      </c>
      <c r="AE129" s="781">
        <v>0.23820000000000002</v>
      </c>
      <c r="AF129" s="781"/>
      <c r="AG129" s="781"/>
      <c r="AH129" s="781"/>
      <c r="AI129" s="784"/>
      <c r="AK129" s="783">
        <f>IFERROR(Tabela1[[#This Row],[EE(g)]]/Tabela1[[#This Row],[CMS(kg)]],0)</f>
        <v>0</v>
      </c>
    </row>
    <row r="130" spans="2:37" hidden="1">
      <c r="B130" s="774">
        <f>ROW()^2+(Tabela1[[#This Row],[ID2]])+ROW()</f>
        <v>17090</v>
      </c>
      <c r="C130" s="774">
        <v>60</v>
      </c>
      <c r="D130" s="774" t="s">
        <v>1256</v>
      </c>
      <c r="E130" s="775" t="s">
        <v>1264</v>
      </c>
      <c r="F130" s="775" t="s">
        <v>1261</v>
      </c>
      <c r="G130" s="775">
        <v>60</v>
      </c>
      <c r="H130" s="775" t="s">
        <v>0</v>
      </c>
      <c r="I130" s="776" t="s">
        <v>42</v>
      </c>
      <c r="J130" s="774" t="s">
        <v>42</v>
      </c>
      <c r="K130" s="774" t="s">
        <v>42</v>
      </c>
      <c r="L130" s="777">
        <v>600</v>
      </c>
      <c r="M130" s="778">
        <v>0</v>
      </c>
      <c r="N130" s="779">
        <v>304</v>
      </c>
      <c r="O130" s="780">
        <v>0</v>
      </c>
      <c r="P130" s="781">
        <v>1.62</v>
      </c>
      <c r="Q130" s="781">
        <v>0.61019999999999996</v>
      </c>
      <c r="R130" s="782">
        <v>0</v>
      </c>
      <c r="S130" s="781">
        <v>9.9</v>
      </c>
      <c r="T130" s="781">
        <v>7.8</v>
      </c>
      <c r="U130" s="781">
        <v>2.4407999999999999</v>
      </c>
      <c r="V130" s="781">
        <v>1.8305999999999996</v>
      </c>
      <c r="W130" s="781">
        <v>10.169999999999998</v>
      </c>
      <c r="X130" s="781">
        <v>2.8475999999999999</v>
      </c>
      <c r="Y130" s="781">
        <v>14.238</v>
      </c>
      <c r="Z130" s="781">
        <v>40.679999999999993</v>
      </c>
      <c r="AA130" s="781">
        <v>61.019999999999996</v>
      </c>
      <c r="AB130" s="781">
        <v>40.679999999999993</v>
      </c>
      <c r="AC130" s="781">
        <v>0.2034</v>
      </c>
      <c r="AD130" s="781">
        <v>0.2034</v>
      </c>
      <c r="AE130" s="781">
        <v>0.2034</v>
      </c>
      <c r="AF130" s="781"/>
      <c r="AG130" s="781"/>
      <c r="AH130" s="781"/>
      <c r="AI130" s="784"/>
      <c r="AK130" s="783">
        <f>IFERROR(Tabela1[[#This Row],[EE(g)]]/Tabela1[[#This Row],[CMS(kg)]],0)</f>
        <v>0</v>
      </c>
    </row>
    <row r="131" spans="2:37" hidden="1">
      <c r="B131" s="774">
        <f>ROW()^2+(Tabela1[[#This Row],[ID2]])+ROW()</f>
        <v>17353</v>
      </c>
      <c r="C131" s="774">
        <v>61</v>
      </c>
      <c r="D131" s="774" t="s">
        <v>1256</v>
      </c>
      <c r="E131" s="775" t="s">
        <v>1264</v>
      </c>
      <c r="F131" s="775" t="s">
        <v>1261</v>
      </c>
      <c r="G131" s="775">
        <v>70</v>
      </c>
      <c r="H131" s="775" t="s">
        <v>0</v>
      </c>
      <c r="I131" s="776" t="s">
        <v>42</v>
      </c>
      <c r="J131" s="774" t="s">
        <v>42</v>
      </c>
      <c r="K131" s="774" t="s">
        <v>42</v>
      </c>
      <c r="L131" s="777">
        <v>150</v>
      </c>
      <c r="M131" s="778">
        <v>0</v>
      </c>
      <c r="N131" s="779">
        <v>148</v>
      </c>
      <c r="O131" s="780">
        <v>0</v>
      </c>
      <c r="P131" s="781">
        <v>0.94</v>
      </c>
      <c r="Q131" s="781">
        <v>0.53339999999999999</v>
      </c>
      <c r="R131" s="782">
        <v>0</v>
      </c>
      <c r="S131" s="781">
        <v>3.9</v>
      </c>
      <c r="T131" s="781">
        <v>3.1</v>
      </c>
      <c r="U131" s="781">
        <v>2.1335999999999999</v>
      </c>
      <c r="V131" s="781">
        <v>1.6001999999999998</v>
      </c>
      <c r="W131" s="781">
        <v>8.89</v>
      </c>
      <c r="X131" s="781">
        <v>2.4892000000000003</v>
      </c>
      <c r="Y131" s="781">
        <v>12.446</v>
      </c>
      <c r="Z131" s="781">
        <v>35.56</v>
      </c>
      <c r="AA131" s="781">
        <v>53.34</v>
      </c>
      <c r="AB131" s="781">
        <v>35.56</v>
      </c>
      <c r="AC131" s="781">
        <v>0.17780000000000001</v>
      </c>
      <c r="AD131" s="781">
        <v>0.17780000000000001</v>
      </c>
      <c r="AE131" s="781">
        <v>0.17780000000000001</v>
      </c>
      <c r="AF131" s="781"/>
      <c r="AG131" s="781"/>
      <c r="AH131" s="781"/>
      <c r="AI131" s="784"/>
      <c r="AK131" s="783">
        <f>IFERROR(Tabela1[[#This Row],[EE(g)]]/Tabela1[[#This Row],[CMS(kg)]],0)</f>
        <v>0</v>
      </c>
    </row>
    <row r="132" spans="2:37" hidden="1">
      <c r="B132" s="774">
        <f>ROW()^2+(Tabela1[[#This Row],[ID2]])+ROW()</f>
        <v>17618</v>
      </c>
      <c r="C132" s="774">
        <v>62</v>
      </c>
      <c r="D132" s="774" t="s">
        <v>1256</v>
      </c>
      <c r="E132" s="775" t="s">
        <v>1264</v>
      </c>
      <c r="F132" s="775" t="s">
        <v>1261</v>
      </c>
      <c r="G132" s="775">
        <v>70</v>
      </c>
      <c r="H132" s="775" t="s">
        <v>0</v>
      </c>
      <c r="I132" s="776" t="s">
        <v>42</v>
      </c>
      <c r="J132" s="774" t="s">
        <v>42</v>
      </c>
      <c r="K132" s="774" t="s">
        <v>42</v>
      </c>
      <c r="L132" s="777">
        <v>200</v>
      </c>
      <c r="M132" s="778">
        <v>0</v>
      </c>
      <c r="N132" s="779">
        <v>177</v>
      </c>
      <c r="O132" s="780">
        <v>0</v>
      </c>
      <c r="P132" s="781">
        <v>1.1200000000000001</v>
      </c>
      <c r="Q132" s="781">
        <v>0.6321</v>
      </c>
      <c r="R132" s="782">
        <v>0</v>
      </c>
      <c r="S132" s="781">
        <v>4.8</v>
      </c>
      <c r="T132" s="781">
        <v>3.9</v>
      </c>
      <c r="U132" s="781">
        <v>2.5283999999999995</v>
      </c>
      <c r="V132" s="781">
        <v>1.8962999999999997</v>
      </c>
      <c r="W132" s="781">
        <v>10.534999999999998</v>
      </c>
      <c r="X132" s="781">
        <v>2.9497999999999998</v>
      </c>
      <c r="Y132" s="781">
        <v>14.748999999999999</v>
      </c>
      <c r="Z132" s="781">
        <v>42.139999999999993</v>
      </c>
      <c r="AA132" s="781">
        <v>63.209999999999994</v>
      </c>
      <c r="AB132" s="781">
        <v>42.139999999999993</v>
      </c>
      <c r="AC132" s="781">
        <v>0.2107</v>
      </c>
      <c r="AD132" s="781">
        <v>0.2107</v>
      </c>
      <c r="AE132" s="781">
        <v>0.2107</v>
      </c>
      <c r="AF132" s="781"/>
      <c r="AG132" s="781"/>
      <c r="AH132" s="781"/>
      <c r="AI132" s="784"/>
      <c r="AK132" s="783">
        <f>IFERROR(Tabela1[[#This Row],[EE(g)]]/Tabela1[[#This Row],[CMS(kg)]],0)</f>
        <v>0</v>
      </c>
    </row>
    <row r="133" spans="2:37" hidden="1">
      <c r="B133" s="774">
        <f>ROW()^2+(Tabela1[[#This Row],[ID2]])+ROW()</f>
        <v>17885</v>
      </c>
      <c r="C133" s="774">
        <v>63</v>
      </c>
      <c r="D133" s="774" t="s">
        <v>1256</v>
      </c>
      <c r="E133" s="775" t="s">
        <v>1264</v>
      </c>
      <c r="F133" s="775" t="s">
        <v>1261</v>
      </c>
      <c r="G133" s="775">
        <v>70</v>
      </c>
      <c r="H133" s="775" t="s">
        <v>0</v>
      </c>
      <c r="I133" s="776" t="s">
        <v>42</v>
      </c>
      <c r="J133" s="774" t="s">
        <v>42</v>
      </c>
      <c r="K133" s="774" t="s">
        <v>42</v>
      </c>
      <c r="L133" s="777">
        <v>300</v>
      </c>
      <c r="M133" s="778">
        <v>0</v>
      </c>
      <c r="N133" s="779">
        <v>235</v>
      </c>
      <c r="O133" s="780">
        <v>0</v>
      </c>
      <c r="P133" s="781">
        <v>1.46</v>
      </c>
      <c r="Q133" s="781">
        <v>0.82740000000000002</v>
      </c>
      <c r="R133" s="782">
        <v>0</v>
      </c>
      <c r="S133" s="781">
        <v>6.7</v>
      </c>
      <c r="T133" s="781">
        <v>5.5</v>
      </c>
      <c r="U133" s="781">
        <v>3.3096000000000001</v>
      </c>
      <c r="V133" s="781">
        <v>2.4821999999999997</v>
      </c>
      <c r="W133" s="781">
        <v>13.79</v>
      </c>
      <c r="X133" s="781">
        <v>3.8612000000000002</v>
      </c>
      <c r="Y133" s="781">
        <v>19.306000000000001</v>
      </c>
      <c r="Z133" s="781">
        <v>55.16</v>
      </c>
      <c r="AA133" s="781">
        <v>82.74</v>
      </c>
      <c r="AB133" s="781">
        <v>55.16</v>
      </c>
      <c r="AC133" s="781">
        <v>0.27579999999999999</v>
      </c>
      <c r="AD133" s="781">
        <v>0.27579999999999999</v>
      </c>
      <c r="AE133" s="781">
        <v>0.27579999999999999</v>
      </c>
      <c r="AF133" s="781"/>
      <c r="AG133" s="781"/>
      <c r="AH133" s="781"/>
      <c r="AI133" s="784"/>
      <c r="AK133" s="783">
        <f>IFERROR(Tabela1[[#This Row],[EE(g)]]/Tabela1[[#This Row],[CMS(kg)]],0)</f>
        <v>0</v>
      </c>
    </row>
    <row r="134" spans="2:37" hidden="1">
      <c r="B134" s="774">
        <f>ROW()^2+(Tabela1[[#This Row],[ID2]])+ROW()</f>
        <v>18154</v>
      </c>
      <c r="C134" s="774">
        <v>64</v>
      </c>
      <c r="D134" s="774" t="s">
        <v>1256</v>
      </c>
      <c r="E134" s="775" t="s">
        <v>1264</v>
      </c>
      <c r="F134" s="775" t="s">
        <v>1261</v>
      </c>
      <c r="G134" s="775">
        <v>70</v>
      </c>
      <c r="H134" s="775" t="s">
        <v>0</v>
      </c>
      <c r="I134" s="776" t="s">
        <v>42</v>
      </c>
      <c r="J134" s="774" t="s">
        <v>42</v>
      </c>
      <c r="K134" s="774" t="s">
        <v>42</v>
      </c>
      <c r="L134" s="777">
        <v>400</v>
      </c>
      <c r="M134" s="778">
        <v>0</v>
      </c>
      <c r="N134" s="779">
        <v>244</v>
      </c>
      <c r="O134" s="780">
        <v>0</v>
      </c>
      <c r="P134" s="781">
        <v>1.4</v>
      </c>
      <c r="Q134" s="781">
        <v>0.6321</v>
      </c>
      <c r="R134" s="782">
        <v>0</v>
      </c>
      <c r="S134" s="781">
        <v>7.4</v>
      </c>
      <c r="T134" s="781">
        <v>5.9</v>
      </c>
      <c r="U134" s="781">
        <v>2.5283999999999995</v>
      </c>
      <c r="V134" s="781">
        <v>1.8962999999999997</v>
      </c>
      <c r="W134" s="781">
        <v>10.534999999999998</v>
      </c>
      <c r="X134" s="781">
        <v>2.9497999999999998</v>
      </c>
      <c r="Y134" s="781">
        <v>14.748999999999999</v>
      </c>
      <c r="Z134" s="781">
        <v>42.139999999999993</v>
      </c>
      <c r="AA134" s="781">
        <v>63.209999999999994</v>
      </c>
      <c r="AB134" s="781">
        <v>42.139999999999993</v>
      </c>
      <c r="AC134" s="781">
        <v>0.2107</v>
      </c>
      <c r="AD134" s="781">
        <v>0.2107</v>
      </c>
      <c r="AE134" s="781">
        <v>0.2107</v>
      </c>
      <c r="AF134" s="781"/>
      <c r="AG134" s="781"/>
      <c r="AH134" s="781"/>
      <c r="AI134" s="784"/>
      <c r="AK134" s="783">
        <f>IFERROR(Tabela1[[#This Row],[EE(g)]]/Tabela1[[#This Row],[CMS(kg)]],0)</f>
        <v>0</v>
      </c>
    </row>
    <row r="135" spans="2:37" hidden="1">
      <c r="B135" s="774">
        <f>ROW()^2+(Tabela1[[#This Row],[ID2]])+ROW()</f>
        <v>18425</v>
      </c>
      <c r="C135" s="774">
        <v>65</v>
      </c>
      <c r="D135" s="774" t="s">
        <v>1256</v>
      </c>
      <c r="E135" s="775" t="s">
        <v>1264</v>
      </c>
      <c r="F135" s="775" t="s">
        <v>1261</v>
      </c>
      <c r="G135" s="775">
        <v>70</v>
      </c>
      <c r="H135" s="775" t="s">
        <v>0</v>
      </c>
      <c r="I135" s="776" t="s">
        <v>42</v>
      </c>
      <c r="J135" s="774" t="s">
        <v>42</v>
      </c>
      <c r="K135" s="774" t="s">
        <v>42</v>
      </c>
      <c r="L135" s="777">
        <v>500</v>
      </c>
      <c r="M135" s="778">
        <v>0</v>
      </c>
      <c r="N135" s="779">
        <v>290</v>
      </c>
      <c r="O135" s="780">
        <v>0</v>
      </c>
      <c r="P135" s="781">
        <v>1.64</v>
      </c>
      <c r="Q135" s="781">
        <v>0.74129999999999996</v>
      </c>
      <c r="R135" s="782">
        <v>0</v>
      </c>
      <c r="S135" s="781">
        <v>9</v>
      </c>
      <c r="T135" s="781">
        <v>7.2</v>
      </c>
      <c r="U135" s="781">
        <v>2.9651999999999998</v>
      </c>
      <c r="V135" s="781">
        <v>2.2239</v>
      </c>
      <c r="W135" s="781">
        <v>12.355</v>
      </c>
      <c r="X135" s="781">
        <v>3.4594000000000005</v>
      </c>
      <c r="Y135" s="781">
        <v>17.297000000000001</v>
      </c>
      <c r="Z135" s="781">
        <v>49.42</v>
      </c>
      <c r="AA135" s="781">
        <v>74.13</v>
      </c>
      <c r="AB135" s="781">
        <v>49.42</v>
      </c>
      <c r="AC135" s="781">
        <v>0.24710000000000001</v>
      </c>
      <c r="AD135" s="781">
        <v>0.24710000000000001</v>
      </c>
      <c r="AE135" s="781">
        <v>0.24710000000000001</v>
      </c>
      <c r="AF135" s="781"/>
      <c r="AG135" s="781"/>
      <c r="AH135" s="781"/>
      <c r="AI135" s="784"/>
      <c r="AK135" s="783">
        <f>IFERROR(Tabela1[[#This Row],[EE(g)]]/Tabela1[[#This Row],[CMS(kg)]],0)</f>
        <v>0</v>
      </c>
    </row>
    <row r="136" spans="2:37" hidden="1">
      <c r="B136" s="774">
        <f>ROW()^2+(Tabela1[[#This Row],[ID2]])+ROW()</f>
        <v>18698</v>
      </c>
      <c r="C136" s="774">
        <v>66</v>
      </c>
      <c r="D136" s="774" t="s">
        <v>1256</v>
      </c>
      <c r="E136" s="775" t="s">
        <v>1264</v>
      </c>
      <c r="F136" s="775" t="s">
        <v>1261</v>
      </c>
      <c r="G136" s="775">
        <v>80</v>
      </c>
      <c r="H136" s="775" t="s">
        <v>0</v>
      </c>
      <c r="I136" s="776" t="s">
        <v>42</v>
      </c>
      <c r="J136" s="774" t="s">
        <v>42</v>
      </c>
      <c r="K136" s="774" t="s">
        <v>42</v>
      </c>
      <c r="L136" s="777">
        <v>150</v>
      </c>
      <c r="M136" s="778">
        <v>0</v>
      </c>
      <c r="N136" s="779">
        <v>155</v>
      </c>
      <c r="O136" s="780">
        <v>0</v>
      </c>
      <c r="P136" s="781">
        <v>0.99</v>
      </c>
      <c r="Q136" s="781">
        <v>0.56159999999999999</v>
      </c>
      <c r="R136" s="782">
        <v>0</v>
      </c>
      <c r="S136" s="781">
        <v>4</v>
      </c>
      <c r="T136" s="781">
        <v>3.2</v>
      </c>
      <c r="U136" s="781">
        <v>2.2464</v>
      </c>
      <c r="V136" s="781">
        <v>1.6847999999999996</v>
      </c>
      <c r="W136" s="781">
        <v>9.36</v>
      </c>
      <c r="X136" s="781">
        <v>2.6208</v>
      </c>
      <c r="Y136" s="781">
        <v>13.103999999999999</v>
      </c>
      <c r="Z136" s="781">
        <v>37.44</v>
      </c>
      <c r="AA136" s="781">
        <v>56.16</v>
      </c>
      <c r="AB136" s="781">
        <v>37.44</v>
      </c>
      <c r="AC136" s="781">
        <v>0.18720000000000001</v>
      </c>
      <c r="AD136" s="781">
        <v>0.18720000000000001</v>
      </c>
      <c r="AE136" s="781">
        <v>0.18720000000000001</v>
      </c>
      <c r="AF136" s="781"/>
      <c r="AG136" s="781"/>
      <c r="AH136" s="781"/>
      <c r="AI136" s="784"/>
      <c r="AK136" s="783">
        <f>IFERROR(Tabela1[[#This Row],[EE(g)]]/Tabela1[[#This Row],[CMS(kg)]],0)</f>
        <v>0</v>
      </c>
    </row>
    <row r="137" spans="2:37" hidden="1">
      <c r="B137" s="774">
        <f>ROW()^2+(Tabela1[[#This Row],[ID2]])+ROW()</f>
        <v>18973</v>
      </c>
      <c r="C137" s="774">
        <v>67</v>
      </c>
      <c r="D137" s="774" t="s">
        <v>1256</v>
      </c>
      <c r="E137" s="775" t="s">
        <v>1264</v>
      </c>
      <c r="F137" s="775" t="s">
        <v>1261</v>
      </c>
      <c r="G137" s="775">
        <v>80</v>
      </c>
      <c r="H137" s="775" t="s">
        <v>0</v>
      </c>
      <c r="I137" s="776" t="s">
        <v>42</v>
      </c>
      <c r="J137" s="774" t="s">
        <v>42</v>
      </c>
      <c r="K137" s="774" t="s">
        <v>42</v>
      </c>
      <c r="L137" s="777">
        <v>200</v>
      </c>
      <c r="M137" s="778">
        <v>0</v>
      </c>
      <c r="N137" s="779">
        <v>184</v>
      </c>
      <c r="O137" s="780">
        <v>0</v>
      </c>
      <c r="P137" s="781">
        <v>1.17</v>
      </c>
      <c r="Q137" s="781">
        <v>0.66</v>
      </c>
      <c r="R137" s="782">
        <v>0</v>
      </c>
      <c r="S137" s="781">
        <v>4.9000000000000004</v>
      </c>
      <c r="T137" s="781">
        <v>4</v>
      </c>
      <c r="U137" s="781">
        <v>2.64</v>
      </c>
      <c r="V137" s="781">
        <v>1.98</v>
      </c>
      <c r="W137" s="781">
        <v>11</v>
      </c>
      <c r="X137" s="781">
        <v>3.0800000000000005</v>
      </c>
      <c r="Y137" s="781">
        <v>15.400000000000002</v>
      </c>
      <c r="Z137" s="781">
        <v>44</v>
      </c>
      <c r="AA137" s="781">
        <v>66</v>
      </c>
      <c r="AB137" s="781">
        <v>44</v>
      </c>
      <c r="AC137" s="781">
        <v>0.22000000000000003</v>
      </c>
      <c r="AD137" s="781">
        <v>0.22000000000000003</v>
      </c>
      <c r="AE137" s="781">
        <v>0.22000000000000003</v>
      </c>
      <c r="AF137" s="781"/>
      <c r="AG137" s="781"/>
      <c r="AH137" s="781"/>
      <c r="AI137" s="784"/>
      <c r="AK137" s="783">
        <f>IFERROR(Tabela1[[#This Row],[EE(g)]]/Tabela1[[#This Row],[CMS(kg)]],0)</f>
        <v>0</v>
      </c>
    </row>
    <row r="138" spans="2:37" hidden="1">
      <c r="B138" s="774">
        <f>ROW()^2+(Tabela1[[#This Row],[ID2]])+ROW()</f>
        <v>19250</v>
      </c>
      <c r="C138" s="774">
        <v>68</v>
      </c>
      <c r="D138" s="774" t="s">
        <v>1256</v>
      </c>
      <c r="E138" s="775" t="s">
        <v>1264</v>
      </c>
      <c r="F138" s="775" t="s">
        <v>1261</v>
      </c>
      <c r="G138" s="775">
        <v>80</v>
      </c>
      <c r="H138" s="775" t="s">
        <v>0</v>
      </c>
      <c r="I138" s="776" t="s">
        <v>42</v>
      </c>
      <c r="J138" s="774" t="s">
        <v>42</v>
      </c>
      <c r="K138" s="774" t="s">
        <v>42</v>
      </c>
      <c r="L138" s="777">
        <v>300</v>
      </c>
      <c r="M138" s="778">
        <v>0</v>
      </c>
      <c r="N138" s="779">
        <v>242</v>
      </c>
      <c r="O138" s="780">
        <v>0</v>
      </c>
      <c r="P138" s="781">
        <v>1.52</v>
      </c>
      <c r="Q138" s="781">
        <v>0.85919999999999996</v>
      </c>
      <c r="R138" s="782">
        <v>0</v>
      </c>
      <c r="S138" s="781">
        <v>6.8</v>
      </c>
      <c r="T138" s="781">
        <v>5.6</v>
      </c>
      <c r="U138" s="781">
        <v>3.4367999999999999</v>
      </c>
      <c r="V138" s="781">
        <v>2.5775999999999994</v>
      </c>
      <c r="W138" s="781">
        <v>14.32</v>
      </c>
      <c r="X138" s="781">
        <v>4.0095999999999998</v>
      </c>
      <c r="Y138" s="781">
        <v>20.047999999999998</v>
      </c>
      <c r="Z138" s="781">
        <v>57.28</v>
      </c>
      <c r="AA138" s="781">
        <v>85.92</v>
      </c>
      <c r="AB138" s="781">
        <v>57.28</v>
      </c>
      <c r="AC138" s="781">
        <v>0.28639999999999999</v>
      </c>
      <c r="AD138" s="781">
        <v>0.28639999999999999</v>
      </c>
      <c r="AE138" s="781">
        <v>0.28639999999999999</v>
      </c>
      <c r="AF138" s="781"/>
      <c r="AG138" s="781"/>
      <c r="AH138" s="781"/>
      <c r="AI138" s="784"/>
      <c r="AK138" s="783">
        <f>IFERROR(Tabela1[[#This Row],[EE(g)]]/Tabela1[[#This Row],[CMS(kg)]],0)</f>
        <v>0</v>
      </c>
    </row>
    <row r="139" spans="2:37" hidden="1">
      <c r="B139" s="774">
        <f>ROW()^2+(Tabela1[[#This Row],[ID2]])+ROW()</f>
        <v>19529</v>
      </c>
      <c r="C139" s="774">
        <v>69</v>
      </c>
      <c r="D139" s="774" t="s">
        <v>1256</v>
      </c>
      <c r="E139" s="775" t="s">
        <v>1264</v>
      </c>
      <c r="F139" s="775" t="s">
        <v>1261</v>
      </c>
      <c r="G139" s="775">
        <v>80</v>
      </c>
      <c r="H139" s="775" t="s">
        <v>0</v>
      </c>
      <c r="I139" s="776" t="s">
        <v>42</v>
      </c>
      <c r="J139" s="774" t="s">
        <v>42</v>
      </c>
      <c r="K139" s="774" t="s">
        <v>42</v>
      </c>
      <c r="L139" s="777">
        <v>400</v>
      </c>
      <c r="M139" s="778">
        <v>0</v>
      </c>
      <c r="N139" s="779">
        <v>250</v>
      </c>
      <c r="O139" s="780">
        <v>0</v>
      </c>
      <c r="P139" s="781">
        <v>1.45</v>
      </c>
      <c r="Q139" s="781">
        <v>0.65759999999999996</v>
      </c>
      <c r="R139" s="782">
        <v>0</v>
      </c>
      <c r="S139" s="781">
        <v>7.5</v>
      </c>
      <c r="T139" s="781">
        <v>6</v>
      </c>
      <c r="U139" s="781">
        <v>2.6304000000000003</v>
      </c>
      <c r="V139" s="781">
        <v>1.9727999999999999</v>
      </c>
      <c r="W139" s="781">
        <v>10.96</v>
      </c>
      <c r="X139" s="781">
        <v>3.0688000000000004</v>
      </c>
      <c r="Y139" s="781">
        <v>15.344000000000001</v>
      </c>
      <c r="Z139" s="781">
        <v>43.84</v>
      </c>
      <c r="AA139" s="781">
        <v>65.760000000000005</v>
      </c>
      <c r="AB139" s="781">
        <v>43.84</v>
      </c>
      <c r="AC139" s="781">
        <v>0.21920000000000003</v>
      </c>
      <c r="AD139" s="781">
        <v>0.21920000000000003</v>
      </c>
      <c r="AE139" s="781">
        <v>0.21920000000000003</v>
      </c>
      <c r="AF139" s="781"/>
      <c r="AG139" s="781"/>
      <c r="AH139" s="781"/>
      <c r="AI139" s="784"/>
      <c r="AK139" s="783">
        <f>IFERROR(Tabela1[[#This Row],[EE(g)]]/Tabela1[[#This Row],[CMS(kg)]],0)</f>
        <v>0</v>
      </c>
    </row>
    <row r="140" spans="2:37" hidden="1">
      <c r="B140" s="774">
        <f>ROW()^2+(Tabela1[[#This Row],[ID2]])+ROW()</f>
        <v>19810</v>
      </c>
      <c r="C140" s="774">
        <v>70</v>
      </c>
      <c r="D140" s="774" t="s">
        <v>1256</v>
      </c>
      <c r="E140" s="775" t="s">
        <v>1264</v>
      </c>
      <c r="F140" s="775" t="s">
        <v>1261</v>
      </c>
      <c r="G140" s="775">
        <v>80</v>
      </c>
      <c r="H140" s="775" t="s">
        <v>0</v>
      </c>
      <c r="I140" s="776" t="s">
        <v>42</v>
      </c>
      <c r="J140" s="774" t="s">
        <v>42</v>
      </c>
      <c r="K140" s="774" t="s">
        <v>42</v>
      </c>
      <c r="L140" s="777">
        <v>500</v>
      </c>
      <c r="M140" s="778">
        <v>0</v>
      </c>
      <c r="N140" s="779">
        <v>297</v>
      </c>
      <c r="O140" s="780">
        <v>0</v>
      </c>
      <c r="P140" s="781">
        <v>1.7</v>
      </c>
      <c r="Q140" s="781">
        <v>0.76800000000000002</v>
      </c>
      <c r="R140" s="782">
        <v>0</v>
      </c>
      <c r="S140" s="781">
        <v>9.1</v>
      </c>
      <c r="T140" s="781">
        <v>7.3</v>
      </c>
      <c r="U140" s="781">
        <v>3.0720000000000001</v>
      </c>
      <c r="V140" s="781">
        <v>2.3039999999999998</v>
      </c>
      <c r="W140" s="781">
        <v>12.8</v>
      </c>
      <c r="X140" s="781">
        <v>3.5840000000000005</v>
      </c>
      <c r="Y140" s="781">
        <v>17.920000000000002</v>
      </c>
      <c r="Z140" s="781">
        <v>51.2</v>
      </c>
      <c r="AA140" s="781">
        <v>76.8</v>
      </c>
      <c r="AB140" s="781">
        <v>51.2</v>
      </c>
      <c r="AC140" s="781">
        <v>0.25600000000000001</v>
      </c>
      <c r="AD140" s="781">
        <v>0.25600000000000001</v>
      </c>
      <c r="AE140" s="781">
        <v>0.25600000000000001</v>
      </c>
      <c r="AF140" s="781"/>
      <c r="AG140" s="781"/>
      <c r="AH140" s="781"/>
      <c r="AI140" s="784"/>
      <c r="AK140" s="783">
        <f>IFERROR(Tabela1[[#This Row],[EE(g)]]/Tabela1[[#This Row],[CMS(kg)]],0)</f>
        <v>0</v>
      </c>
    </row>
    <row r="141" spans="2:37" hidden="1">
      <c r="B141" s="774">
        <f>ROW()^2+(Tabela1[[#This Row],[ID2]])+ROW()</f>
        <v>20183</v>
      </c>
      <c r="C141" s="774">
        <v>161</v>
      </c>
      <c r="D141" s="774" t="s">
        <v>1256</v>
      </c>
      <c r="E141" s="775" t="s">
        <v>1276</v>
      </c>
      <c r="F141" s="775" t="s">
        <v>1265</v>
      </c>
      <c r="G141" s="775">
        <v>40</v>
      </c>
      <c r="H141" s="775" t="s">
        <v>0</v>
      </c>
      <c r="I141" s="779" t="s">
        <v>1266</v>
      </c>
      <c r="J141" s="775">
        <v>3.9</v>
      </c>
      <c r="K141" s="774" t="s">
        <v>42</v>
      </c>
      <c r="L141" s="777">
        <v>18</v>
      </c>
      <c r="M141" s="778">
        <v>0</v>
      </c>
      <c r="N141" s="779">
        <v>79</v>
      </c>
      <c r="O141" s="780">
        <v>0</v>
      </c>
      <c r="P141" s="781">
        <v>0.52</v>
      </c>
      <c r="Q141" s="781">
        <v>0.2964</v>
      </c>
      <c r="R141" s="782">
        <v>0</v>
      </c>
      <c r="S141" s="781">
        <v>3.4</v>
      </c>
      <c r="T141" s="781">
        <v>2.4</v>
      </c>
      <c r="U141" s="781">
        <v>1.1856</v>
      </c>
      <c r="V141" s="781">
        <v>0.88919999999999999</v>
      </c>
      <c r="W141" s="781">
        <v>4.9400000000000004</v>
      </c>
      <c r="X141" s="781">
        <v>1.3832000000000002</v>
      </c>
      <c r="Y141" s="781">
        <v>6.9160000000000004</v>
      </c>
      <c r="Z141" s="781">
        <v>19.760000000000002</v>
      </c>
      <c r="AA141" s="781">
        <v>29.640000000000004</v>
      </c>
      <c r="AB141" s="781">
        <v>19.760000000000002</v>
      </c>
      <c r="AC141" s="781">
        <v>9.8800000000000013E-2</v>
      </c>
      <c r="AD141" s="781">
        <v>9.8800000000000013E-2</v>
      </c>
      <c r="AE141" s="781">
        <v>9.8800000000000013E-2</v>
      </c>
      <c r="AF141" s="781"/>
      <c r="AG141" s="781"/>
      <c r="AH141" s="781"/>
      <c r="AI141" s="784"/>
      <c r="AK141" s="783">
        <f>IFERROR(Tabela1[[#This Row],[EE(g)]]/Tabela1[[#This Row],[CMS(kg)]],0)</f>
        <v>0</v>
      </c>
    </row>
    <row r="142" spans="2:37" hidden="1">
      <c r="B142" s="774">
        <f>ROW()^2+(Tabela1[[#This Row],[ID2]])+ROW()</f>
        <v>20476</v>
      </c>
      <c r="C142" s="774">
        <v>170</v>
      </c>
      <c r="D142" s="774" t="s">
        <v>1256</v>
      </c>
      <c r="E142" s="775" t="s">
        <v>1276</v>
      </c>
      <c r="F142" s="775" t="s">
        <v>1265</v>
      </c>
      <c r="G142" s="775">
        <v>40</v>
      </c>
      <c r="H142" s="775" t="s">
        <v>0</v>
      </c>
      <c r="I142" s="779" t="s">
        <v>1285</v>
      </c>
      <c r="J142" s="775">
        <v>3.4</v>
      </c>
      <c r="K142" s="774" t="s">
        <v>42</v>
      </c>
      <c r="L142" s="777">
        <v>30</v>
      </c>
      <c r="M142" s="778">
        <v>0</v>
      </c>
      <c r="N142" s="779">
        <v>95</v>
      </c>
      <c r="O142" s="780">
        <v>0</v>
      </c>
      <c r="P142" s="781">
        <v>0.61</v>
      </c>
      <c r="Q142" s="781">
        <v>0.34439999999999998</v>
      </c>
      <c r="R142" s="782">
        <v>0</v>
      </c>
      <c r="S142" s="781">
        <v>4.8</v>
      </c>
      <c r="T142" s="781">
        <v>3.2</v>
      </c>
      <c r="U142" s="781">
        <v>1.3775999999999999</v>
      </c>
      <c r="V142" s="781">
        <v>1.0331999999999999</v>
      </c>
      <c r="W142" s="781">
        <v>5.7399999999999993</v>
      </c>
      <c r="X142" s="781">
        <v>1.6072</v>
      </c>
      <c r="Y142" s="781">
        <v>8.0359999999999996</v>
      </c>
      <c r="Z142" s="781">
        <v>22.959999999999997</v>
      </c>
      <c r="AA142" s="781">
        <v>34.44</v>
      </c>
      <c r="AB142" s="781">
        <v>22.959999999999997</v>
      </c>
      <c r="AC142" s="781">
        <v>0.1148</v>
      </c>
      <c r="AD142" s="781">
        <v>0.1148</v>
      </c>
      <c r="AE142" s="781">
        <v>0.1148</v>
      </c>
      <c r="AF142" s="781"/>
      <c r="AG142" s="781"/>
      <c r="AH142" s="781"/>
      <c r="AI142" s="784"/>
      <c r="AK142" s="783">
        <f>IFERROR(Tabela1[[#This Row],[EE(g)]]/Tabela1[[#This Row],[CMS(kg)]],0)</f>
        <v>0</v>
      </c>
    </row>
    <row r="143" spans="2:37" hidden="1">
      <c r="B143" s="774">
        <f>ROW()^2+(Tabela1[[#This Row],[ID2]])+ROW()</f>
        <v>20771</v>
      </c>
      <c r="C143" s="774">
        <v>179</v>
      </c>
      <c r="D143" s="774" t="s">
        <v>1256</v>
      </c>
      <c r="E143" s="775" t="s">
        <v>1276</v>
      </c>
      <c r="F143" s="775" t="s">
        <v>1265</v>
      </c>
      <c r="G143" s="775">
        <v>40</v>
      </c>
      <c r="H143" s="775" t="s">
        <v>0</v>
      </c>
      <c r="I143" s="779" t="s">
        <v>1286</v>
      </c>
      <c r="J143" s="775">
        <v>2.9</v>
      </c>
      <c r="K143" s="774" t="s">
        <v>42</v>
      </c>
      <c r="L143" s="777">
        <v>39</v>
      </c>
      <c r="M143" s="778">
        <v>0</v>
      </c>
      <c r="N143" s="779">
        <v>98</v>
      </c>
      <c r="O143" s="780">
        <v>0</v>
      </c>
      <c r="P143" s="781">
        <v>0.67</v>
      </c>
      <c r="Q143" s="781">
        <v>0.30120000000000002</v>
      </c>
      <c r="R143" s="782">
        <v>0</v>
      </c>
      <c r="S143" s="781">
        <v>5.4</v>
      </c>
      <c r="T143" s="781">
        <v>3.3</v>
      </c>
      <c r="U143" s="781">
        <v>1.2047999999999999</v>
      </c>
      <c r="V143" s="781">
        <v>0.90359999999999996</v>
      </c>
      <c r="W143" s="781">
        <v>5.0199999999999996</v>
      </c>
      <c r="X143" s="781">
        <v>1.4056000000000002</v>
      </c>
      <c r="Y143" s="781">
        <v>7.0280000000000005</v>
      </c>
      <c r="Z143" s="781">
        <v>20.079999999999998</v>
      </c>
      <c r="AA143" s="781">
        <v>30.12</v>
      </c>
      <c r="AB143" s="781">
        <v>20.079999999999998</v>
      </c>
      <c r="AC143" s="781">
        <v>0.1004</v>
      </c>
      <c r="AD143" s="781">
        <v>0.1004</v>
      </c>
      <c r="AE143" s="781">
        <v>0.1004</v>
      </c>
      <c r="AF143" s="781"/>
      <c r="AG143" s="781"/>
      <c r="AH143" s="781"/>
      <c r="AI143" s="784"/>
      <c r="AK143" s="783">
        <f>IFERROR(Tabela1[[#This Row],[EE(g)]]/Tabela1[[#This Row],[CMS(kg)]],0)</f>
        <v>0</v>
      </c>
    </row>
    <row r="144" spans="2:37" hidden="1">
      <c r="B144" s="774">
        <f>ROW()^2+(Tabela1[[#This Row],[ID2]])+ROW()</f>
        <v>21042</v>
      </c>
      <c r="C144" s="774">
        <v>162</v>
      </c>
      <c r="D144" s="774" t="s">
        <v>1256</v>
      </c>
      <c r="E144" s="775" t="s">
        <v>1276</v>
      </c>
      <c r="F144" s="775" t="s">
        <v>1265</v>
      </c>
      <c r="G144" s="775">
        <v>50</v>
      </c>
      <c r="H144" s="775" t="s">
        <v>0</v>
      </c>
      <c r="I144" s="779" t="s">
        <v>1266</v>
      </c>
      <c r="J144" s="775">
        <v>4.4000000000000004</v>
      </c>
      <c r="K144" s="774" t="s">
        <v>42</v>
      </c>
      <c r="L144" s="777">
        <v>21</v>
      </c>
      <c r="M144" s="778">
        <v>0</v>
      </c>
      <c r="N144" s="779">
        <v>91</v>
      </c>
      <c r="O144" s="780">
        <v>0</v>
      </c>
      <c r="P144" s="781">
        <v>0.61</v>
      </c>
      <c r="Q144" s="781">
        <v>0.34799999999999998</v>
      </c>
      <c r="R144" s="782">
        <v>0</v>
      </c>
      <c r="S144" s="781">
        <v>3.8</v>
      </c>
      <c r="T144" s="781">
        <v>2.8</v>
      </c>
      <c r="U144" s="781">
        <v>1.3919999999999999</v>
      </c>
      <c r="V144" s="781">
        <v>1.0439999999999998</v>
      </c>
      <c r="W144" s="781">
        <v>5.8</v>
      </c>
      <c r="X144" s="781">
        <v>1.6240000000000001</v>
      </c>
      <c r="Y144" s="781">
        <v>8.1199999999999992</v>
      </c>
      <c r="Z144" s="781">
        <v>23.2</v>
      </c>
      <c r="AA144" s="781">
        <v>34.799999999999997</v>
      </c>
      <c r="AB144" s="781">
        <v>23.2</v>
      </c>
      <c r="AC144" s="781">
        <v>0.11599999999999999</v>
      </c>
      <c r="AD144" s="781">
        <v>0.11599999999999999</v>
      </c>
      <c r="AE144" s="781">
        <v>0.11599999999999999</v>
      </c>
      <c r="AF144" s="781"/>
      <c r="AG144" s="781"/>
      <c r="AH144" s="781"/>
      <c r="AI144" s="784"/>
      <c r="AK144" s="783">
        <f>IFERROR(Tabela1[[#This Row],[EE(g)]]/Tabela1[[#This Row],[CMS(kg)]],0)</f>
        <v>0</v>
      </c>
    </row>
    <row r="145" spans="2:37" hidden="1">
      <c r="B145" s="774">
        <f>ROW()^2+(Tabela1[[#This Row],[ID2]])+ROW()</f>
        <v>21341</v>
      </c>
      <c r="C145" s="774">
        <v>171</v>
      </c>
      <c r="D145" s="774" t="s">
        <v>1256</v>
      </c>
      <c r="E145" s="775" t="s">
        <v>1276</v>
      </c>
      <c r="F145" s="775" t="s">
        <v>1265</v>
      </c>
      <c r="G145" s="775">
        <v>50</v>
      </c>
      <c r="H145" s="775" t="s">
        <v>0</v>
      </c>
      <c r="I145" s="779" t="s">
        <v>1285</v>
      </c>
      <c r="J145" s="775">
        <v>3.8</v>
      </c>
      <c r="K145" s="774" t="s">
        <v>42</v>
      </c>
      <c r="L145" s="777">
        <v>35</v>
      </c>
      <c r="M145" s="778">
        <v>0</v>
      </c>
      <c r="N145" s="779">
        <v>107</v>
      </c>
      <c r="O145" s="780">
        <v>0</v>
      </c>
      <c r="P145" s="781">
        <v>0.7</v>
      </c>
      <c r="Q145" s="781">
        <v>0.39300000000000002</v>
      </c>
      <c r="R145" s="782">
        <v>0</v>
      </c>
      <c r="S145" s="781">
        <v>5.4</v>
      </c>
      <c r="T145" s="781">
        <v>3.7</v>
      </c>
      <c r="U145" s="781">
        <v>1.5720000000000001</v>
      </c>
      <c r="V145" s="781">
        <v>1.1789999999999998</v>
      </c>
      <c r="W145" s="781">
        <v>6.5500000000000007</v>
      </c>
      <c r="X145" s="781">
        <v>1.8340000000000003</v>
      </c>
      <c r="Y145" s="781">
        <v>9.17</v>
      </c>
      <c r="Z145" s="781">
        <v>26.200000000000003</v>
      </c>
      <c r="AA145" s="781">
        <v>39.300000000000004</v>
      </c>
      <c r="AB145" s="781">
        <v>26.200000000000003</v>
      </c>
      <c r="AC145" s="781">
        <v>0.13100000000000001</v>
      </c>
      <c r="AD145" s="781">
        <v>0.13100000000000001</v>
      </c>
      <c r="AE145" s="781">
        <v>0.13100000000000001</v>
      </c>
      <c r="AF145" s="781"/>
      <c r="AG145" s="781"/>
      <c r="AH145" s="781"/>
      <c r="AI145" s="784"/>
      <c r="AK145" s="783">
        <f>IFERROR(Tabela1[[#This Row],[EE(g)]]/Tabela1[[#This Row],[CMS(kg)]],0)</f>
        <v>0</v>
      </c>
    </row>
    <row r="146" spans="2:37" hidden="1">
      <c r="B146" s="774">
        <f>ROW()^2+(Tabela1[[#This Row],[ID2]])+ROW()</f>
        <v>21642</v>
      </c>
      <c r="C146" s="774">
        <v>180</v>
      </c>
      <c r="D146" s="774" t="s">
        <v>1256</v>
      </c>
      <c r="E146" s="775" t="s">
        <v>1276</v>
      </c>
      <c r="F146" s="775" t="s">
        <v>1265</v>
      </c>
      <c r="G146" s="775">
        <v>50</v>
      </c>
      <c r="H146" s="775" t="s">
        <v>0</v>
      </c>
      <c r="I146" s="779" t="s">
        <v>1286</v>
      </c>
      <c r="J146" s="775">
        <v>3.3</v>
      </c>
      <c r="K146" s="774" t="s">
        <v>42</v>
      </c>
      <c r="L146" s="777">
        <v>46</v>
      </c>
      <c r="M146" s="778">
        <v>0</v>
      </c>
      <c r="N146" s="779">
        <v>123</v>
      </c>
      <c r="O146" s="780">
        <v>0</v>
      </c>
      <c r="P146" s="781">
        <v>0.77</v>
      </c>
      <c r="Q146" s="781">
        <v>0.438</v>
      </c>
      <c r="R146" s="782">
        <v>0</v>
      </c>
      <c r="S146" s="781">
        <v>6.5</v>
      </c>
      <c r="T146" s="781">
        <v>4.4000000000000004</v>
      </c>
      <c r="U146" s="781">
        <v>1.752</v>
      </c>
      <c r="V146" s="781">
        <v>1.3139999999999998</v>
      </c>
      <c r="W146" s="781">
        <v>7.3</v>
      </c>
      <c r="X146" s="781">
        <v>2.044</v>
      </c>
      <c r="Y146" s="781">
        <v>10.219999999999999</v>
      </c>
      <c r="Z146" s="781">
        <v>29.2</v>
      </c>
      <c r="AA146" s="781">
        <v>43.8</v>
      </c>
      <c r="AB146" s="781">
        <v>29.2</v>
      </c>
      <c r="AC146" s="781">
        <v>0.14599999999999999</v>
      </c>
      <c r="AD146" s="781">
        <v>0.14599999999999999</v>
      </c>
      <c r="AE146" s="781">
        <v>0.14599999999999999</v>
      </c>
      <c r="AF146" s="781"/>
      <c r="AG146" s="781"/>
      <c r="AH146" s="781"/>
      <c r="AI146" s="784"/>
      <c r="AK146" s="783">
        <f>IFERROR(Tabela1[[#This Row],[EE(g)]]/Tabela1[[#This Row],[CMS(kg)]],0)</f>
        <v>0</v>
      </c>
    </row>
    <row r="147" spans="2:37" hidden="1">
      <c r="B147" s="774">
        <f>ROW()^2+(Tabela1[[#This Row],[ID2]])+ROW()</f>
        <v>21919</v>
      </c>
      <c r="C147" s="774">
        <v>163</v>
      </c>
      <c r="D147" s="774" t="s">
        <v>1256</v>
      </c>
      <c r="E147" s="775" t="s">
        <v>1276</v>
      </c>
      <c r="F147" s="775" t="s">
        <v>1265</v>
      </c>
      <c r="G147" s="775">
        <v>60</v>
      </c>
      <c r="H147" s="775" t="s">
        <v>0</v>
      </c>
      <c r="I147" s="779" t="s">
        <v>1266</v>
      </c>
      <c r="J147" s="775">
        <v>4.8</v>
      </c>
      <c r="K147" s="774" t="s">
        <v>42</v>
      </c>
      <c r="L147" s="777">
        <v>24</v>
      </c>
      <c r="M147" s="778">
        <v>0</v>
      </c>
      <c r="N147" s="779">
        <v>103</v>
      </c>
      <c r="O147" s="780">
        <v>0</v>
      </c>
      <c r="P147" s="781">
        <v>0.7</v>
      </c>
      <c r="Q147" s="781">
        <v>0.39419999999999999</v>
      </c>
      <c r="R147" s="782">
        <v>0</v>
      </c>
      <c r="S147" s="781">
        <v>4.2</v>
      </c>
      <c r="T147" s="781">
        <v>3.2</v>
      </c>
      <c r="U147" s="781">
        <v>1.5768</v>
      </c>
      <c r="V147" s="781">
        <v>1.1825999999999999</v>
      </c>
      <c r="W147" s="781">
        <v>6.57</v>
      </c>
      <c r="X147" s="781">
        <v>1.8396000000000003</v>
      </c>
      <c r="Y147" s="781">
        <v>9.1980000000000004</v>
      </c>
      <c r="Z147" s="781">
        <v>26.28</v>
      </c>
      <c r="AA147" s="781">
        <v>39.42</v>
      </c>
      <c r="AB147" s="781">
        <v>26.28</v>
      </c>
      <c r="AC147" s="781">
        <v>0.13140000000000002</v>
      </c>
      <c r="AD147" s="781">
        <v>0.13140000000000002</v>
      </c>
      <c r="AE147" s="781">
        <v>0.13140000000000002</v>
      </c>
      <c r="AF147" s="781"/>
      <c r="AG147" s="781"/>
      <c r="AH147" s="781"/>
      <c r="AI147" s="784"/>
      <c r="AK147" s="783">
        <f>IFERROR(Tabela1[[#This Row],[EE(g)]]/Tabela1[[#This Row],[CMS(kg)]],0)</f>
        <v>0</v>
      </c>
    </row>
    <row r="148" spans="2:37" hidden="1">
      <c r="B148" s="774">
        <f>ROW()^2+(Tabela1[[#This Row],[ID2]])+ROW()</f>
        <v>22224</v>
      </c>
      <c r="C148" s="774">
        <v>172</v>
      </c>
      <c r="D148" s="774" t="s">
        <v>1256</v>
      </c>
      <c r="E148" s="775" t="s">
        <v>1276</v>
      </c>
      <c r="F148" s="775" t="s">
        <v>1265</v>
      </c>
      <c r="G148" s="775">
        <v>60</v>
      </c>
      <c r="H148" s="775" t="s">
        <v>0</v>
      </c>
      <c r="I148" s="779" t="s">
        <v>1285</v>
      </c>
      <c r="J148" s="775">
        <v>4.2</v>
      </c>
      <c r="K148" s="774" t="s">
        <v>42</v>
      </c>
      <c r="L148" s="777">
        <v>40</v>
      </c>
      <c r="M148" s="778">
        <v>0</v>
      </c>
      <c r="N148" s="779">
        <v>124</v>
      </c>
      <c r="O148" s="780">
        <v>0</v>
      </c>
      <c r="P148" s="781">
        <v>0.8</v>
      </c>
      <c r="Q148" s="781">
        <v>0.4536</v>
      </c>
      <c r="R148" s="782">
        <v>0</v>
      </c>
      <c r="S148" s="781">
        <v>5.9</v>
      </c>
      <c r="T148" s="781">
        <v>4.2</v>
      </c>
      <c r="U148" s="781">
        <v>1.8144</v>
      </c>
      <c r="V148" s="781">
        <v>1.3607999999999998</v>
      </c>
      <c r="W148" s="781">
        <v>7.5600000000000005</v>
      </c>
      <c r="X148" s="781">
        <v>2.1168</v>
      </c>
      <c r="Y148" s="781">
        <v>10.584</v>
      </c>
      <c r="Z148" s="781">
        <v>30.240000000000002</v>
      </c>
      <c r="AA148" s="781">
        <v>45.36</v>
      </c>
      <c r="AB148" s="781">
        <v>30.240000000000002</v>
      </c>
      <c r="AC148" s="781">
        <v>0.1512</v>
      </c>
      <c r="AD148" s="781">
        <v>0.1512</v>
      </c>
      <c r="AE148" s="781">
        <v>0.1512</v>
      </c>
      <c r="AF148" s="781"/>
      <c r="AG148" s="781"/>
      <c r="AH148" s="781"/>
      <c r="AI148" s="784"/>
      <c r="AK148" s="783">
        <f>IFERROR(Tabela1[[#This Row],[EE(g)]]/Tabela1[[#This Row],[CMS(kg)]],0)</f>
        <v>0</v>
      </c>
    </row>
    <row r="149" spans="2:37" hidden="1">
      <c r="B149" s="774">
        <f>ROW()^2+(Tabela1[[#This Row],[ID2]])+ROW()</f>
        <v>22531</v>
      </c>
      <c r="C149" s="774">
        <v>181</v>
      </c>
      <c r="D149" s="774" t="s">
        <v>1256</v>
      </c>
      <c r="E149" s="775" t="s">
        <v>1276</v>
      </c>
      <c r="F149" s="775" t="s">
        <v>1265</v>
      </c>
      <c r="G149" s="775">
        <v>60</v>
      </c>
      <c r="H149" s="775" t="s">
        <v>0</v>
      </c>
      <c r="I149" s="779" t="s">
        <v>1286</v>
      </c>
      <c r="J149" s="775">
        <v>3.6</v>
      </c>
      <c r="K149" s="774" t="s">
        <v>42</v>
      </c>
      <c r="L149" s="777">
        <v>52</v>
      </c>
      <c r="M149" s="778">
        <v>0</v>
      </c>
      <c r="N149" s="779">
        <v>137</v>
      </c>
      <c r="O149" s="780">
        <v>0</v>
      </c>
      <c r="P149" s="781">
        <v>0.87</v>
      </c>
      <c r="Q149" s="781">
        <v>0.49320000000000003</v>
      </c>
      <c r="R149" s="782">
        <v>0</v>
      </c>
      <c r="S149" s="781">
        <v>7.1</v>
      </c>
      <c r="T149" s="781">
        <v>4.9000000000000004</v>
      </c>
      <c r="U149" s="781">
        <v>1.9728000000000001</v>
      </c>
      <c r="V149" s="781">
        <v>1.4796</v>
      </c>
      <c r="W149" s="781">
        <v>8.2200000000000006</v>
      </c>
      <c r="X149" s="781">
        <v>2.3016000000000005</v>
      </c>
      <c r="Y149" s="781">
        <v>11.508000000000001</v>
      </c>
      <c r="Z149" s="781">
        <v>32.880000000000003</v>
      </c>
      <c r="AA149" s="781">
        <v>49.320000000000007</v>
      </c>
      <c r="AB149" s="781">
        <v>32.880000000000003</v>
      </c>
      <c r="AC149" s="781">
        <v>0.16440000000000002</v>
      </c>
      <c r="AD149" s="781">
        <v>0.16440000000000002</v>
      </c>
      <c r="AE149" s="781">
        <v>0.16440000000000002</v>
      </c>
      <c r="AF149" s="781"/>
      <c r="AG149" s="781"/>
      <c r="AH149" s="781"/>
      <c r="AI149" s="784"/>
      <c r="AK149" s="783">
        <f>IFERROR(Tabela1[[#This Row],[EE(g)]]/Tabela1[[#This Row],[CMS(kg)]],0)</f>
        <v>0</v>
      </c>
    </row>
    <row r="150" spans="2:37" hidden="1">
      <c r="B150" s="774">
        <f>ROW()^2+(Tabela1[[#This Row],[ID2]])+ROW()</f>
        <v>22814</v>
      </c>
      <c r="C150" s="774">
        <v>164</v>
      </c>
      <c r="D150" s="774" t="s">
        <v>1256</v>
      </c>
      <c r="E150" s="775" t="s">
        <v>1276</v>
      </c>
      <c r="F150" s="775" t="s">
        <v>1265</v>
      </c>
      <c r="G150" s="775">
        <v>70</v>
      </c>
      <c r="H150" s="775" t="s">
        <v>0</v>
      </c>
      <c r="I150" s="779" t="s">
        <v>1266</v>
      </c>
      <c r="J150" s="775">
        <v>5.2</v>
      </c>
      <c r="K150" s="774" t="s">
        <v>42</v>
      </c>
      <c r="L150" s="777">
        <v>27</v>
      </c>
      <c r="M150" s="778">
        <v>0</v>
      </c>
      <c r="N150" s="779">
        <v>114</v>
      </c>
      <c r="O150" s="780">
        <v>0</v>
      </c>
      <c r="P150" s="781">
        <v>0.78</v>
      </c>
      <c r="Q150" s="781">
        <v>0.43890000000000001</v>
      </c>
      <c r="R150" s="782">
        <v>0</v>
      </c>
      <c r="S150" s="781">
        <v>4.5</v>
      </c>
      <c r="T150" s="781">
        <v>3.5</v>
      </c>
      <c r="U150" s="781">
        <v>1.7555999999999998</v>
      </c>
      <c r="V150" s="781">
        <v>1.3166999999999998</v>
      </c>
      <c r="W150" s="781">
        <v>7.3149999999999995</v>
      </c>
      <c r="X150" s="781">
        <v>2.0482</v>
      </c>
      <c r="Y150" s="781">
        <v>10.241</v>
      </c>
      <c r="Z150" s="781">
        <v>29.259999999999998</v>
      </c>
      <c r="AA150" s="781">
        <v>43.889999999999993</v>
      </c>
      <c r="AB150" s="781">
        <v>29.259999999999998</v>
      </c>
      <c r="AC150" s="781">
        <v>0.14629999999999999</v>
      </c>
      <c r="AD150" s="781">
        <v>0.14629999999999999</v>
      </c>
      <c r="AE150" s="781">
        <v>0.14629999999999999</v>
      </c>
      <c r="AF150" s="781"/>
      <c r="AG150" s="781"/>
      <c r="AH150" s="781"/>
      <c r="AI150" s="784"/>
      <c r="AK150" s="783">
        <f>IFERROR(Tabela1[[#This Row],[EE(g)]]/Tabela1[[#This Row],[CMS(kg)]],0)</f>
        <v>0</v>
      </c>
    </row>
    <row r="151" spans="2:37" hidden="1">
      <c r="B151" s="774">
        <f>ROW()^2+(Tabela1[[#This Row],[ID2]])+ROW()</f>
        <v>23125</v>
      </c>
      <c r="C151" s="774">
        <v>173</v>
      </c>
      <c r="D151" s="774" t="s">
        <v>1256</v>
      </c>
      <c r="E151" s="775" t="s">
        <v>1276</v>
      </c>
      <c r="F151" s="775" t="s">
        <v>1265</v>
      </c>
      <c r="G151" s="775">
        <v>70</v>
      </c>
      <c r="H151" s="775" t="s">
        <v>0</v>
      </c>
      <c r="I151" s="779" t="s">
        <v>1285</v>
      </c>
      <c r="J151" s="775">
        <v>4.5999999999999996</v>
      </c>
      <c r="K151" s="774" t="s">
        <v>42</v>
      </c>
      <c r="L151" s="777">
        <v>45</v>
      </c>
      <c r="M151" s="778">
        <v>0</v>
      </c>
      <c r="N151" s="779">
        <v>137</v>
      </c>
      <c r="O151" s="780">
        <v>0</v>
      </c>
      <c r="P151" s="781">
        <v>0.89</v>
      </c>
      <c r="Q151" s="781">
        <v>0.50609999999999999</v>
      </c>
      <c r="R151" s="782">
        <v>0</v>
      </c>
      <c r="S151" s="781">
        <v>6.5</v>
      </c>
      <c r="T151" s="781">
        <v>4.5999999999999996</v>
      </c>
      <c r="U151" s="781">
        <v>2.0244</v>
      </c>
      <c r="V151" s="781">
        <v>1.5183</v>
      </c>
      <c r="W151" s="781">
        <v>8.4350000000000005</v>
      </c>
      <c r="X151" s="781">
        <v>2.3618000000000001</v>
      </c>
      <c r="Y151" s="781">
        <v>11.809000000000001</v>
      </c>
      <c r="Z151" s="781">
        <v>33.74</v>
      </c>
      <c r="AA151" s="781">
        <v>50.61</v>
      </c>
      <c r="AB151" s="781">
        <v>33.74</v>
      </c>
      <c r="AC151" s="781">
        <v>0.16870000000000002</v>
      </c>
      <c r="AD151" s="781">
        <v>0.16870000000000002</v>
      </c>
      <c r="AE151" s="781">
        <v>0.16870000000000002</v>
      </c>
      <c r="AF151" s="781"/>
      <c r="AG151" s="781"/>
      <c r="AH151" s="781"/>
      <c r="AI151" s="784"/>
      <c r="AK151" s="783">
        <f>IFERROR(Tabela1[[#This Row],[EE(g)]]/Tabela1[[#This Row],[CMS(kg)]],0)</f>
        <v>0</v>
      </c>
    </row>
    <row r="152" spans="2:37" hidden="1">
      <c r="B152" s="774">
        <f>ROW()^2+(Tabela1[[#This Row],[ID2]])+ROW()</f>
        <v>23438</v>
      </c>
      <c r="C152" s="774">
        <v>182</v>
      </c>
      <c r="D152" s="774" t="s">
        <v>1256</v>
      </c>
      <c r="E152" s="775" t="s">
        <v>1276</v>
      </c>
      <c r="F152" s="775" t="s">
        <v>1265</v>
      </c>
      <c r="G152" s="775">
        <v>70</v>
      </c>
      <c r="H152" s="775" t="s">
        <v>0</v>
      </c>
      <c r="I152" s="779" t="s">
        <v>1286</v>
      </c>
      <c r="J152" s="775">
        <v>3.9</v>
      </c>
      <c r="K152" s="774" t="s">
        <v>42</v>
      </c>
      <c r="L152" s="777">
        <v>59</v>
      </c>
      <c r="M152" s="778">
        <v>0</v>
      </c>
      <c r="N152" s="779">
        <v>152</v>
      </c>
      <c r="O152" s="780">
        <v>0</v>
      </c>
      <c r="P152" s="781">
        <v>0.97</v>
      </c>
      <c r="Q152" s="781">
        <v>0.54810000000000003</v>
      </c>
      <c r="R152" s="782">
        <v>0</v>
      </c>
      <c r="S152" s="781">
        <v>7.8</v>
      </c>
      <c r="T152" s="781">
        <v>5.4</v>
      </c>
      <c r="U152" s="781">
        <v>2.1923999999999997</v>
      </c>
      <c r="V152" s="781">
        <v>1.6442999999999999</v>
      </c>
      <c r="W152" s="781">
        <v>9.1349999999999998</v>
      </c>
      <c r="X152" s="781">
        <v>2.5578000000000003</v>
      </c>
      <c r="Y152" s="781">
        <v>12.789</v>
      </c>
      <c r="Z152" s="781">
        <v>36.54</v>
      </c>
      <c r="AA152" s="781">
        <v>54.81</v>
      </c>
      <c r="AB152" s="781">
        <v>36.54</v>
      </c>
      <c r="AC152" s="781">
        <v>0.1827</v>
      </c>
      <c r="AD152" s="781">
        <v>0.1827</v>
      </c>
      <c r="AE152" s="781">
        <v>0.1827</v>
      </c>
      <c r="AF152" s="781"/>
      <c r="AG152" s="781"/>
      <c r="AH152" s="781"/>
      <c r="AI152" s="784"/>
      <c r="AK152" s="783">
        <f>IFERROR(Tabela1[[#This Row],[EE(g)]]/Tabela1[[#This Row],[CMS(kg)]],0)</f>
        <v>0</v>
      </c>
    </row>
    <row r="153" spans="2:37" hidden="1">
      <c r="B153" s="774">
        <f>ROW()^2+(Tabela1[[#This Row],[ID2]])+ROW()</f>
        <v>23727</v>
      </c>
      <c r="C153" s="774">
        <v>165</v>
      </c>
      <c r="D153" s="774" t="s">
        <v>1256</v>
      </c>
      <c r="E153" s="775" t="s">
        <v>1276</v>
      </c>
      <c r="F153" s="775" t="s">
        <v>1265</v>
      </c>
      <c r="G153" s="775">
        <v>80</v>
      </c>
      <c r="H153" s="775" t="s">
        <v>0</v>
      </c>
      <c r="I153" s="779" t="s">
        <v>1266</v>
      </c>
      <c r="J153" s="775">
        <v>5.6</v>
      </c>
      <c r="K153" s="774" t="s">
        <v>42</v>
      </c>
      <c r="L153" s="777">
        <v>30</v>
      </c>
      <c r="M153" s="778">
        <v>0</v>
      </c>
      <c r="N153" s="779">
        <v>126</v>
      </c>
      <c r="O153" s="780">
        <v>0</v>
      </c>
      <c r="P153" s="781">
        <v>0.85</v>
      </c>
      <c r="Q153" s="781">
        <v>0.4824</v>
      </c>
      <c r="R153" s="782">
        <v>0</v>
      </c>
      <c r="S153" s="781">
        <v>4.9000000000000004</v>
      </c>
      <c r="T153" s="781">
        <v>3.9</v>
      </c>
      <c r="U153" s="781">
        <v>1.9295999999999995</v>
      </c>
      <c r="V153" s="781">
        <v>1.4471999999999996</v>
      </c>
      <c r="W153" s="781">
        <v>8.0399999999999991</v>
      </c>
      <c r="X153" s="781">
        <v>2.2511999999999999</v>
      </c>
      <c r="Y153" s="781">
        <v>11.255999999999997</v>
      </c>
      <c r="Z153" s="781">
        <v>32.159999999999997</v>
      </c>
      <c r="AA153" s="781">
        <v>48.239999999999988</v>
      </c>
      <c r="AB153" s="781">
        <v>32.159999999999997</v>
      </c>
      <c r="AC153" s="781">
        <v>0.16079999999999997</v>
      </c>
      <c r="AD153" s="781">
        <v>0.16079999999999997</v>
      </c>
      <c r="AE153" s="781">
        <v>0.16079999999999997</v>
      </c>
      <c r="AF153" s="781"/>
      <c r="AG153" s="781"/>
      <c r="AH153" s="781"/>
      <c r="AI153" s="784"/>
      <c r="AK153" s="783">
        <f>IFERROR(Tabela1[[#This Row],[EE(g)]]/Tabela1[[#This Row],[CMS(kg)]],0)</f>
        <v>0</v>
      </c>
    </row>
    <row r="154" spans="2:37" hidden="1">
      <c r="B154" s="774">
        <f>ROW()^2+(Tabela1[[#This Row],[ID2]])+ROW()</f>
        <v>24044</v>
      </c>
      <c r="C154" s="774">
        <v>174</v>
      </c>
      <c r="D154" s="774" t="s">
        <v>1256</v>
      </c>
      <c r="E154" s="775" t="s">
        <v>1276</v>
      </c>
      <c r="F154" s="775" t="s">
        <v>1265</v>
      </c>
      <c r="G154" s="775">
        <v>80</v>
      </c>
      <c r="H154" s="775" t="s">
        <v>0</v>
      </c>
      <c r="I154" s="779" t="s">
        <v>1285</v>
      </c>
      <c r="J154" s="775">
        <v>4.9000000000000004</v>
      </c>
      <c r="K154" s="774" t="s">
        <v>42</v>
      </c>
      <c r="L154" s="777">
        <v>50</v>
      </c>
      <c r="M154" s="778">
        <v>0</v>
      </c>
      <c r="N154" s="779">
        <v>150</v>
      </c>
      <c r="O154" s="780">
        <v>0</v>
      </c>
      <c r="P154" s="781">
        <v>0.98</v>
      </c>
      <c r="Q154" s="781">
        <v>0.55200000000000005</v>
      </c>
      <c r="R154" s="782">
        <v>0</v>
      </c>
      <c r="S154" s="781">
        <v>7</v>
      </c>
      <c r="T154" s="781">
        <v>5.0999999999999996</v>
      </c>
      <c r="U154" s="781">
        <v>2.2079999999999997</v>
      </c>
      <c r="V154" s="781">
        <v>1.6559999999999997</v>
      </c>
      <c r="W154" s="781">
        <v>9.1999999999999993</v>
      </c>
      <c r="X154" s="781">
        <v>2.5760000000000001</v>
      </c>
      <c r="Y154" s="781">
        <v>12.879999999999999</v>
      </c>
      <c r="Z154" s="781">
        <v>36.799999999999997</v>
      </c>
      <c r="AA154" s="781">
        <v>55.199999999999996</v>
      </c>
      <c r="AB154" s="781">
        <v>36.799999999999997</v>
      </c>
      <c r="AC154" s="781">
        <v>0.184</v>
      </c>
      <c r="AD154" s="781">
        <v>0.184</v>
      </c>
      <c r="AE154" s="781">
        <v>0.184</v>
      </c>
      <c r="AF154" s="781"/>
      <c r="AG154" s="781"/>
      <c r="AH154" s="781"/>
      <c r="AI154" s="784"/>
      <c r="AK154" s="783">
        <f>IFERROR(Tabela1[[#This Row],[EE(g)]]/Tabela1[[#This Row],[CMS(kg)]],0)</f>
        <v>0</v>
      </c>
    </row>
    <row r="155" spans="2:37" hidden="1">
      <c r="B155" s="774">
        <f>ROW()^2+(Tabela1[[#This Row],[ID2]])+ROW()</f>
        <v>24363</v>
      </c>
      <c r="C155" s="774">
        <v>183</v>
      </c>
      <c r="D155" s="774" t="s">
        <v>1256</v>
      </c>
      <c r="E155" s="775" t="s">
        <v>1276</v>
      </c>
      <c r="F155" s="775" t="s">
        <v>1265</v>
      </c>
      <c r="G155" s="775">
        <v>80</v>
      </c>
      <c r="H155" s="775" t="s">
        <v>0</v>
      </c>
      <c r="I155" s="779" t="s">
        <v>1286</v>
      </c>
      <c r="J155" s="775">
        <v>4.2</v>
      </c>
      <c r="K155" s="774" t="s">
        <v>42</v>
      </c>
      <c r="L155" s="777">
        <v>65</v>
      </c>
      <c r="M155" s="778">
        <v>0</v>
      </c>
      <c r="N155" s="779">
        <v>166</v>
      </c>
      <c r="O155" s="780">
        <v>0</v>
      </c>
      <c r="P155" s="781">
        <v>1.06</v>
      </c>
      <c r="Q155" s="781">
        <v>0.6</v>
      </c>
      <c r="R155" s="782">
        <v>0</v>
      </c>
      <c r="S155" s="781">
        <v>8.3000000000000007</v>
      </c>
      <c r="T155" s="781">
        <v>5.9</v>
      </c>
      <c r="U155" s="781">
        <v>2.4</v>
      </c>
      <c r="V155" s="781">
        <v>1.7999999999999998</v>
      </c>
      <c r="W155" s="781">
        <v>10</v>
      </c>
      <c r="X155" s="781">
        <v>2.8000000000000003</v>
      </c>
      <c r="Y155" s="781">
        <v>14</v>
      </c>
      <c r="Z155" s="781">
        <v>40</v>
      </c>
      <c r="AA155" s="781">
        <v>60</v>
      </c>
      <c r="AB155" s="781">
        <v>40</v>
      </c>
      <c r="AC155" s="781">
        <v>0.2</v>
      </c>
      <c r="AD155" s="781">
        <v>0.2</v>
      </c>
      <c r="AE155" s="781">
        <v>0.2</v>
      </c>
      <c r="AF155" s="781"/>
      <c r="AG155" s="781"/>
      <c r="AH155" s="781"/>
      <c r="AI155" s="784"/>
      <c r="AK155" s="783">
        <f>IFERROR(Tabela1[[#This Row],[EE(g)]]/Tabela1[[#This Row],[CMS(kg)]],0)</f>
        <v>0</v>
      </c>
    </row>
    <row r="156" spans="2:37" hidden="1">
      <c r="B156" s="774">
        <f>ROW()^2+(Tabela1[[#This Row],[ID2]])+ROW()</f>
        <v>24658</v>
      </c>
      <c r="C156" s="774">
        <v>166</v>
      </c>
      <c r="D156" s="774" t="s">
        <v>1256</v>
      </c>
      <c r="E156" s="775" t="s">
        <v>1276</v>
      </c>
      <c r="F156" s="775" t="s">
        <v>1265</v>
      </c>
      <c r="G156" s="775">
        <v>90</v>
      </c>
      <c r="H156" s="775" t="s">
        <v>0</v>
      </c>
      <c r="I156" s="779" t="s">
        <v>1266</v>
      </c>
      <c r="J156" s="775">
        <v>6</v>
      </c>
      <c r="K156" s="774" t="s">
        <v>42</v>
      </c>
      <c r="L156" s="777">
        <v>33</v>
      </c>
      <c r="M156" s="778">
        <v>0</v>
      </c>
      <c r="N156" s="779">
        <v>137</v>
      </c>
      <c r="O156" s="780">
        <v>0</v>
      </c>
      <c r="P156" s="781">
        <v>0.93</v>
      </c>
      <c r="Q156" s="781">
        <v>0.52646999999999999</v>
      </c>
      <c r="R156" s="782">
        <v>0</v>
      </c>
      <c r="S156" s="781">
        <v>5.2</v>
      </c>
      <c r="T156" s="781">
        <v>4.2</v>
      </c>
      <c r="U156" s="781">
        <v>2.1058919999999999</v>
      </c>
      <c r="V156" s="781">
        <v>1.5794189999999999</v>
      </c>
      <c r="W156" s="781">
        <v>8.7745499999999996</v>
      </c>
      <c r="X156" s="781">
        <v>2.456874</v>
      </c>
      <c r="Y156" s="781">
        <v>12.284369999999999</v>
      </c>
      <c r="Z156" s="781">
        <v>35.098199999999999</v>
      </c>
      <c r="AA156" s="781">
        <v>52.647300000000001</v>
      </c>
      <c r="AB156" s="781">
        <v>35.098199999999999</v>
      </c>
      <c r="AC156" s="781">
        <v>0.17549100000000001</v>
      </c>
      <c r="AD156" s="781">
        <v>0.17549100000000001</v>
      </c>
      <c r="AE156" s="781">
        <v>0.17549100000000001</v>
      </c>
      <c r="AF156" s="781"/>
      <c r="AG156" s="781"/>
      <c r="AH156" s="781"/>
      <c r="AI156" s="784"/>
      <c r="AK156" s="783">
        <f>IFERROR(Tabela1[[#This Row],[EE(g)]]/Tabela1[[#This Row],[CMS(kg)]],0)</f>
        <v>0</v>
      </c>
    </row>
    <row r="157" spans="2:37" hidden="1">
      <c r="B157" s="774">
        <f>ROW()^2+(Tabela1[[#This Row],[ID2]])+ROW()</f>
        <v>24981</v>
      </c>
      <c r="C157" s="774">
        <v>175</v>
      </c>
      <c r="D157" s="774" t="s">
        <v>1256</v>
      </c>
      <c r="E157" s="775" t="s">
        <v>1276</v>
      </c>
      <c r="F157" s="775" t="s">
        <v>1265</v>
      </c>
      <c r="G157" s="775">
        <v>90</v>
      </c>
      <c r="H157" s="775" t="s">
        <v>0</v>
      </c>
      <c r="I157" s="779" t="s">
        <v>1285</v>
      </c>
      <c r="J157" s="775">
        <v>5.2</v>
      </c>
      <c r="K157" s="774" t="s">
        <v>42</v>
      </c>
      <c r="L157" s="777">
        <v>55</v>
      </c>
      <c r="M157" s="778">
        <v>0</v>
      </c>
      <c r="N157" s="779">
        <v>162</v>
      </c>
      <c r="O157" s="780">
        <v>0</v>
      </c>
      <c r="P157" s="781">
        <v>1.06</v>
      </c>
      <c r="Q157" s="781">
        <v>0.59940000000000004</v>
      </c>
      <c r="R157" s="782">
        <v>0</v>
      </c>
      <c r="S157" s="781">
        <v>7.4</v>
      </c>
      <c r="T157" s="781">
        <v>5.5</v>
      </c>
      <c r="U157" s="781">
        <v>2.3975999999999997</v>
      </c>
      <c r="V157" s="781">
        <v>1.7981999999999998</v>
      </c>
      <c r="W157" s="781">
        <v>9.99</v>
      </c>
      <c r="X157" s="781">
        <v>2.7972000000000001</v>
      </c>
      <c r="Y157" s="781">
        <v>13.986000000000001</v>
      </c>
      <c r="Z157" s="781">
        <v>39.96</v>
      </c>
      <c r="AA157" s="781">
        <v>59.94</v>
      </c>
      <c r="AB157" s="781">
        <v>39.96</v>
      </c>
      <c r="AC157" s="781">
        <v>0.19980000000000001</v>
      </c>
      <c r="AD157" s="781">
        <v>0.19980000000000001</v>
      </c>
      <c r="AE157" s="781">
        <v>0.19980000000000001</v>
      </c>
      <c r="AF157" s="781"/>
      <c r="AG157" s="781"/>
      <c r="AH157" s="781"/>
      <c r="AI157" s="784"/>
      <c r="AK157" s="783">
        <f>IFERROR(Tabela1[[#This Row],[EE(g)]]/Tabela1[[#This Row],[CMS(kg)]],0)</f>
        <v>0</v>
      </c>
    </row>
    <row r="158" spans="2:37" hidden="1">
      <c r="B158" s="774">
        <f>ROW()^2+(Tabela1[[#This Row],[ID2]])+ROW()</f>
        <v>25306</v>
      </c>
      <c r="C158" s="774">
        <v>184</v>
      </c>
      <c r="D158" s="774" t="s">
        <v>1256</v>
      </c>
      <c r="E158" s="775" t="s">
        <v>1276</v>
      </c>
      <c r="F158" s="775" t="s">
        <v>1265</v>
      </c>
      <c r="G158" s="775">
        <v>90</v>
      </c>
      <c r="H158" s="775" t="s">
        <v>0</v>
      </c>
      <c r="I158" s="779" t="s">
        <v>1286</v>
      </c>
      <c r="J158" s="775">
        <v>4.5</v>
      </c>
      <c r="K158" s="774" t="s">
        <v>42</v>
      </c>
      <c r="L158" s="777">
        <v>71</v>
      </c>
      <c r="M158" s="778">
        <v>0</v>
      </c>
      <c r="N158" s="779">
        <v>180</v>
      </c>
      <c r="O158" s="780">
        <v>0</v>
      </c>
      <c r="P158" s="781">
        <v>1.1499999999999999</v>
      </c>
      <c r="Q158" s="781">
        <v>0.65069999999999995</v>
      </c>
      <c r="R158" s="782">
        <v>0</v>
      </c>
      <c r="S158" s="781">
        <v>8.9</v>
      </c>
      <c r="T158" s="781">
        <v>6.3</v>
      </c>
      <c r="U158" s="781">
        <v>2.6027999999999998</v>
      </c>
      <c r="V158" s="781">
        <v>1.9520999999999999</v>
      </c>
      <c r="W158" s="781">
        <v>10.845000000000001</v>
      </c>
      <c r="X158" s="781">
        <v>3.0366000000000004</v>
      </c>
      <c r="Y158" s="781">
        <v>15.183</v>
      </c>
      <c r="Z158" s="781">
        <v>43.38</v>
      </c>
      <c r="AA158" s="781">
        <v>65.070000000000007</v>
      </c>
      <c r="AB158" s="781">
        <v>43.38</v>
      </c>
      <c r="AC158" s="781">
        <v>0.21690000000000001</v>
      </c>
      <c r="AD158" s="781">
        <v>0.21690000000000001</v>
      </c>
      <c r="AE158" s="781">
        <v>0.21690000000000001</v>
      </c>
      <c r="AF158" s="781"/>
      <c r="AG158" s="781"/>
      <c r="AH158" s="781"/>
      <c r="AI158" s="784"/>
      <c r="AK158" s="783">
        <f>IFERROR(Tabela1[[#This Row],[EE(g)]]/Tabela1[[#This Row],[CMS(kg)]],0)</f>
        <v>0</v>
      </c>
    </row>
    <row r="159" spans="2:37" hidden="1">
      <c r="B159" s="774">
        <f>ROW()^2+(Tabela1[[#This Row],[ID2]])+ROW()</f>
        <v>25607</v>
      </c>
      <c r="C159" s="774">
        <v>167</v>
      </c>
      <c r="D159" s="774" t="s">
        <v>1256</v>
      </c>
      <c r="E159" s="775" t="s">
        <v>1276</v>
      </c>
      <c r="F159" s="775" t="s">
        <v>1265</v>
      </c>
      <c r="G159" s="775">
        <v>100</v>
      </c>
      <c r="H159" s="775" t="s">
        <v>0</v>
      </c>
      <c r="I159" s="779" t="s">
        <v>1266</v>
      </c>
      <c r="J159" s="775">
        <v>6.3</v>
      </c>
      <c r="K159" s="774" t="s">
        <v>42</v>
      </c>
      <c r="L159" s="777">
        <v>35</v>
      </c>
      <c r="M159" s="778">
        <v>0</v>
      </c>
      <c r="N159" s="779">
        <v>147</v>
      </c>
      <c r="O159" s="780">
        <v>0</v>
      </c>
      <c r="P159" s="781">
        <v>1</v>
      </c>
      <c r="Q159" s="781">
        <v>0.56699999999999995</v>
      </c>
      <c r="R159" s="782">
        <v>0</v>
      </c>
      <c r="S159" s="781">
        <v>5.5</v>
      </c>
      <c r="T159" s="781">
        <v>4.5</v>
      </c>
      <c r="U159" s="781">
        <v>2.2680000000000002</v>
      </c>
      <c r="V159" s="781">
        <v>1.7009999999999998</v>
      </c>
      <c r="W159" s="781">
        <v>9.4500000000000011</v>
      </c>
      <c r="X159" s="781">
        <v>2.6460000000000004</v>
      </c>
      <c r="Y159" s="781">
        <v>13.23</v>
      </c>
      <c r="Z159" s="781">
        <v>37.800000000000004</v>
      </c>
      <c r="AA159" s="781">
        <v>56.7</v>
      </c>
      <c r="AB159" s="781">
        <v>37.800000000000004</v>
      </c>
      <c r="AC159" s="781">
        <v>0.18900000000000003</v>
      </c>
      <c r="AD159" s="781">
        <v>0.18900000000000003</v>
      </c>
      <c r="AE159" s="781">
        <v>0.18900000000000003</v>
      </c>
      <c r="AF159" s="781"/>
      <c r="AG159" s="781"/>
      <c r="AH159" s="781"/>
      <c r="AI159" s="784"/>
      <c r="AK159" s="783">
        <f>IFERROR(Tabela1[[#This Row],[EE(g)]]/Tabela1[[#This Row],[CMS(kg)]],0)</f>
        <v>0</v>
      </c>
    </row>
    <row r="160" spans="2:37" hidden="1">
      <c r="B160" s="774">
        <f>ROW()^2+(Tabela1[[#This Row],[ID2]])+ROW()</f>
        <v>25936</v>
      </c>
      <c r="C160" s="774">
        <v>176</v>
      </c>
      <c r="D160" s="774" t="s">
        <v>1256</v>
      </c>
      <c r="E160" s="775" t="s">
        <v>1276</v>
      </c>
      <c r="F160" s="775" t="s">
        <v>1265</v>
      </c>
      <c r="G160" s="775">
        <v>100</v>
      </c>
      <c r="H160" s="775" t="s">
        <v>0</v>
      </c>
      <c r="I160" s="779" t="s">
        <v>1285</v>
      </c>
      <c r="J160" s="775">
        <v>5.5</v>
      </c>
      <c r="K160" s="774" t="s">
        <v>42</v>
      </c>
      <c r="L160" s="777">
        <v>59</v>
      </c>
      <c r="M160" s="778">
        <v>0</v>
      </c>
      <c r="N160" s="779">
        <v>174</v>
      </c>
      <c r="O160" s="780">
        <v>0</v>
      </c>
      <c r="P160" s="781">
        <v>1.1399999999999999</v>
      </c>
      <c r="Q160" s="781">
        <v>0.64500000000000002</v>
      </c>
      <c r="R160" s="782">
        <v>0</v>
      </c>
      <c r="S160" s="781">
        <v>7.9</v>
      </c>
      <c r="T160" s="781">
        <v>5.9</v>
      </c>
      <c r="U160" s="781">
        <v>2.5799999999999996</v>
      </c>
      <c r="V160" s="781">
        <v>1.9349999999999998</v>
      </c>
      <c r="W160" s="781">
        <v>10.75</v>
      </c>
      <c r="X160" s="781">
        <v>3.0100000000000002</v>
      </c>
      <c r="Y160" s="781">
        <v>15.049999999999999</v>
      </c>
      <c r="Z160" s="781">
        <v>43</v>
      </c>
      <c r="AA160" s="781">
        <v>64.5</v>
      </c>
      <c r="AB160" s="781">
        <v>43</v>
      </c>
      <c r="AC160" s="781">
        <v>0.215</v>
      </c>
      <c r="AD160" s="781">
        <v>0.215</v>
      </c>
      <c r="AE160" s="781">
        <v>0.215</v>
      </c>
      <c r="AF160" s="781"/>
      <c r="AG160" s="781"/>
      <c r="AH160" s="781"/>
      <c r="AI160" s="784"/>
      <c r="AK160" s="783">
        <f>IFERROR(Tabela1[[#This Row],[EE(g)]]/Tabela1[[#This Row],[CMS(kg)]],0)</f>
        <v>0</v>
      </c>
    </row>
    <row r="161" spans="2:37" hidden="1">
      <c r="B161" s="774">
        <f>ROW()^2+(Tabela1[[#This Row],[ID2]])+ROW()</f>
        <v>26267</v>
      </c>
      <c r="C161" s="774">
        <v>185</v>
      </c>
      <c r="D161" s="774" t="s">
        <v>1256</v>
      </c>
      <c r="E161" s="775" t="s">
        <v>1276</v>
      </c>
      <c r="F161" s="775" t="s">
        <v>1265</v>
      </c>
      <c r="G161" s="775">
        <v>100</v>
      </c>
      <c r="H161" s="775" t="s">
        <v>0</v>
      </c>
      <c r="I161" s="779" t="s">
        <v>1286</v>
      </c>
      <c r="J161" s="775">
        <v>4.7</v>
      </c>
      <c r="K161" s="774" t="s">
        <v>42</v>
      </c>
      <c r="L161" s="777">
        <v>77</v>
      </c>
      <c r="M161" s="778">
        <v>0</v>
      </c>
      <c r="N161" s="779">
        <v>192</v>
      </c>
      <c r="O161" s="780">
        <v>0</v>
      </c>
      <c r="P161" s="781">
        <v>1.23</v>
      </c>
      <c r="Q161" s="781">
        <v>0.69599999999999995</v>
      </c>
      <c r="R161" s="782">
        <v>0</v>
      </c>
      <c r="S161" s="781">
        <v>9.4</v>
      </c>
      <c r="T161" s="781">
        <v>6.7</v>
      </c>
      <c r="U161" s="781">
        <v>2.7839999999999998</v>
      </c>
      <c r="V161" s="781">
        <v>2.0879999999999996</v>
      </c>
      <c r="W161" s="781">
        <v>11.6</v>
      </c>
      <c r="X161" s="781">
        <v>3.2480000000000002</v>
      </c>
      <c r="Y161" s="781">
        <v>16.239999999999998</v>
      </c>
      <c r="Z161" s="781">
        <v>46.4</v>
      </c>
      <c r="AA161" s="781">
        <v>69.599999999999994</v>
      </c>
      <c r="AB161" s="781">
        <v>46.4</v>
      </c>
      <c r="AC161" s="781">
        <v>0.23199999999999998</v>
      </c>
      <c r="AD161" s="781">
        <v>0.23199999999999998</v>
      </c>
      <c r="AE161" s="781">
        <v>0.23199999999999998</v>
      </c>
      <c r="AF161" s="781"/>
      <c r="AG161" s="781"/>
      <c r="AH161" s="781"/>
      <c r="AI161" s="784"/>
      <c r="AK161" s="783">
        <f>IFERROR(Tabela1[[#This Row],[EE(g)]]/Tabela1[[#This Row],[CMS(kg)]],0)</f>
        <v>0</v>
      </c>
    </row>
    <row r="162" spans="2:37" hidden="1">
      <c r="B162" s="774">
        <f>ROW()^2+(Tabela1[[#This Row],[ID2]])+ROW()</f>
        <v>26574</v>
      </c>
      <c r="C162" s="774">
        <v>168</v>
      </c>
      <c r="D162" s="774" t="s">
        <v>1256</v>
      </c>
      <c r="E162" s="775" t="s">
        <v>1276</v>
      </c>
      <c r="F162" s="775" t="s">
        <v>1265</v>
      </c>
      <c r="G162" s="775">
        <v>120</v>
      </c>
      <c r="H162" s="775" t="s">
        <v>0</v>
      </c>
      <c r="I162" s="779" t="s">
        <v>1266</v>
      </c>
      <c r="J162" s="775">
        <v>7</v>
      </c>
      <c r="K162" s="774" t="s">
        <v>42</v>
      </c>
      <c r="L162" s="777">
        <v>41</v>
      </c>
      <c r="M162" s="778">
        <v>0</v>
      </c>
      <c r="N162" s="779">
        <v>168</v>
      </c>
      <c r="O162" s="780">
        <v>0</v>
      </c>
      <c r="P162" s="781">
        <v>1.1399999999999999</v>
      </c>
      <c r="Q162" s="781">
        <v>0.64439999999999997</v>
      </c>
      <c r="R162" s="782">
        <v>0</v>
      </c>
      <c r="S162" s="781">
        <v>6.1</v>
      </c>
      <c r="T162" s="781">
        <v>5.0999999999999996</v>
      </c>
      <c r="U162" s="781">
        <v>2.5775999999999994</v>
      </c>
      <c r="V162" s="781">
        <v>1.9331999999999996</v>
      </c>
      <c r="W162" s="781">
        <v>10.739999999999998</v>
      </c>
      <c r="X162" s="781">
        <v>3.0071999999999997</v>
      </c>
      <c r="Y162" s="781">
        <v>15.035999999999998</v>
      </c>
      <c r="Z162" s="781">
        <v>42.959999999999994</v>
      </c>
      <c r="AA162" s="781">
        <v>64.44</v>
      </c>
      <c r="AB162" s="781">
        <v>42.959999999999994</v>
      </c>
      <c r="AC162" s="781">
        <v>0.21479999999999999</v>
      </c>
      <c r="AD162" s="781">
        <v>0.21479999999999999</v>
      </c>
      <c r="AE162" s="781">
        <v>0.21479999999999999</v>
      </c>
      <c r="AF162" s="781"/>
      <c r="AG162" s="781"/>
      <c r="AH162" s="781"/>
      <c r="AI162" s="784"/>
      <c r="AK162" s="783">
        <f>IFERROR(Tabela1[[#This Row],[EE(g)]]/Tabela1[[#This Row],[CMS(kg)]],0)</f>
        <v>0</v>
      </c>
    </row>
    <row r="163" spans="2:37" hidden="1">
      <c r="B163" s="774">
        <f>ROW()^2+(Tabela1[[#This Row],[ID2]])+ROW()</f>
        <v>26909</v>
      </c>
      <c r="C163" s="774">
        <v>177</v>
      </c>
      <c r="D163" s="774" t="s">
        <v>1256</v>
      </c>
      <c r="E163" s="775" t="s">
        <v>1276</v>
      </c>
      <c r="F163" s="775" t="s">
        <v>1265</v>
      </c>
      <c r="G163" s="775">
        <v>120</v>
      </c>
      <c r="H163" s="775" t="s">
        <v>0</v>
      </c>
      <c r="I163" s="779" t="s">
        <v>1285</v>
      </c>
      <c r="J163" s="775">
        <v>6.1</v>
      </c>
      <c r="K163" s="774" t="s">
        <v>42</v>
      </c>
      <c r="L163" s="777">
        <v>68</v>
      </c>
      <c r="M163" s="778">
        <v>0</v>
      </c>
      <c r="N163" s="779">
        <v>198</v>
      </c>
      <c r="O163" s="780">
        <v>0</v>
      </c>
      <c r="P163" s="781">
        <v>1.29</v>
      </c>
      <c r="Q163" s="781">
        <v>0.73080000000000001</v>
      </c>
      <c r="R163" s="782">
        <v>0</v>
      </c>
      <c r="S163" s="781">
        <v>8.6999999999999993</v>
      </c>
      <c r="T163" s="781">
        <v>6.6</v>
      </c>
      <c r="U163" s="781">
        <v>2.9232</v>
      </c>
      <c r="V163" s="781">
        <v>2.1923999999999997</v>
      </c>
      <c r="W163" s="781">
        <v>12.18</v>
      </c>
      <c r="X163" s="781">
        <v>3.4104000000000001</v>
      </c>
      <c r="Y163" s="781">
        <v>17.052</v>
      </c>
      <c r="Z163" s="781">
        <v>48.72</v>
      </c>
      <c r="AA163" s="781">
        <v>73.08</v>
      </c>
      <c r="AB163" s="781">
        <v>48.72</v>
      </c>
      <c r="AC163" s="781">
        <v>0.24360000000000001</v>
      </c>
      <c r="AD163" s="781">
        <v>0.24360000000000001</v>
      </c>
      <c r="AE163" s="781">
        <v>0.24360000000000001</v>
      </c>
      <c r="AF163" s="781"/>
      <c r="AG163" s="781"/>
      <c r="AH163" s="781"/>
      <c r="AI163" s="784"/>
      <c r="AK163" s="783">
        <f>IFERROR(Tabela1[[#This Row],[EE(g)]]/Tabela1[[#This Row],[CMS(kg)]],0)</f>
        <v>0</v>
      </c>
    </row>
    <row r="164" spans="2:37" hidden="1">
      <c r="B164" s="774">
        <f>ROW()^2+(Tabela1[[#This Row],[ID2]])+ROW()</f>
        <v>27246</v>
      </c>
      <c r="C164" s="774">
        <v>186</v>
      </c>
      <c r="D164" s="774" t="s">
        <v>1256</v>
      </c>
      <c r="E164" s="775" t="s">
        <v>1276</v>
      </c>
      <c r="F164" s="775" t="s">
        <v>1265</v>
      </c>
      <c r="G164" s="775">
        <v>120</v>
      </c>
      <c r="H164" s="775" t="s">
        <v>0</v>
      </c>
      <c r="I164" s="779" t="s">
        <v>1286</v>
      </c>
      <c r="J164" s="775">
        <v>5.2</v>
      </c>
      <c r="K164" s="774" t="s">
        <v>42</v>
      </c>
      <c r="L164" s="777">
        <v>88</v>
      </c>
      <c r="M164" s="778">
        <v>0</v>
      </c>
      <c r="N164" s="779">
        <v>217</v>
      </c>
      <c r="O164" s="780">
        <v>0</v>
      </c>
      <c r="P164" s="781">
        <v>1.39</v>
      </c>
      <c r="Q164" s="781">
        <v>0.78839999999999999</v>
      </c>
      <c r="R164" s="782">
        <v>0</v>
      </c>
      <c r="S164" s="781">
        <v>10.4</v>
      </c>
      <c r="T164" s="781">
        <v>7.6</v>
      </c>
      <c r="U164" s="781">
        <v>3.1536</v>
      </c>
      <c r="V164" s="781">
        <v>2.3651999999999997</v>
      </c>
      <c r="W164" s="781">
        <v>13.14</v>
      </c>
      <c r="X164" s="781">
        <v>3.6792000000000007</v>
      </c>
      <c r="Y164" s="781">
        <v>18.396000000000001</v>
      </c>
      <c r="Z164" s="781">
        <v>52.56</v>
      </c>
      <c r="AA164" s="781">
        <v>78.84</v>
      </c>
      <c r="AB164" s="781">
        <v>52.56</v>
      </c>
      <c r="AC164" s="781">
        <v>0.26280000000000003</v>
      </c>
      <c r="AD164" s="781">
        <v>0.26280000000000003</v>
      </c>
      <c r="AE164" s="781">
        <v>0.26280000000000003</v>
      </c>
      <c r="AF164" s="781"/>
      <c r="AG164" s="781"/>
      <c r="AH164" s="781"/>
      <c r="AI164" s="784"/>
      <c r="AK164" s="783">
        <f>IFERROR(Tabela1[[#This Row],[EE(g)]]/Tabela1[[#This Row],[CMS(kg)]],0)</f>
        <v>0</v>
      </c>
    </row>
    <row r="165" spans="2:37" hidden="1">
      <c r="B165" s="774">
        <f>ROW()^2+(Tabela1[[#This Row],[ID2]])+ROW()</f>
        <v>27559</v>
      </c>
      <c r="C165" s="774">
        <v>169</v>
      </c>
      <c r="D165" s="774" t="s">
        <v>1256</v>
      </c>
      <c r="E165" s="775" t="s">
        <v>1276</v>
      </c>
      <c r="F165" s="775" t="s">
        <v>1265</v>
      </c>
      <c r="G165" s="775">
        <v>140</v>
      </c>
      <c r="H165" s="775" t="s">
        <v>0</v>
      </c>
      <c r="I165" s="779" t="s">
        <v>1266</v>
      </c>
      <c r="J165" s="775">
        <v>7.5</v>
      </c>
      <c r="K165" s="774" t="s">
        <v>42</v>
      </c>
      <c r="L165" s="777">
        <v>46</v>
      </c>
      <c r="M165" s="778">
        <v>0</v>
      </c>
      <c r="N165" s="779">
        <v>187</v>
      </c>
      <c r="O165" s="780">
        <v>0</v>
      </c>
      <c r="P165" s="781">
        <v>1.27</v>
      </c>
      <c r="Q165" s="781">
        <v>0.71819999999999995</v>
      </c>
      <c r="R165" s="782">
        <v>0</v>
      </c>
      <c r="S165" s="781">
        <v>6.7</v>
      </c>
      <c r="T165" s="781">
        <v>5.7</v>
      </c>
      <c r="U165" s="781">
        <v>2.8728000000000002</v>
      </c>
      <c r="V165" s="781">
        <v>2.1545999999999998</v>
      </c>
      <c r="W165" s="781">
        <v>11.97</v>
      </c>
      <c r="X165" s="781">
        <v>3.3516000000000004</v>
      </c>
      <c r="Y165" s="781">
        <v>16.758000000000003</v>
      </c>
      <c r="Z165" s="781">
        <v>47.88</v>
      </c>
      <c r="AA165" s="781">
        <v>71.820000000000007</v>
      </c>
      <c r="AB165" s="781">
        <v>47.88</v>
      </c>
      <c r="AC165" s="781">
        <v>0.23940000000000003</v>
      </c>
      <c r="AD165" s="781">
        <v>0.23940000000000003</v>
      </c>
      <c r="AE165" s="781">
        <v>0.23940000000000003</v>
      </c>
      <c r="AF165" s="781"/>
      <c r="AG165" s="781"/>
      <c r="AH165" s="781"/>
      <c r="AI165" s="784"/>
      <c r="AK165" s="783">
        <f>IFERROR(Tabela1[[#This Row],[EE(g)]]/Tabela1[[#This Row],[CMS(kg)]],0)</f>
        <v>0</v>
      </c>
    </row>
    <row r="166" spans="2:37" hidden="1">
      <c r="B166" s="774">
        <f>ROW()^2+(Tabela1[[#This Row],[ID2]])+ROW()</f>
        <v>27900</v>
      </c>
      <c r="C166" s="774">
        <v>178</v>
      </c>
      <c r="D166" s="774" t="s">
        <v>1256</v>
      </c>
      <c r="E166" s="775" t="s">
        <v>1276</v>
      </c>
      <c r="F166" s="775" t="s">
        <v>1265</v>
      </c>
      <c r="G166" s="775">
        <v>140</v>
      </c>
      <c r="H166" s="775" t="s">
        <v>0</v>
      </c>
      <c r="I166" s="779" t="s">
        <v>1285</v>
      </c>
      <c r="J166" s="775">
        <v>6.6</v>
      </c>
      <c r="K166" s="774" t="s">
        <v>42</v>
      </c>
      <c r="L166" s="777">
        <v>76</v>
      </c>
      <c r="M166" s="778">
        <v>0</v>
      </c>
      <c r="N166" s="779">
        <v>220</v>
      </c>
      <c r="O166" s="780">
        <v>0</v>
      </c>
      <c r="P166" s="781">
        <v>1.44</v>
      </c>
      <c r="Q166" s="781">
        <v>0.81479999999999997</v>
      </c>
      <c r="R166" s="782">
        <v>0</v>
      </c>
      <c r="S166" s="781">
        <v>9.5</v>
      </c>
      <c r="T166" s="781">
        <v>7.3</v>
      </c>
      <c r="U166" s="781">
        <v>3.2592000000000003</v>
      </c>
      <c r="V166" s="781">
        <v>2.4443999999999999</v>
      </c>
      <c r="W166" s="781">
        <v>13.580000000000002</v>
      </c>
      <c r="X166" s="781">
        <v>3.8024000000000004</v>
      </c>
      <c r="Y166" s="781">
        <v>19.012</v>
      </c>
      <c r="Z166" s="781">
        <v>54.320000000000007</v>
      </c>
      <c r="AA166" s="781">
        <v>81.48</v>
      </c>
      <c r="AB166" s="781">
        <v>54.320000000000007</v>
      </c>
      <c r="AC166" s="781">
        <v>0.27160000000000001</v>
      </c>
      <c r="AD166" s="781">
        <v>0.27160000000000001</v>
      </c>
      <c r="AE166" s="781">
        <v>0.27160000000000001</v>
      </c>
      <c r="AF166" s="781"/>
      <c r="AG166" s="781"/>
      <c r="AH166" s="781"/>
      <c r="AI166" s="784"/>
      <c r="AK166" s="783">
        <f>IFERROR(Tabela1[[#This Row],[EE(g)]]/Tabela1[[#This Row],[CMS(kg)]],0)</f>
        <v>0</v>
      </c>
    </row>
    <row r="167" spans="2:37" hidden="1">
      <c r="B167" s="774">
        <f>ROW()^2+(Tabela1[[#This Row],[ID2]])+ROW()</f>
        <v>28243</v>
      </c>
      <c r="C167" s="774">
        <v>187</v>
      </c>
      <c r="D167" s="774" t="s">
        <v>1256</v>
      </c>
      <c r="E167" s="775" t="s">
        <v>1276</v>
      </c>
      <c r="F167" s="775" t="s">
        <v>1265</v>
      </c>
      <c r="G167" s="775">
        <v>140</v>
      </c>
      <c r="H167" s="775" t="s">
        <v>0</v>
      </c>
      <c r="I167" s="779" t="s">
        <v>1286</v>
      </c>
      <c r="J167" s="775">
        <v>5.7</v>
      </c>
      <c r="K167" s="774" t="s">
        <v>42</v>
      </c>
      <c r="L167" s="777">
        <v>99</v>
      </c>
      <c r="M167" s="778">
        <v>0</v>
      </c>
      <c r="N167" s="779">
        <v>242</v>
      </c>
      <c r="O167" s="780">
        <v>0</v>
      </c>
      <c r="P167" s="781">
        <v>1.55</v>
      </c>
      <c r="Q167" s="781">
        <v>0.87780000000000002</v>
      </c>
      <c r="R167" s="782">
        <v>0</v>
      </c>
      <c r="S167" s="781">
        <v>11.4</v>
      </c>
      <c r="T167" s="781">
        <v>8.4</v>
      </c>
      <c r="U167" s="781">
        <v>3.5111999999999997</v>
      </c>
      <c r="V167" s="781">
        <v>2.6333999999999995</v>
      </c>
      <c r="W167" s="781">
        <v>14.629999999999999</v>
      </c>
      <c r="X167" s="781">
        <v>4.0964</v>
      </c>
      <c r="Y167" s="781">
        <v>20.481999999999999</v>
      </c>
      <c r="Z167" s="781">
        <v>58.519999999999996</v>
      </c>
      <c r="AA167" s="781">
        <v>87.779999999999987</v>
      </c>
      <c r="AB167" s="781">
        <v>58.519999999999996</v>
      </c>
      <c r="AC167" s="781">
        <v>0.29259999999999997</v>
      </c>
      <c r="AD167" s="781">
        <v>0.29259999999999997</v>
      </c>
      <c r="AE167" s="781">
        <v>0.29259999999999997</v>
      </c>
      <c r="AF167" s="781"/>
      <c r="AG167" s="781"/>
      <c r="AH167" s="781"/>
      <c r="AI167" s="784"/>
      <c r="AK167" s="783">
        <f>IFERROR(Tabela1[[#This Row],[EE(g)]]/Tabela1[[#This Row],[CMS(kg)]],0)</f>
        <v>0</v>
      </c>
    </row>
    <row r="168" spans="2:37" hidden="1">
      <c r="B168" s="774">
        <f>ROW()^2+(Tabela1[[#This Row],[ID2]])+ROW()</f>
        <v>28580</v>
      </c>
      <c r="C168" s="774">
        <v>188</v>
      </c>
      <c r="D168" s="774" t="s">
        <v>1256</v>
      </c>
      <c r="E168" s="775" t="s">
        <v>1276</v>
      </c>
      <c r="F168" s="775" t="s">
        <v>1267</v>
      </c>
      <c r="G168" s="775">
        <v>40</v>
      </c>
      <c r="H168" s="775" t="s">
        <v>0</v>
      </c>
      <c r="I168" s="779" t="s">
        <v>1266</v>
      </c>
      <c r="J168" s="775">
        <v>3.9</v>
      </c>
      <c r="K168" s="774" t="s">
        <v>42</v>
      </c>
      <c r="L168" s="777">
        <v>71</v>
      </c>
      <c r="M168" s="778">
        <v>0</v>
      </c>
      <c r="N168" s="779">
        <v>96</v>
      </c>
      <c r="O168" s="780">
        <v>0</v>
      </c>
      <c r="P168" s="781">
        <v>0.66</v>
      </c>
      <c r="Q168" s="781">
        <v>0.29880000000000001</v>
      </c>
      <c r="R168" s="782">
        <v>0</v>
      </c>
      <c r="S168" s="781">
        <v>4.3</v>
      </c>
      <c r="T168" s="781">
        <v>2.6</v>
      </c>
      <c r="U168" s="781">
        <v>1.1952</v>
      </c>
      <c r="V168" s="781">
        <v>0.89639999999999997</v>
      </c>
      <c r="W168" s="781">
        <v>4.9800000000000004</v>
      </c>
      <c r="X168" s="781">
        <v>1.3944000000000003</v>
      </c>
      <c r="Y168" s="781">
        <v>6.9720000000000004</v>
      </c>
      <c r="Z168" s="781">
        <v>19.920000000000002</v>
      </c>
      <c r="AA168" s="781">
        <v>29.880000000000003</v>
      </c>
      <c r="AB168" s="781">
        <v>19.920000000000002</v>
      </c>
      <c r="AC168" s="781">
        <v>9.9600000000000022E-2</v>
      </c>
      <c r="AD168" s="781">
        <v>9.9600000000000022E-2</v>
      </c>
      <c r="AE168" s="781">
        <v>9.9600000000000022E-2</v>
      </c>
      <c r="AF168" s="781"/>
      <c r="AG168" s="781"/>
      <c r="AH168" s="781"/>
      <c r="AI168" s="784"/>
      <c r="AK168" s="783">
        <f>IFERROR(Tabela1[[#This Row],[EE(g)]]/Tabela1[[#This Row],[CMS(kg)]],0)</f>
        <v>0</v>
      </c>
    </row>
    <row r="169" spans="2:37" hidden="1">
      <c r="B169" s="774">
        <f>ROW()^2+(Tabela1[[#This Row],[ID2]])+ROW()</f>
        <v>28927</v>
      </c>
      <c r="C169" s="774">
        <v>197</v>
      </c>
      <c r="D169" s="774" t="s">
        <v>1256</v>
      </c>
      <c r="E169" s="775" t="s">
        <v>1276</v>
      </c>
      <c r="F169" s="775" t="s">
        <v>1267</v>
      </c>
      <c r="G169" s="775">
        <v>40</v>
      </c>
      <c r="H169" s="775" t="s">
        <v>0</v>
      </c>
      <c r="I169" s="779" t="s">
        <v>1285</v>
      </c>
      <c r="J169" s="775">
        <v>3.4</v>
      </c>
      <c r="K169" s="774" t="s">
        <v>42</v>
      </c>
      <c r="L169" s="777">
        <v>119</v>
      </c>
      <c r="M169" s="778">
        <v>0</v>
      </c>
      <c r="N169" s="779">
        <v>123</v>
      </c>
      <c r="O169" s="780">
        <v>0</v>
      </c>
      <c r="P169" s="781">
        <v>0.85</v>
      </c>
      <c r="Q169" s="781">
        <v>0.31919999999999998</v>
      </c>
      <c r="R169" s="782">
        <v>0</v>
      </c>
      <c r="S169" s="781">
        <v>6.3</v>
      </c>
      <c r="T169" s="781">
        <v>3.4</v>
      </c>
      <c r="U169" s="781">
        <v>1.2767999999999999</v>
      </c>
      <c r="V169" s="781">
        <v>0.95760000000000001</v>
      </c>
      <c r="W169" s="781">
        <v>5.32</v>
      </c>
      <c r="X169" s="781">
        <v>1.4896000000000003</v>
      </c>
      <c r="Y169" s="781">
        <v>7.4480000000000004</v>
      </c>
      <c r="Z169" s="781">
        <v>21.28</v>
      </c>
      <c r="AA169" s="781">
        <v>31.92</v>
      </c>
      <c r="AB169" s="781">
        <v>21.28</v>
      </c>
      <c r="AC169" s="781">
        <v>0.10640000000000001</v>
      </c>
      <c r="AD169" s="781">
        <v>0.10640000000000001</v>
      </c>
      <c r="AE169" s="781">
        <v>0.10640000000000001</v>
      </c>
      <c r="AF169" s="781"/>
      <c r="AG169" s="781"/>
      <c r="AH169" s="781"/>
      <c r="AI169" s="784"/>
      <c r="AK169" s="783">
        <f>IFERROR(Tabela1[[#This Row],[EE(g)]]/Tabela1[[#This Row],[CMS(kg)]],0)</f>
        <v>0</v>
      </c>
    </row>
    <row r="170" spans="2:37" hidden="1">
      <c r="B170" s="774">
        <f>ROW()^2+(Tabela1[[#This Row],[ID2]])+ROW()</f>
        <v>29276</v>
      </c>
      <c r="C170" s="774">
        <v>206</v>
      </c>
      <c r="D170" s="774" t="s">
        <v>1256</v>
      </c>
      <c r="E170" s="775" t="s">
        <v>1276</v>
      </c>
      <c r="F170" s="775" t="s">
        <v>1267</v>
      </c>
      <c r="G170" s="775">
        <v>40</v>
      </c>
      <c r="H170" s="775" t="s">
        <v>0</v>
      </c>
      <c r="I170" s="779" t="s">
        <v>1286</v>
      </c>
      <c r="J170" s="775">
        <v>2.9</v>
      </c>
      <c r="K170" s="774" t="s">
        <v>42</v>
      </c>
      <c r="L170" s="777">
        <v>155</v>
      </c>
      <c r="M170" s="778">
        <v>0</v>
      </c>
      <c r="N170" s="779">
        <v>144</v>
      </c>
      <c r="O170" s="780">
        <v>0</v>
      </c>
      <c r="P170" s="781">
        <v>0.97</v>
      </c>
      <c r="Q170" s="781">
        <v>0.36480000000000001</v>
      </c>
      <c r="R170" s="782">
        <v>0</v>
      </c>
      <c r="S170" s="781">
        <v>7.7</v>
      </c>
      <c r="T170" s="781">
        <v>4.0999999999999996</v>
      </c>
      <c r="U170" s="781">
        <v>1.4591999999999998</v>
      </c>
      <c r="V170" s="781">
        <v>1.0943999999999998</v>
      </c>
      <c r="W170" s="781">
        <v>6.08</v>
      </c>
      <c r="X170" s="781">
        <v>1.7024000000000001</v>
      </c>
      <c r="Y170" s="781">
        <v>8.5120000000000005</v>
      </c>
      <c r="Z170" s="781">
        <v>24.32</v>
      </c>
      <c r="AA170" s="781">
        <v>36.479999999999997</v>
      </c>
      <c r="AB170" s="781">
        <v>24.32</v>
      </c>
      <c r="AC170" s="781">
        <v>0.1216</v>
      </c>
      <c r="AD170" s="781">
        <v>0.1216</v>
      </c>
      <c r="AE170" s="781">
        <v>0.1216</v>
      </c>
      <c r="AF170" s="781"/>
      <c r="AG170" s="781"/>
      <c r="AH170" s="781"/>
      <c r="AI170" s="784"/>
      <c r="AK170" s="783">
        <f>IFERROR(Tabela1[[#This Row],[EE(g)]]/Tabela1[[#This Row],[CMS(kg)]],0)</f>
        <v>0</v>
      </c>
    </row>
    <row r="171" spans="2:37" hidden="1">
      <c r="B171" s="774">
        <f>ROW()^2+(Tabela1[[#This Row],[ID2]])+ROW()</f>
        <v>29601</v>
      </c>
      <c r="C171" s="774">
        <v>189</v>
      </c>
      <c r="D171" s="774" t="s">
        <v>1256</v>
      </c>
      <c r="E171" s="775" t="s">
        <v>1276</v>
      </c>
      <c r="F171" s="775" t="s">
        <v>1267</v>
      </c>
      <c r="G171" s="775">
        <v>50</v>
      </c>
      <c r="H171" s="775" t="s">
        <v>0</v>
      </c>
      <c r="I171" s="779" t="s">
        <v>1266</v>
      </c>
      <c r="J171" s="775">
        <v>4.4000000000000004</v>
      </c>
      <c r="K171" s="774" t="s">
        <v>42</v>
      </c>
      <c r="L171" s="777">
        <v>84</v>
      </c>
      <c r="M171" s="778">
        <v>0</v>
      </c>
      <c r="N171" s="779">
        <v>120</v>
      </c>
      <c r="O171" s="780">
        <v>0</v>
      </c>
      <c r="P171" s="781">
        <v>0.77</v>
      </c>
      <c r="Q171" s="781">
        <v>0.4335</v>
      </c>
      <c r="R171" s="782">
        <v>0</v>
      </c>
      <c r="S171" s="781">
        <v>5.0999999999999996</v>
      </c>
      <c r="T171" s="781">
        <v>3.5</v>
      </c>
      <c r="U171" s="781">
        <v>1.734</v>
      </c>
      <c r="V171" s="781">
        <v>1.3005</v>
      </c>
      <c r="W171" s="781">
        <v>7.2250000000000005</v>
      </c>
      <c r="X171" s="781">
        <v>2.0230000000000001</v>
      </c>
      <c r="Y171" s="781">
        <v>10.115</v>
      </c>
      <c r="Z171" s="781">
        <v>28.900000000000002</v>
      </c>
      <c r="AA171" s="781">
        <v>43.35</v>
      </c>
      <c r="AB171" s="781">
        <v>28.900000000000002</v>
      </c>
      <c r="AC171" s="781">
        <v>0.14450000000000002</v>
      </c>
      <c r="AD171" s="781">
        <v>0.14450000000000002</v>
      </c>
      <c r="AE171" s="781">
        <v>0.14450000000000002</v>
      </c>
      <c r="AF171" s="781"/>
      <c r="AG171" s="781"/>
      <c r="AH171" s="781"/>
      <c r="AI171" s="784"/>
      <c r="AK171" s="783">
        <f>IFERROR(Tabela1[[#This Row],[EE(g)]]/Tabela1[[#This Row],[CMS(kg)]],0)</f>
        <v>0</v>
      </c>
    </row>
    <row r="172" spans="2:37" hidden="1">
      <c r="B172" s="774">
        <f>ROW()^2+(Tabela1[[#This Row],[ID2]])+ROW()</f>
        <v>29954</v>
      </c>
      <c r="C172" s="774">
        <v>198</v>
      </c>
      <c r="D172" s="774" t="s">
        <v>1256</v>
      </c>
      <c r="E172" s="775" t="s">
        <v>1276</v>
      </c>
      <c r="F172" s="775" t="s">
        <v>1267</v>
      </c>
      <c r="G172" s="775">
        <v>50</v>
      </c>
      <c r="H172" s="775" t="s">
        <v>0</v>
      </c>
      <c r="I172" s="779" t="s">
        <v>1285</v>
      </c>
      <c r="J172" s="775">
        <v>3.8</v>
      </c>
      <c r="K172" s="774" t="s">
        <v>42</v>
      </c>
      <c r="L172" s="777">
        <v>141</v>
      </c>
      <c r="M172" s="778">
        <v>0</v>
      </c>
      <c r="N172" s="779">
        <v>148</v>
      </c>
      <c r="O172" s="780">
        <v>0</v>
      </c>
      <c r="P172" s="781">
        <v>0.97</v>
      </c>
      <c r="Q172" s="781">
        <v>0.4395</v>
      </c>
      <c r="R172" s="782">
        <v>0</v>
      </c>
      <c r="S172" s="781">
        <v>7.3</v>
      </c>
      <c r="T172" s="781">
        <v>4.3</v>
      </c>
      <c r="U172" s="781">
        <v>1.758</v>
      </c>
      <c r="V172" s="781">
        <v>1.3185</v>
      </c>
      <c r="W172" s="781">
        <v>7.3250000000000002</v>
      </c>
      <c r="X172" s="781">
        <v>2.0510000000000002</v>
      </c>
      <c r="Y172" s="781">
        <v>10.255000000000001</v>
      </c>
      <c r="Z172" s="781">
        <v>29.3</v>
      </c>
      <c r="AA172" s="781">
        <v>43.95</v>
      </c>
      <c r="AB172" s="781">
        <v>29.3</v>
      </c>
      <c r="AC172" s="781">
        <v>0.14650000000000002</v>
      </c>
      <c r="AD172" s="781">
        <v>0.14650000000000002</v>
      </c>
      <c r="AE172" s="781">
        <v>0.14650000000000002</v>
      </c>
      <c r="AF172" s="781"/>
      <c r="AG172" s="781"/>
      <c r="AH172" s="781"/>
      <c r="AI172" s="784"/>
      <c r="AK172" s="783">
        <f>IFERROR(Tabela1[[#This Row],[EE(g)]]/Tabela1[[#This Row],[CMS(kg)]],0)</f>
        <v>0</v>
      </c>
    </row>
    <row r="173" spans="2:37" hidden="1">
      <c r="B173" s="774">
        <f>ROW()^2+(Tabela1[[#This Row],[ID2]])+ROW()</f>
        <v>30309</v>
      </c>
      <c r="C173" s="774">
        <v>207</v>
      </c>
      <c r="D173" s="774" t="s">
        <v>1256</v>
      </c>
      <c r="E173" s="775" t="s">
        <v>1276</v>
      </c>
      <c r="F173" s="775" t="s">
        <v>1267</v>
      </c>
      <c r="G173" s="775">
        <v>50</v>
      </c>
      <c r="H173" s="775" t="s">
        <v>0</v>
      </c>
      <c r="I173" s="779" t="s">
        <v>1286</v>
      </c>
      <c r="J173" s="775">
        <v>3.3</v>
      </c>
      <c r="K173" s="774" t="s">
        <v>42</v>
      </c>
      <c r="L173" s="777">
        <v>183</v>
      </c>
      <c r="M173" s="778">
        <v>0</v>
      </c>
      <c r="N173" s="779">
        <v>165</v>
      </c>
      <c r="O173" s="780">
        <v>0</v>
      </c>
      <c r="P173" s="781">
        <v>1.1200000000000001</v>
      </c>
      <c r="Q173" s="781">
        <v>0.42149999999999999</v>
      </c>
      <c r="R173" s="782">
        <v>0</v>
      </c>
      <c r="S173" s="781">
        <v>8.6999999999999993</v>
      </c>
      <c r="T173" s="781">
        <v>4.7</v>
      </c>
      <c r="U173" s="781">
        <v>1.6859999999999999</v>
      </c>
      <c r="V173" s="781">
        <v>1.2645</v>
      </c>
      <c r="W173" s="781">
        <v>7.0250000000000004</v>
      </c>
      <c r="X173" s="781">
        <v>1.9670000000000003</v>
      </c>
      <c r="Y173" s="781">
        <v>9.8350000000000009</v>
      </c>
      <c r="Z173" s="781">
        <v>28.1</v>
      </c>
      <c r="AA173" s="781">
        <v>42.15</v>
      </c>
      <c r="AB173" s="781">
        <v>28.1</v>
      </c>
      <c r="AC173" s="781">
        <v>0.14050000000000001</v>
      </c>
      <c r="AD173" s="781">
        <v>0.14050000000000001</v>
      </c>
      <c r="AE173" s="781">
        <v>0.14050000000000001</v>
      </c>
      <c r="AF173" s="781"/>
      <c r="AG173" s="781"/>
      <c r="AH173" s="781"/>
      <c r="AI173" s="784"/>
      <c r="AK173" s="783">
        <f>IFERROR(Tabela1[[#This Row],[EE(g)]]/Tabela1[[#This Row],[CMS(kg)]],0)</f>
        <v>0</v>
      </c>
    </row>
    <row r="174" spans="2:37" hidden="1">
      <c r="B174" s="774">
        <f>ROW()^2+(Tabela1[[#This Row],[ID2]])+ROW()</f>
        <v>30640</v>
      </c>
      <c r="C174" s="774">
        <v>190</v>
      </c>
      <c r="D174" s="774" t="s">
        <v>1256</v>
      </c>
      <c r="E174" s="775" t="s">
        <v>1276</v>
      </c>
      <c r="F174" s="775" t="s">
        <v>1267</v>
      </c>
      <c r="G174" s="775">
        <v>60</v>
      </c>
      <c r="H174" s="775" t="s">
        <v>0</v>
      </c>
      <c r="I174" s="779" t="s">
        <v>1266</v>
      </c>
      <c r="J174" s="775">
        <v>4.8</v>
      </c>
      <c r="K174" s="774" t="s">
        <v>42</v>
      </c>
      <c r="L174" s="777">
        <v>97</v>
      </c>
      <c r="M174" s="778">
        <v>0</v>
      </c>
      <c r="N174" s="779">
        <v>134</v>
      </c>
      <c r="O174" s="780">
        <v>0</v>
      </c>
      <c r="P174" s="781">
        <v>0.86</v>
      </c>
      <c r="Q174" s="781">
        <v>0.48780000000000001</v>
      </c>
      <c r="R174" s="782">
        <v>0</v>
      </c>
      <c r="S174" s="781">
        <v>5.7</v>
      </c>
      <c r="T174" s="781">
        <v>4</v>
      </c>
      <c r="U174" s="781">
        <v>1.9511999999999998</v>
      </c>
      <c r="V174" s="781">
        <v>1.4633999999999998</v>
      </c>
      <c r="W174" s="781">
        <v>8.129999999999999</v>
      </c>
      <c r="X174" s="781">
        <v>2.2764000000000002</v>
      </c>
      <c r="Y174" s="781">
        <v>11.382</v>
      </c>
      <c r="Z174" s="781">
        <v>32.519999999999996</v>
      </c>
      <c r="AA174" s="781">
        <v>48.779999999999994</v>
      </c>
      <c r="AB174" s="781">
        <v>32.519999999999996</v>
      </c>
      <c r="AC174" s="781">
        <v>0.16259999999999999</v>
      </c>
      <c r="AD174" s="781">
        <v>0.16259999999999999</v>
      </c>
      <c r="AE174" s="781">
        <v>0.16259999999999999</v>
      </c>
      <c r="AF174" s="781"/>
      <c r="AG174" s="781"/>
      <c r="AH174" s="781"/>
      <c r="AI174" s="784"/>
      <c r="AK174" s="783">
        <f>IFERROR(Tabela1[[#This Row],[EE(g)]]/Tabela1[[#This Row],[CMS(kg)]],0)</f>
        <v>0</v>
      </c>
    </row>
    <row r="175" spans="2:37" hidden="1">
      <c r="B175" s="774">
        <f>ROW()^2+(Tabela1[[#This Row],[ID2]])+ROW()</f>
        <v>30999</v>
      </c>
      <c r="C175" s="774">
        <v>199</v>
      </c>
      <c r="D175" s="774" t="s">
        <v>1256</v>
      </c>
      <c r="E175" s="775" t="s">
        <v>1276</v>
      </c>
      <c r="F175" s="775" t="s">
        <v>1267</v>
      </c>
      <c r="G175" s="775">
        <v>60</v>
      </c>
      <c r="H175" s="775" t="s">
        <v>0</v>
      </c>
      <c r="I175" s="779" t="s">
        <v>1285</v>
      </c>
      <c r="J175" s="775">
        <v>4.2</v>
      </c>
      <c r="K175" s="774" t="s">
        <v>42</v>
      </c>
      <c r="L175" s="777">
        <v>161</v>
      </c>
      <c r="M175" s="778">
        <v>0</v>
      </c>
      <c r="N175" s="779">
        <v>165</v>
      </c>
      <c r="O175" s="780">
        <v>0</v>
      </c>
      <c r="P175" s="781">
        <v>1.0900000000000001</v>
      </c>
      <c r="Q175" s="781">
        <v>0.495</v>
      </c>
      <c r="R175" s="782">
        <v>0</v>
      </c>
      <c r="S175" s="781">
        <v>8.1</v>
      </c>
      <c r="T175" s="781">
        <v>4.8</v>
      </c>
      <c r="U175" s="781">
        <v>1.9799999999999998</v>
      </c>
      <c r="V175" s="781">
        <v>1.4849999999999999</v>
      </c>
      <c r="W175" s="781">
        <v>8.25</v>
      </c>
      <c r="X175" s="781">
        <v>2.31</v>
      </c>
      <c r="Y175" s="781">
        <v>11.549999999999999</v>
      </c>
      <c r="Z175" s="781">
        <v>33</v>
      </c>
      <c r="AA175" s="781">
        <v>49.5</v>
      </c>
      <c r="AB175" s="781">
        <v>33</v>
      </c>
      <c r="AC175" s="781">
        <v>0.16500000000000001</v>
      </c>
      <c r="AD175" s="781">
        <v>0.16500000000000001</v>
      </c>
      <c r="AE175" s="781">
        <v>0.16500000000000001</v>
      </c>
      <c r="AF175" s="781"/>
      <c r="AG175" s="781"/>
      <c r="AH175" s="781"/>
      <c r="AI175" s="784"/>
      <c r="AK175" s="783">
        <f>IFERROR(Tabela1[[#This Row],[EE(g)]]/Tabela1[[#This Row],[CMS(kg)]],0)</f>
        <v>0</v>
      </c>
    </row>
    <row r="176" spans="2:37" hidden="1">
      <c r="B176" s="774">
        <f>ROW()^2+(Tabela1[[#This Row],[ID2]])+ROW()</f>
        <v>31360</v>
      </c>
      <c r="C176" s="774">
        <v>208</v>
      </c>
      <c r="D176" s="774" t="s">
        <v>1256</v>
      </c>
      <c r="E176" s="775" t="s">
        <v>1276</v>
      </c>
      <c r="F176" s="775" t="s">
        <v>1267</v>
      </c>
      <c r="G176" s="775">
        <v>60</v>
      </c>
      <c r="H176" s="775" t="s">
        <v>0</v>
      </c>
      <c r="I176" s="779" t="s">
        <v>1286</v>
      </c>
      <c r="J176" s="775">
        <v>3.6</v>
      </c>
      <c r="K176" s="774" t="s">
        <v>42</v>
      </c>
      <c r="L176" s="777">
        <v>210</v>
      </c>
      <c r="M176" s="778">
        <v>0</v>
      </c>
      <c r="N176" s="779">
        <v>183</v>
      </c>
      <c r="O176" s="780">
        <v>0</v>
      </c>
      <c r="P176" s="781">
        <v>1.25</v>
      </c>
      <c r="Q176" s="781">
        <v>0.4698</v>
      </c>
      <c r="R176" s="782">
        <v>0</v>
      </c>
      <c r="S176" s="781">
        <v>9.5</v>
      </c>
      <c r="T176" s="781">
        <v>5.2</v>
      </c>
      <c r="U176" s="781">
        <v>1.8791999999999998</v>
      </c>
      <c r="V176" s="781">
        <v>1.4093999999999998</v>
      </c>
      <c r="W176" s="781">
        <v>7.8299999999999992</v>
      </c>
      <c r="X176" s="781">
        <v>2.1924000000000001</v>
      </c>
      <c r="Y176" s="781">
        <v>10.962</v>
      </c>
      <c r="Z176" s="781">
        <v>31.319999999999997</v>
      </c>
      <c r="AA176" s="781">
        <v>46.98</v>
      </c>
      <c r="AB176" s="781">
        <v>31.319999999999997</v>
      </c>
      <c r="AC176" s="781">
        <v>0.15659999999999999</v>
      </c>
      <c r="AD176" s="781">
        <v>0.15659999999999999</v>
      </c>
      <c r="AE176" s="781">
        <v>0.15659999999999999</v>
      </c>
      <c r="AF176" s="781"/>
      <c r="AG176" s="781"/>
      <c r="AH176" s="781"/>
      <c r="AI176" s="784"/>
      <c r="AK176" s="783">
        <f>IFERROR(Tabela1[[#This Row],[EE(g)]]/Tabela1[[#This Row],[CMS(kg)]],0)</f>
        <v>0</v>
      </c>
    </row>
    <row r="177" spans="2:37" hidden="1">
      <c r="B177" s="774">
        <f>ROW()^2+(Tabela1[[#This Row],[ID2]])+ROW()</f>
        <v>31697</v>
      </c>
      <c r="C177" s="774">
        <v>191</v>
      </c>
      <c r="D177" s="774" t="s">
        <v>1256</v>
      </c>
      <c r="E177" s="775" t="s">
        <v>1276</v>
      </c>
      <c r="F177" s="775" t="s">
        <v>1267</v>
      </c>
      <c r="G177" s="775">
        <v>70</v>
      </c>
      <c r="H177" s="775" t="s">
        <v>0</v>
      </c>
      <c r="I177" s="779" t="s">
        <v>1266</v>
      </c>
      <c r="J177" s="775">
        <v>5.2</v>
      </c>
      <c r="K177" s="774" t="s">
        <v>42</v>
      </c>
      <c r="L177" s="777">
        <v>109</v>
      </c>
      <c r="M177" s="778">
        <v>0</v>
      </c>
      <c r="N177" s="779">
        <v>149</v>
      </c>
      <c r="O177" s="780">
        <v>0</v>
      </c>
      <c r="P177" s="781">
        <v>0.96</v>
      </c>
      <c r="Q177" s="781">
        <v>0.54179999999999995</v>
      </c>
      <c r="R177" s="782">
        <v>0</v>
      </c>
      <c r="S177" s="781">
        <v>6.1</v>
      </c>
      <c r="T177" s="781">
        <v>4.4000000000000004</v>
      </c>
      <c r="U177" s="781">
        <v>2.1671999999999998</v>
      </c>
      <c r="V177" s="781">
        <v>1.6254</v>
      </c>
      <c r="W177" s="781">
        <v>9.0300000000000011</v>
      </c>
      <c r="X177" s="781">
        <v>2.5284000000000004</v>
      </c>
      <c r="Y177" s="781">
        <v>12.641999999999999</v>
      </c>
      <c r="Z177" s="781">
        <v>36.120000000000005</v>
      </c>
      <c r="AA177" s="781">
        <v>54.18</v>
      </c>
      <c r="AB177" s="781">
        <v>36.120000000000005</v>
      </c>
      <c r="AC177" s="781">
        <v>0.18060000000000001</v>
      </c>
      <c r="AD177" s="781">
        <v>0.18060000000000001</v>
      </c>
      <c r="AE177" s="781">
        <v>0.18060000000000001</v>
      </c>
      <c r="AF177" s="781"/>
      <c r="AG177" s="781"/>
      <c r="AH177" s="781"/>
      <c r="AI177" s="784"/>
      <c r="AK177" s="783">
        <f>IFERROR(Tabela1[[#This Row],[EE(g)]]/Tabela1[[#This Row],[CMS(kg)]],0)</f>
        <v>0</v>
      </c>
    </row>
    <row r="178" spans="2:37" hidden="1">
      <c r="B178" s="774">
        <f>ROW()^2+(Tabela1[[#This Row],[ID2]])+ROW()</f>
        <v>32062</v>
      </c>
      <c r="C178" s="774">
        <v>200</v>
      </c>
      <c r="D178" s="774" t="s">
        <v>1256</v>
      </c>
      <c r="E178" s="775" t="s">
        <v>1276</v>
      </c>
      <c r="F178" s="775" t="s">
        <v>1267</v>
      </c>
      <c r="G178" s="775">
        <v>70</v>
      </c>
      <c r="H178" s="775" t="s">
        <v>0</v>
      </c>
      <c r="I178" s="779" t="s">
        <v>1285</v>
      </c>
      <c r="J178" s="775">
        <v>4.5999999999999996</v>
      </c>
      <c r="K178" s="774" t="s">
        <v>42</v>
      </c>
      <c r="L178" s="777">
        <v>181</v>
      </c>
      <c r="M178" s="778">
        <v>0</v>
      </c>
      <c r="N178" s="779">
        <v>183</v>
      </c>
      <c r="O178" s="780">
        <v>0</v>
      </c>
      <c r="P178" s="781">
        <v>1.21</v>
      </c>
      <c r="Q178" s="781">
        <v>0.54810000000000003</v>
      </c>
      <c r="R178" s="782">
        <v>0</v>
      </c>
      <c r="S178" s="781">
        <v>8.8000000000000007</v>
      </c>
      <c r="T178" s="781">
        <v>5.3</v>
      </c>
      <c r="U178" s="781">
        <v>2.1923999999999997</v>
      </c>
      <c r="V178" s="781">
        <v>1.6442999999999999</v>
      </c>
      <c r="W178" s="781">
        <v>9.1349999999999998</v>
      </c>
      <c r="X178" s="781">
        <v>2.5578000000000003</v>
      </c>
      <c r="Y178" s="781">
        <v>12.789</v>
      </c>
      <c r="Z178" s="781">
        <v>36.54</v>
      </c>
      <c r="AA178" s="781">
        <v>54.81</v>
      </c>
      <c r="AB178" s="781">
        <v>36.54</v>
      </c>
      <c r="AC178" s="781">
        <v>0.1827</v>
      </c>
      <c r="AD178" s="781">
        <v>0.1827</v>
      </c>
      <c r="AE178" s="781">
        <v>0.1827</v>
      </c>
      <c r="AF178" s="781"/>
      <c r="AG178" s="781"/>
      <c r="AH178" s="781"/>
      <c r="AI178" s="784"/>
      <c r="AK178" s="783">
        <f>IFERROR(Tabela1[[#This Row],[EE(g)]]/Tabela1[[#This Row],[CMS(kg)]],0)</f>
        <v>0</v>
      </c>
    </row>
    <row r="179" spans="2:37" hidden="1">
      <c r="B179" s="774">
        <f>ROW()^2+(Tabela1[[#This Row],[ID2]])+ROW()</f>
        <v>32429</v>
      </c>
      <c r="C179" s="774">
        <v>209</v>
      </c>
      <c r="D179" s="774" t="s">
        <v>1256</v>
      </c>
      <c r="E179" s="775" t="s">
        <v>1276</v>
      </c>
      <c r="F179" s="775" t="s">
        <v>1267</v>
      </c>
      <c r="G179" s="775">
        <v>70</v>
      </c>
      <c r="H179" s="775" t="s">
        <v>0</v>
      </c>
      <c r="I179" s="779" t="s">
        <v>1286</v>
      </c>
      <c r="J179" s="775">
        <v>3.9</v>
      </c>
      <c r="K179" s="774" t="s">
        <v>42</v>
      </c>
      <c r="L179" s="777">
        <v>235</v>
      </c>
      <c r="M179" s="778">
        <v>0</v>
      </c>
      <c r="N179" s="779">
        <v>212</v>
      </c>
      <c r="O179" s="780">
        <v>0</v>
      </c>
      <c r="P179" s="781">
        <v>1.37</v>
      </c>
      <c r="Q179" s="781">
        <v>0.62160000000000004</v>
      </c>
      <c r="R179" s="782">
        <v>0</v>
      </c>
      <c r="S179" s="781">
        <v>10.8</v>
      </c>
      <c r="T179" s="781">
        <v>6.4</v>
      </c>
      <c r="U179" s="781">
        <v>2.4864000000000002</v>
      </c>
      <c r="V179" s="781">
        <v>1.8647999999999998</v>
      </c>
      <c r="W179" s="781">
        <v>10.36</v>
      </c>
      <c r="X179" s="781">
        <v>2.9008000000000003</v>
      </c>
      <c r="Y179" s="781">
        <v>14.504000000000001</v>
      </c>
      <c r="Z179" s="781">
        <v>41.44</v>
      </c>
      <c r="AA179" s="781">
        <v>62.160000000000004</v>
      </c>
      <c r="AB179" s="781">
        <v>41.44</v>
      </c>
      <c r="AC179" s="781">
        <v>0.20720000000000002</v>
      </c>
      <c r="AD179" s="781">
        <v>0.20720000000000002</v>
      </c>
      <c r="AE179" s="781">
        <v>0.20720000000000002</v>
      </c>
      <c r="AF179" s="781"/>
      <c r="AG179" s="781"/>
      <c r="AH179" s="781"/>
      <c r="AI179" s="784"/>
      <c r="AK179" s="783">
        <f>IFERROR(Tabela1[[#This Row],[EE(g)]]/Tabela1[[#This Row],[CMS(kg)]],0)</f>
        <v>0</v>
      </c>
    </row>
    <row r="180" spans="2:37" hidden="1">
      <c r="B180" s="774">
        <f>ROW()^2+(Tabela1[[#This Row],[ID2]])+ROW()</f>
        <v>32772</v>
      </c>
      <c r="C180" s="774">
        <v>192</v>
      </c>
      <c r="D180" s="774" t="s">
        <v>1256</v>
      </c>
      <c r="E180" s="775" t="s">
        <v>1276</v>
      </c>
      <c r="F180" s="775" t="s">
        <v>1267</v>
      </c>
      <c r="G180" s="775">
        <v>80</v>
      </c>
      <c r="H180" s="775" t="s">
        <v>0</v>
      </c>
      <c r="I180" s="779" t="s">
        <v>1266</v>
      </c>
      <c r="J180" s="775">
        <v>5.6</v>
      </c>
      <c r="K180" s="774" t="s">
        <v>42</v>
      </c>
      <c r="L180" s="777">
        <v>120</v>
      </c>
      <c r="M180" s="778">
        <v>0</v>
      </c>
      <c r="N180" s="779">
        <v>163</v>
      </c>
      <c r="O180" s="780">
        <v>0</v>
      </c>
      <c r="P180" s="781">
        <v>1.05</v>
      </c>
      <c r="Q180" s="781">
        <v>0.59279999999999999</v>
      </c>
      <c r="R180" s="782">
        <v>0</v>
      </c>
      <c r="S180" s="781">
        <v>6.6</v>
      </c>
      <c r="T180" s="781">
        <v>4.8</v>
      </c>
      <c r="U180" s="781">
        <v>2.3712</v>
      </c>
      <c r="V180" s="781">
        <v>1.7784</v>
      </c>
      <c r="W180" s="781">
        <v>9.8800000000000008</v>
      </c>
      <c r="X180" s="781">
        <v>2.7664000000000004</v>
      </c>
      <c r="Y180" s="781">
        <v>13.832000000000001</v>
      </c>
      <c r="Z180" s="781">
        <v>39.520000000000003</v>
      </c>
      <c r="AA180" s="781">
        <v>59.280000000000008</v>
      </c>
      <c r="AB180" s="781">
        <v>39.520000000000003</v>
      </c>
      <c r="AC180" s="781">
        <v>0.19760000000000003</v>
      </c>
      <c r="AD180" s="781">
        <v>0.19760000000000003</v>
      </c>
      <c r="AE180" s="781">
        <v>0.19760000000000003</v>
      </c>
      <c r="AF180" s="781"/>
      <c r="AG180" s="781"/>
      <c r="AH180" s="781"/>
      <c r="AI180" s="784"/>
      <c r="AK180" s="783">
        <f>IFERROR(Tabela1[[#This Row],[EE(g)]]/Tabela1[[#This Row],[CMS(kg)]],0)</f>
        <v>0</v>
      </c>
    </row>
    <row r="181" spans="2:37" hidden="1">
      <c r="B181" s="774">
        <f>ROW()^2+(Tabela1[[#This Row],[ID2]])+ROW()</f>
        <v>33143</v>
      </c>
      <c r="C181" s="774">
        <v>201</v>
      </c>
      <c r="D181" s="774" t="s">
        <v>1256</v>
      </c>
      <c r="E181" s="775" t="s">
        <v>1276</v>
      </c>
      <c r="F181" s="775" t="s">
        <v>1267</v>
      </c>
      <c r="G181" s="775">
        <v>80</v>
      </c>
      <c r="H181" s="775" t="s">
        <v>0</v>
      </c>
      <c r="I181" s="779" t="s">
        <v>1285</v>
      </c>
      <c r="J181" s="775">
        <v>4.9000000000000004</v>
      </c>
      <c r="K181" s="774" t="s">
        <v>42</v>
      </c>
      <c r="L181" s="777">
        <v>200</v>
      </c>
      <c r="M181" s="778">
        <v>0</v>
      </c>
      <c r="N181" s="779">
        <v>198</v>
      </c>
      <c r="O181" s="780">
        <v>0</v>
      </c>
      <c r="P181" s="781">
        <v>1.32</v>
      </c>
      <c r="Q181" s="781">
        <v>0.59519999999999995</v>
      </c>
      <c r="R181" s="782">
        <v>0</v>
      </c>
      <c r="S181" s="781">
        <v>9.4</v>
      </c>
      <c r="T181" s="781">
        <v>5.8</v>
      </c>
      <c r="U181" s="781">
        <v>2.3807999999999998</v>
      </c>
      <c r="V181" s="781">
        <v>1.7855999999999999</v>
      </c>
      <c r="W181" s="781">
        <v>9.92</v>
      </c>
      <c r="X181" s="781">
        <v>2.7776000000000001</v>
      </c>
      <c r="Y181" s="781">
        <v>13.888</v>
      </c>
      <c r="Z181" s="781">
        <v>39.68</v>
      </c>
      <c r="AA181" s="781">
        <v>59.519999999999996</v>
      </c>
      <c r="AB181" s="781">
        <v>39.68</v>
      </c>
      <c r="AC181" s="781">
        <v>0.19840000000000002</v>
      </c>
      <c r="AD181" s="781">
        <v>0.19840000000000002</v>
      </c>
      <c r="AE181" s="781">
        <v>0.19840000000000002</v>
      </c>
      <c r="AF181" s="781"/>
      <c r="AG181" s="781"/>
      <c r="AH181" s="781"/>
      <c r="AI181" s="784"/>
      <c r="AK181" s="783">
        <f>IFERROR(Tabela1[[#This Row],[EE(g)]]/Tabela1[[#This Row],[CMS(kg)]],0)</f>
        <v>0</v>
      </c>
    </row>
    <row r="182" spans="2:37" hidden="1">
      <c r="B182" s="774">
        <f>ROW()^2+(Tabela1[[#This Row],[ID2]])+ROW()</f>
        <v>33516</v>
      </c>
      <c r="C182" s="774">
        <v>210</v>
      </c>
      <c r="D182" s="774" t="s">
        <v>1256</v>
      </c>
      <c r="E182" s="775" t="s">
        <v>1276</v>
      </c>
      <c r="F182" s="775" t="s">
        <v>1267</v>
      </c>
      <c r="G182" s="775">
        <v>80</v>
      </c>
      <c r="H182" s="775" t="s">
        <v>0</v>
      </c>
      <c r="I182" s="779" t="s">
        <v>1286</v>
      </c>
      <c r="J182" s="775">
        <v>4.2</v>
      </c>
      <c r="K182" s="774" t="s">
        <v>42</v>
      </c>
      <c r="L182" s="777">
        <v>260</v>
      </c>
      <c r="M182" s="778">
        <v>0</v>
      </c>
      <c r="N182" s="779">
        <v>230</v>
      </c>
      <c r="O182" s="780">
        <v>0</v>
      </c>
      <c r="P182" s="781">
        <v>1.5</v>
      </c>
      <c r="Q182" s="781">
        <v>0.67679999999999996</v>
      </c>
      <c r="R182" s="782">
        <v>0</v>
      </c>
      <c r="S182" s="781">
        <v>11.6</v>
      </c>
      <c r="T182" s="781">
        <v>6.9</v>
      </c>
      <c r="U182" s="781">
        <v>2.7071999999999998</v>
      </c>
      <c r="V182" s="781">
        <v>2.0303999999999998</v>
      </c>
      <c r="W182" s="781">
        <v>11.28</v>
      </c>
      <c r="X182" s="781">
        <v>3.1583999999999999</v>
      </c>
      <c r="Y182" s="781">
        <v>15.791999999999998</v>
      </c>
      <c r="Z182" s="781">
        <v>45.12</v>
      </c>
      <c r="AA182" s="781">
        <v>67.679999999999993</v>
      </c>
      <c r="AB182" s="781">
        <v>45.12</v>
      </c>
      <c r="AC182" s="781">
        <v>0.22559999999999999</v>
      </c>
      <c r="AD182" s="781">
        <v>0.22559999999999999</v>
      </c>
      <c r="AE182" s="781">
        <v>0.22559999999999999</v>
      </c>
      <c r="AF182" s="781"/>
      <c r="AG182" s="781"/>
      <c r="AH182" s="781"/>
      <c r="AI182" s="784"/>
      <c r="AK182" s="783">
        <f>IFERROR(Tabela1[[#This Row],[EE(g)]]/Tabela1[[#This Row],[CMS(kg)]],0)</f>
        <v>0</v>
      </c>
    </row>
    <row r="183" spans="2:37" hidden="1">
      <c r="B183" s="774">
        <f>ROW()^2+(Tabela1[[#This Row],[ID2]])+ROW()</f>
        <v>33865</v>
      </c>
      <c r="C183" s="774">
        <v>193</v>
      </c>
      <c r="D183" s="774" t="s">
        <v>1256</v>
      </c>
      <c r="E183" s="775" t="s">
        <v>1276</v>
      </c>
      <c r="F183" s="775" t="s">
        <v>1267</v>
      </c>
      <c r="G183" s="775">
        <v>90</v>
      </c>
      <c r="H183" s="775" t="s">
        <v>0</v>
      </c>
      <c r="I183" s="779" t="s">
        <v>1266</v>
      </c>
      <c r="J183" s="775">
        <v>6</v>
      </c>
      <c r="K183" s="774" t="s">
        <v>42</v>
      </c>
      <c r="L183" s="777">
        <v>131</v>
      </c>
      <c r="M183" s="778">
        <v>0</v>
      </c>
      <c r="N183" s="779">
        <v>176</v>
      </c>
      <c r="O183" s="780">
        <v>0</v>
      </c>
      <c r="P183" s="781">
        <v>1.1399999999999999</v>
      </c>
      <c r="Q183" s="781">
        <v>0.64259999999999995</v>
      </c>
      <c r="R183" s="782">
        <v>0</v>
      </c>
      <c r="S183" s="781">
        <v>7.1</v>
      </c>
      <c r="T183" s="781">
        <v>5.2</v>
      </c>
      <c r="U183" s="781">
        <v>2.5703999999999998</v>
      </c>
      <c r="V183" s="781">
        <v>1.9277999999999997</v>
      </c>
      <c r="W183" s="781">
        <v>10.709999999999999</v>
      </c>
      <c r="X183" s="781">
        <v>2.9988000000000001</v>
      </c>
      <c r="Y183" s="781">
        <v>14.994</v>
      </c>
      <c r="Z183" s="781">
        <v>42.839999999999996</v>
      </c>
      <c r="AA183" s="781">
        <v>64.259999999999991</v>
      </c>
      <c r="AB183" s="781">
        <v>42.839999999999996</v>
      </c>
      <c r="AC183" s="781">
        <v>0.2142</v>
      </c>
      <c r="AD183" s="781">
        <v>0.2142</v>
      </c>
      <c r="AE183" s="781">
        <v>0.2142</v>
      </c>
      <c r="AF183" s="781"/>
      <c r="AG183" s="781"/>
      <c r="AH183" s="781"/>
      <c r="AI183" s="784"/>
      <c r="AK183" s="783">
        <f>IFERROR(Tabela1[[#This Row],[EE(g)]]/Tabela1[[#This Row],[CMS(kg)]],0)</f>
        <v>0</v>
      </c>
    </row>
    <row r="184" spans="2:37" hidden="1">
      <c r="B184" s="774">
        <f>ROW()^2+(Tabela1[[#This Row],[ID2]])+ROW()</f>
        <v>34242</v>
      </c>
      <c r="C184" s="774">
        <v>202</v>
      </c>
      <c r="D184" s="774" t="s">
        <v>1256</v>
      </c>
      <c r="E184" s="775" t="s">
        <v>1276</v>
      </c>
      <c r="F184" s="775" t="s">
        <v>1267</v>
      </c>
      <c r="G184" s="775">
        <v>90</v>
      </c>
      <c r="H184" s="775" t="s">
        <v>0</v>
      </c>
      <c r="I184" s="779" t="s">
        <v>1285</v>
      </c>
      <c r="J184" s="775">
        <v>5.2</v>
      </c>
      <c r="K184" s="774" t="s">
        <v>42</v>
      </c>
      <c r="L184" s="777">
        <v>218</v>
      </c>
      <c r="M184" s="778">
        <v>0</v>
      </c>
      <c r="N184" s="779">
        <v>230</v>
      </c>
      <c r="O184" s="780">
        <v>0</v>
      </c>
      <c r="P184" s="781">
        <v>1.42</v>
      </c>
      <c r="Q184" s="781">
        <v>0.80189999999999995</v>
      </c>
      <c r="R184" s="782">
        <v>0</v>
      </c>
      <c r="S184" s="781">
        <v>10.7</v>
      </c>
      <c r="T184" s="781">
        <v>7.2</v>
      </c>
      <c r="U184" s="781">
        <v>3.2075999999999998</v>
      </c>
      <c r="V184" s="781">
        <v>2.4056999999999999</v>
      </c>
      <c r="W184" s="781">
        <v>13.365</v>
      </c>
      <c r="X184" s="781">
        <v>3.7422000000000004</v>
      </c>
      <c r="Y184" s="781">
        <v>18.710999999999999</v>
      </c>
      <c r="Z184" s="781">
        <v>53.46</v>
      </c>
      <c r="AA184" s="781">
        <v>80.19</v>
      </c>
      <c r="AB184" s="781">
        <v>53.46</v>
      </c>
      <c r="AC184" s="781">
        <v>0.26730000000000004</v>
      </c>
      <c r="AD184" s="781">
        <v>0.26730000000000004</v>
      </c>
      <c r="AE184" s="781">
        <v>0.26730000000000004</v>
      </c>
      <c r="AF184" s="781"/>
      <c r="AG184" s="781"/>
      <c r="AH184" s="781"/>
      <c r="AI184" s="784"/>
      <c r="AK184" s="783">
        <f>IFERROR(Tabela1[[#This Row],[EE(g)]]/Tabela1[[#This Row],[CMS(kg)]],0)</f>
        <v>0</v>
      </c>
    </row>
    <row r="185" spans="2:37" hidden="1">
      <c r="B185" s="774">
        <f>ROW()^2+(Tabela1[[#This Row],[ID2]])+ROW()</f>
        <v>34621</v>
      </c>
      <c r="C185" s="774">
        <v>211</v>
      </c>
      <c r="D185" s="774" t="s">
        <v>1256</v>
      </c>
      <c r="E185" s="775" t="s">
        <v>1276</v>
      </c>
      <c r="F185" s="775" t="s">
        <v>1267</v>
      </c>
      <c r="G185" s="775">
        <v>90</v>
      </c>
      <c r="H185" s="775" t="s">
        <v>0</v>
      </c>
      <c r="I185" s="779" t="s">
        <v>1286</v>
      </c>
      <c r="J185" s="775">
        <v>4.5</v>
      </c>
      <c r="K185" s="774" t="s">
        <v>42</v>
      </c>
      <c r="L185" s="777">
        <v>284</v>
      </c>
      <c r="M185" s="778">
        <v>0</v>
      </c>
      <c r="N185" s="779">
        <v>249</v>
      </c>
      <c r="O185" s="780">
        <v>0</v>
      </c>
      <c r="P185" s="781">
        <v>1.62</v>
      </c>
      <c r="Q185" s="781">
        <v>0.73170000000000002</v>
      </c>
      <c r="R185" s="782">
        <v>0</v>
      </c>
      <c r="S185" s="781">
        <v>12.3</v>
      </c>
      <c r="T185" s="781">
        <v>7.4</v>
      </c>
      <c r="U185" s="781">
        <v>2.9268000000000001</v>
      </c>
      <c r="V185" s="781">
        <v>2.1951000000000001</v>
      </c>
      <c r="W185" s="781">
        <v>12.195</v>
      </c>
      <c r="X185" s="781">
        <v>3.4146000000000005</v>
      </c>
      <c r="Y185" s="781">
        <v>17.073</v>
      </c>
      <c r="Z185" s="781">
        <v>48.78</v>
      </c>
      <c r="AA185" s="781">
        <v>73.17</v>
      </c>
      <c r="AB185" s="781">
        <v>48.78</v>
      </c>
      <c r="AC185" s="781">
        <v>0.24390000000000001</v>
      </c>
      <c r="AD185" s="781">
        <v>0.24390000000000001</v>
      </c>
      <c r="AE185" s="781">
        <v>0.24390000000000001</v>
      </c>
      <c r="AF185" s="781"/>
      <c r="AG185" s="781"/>
      <c r="AH185" s="781"/>
      <c r="AI185" s="784"/>
      <c r="AK185" s="783">
        <f>IFERROR(Tabela1[[#This Row],[EE(g)]]/Tabela1[[#This Row],[CMS(kg)]],0)</f>
        <v>0</v>
      </c>
    </row>
    <row r="186" spans="2:37" hidden="1">
      <c r="B186" s="774">
        <f>ROW()^2+(Tabela1[[#This Row],[ID2]])+ROW()</f>
        <v>34976</v>
      </c>
      <c r="C186" s="774">
        <v>194</v>
      </c>
      <c r="D186" s="774" t="s">
        <v>1256</v>
      </c>
      <c r="E186" s="775" t="s">
        <v>1276</v>
      </c>
      <c r="F186" s="775" t="s">
        <v>1267</v>
      </c>
      <c r="G186" s="775">
        <v>100</v>
      </c>
      <c r="H186" s="775" t="s">
        <v>0</v>
      </c>
      <c r="I186" s="779" t="s">
        <v>1266</v>
      </c>
      <c r="J186" s="775">
        <v>6.3</v>
      </c>
      <c r="K186" s="774" t="s">
        <v>42</v>
      </c>
      <c r="L186" s="777">
        <v>142</v>
      </c>
      <c r="M186" s="778">
        <v>0</v>
      </c>
      <c r="N186" s="779">
        <v>189</v>
      </c>
      <c r="O186" s="780">
        <v>0</v>
      </c>
      <c r="P186" s="781">
        <v>1.22</v>
      </c>
      <c r="Q186" s="781">
        <v>0.69</v>
      </c>
      <c r="R186" s="782">
        <v>0</v>
      </c>
      <c r="S186" s="781">
        <v>7.5</v>
      </c>
      <c r="T186" s="781">
        <v>5.5</v>
      </c>
      <c r="U186" s="781">
        <v>2.76</v>
      </c>
      <c r="V186" s="781">
        <v>2.0699999999999998</v>
      </c>
      <c r="W186" s="781">
        <v>11.5</v>
      </c>
      <c r="X186" s="781">
        <v>3.22</v>
      </c>
      <c r="Y186" s="781">
        <v>16.099999999999998</v>
      </c>
      <c r="Z186" s="781">
        <v>46</v>
      </c>
      <c r="AA186" s="781">
        <v>69</v>
      </c>
      <c r="AB186" s="781">
        <v>46</v>
      </c>
      <c r="AC186" s="781">
        <v>0.22999999999999998</v>
      </c>
      <c r="AD186" s="781">
        <v>0.22999999999999998</v>
      </c>
      <c r="AE186" s="781">
        <v>0.22999999999999998</v>
      </c>
      <c r="AF186" s="781"/>
      <c r="AG186" s="781"/>
      <c r="AH186" s="781"/>
      <c r="AI186" s="784"/>
      <c r="AK186" s="783">
        <f>IFERROR(Tabela1[[#This Row],[EE(g)]]/Tabela1[[#This Row],[CMS(kg)]],0)</f>
        <v>0</v>
      </c>
    </row>
    <row r="187" spans="2:37" hidden="1">
      <c r="B187" s="774">
        <f>ROW()^2+(Tabela1[[#This Row],[ID2]])+ROW()</f>
        <v>35359</v>
      </c>
      <c r="C187" s="774">
        <v>203</v>
      </c>
      <c r="D187" s="774" t="s">
        <v>1256</v>
      </c>
      <c r="E187" s="775" t="s">
        <v>1276</v>
      </c>
      <c r="F187" s="775" t="s">
        <v>1267</v>
      </c>
      <c r="G187" s="775">
        <v>100</v>
      </c>
      <c r="H187" s="775" t="s">
        <v>0</v>
      </c>
      <c r="I187" s="779" t="s">
        <v>1285</v>
      </c>
      <c r="J187" s="775">
        <v>5.5</v>
      </c>
      <c r="K187" s="774" t="s">
        <v>42</v>
      </c>
      <c r="L187" s="777">
        <v>236</v>
      </c>
      <c r="M187" s="778">
        <v>0</v>
      </c>
      <c r="N187" s="779">
        <v>246</v>
      </c>
      <c r="O187" s="780">
        <v>0</v>
      </c>
      <c r="P187" s="781">
        <v>1.52</v>
      </c>
      <c r="Q187" s="781">
        <v>0.86099999999999999</v>
      </c>
      <c r="R187" s="782">
        <v>0</v>
      </c>
      <c r="S187" s="781">
        <v>11.3</v>
      </c>
      <c r="T187" s="781">
        <v>7.7</v>
      </c>
      <c r="U187" s="781">
        <v>3.444</v>
      </c>
      <c r="V187" s="781">
        <v>2.5829999999999997</v>
      </c>
      <c r="W187" s="781">
        <v>14.350000000000001</v>
      </c>
      <c r="X187" s="781">
        <v>4.0180000000000007</v>
      </c>
      <c r="Y187" s="781">
        <v>20.09</v>
      </c>
      <c r="Z187" s="781">
        <v>57.400000000000006</v>
      </c>
      <c r="AA187" s="781">
        <v>86.100000000000009</v>
      </c>
      <c r="AB187" s="781">
        <v>57.400000000000006</v>
      </c>
      <c r="AC187" s="781">
        <v>0.28700000000000003</v>
      </c>
      <c r="AD187" s="781">
        <v>0.28700000000000003</v>
      </c>
      <c r="AE187" s="781">
        <v>0.28700000000000003</v>
      </c>
      <c r="AF187" s="781"/>
      <c r="AG187" s="781"/>
      <c r="AH187" s="781"/>
      <c r="AI187" s="784"/>
      <c r="AK187" s="783">
        <f>IFERROR(Tabela1[[#This Row],[EE(g)]]/Tabela1[[#This Row],[CMS(kg)]],0)</f>
        <v>0</v>
      </c>
    </row>
    <row r="188" spans="2:37" hidden="1">
      <c r="B188" s="774">
        <f>ROW()^2+(Tabela1[[#This Row],[ID2]])+ROW()</f>
        <v>35744</v>
      </c>
      <c r="C188" s="774">
        <v>212</v>
      </c>
      <c r="D188" s="774" t="s">
        <v>1256</v>
      </c>
      <c r="E188" s="775" t="s">
        <v>1276</v>
      </c>
      <c r="F188" s="775" t="s">
        <v>1267</v>
      </c>
      <c r="G188" s="775">
        <v>100</v>
      </c>
      <c r="H188" s="775" t="s">
        <v>0</v>
      </c>
      <c r="I188" s="779" t="s">
        <v>1286</v>
      </c>
      <c r="J188" s="775">
        <v>4.7</v>
      </c>
      <c r="K188" s="774" t="s">
        <v>42</v>
      </c>
      <c r="L188" s="777">
        <v>307</v>
      </c>
      <c r="M188" s="778">
        <v>0</v>
      </c>
      <c r="N188" s="779">
        <v>263</v>
      </c>
      <c r="O188" s="780">
        <v>0</v>
      </c>
      <c r="P188" s="781">
        <v>1.72</v>
      </c>
      <c r="Q188" s="781">
        <v>0.77700000000000002</v>
      </c>
      <c r="R188" s="782">
        <v>0</v>
      </c>
      <c r="S188" s="781">
        <v>13</v>
      </c>
      <c r="T188" s="781">
        <v>7.9</v>
      </c>
      <c r="U188" s="781">
        <v>3.1079999999999997</v>
      </c>
      <c r="V188" s="781">
        <v>2.3309999999999995</v>
      </c>
      <c r="W188" s="781">
        <v>12.95</v>
      </c>
      <c r="X188" s="781">
        <v>3.6260000000000003</v>
      </c>
      <c r="Y188" s="781">
        <v>18.13</v>
      </c>
      <c r="Z188" s="781">
        <v>51.8</v>
      </c>
      <c r="AA188" s="781">
        <v>77.699999999999989</v>
      </c>
      <c r="AB188" s="781">
        <v>51.8</v>
      </c>
      <c r="AC188" s="781">
        <v>0.25900000000000001</v>
      </c>
      <c r="AD188" s="781">
        <v>0.25900000000000001</v>
      </c>
      <c r="AE188" s="781">
        <v>0.25900000000000001</v>
      </c>
      <c r="AF188" s="781"/>
      <c r="AG188" s="781"/>
      <c r="AH188" s="781"/>
      <c r="AI188" s="784"/>
      <c r="AK188" s="783">
        <f>IFERROR(Tabela1[[#This Row],[EE(g)]]/Tabela1[[#This Row],[CMS(kg)]],0)</f>
        <v>0</v>
      </c>
    </row>
    <row r="189" spans="2:37" hidden="1">
      <c r="B189" s="774">
        <f>ROW()^2+(Tabela1[[#This Row],[ID2]])+ROW()</f>
        <v>36105</v>
      </c>
      <c r="C189" s="774">
        <v>195</v>
      </c>
      <c r="D189" s="774" t="s">
        <v>1256</v>
      </c>
      <c r="E189" s="775" t="s">
        <v>1276</v>
      </c>
      <c r="F189" s="775" t="s">
        <v>1267</v>
      </c>
      <c r="G189" s="775">
        <v>120</v>
      </c>
      <c r="H189" s="775" t="s">
        <v>0</v>
      </c>
      <c r="I189" s="779" t="s">
        <v>1266</v>
      </c>
      <c r="J189" s="775">
        <v>7</v>
      </c>
      <c r="K189" s="774" t="s">
        <v>42</v>
      </c>
      <c r="L189" s="777">
        <v>163</v>
      </c>
      <c r="M189" s="778">
        <v>0</v>
      </c>
      <c r="N189" s="779">
        <v>214</v>
      </c>
      <c r="O189" s="780">
        <v>0</v>
      </c>
      <c r="P189" s="781">
        <v>1.38</v>
      </c>
      <c r="Q189" s="781">
        <v>0.78120000000000001</v>
      </c>
      <c r="R189" s="782">
        <v>0</v>
      </c>
      <c r="S189" s="781">
        <v>8.3000000000000007</v>
      </c>
      <c r="T189" s="781">
        <v>6.6</v>
      </c>
      <c r="U189" s="781">
        <v>3.1248</v>
      </c>
      <c r="V189" s="781">
        <v>2.3435999999999999</v>
      </c>
      <c r="W189" s="781">
        <v>13.02</v>
      </c>
      <c r="X189" s="781">
        <v>3.6456000000000004</v>
      </c>
      <c r="Y189" s="781">
        <v>18.228000000000002</v>
      </c>
      <c r="Z189" s="781">
        <v>52.08</v>
      </c>
      <c r="AA189" s="781">
        <v>78.12</v>
      </c>
      <c r="AB189" s="781">
        <v>52.08</v>
      </c>
      <c r="AC189" s="781">
        <v>0.26040000000000002</v>
      </c>
      <c r="AD189" s="781">
        <v>0.26040000000000002</v>
      </c>
      <c r="AE189" s="781">
        <v>0.26040000000000002</v>
      </c>
      <c r="AF189" s="781"/>
      <c r="AG189" s="781"/>
      <c r="AH189" s="781"/>
      <c r="AI189" s="784"/>
      <c r="AK189" s="783">
        <f>IFERROR(Tabela1[[#This Row],[EE(g)]]/Tabela1[[#This Row],[CMS(kg)]],0)</f>
        <v>0</v>
      </c>
    </row>
    <row r="190" spans="2:37" hidden="1">
      <c r="B190" s="774">
        <f>ROW()^2+(Tabela1[[#This Row],[ID2]])+ROW()</f>
        <v>36494</v>
      </c>
      <c r="C190" s="774">
        <v>204</v>
      </c>
      <c r="D190" s="774" t="s">
        <v>1256</v>
      </c>
      <c r="E190" s="775" t="s">
        <v>1276</v>
      </c>
      <c r="F190" s="775" t="s">
        <v>1267</v>
      </c>
      <c r="G190" s="775">
        <v>120</v>
      </c>
      <c r="H190" s="775" t="s">
        <v>0</v>
      </c>
      <c r="I190" s="779" t="s">
        <v>1285</v>
      </c>
      <c r="J190" s="775">
        <v>6.1</v>
      </c>
      <c r="K190" s="774" t="s">
        <v>42</v>
      </c>
      <c r="L190" s="777">
        <v>271</v>
      </c>
      <c r="M190" s="778">
        <v>0</v>
      </c>
      <c r="N190" s="779">
        <v>278</v>
      </c>
      <c r="O190" s="780">
        <v>0</v>
      </c>
      <c r="P190" s="781">
        <v>1.72</v>
      </c>
      <c r="Q190" s="781">
        <v>0.97199999999999998</v>
      </c>
      <c r="R190" s="782">
        <v>0</v>
      </c>
      <c r="S190" s="781">
        <v>12.5</v>
      </c>
      <c r="T190" s="781">
        <v>8.6</v>
      </c>
      <c r="U190" s="781">
        <v>3.8879999999999999</v>
      </c>
      <c r="V190" s="781">
        <v>2.9159999999999999</v>
      </c>
      <c r="W190" s="781">
        <v>16.200000000000003</v>
      </c>
      <c r="X190" s="781">
        <v>4.5360000000000005</v>
      </c>
      <c r="Y190" s="781">
        <v>22.68</v>
      </c>
      <c r="Z190" s="781">
        <v>64.800000000000011</v>
      </c>
      <c r="AA190" s="781">
        <v>97.2</v>
      </c>
      <c r="AB190" s="781">
        <v>64.800000000000011</v>
      </c>
      <c r="AC190" s="781">
        <v>0.32400000000000007</v>
      </c>
      <c r="AD190" s="781">
        <v>0.32400000000000007</v>
      </c>
      <c r="AE190" s="781">
        <v>0.32400000000000007</v>
      </c>
      <c r="AF190" s="781"/>
      <c r="AG190" s="781"/>
      <c r="AH190" s="781"/>
      <c r="AI190" s="784"/>
      <c r="AK190" s="783">
        <f>IFERROR(Tabela1[[#This Row],[EE(g)]]/Tabela1[[#This Row],[CMS(kg)]],0)</f>
        <v>0</v>
      </c>
    </row>
    <row r="191" spans="2:37" hidden="1">
      <c r="B191" s="774">
        <f>ROW()^2+(Tabela1[[#This Row],[ID2]])+ROW()</f>
        <v>36885</v>
      </c>
      <c r="C191" s="774">
        <v>213</v>
      </c>
      <c r="D191" s="774" t="s">
        <v>1256</v>
      </c>
      <c r="E191" s="775" t="s">
        <v>1276</v>
      </c>
      <c r="F191" s="775" t="s">
        <v>1267</v>
      </c>
      <c r="G191" s="775">
        <v>120</v>
      </c>
      <c r="H191" s="775" t="s">
        <v>0</v>
      </c>
      <c r="I191" s="779" t="s">
        <v>1286</v>
      </c>
      <c r="J191" s="775">
        <v>5.2</v>
      </c>
      <c r="K191" s="774" t="s">
        <v>42</v>
      </c>
      <c r="L191" s="777">
        <v>352</v>
      </c>
      <c r="M191" s="778">
        <v>0</v>
      </c>
      <c r="N191" s="779">
        <v>296</v>
      </c>
      <c r="O191" s="780">
        <v>0</v>
      </c>
      <c r="P191" s="781">
        <v>1.93</v>
      </c>
      <c r="Q191" s="781">
        <v>0.87480000000000002</v>
      </c>
      <c r="R191" s="782">
        <v>0</v>
      </c>
      <c r="S191" s="781">
        <v>14.4</v>
      </c>
      <c r="T191" s="781">
        <v>8.8000000000000007</v>
      </c>
      <c r="U191" s="781">
        <v>3.4992000000000005</v>
      </c>
      <c r="V191" s="781">
        <v>2.6244000000000001</v>
      </c>
      <c r="W191" s="781">
        <v>14.580000000000002</v>
      </c>
      <c r="X191" s="781">
        <v>4.0824000000000007</v>
      </c>
      <c r="Y191" s="781">
        <v>20.412000000000003</v>
      </c>
      <c r="Z191" s="781">
        <v>58.320000000000007</v>
      </c>
      <c r="AA191" s="781">
        <v>87.480000000000018</v>
      </c>
      <c r="AB191" s="781">
        <v>58.320000000000007</v>
      </c>
      <c r="AC191" s="781">
        <v>0.29160000000000003</v>
      </c>
      <c r="AD191" s="781">
        <v>0.29160000000000003</v>
      </c>
      <c r="AE191" s="781">
        <v>0.29160000000000003</v>
      </c>
      <c r="AF191" s="781"/>
      <c r="AG191" s="781"/>
      <c r="AH191" s="781"/>
      <c r="AI191" s="784"/>
      <c r="AK191" s="783">
        <f>IFERROR(Tabela1[[#This Row],[EE(g)]]/Tabela1[[#This Row],[CMS(kg)]],0)</f>
        <v>0</v>
      </c>
    </row>
    <row r="192" spans="2:37" hidden="1">
      <c r="B192" s="774">
        <f>ROW()^2+(Tabela1[[#This Row],[ID2]])+ROW()</f>
        <v>37252</v>
      </c>
      <c r="C192" s="774">
        <v>196</v>
      </c>
      <c r="D192" s="774" t="s">
        <v>1256</v>
      </c>
      <c r="E192" s="775" t="s">
        <v>1276</v>
      </c>
      <c r="F192" s="775" t="s">
        <v>1267</v>
      </c>
      <c r="G192" s="775">
        <v>140</v>
      </c>
      <c r="H192" s="775" t="s">
        <v>0</v>
      </c>
      <c r="I192" s="779" t="s">
        <v>1266</v>
      </c>
      <c r="J192" s="775">
        <v>7.5</v>
      </c>
      <c r="K192" s="774" t="s">
        <v>42</v>
      </c>
      <c r="L192" s="777">
        <v>183</v>
      </c>
      <c r="M192" s="778">
        <v>0</v>
      </c>
      <c r="N192" s="779">
        <v>237</v>
      </c>
      <c r="O192" s="780">
        <v>0</v>
      </c>
      <c r="P192" s="781">
        <v>1.53</v>
      </c>
      <c r="Q192" s="781">
        <v>0.86519999999999997</v>
      </c>
      <c r="R192" s="782">
        <v>0</v>
      </c>
      <c r="S192" s="781">
        <v>9</v>
      </c>
      <c r="T192" s="781">
        <v>6.9</v>
      </c>
      <c r="U192" s="781">
        <v>3.4607999999999999</v>
      </c>
      <c r="V192" s="781">
        <v>2.5955999999999997</v>
      </c>
      <c r="W192" s="781">
        <v>14.42</v>
      </c>
      <c r="X192" s="781">
        <v>4.0376000000000003</v>
      </c>
      <c r="Y192" s="781">
        <v>20.187999999999999</v>
      </c>
      <c r="Z192" s="781">
        <v>57.68</v>
      </c>
      <c r="AA192" s="781">
        <v>86.52</v>
      </c>
      <c r="AB192" s="781">
        <v>57.68</v>
      </c>
      <c r="AC192" s="781">
        <v>0.28839999999999999</v>
      </c>
      <c r="AD192" s="781">
        <v>0.28839999999999999</v>
      </c>
      <c r="AE192" s="781">
        <v>0.28839999999999999</v>
      </c>
      <c r="AF192" s="781"/>
      <c r="AG192" s="781"/>
      <c r="AH192" s="781"/>
      <c r="AI192" s="784"/>
      <c r="AK192" s="783">
        <f>IFERROR(Tabela1[[#This Row],[EE(g)]]/Tabela1[[#This Row],[CMS(kg)]],0)</f>
        <v>0</v>
      </c>
    </row>
    <row r="193" spans="2:37" hidden="1">
      <c r="B193" s="774">
        <f>ROW()^2+(Tabela1[[#This Row],[ID2]])+ROW()</f>
        <v>37647</v>
      </c>
      <c r="C193" s="774">
        <v>205</v>
      </c>
      <c r="D193" s="774" t="s">
        <v>1256</v>
      </c>
      <c r="E193" s="775" t="s">
        <v>1276</v>
      </c>
      <c r="F193" s="775" t="s">
        <v>1267</v>
      </c>
      <c r="G193" s="775">
        <v>140</v>
      </c>
      <c r="H193" s="775" t="s">
        <v>0</v>
      </c>
      <c r="I193" s="779" t="s">
        <v>1285</v>
      </c>
      <c r="J193" s="775">
        <v>6.6</v>
      </c>
      <c r="K193" s="774" t="s">
        <v>42</v>
      </c>
      <c r="L193" s="777">
        <v>304</v>
      </c>
      <c r="M193" s="778">
        <v>0</v>
      </c>
      <c r="N193" s="779">
        <v>307</v>
      </c>
      <c r="O193" s="780">
        <v>0</v>
      </c>
      <c r="P193" s="781">
        <v>1.89</v>
      </c>
      <c r="Q193" s="781">
        <v>1.071</v>
      </c>
      <c r="R193" s="782">
        <v>0</v>
      </c>
      <c r="S193" s="781">
        <v>13.6</v>
      </c>
      <c r="T193" s="781">
        <v>9.5</v>
      </c>
      <c r="U193" s="781">
        <v>4.2839999999999998</v>
      </c>
      <c r="V193" s="781">
        <v>3.2129999999999996</v>
      </c>
      <c r="W193" s="781">
        <v>17.849999999999998</v>
      </c>
      <c r="X193" s="781">
        <v>4.9980000000000002</v>
      </c>
      <c r="Y193" s="781">
        <v>24.99</v>
      </c>
      <c r="Z193" s="781">
        <v>71.399999999999991</v>
      </c>
      <c r="AA193" s="781">
        <v>107.1</v>
      </c>
      <c r="AB193" s="781">
        <v>71.399999999999991</v>
      </c>
      <c r="AC193" s="781">
        <v>0.35699999999999998</v>
      </c>
      <c r="AD193" s="781">
        <v>0.35699999999999998</v>
      </c>
      <c r="AE193" s="781">
        <v>0.35699999999999998</v>
      </c>
      <c r="AF193" s="781"/>
      <c r="AG193" s="781"/>
      <c r="AH193" s="781"/>
      <c r="AI193" s="784"/>
      <c r="AK193" s="783">
        <f>IFERROR(Tabela1[[#This Row],[EE(g)]]/Tabela1[[#This Row],[CMS(kg)]],0)</f>
        <v>0</v>
      </c>
    </row>
    <row r="194" spans="2:37" hidden="1">
      <c r="B194" s="774">
        <f>ROW()^2+(Tabela1[[#This Row],[ID2]])+ROW()</f>
        <v>38044</v>
      </c>
      <c r="C194" s="774">
        <v>214</v>
      </c>
      <c r="D194" s="774" t="s">
        <v>1256</v>
      </c>
      <c r="E194" s="775" t="s">
        <v>1276</v>
      </c>
      <c r="F194" s="775" t="s">
        <v>1267</v>
      </c>
      <c r="G194" s="775">
        <v>140</v>
      </c>
      <c r="H194" s="775" t="s">
        <v>0</v>
      </c>
      <c r="I194" s="779" t="s">
        <v>1286</v>
      </c>
      <c r="J194" s="775">
        <v>5.7</v>
      </c>
      <c r="K194" s="774" t="s">
        <v>42</v>
      </c>
      <c r="L194" s="777">
        <v>396</v>
      </c>
      <c r="M194" s="778">
        <v>0</v>
      </c>
      <c r="N194" s="779">
        <v>355</v>
      </c>
      <c r="O194" s="780">
        <v>0</v>
      </c>
      <c r="P194" s="781">
        <v>2.14</v>
      </c>
      <c r="Q194" s="781">
        <v>1.2138</v>
      </c>
      <c r="R194" s="782">
        <v>0</v>
      </c>
      <c r="S194" s="781">
        <v>16.7</v>
      </c>
      <c r="T194" s="781">
        <v>11.2</v>
      </c>
      <c r="U194" s="781">
        <v>4.8552</v>
      </c>
      <c r="V194" s="781">
        <v>3.6414</v>
      </c>
      <c r="W194" s="781">
        <v>20.23</v>
      </c>
      <c r="X194" s="781">
        <v>5.6644000000000005</v>
      </c>
      <c r="Y194" s="781">
        <v>28.322000000000003</v>
      </c>
      <c r="Z194" s="781">
        <v>80.92</v>
      </c>
      <c r="AA194" s="781">
        <v>121.38000000000001</v>
      </c>
      <c r="AB194" s="781">
        <v>80.92</v>
      </c>
      <c r="AC194" s="781">
        <v>0.40460000000000007</v>
      </c>
      <c r="AD194" s="781">
        <v>0.40460000000000007</v>
      </c>
      <c r="AE194" s="781">
        <v>0.40460000000000007</v>
      </c>
      <c r="AF194" s="781"/>
      <c r="AG194" s="781"/>
      <c r="AH194" s="781"/>
      <c r="AI194" s="784"/>
      <c r="AK194" s="783">
        <f>IFERROR(Tabela1[[#This Row],[EE(g)]]/Tabela1[[#This Row],[CMS(kg)]],0)</f>
        <v>0</v>
      </c>
    </row>
    <row r="195" spans="2:37" hidden="1">
      <c r="B195" s="774">
        <f>ROW()^2+(Tabela1[[#This Row],[ID2]])+ROW()</f>
        <v>38435</v>
      </c>
      <c r="C195" s="774">
        <v>215</v>
      </c>
      <c r="D195" s="774" t="s">
        <v>1256</v>
      </c>
      <c r="E195" s="775" t="s">
        <v>1276</v>
      </c>
      <c r="F195" s="775" t="s">
        <v>1268</v>
      </c>
      <c r="G195" s="775">
        <v>40</v>
      </c>
      <c r="H195" s="775" t="s">
        <v>0</v>
      </c>
      <c r="I195" s="779" t="s">
        <v>1266</v>
      </c>
      <c r="J195" s="774" t="s">
        <v>42</v>
      </c>
      <c r="K195" s="786">
        <v>0.71</v>
      </c>
      <c r="L195" s="777">
        <v>0</v>
      </c>
      <c r="M195" s="778">
        <v>0</v>
      </c>
      <c r="N195" s="779">
        <v>149</v>
      </c>
      <c r="O195" s="780">
        <v>0</v>
      </c>
      <c r="P195" s="781">
        <v>0.72</v>
      </c>
      <c r="Q195" s="781">
        <v>0.3276</v>
      </c>
      <c r="R195" s="782">
        <v>0</v>
      </c>
      <c r="S195" s="781">
        <v>4.0999999999999996</v>
      </c>
      <c r="T195" s="781">
        <v>3.4</v>
      </c>
      <c r="U195" s="781">
        <v>1.3104</v>
      </c>
      <c r="V195" s="781">
        <v>0.98280000000000001</v>
      </c>
      <c r="W195" s="781">
        <v>5.4600000000000009</v>
      </c>
      <c r="X195" s="781">
        <v>1.5288000000000002</v>
      </c>
      <c r="Y195" s="781">
        <v>7.6440000000000001</v>
      </c>
      <c r="Z195" s="781">
        <v>21.840000000000003</v>
      </c>
      <c r="AA195" s="781">
        <v>32.760000000000005</v>
      </c>
      <c r="AB195" s="781">
        <v>21.840000000000003</v>
      </c>
      <c r="AC195" s="781">
        <v>0.10920000000000002</v>
      </c>
      <c r="AD195" s="781">
        <v>0.10920000000000002</v>
      </c>
      <c r="AE195" s="781">
        <v>0.10920000000000002</v>
      </c>
      <c r="AF195" s="781"/>
      <c r="AG195" s="781"/>
      <c r="AH195" s="781"/>
      <c r="AI195" s="784"/>
      <c r="AK195" s="783">
        <f>IFERROR(Tabela1[[#This Row],[EE(g)]]/Tabela1[[#This Row],[CMS(kg)]],0)</f>
        <v>0</v>
      </c>
    </row>
    <row r="196" spans="2:37" hidden="1">
      <c r="B196" s="774">
        <f>ROW()^2+(Tabela1[[#This Row],[ID2]])+ROW()</f>
        <v>38836</v>
      </c>
      <c r="C196" s="774">
        <v>224</v>
      </c>
      <c r="D196" s="774" t="s">
        <v>1256</v>
      </c>
      <c r="E196" s="775" t="s">
        <v>1276</v>
      </c>
      <c r="F196" s="775" t="s">
        <v>1268</v>
      </c>
      <c r="G196" s="775">
        <v>40</v>
      </c>
      <c r="H196" s="775" t="s">
        <v>0</v>
      </c>
      <c r="I196" s="779" t="s">
        <v>1285</v>
      </c>
      <c r="J196" s="774" t="s">
        <v>42</v>
      </c>
      <c r="K196" s="786">
        <v>1.18</v>
      </c>
      <c r="L196" s="777">
        <v>0</v>
      </c>
      <c r="M196" s="778">
        <v>0</v>
      </c>
      <c r="N196" s="779">
        <v>213</v>
      </c>
      <c r="O196" s="780">
        <v>0</v>
      </c>
      <c r="P196" s="781">
        <v>0.93</v>
      </c>
      <c r="Q196" s="781">
        <v>0.42120000000000002</v>
      </c>
      <c r="R196" s="782">
        <v>0</v>
      </c>
      <c r="S196" s="781">
        <v>6</v>
      </c>
      <c r="T196" s="781">
        <v>5</v>
      </c>
      <c r="U196" s="781">
        <v>1.6847999999999999</v>
      </c>
      <c r="V196" s="781">
        <v>1.2635999999999998</v>
      </c>
      <c r="W196" s="781">
        <v>7.02</v>
      </c>
      <c r="X196" s="781">
        <v>1.9656</v>
      </c>
      <c r="Y196" s="781">
        <v>9.8279999999999994</v>
      </c>
      <c r="Z196" s="781">
        <v>28.08</v>
      </c>
      <c r="AA196" s="781">
        <v>42.12</v>
      </c>
      <c r="AB196" s="781">
        <v>28.08</v>
      </c>
      <c r="AC196" s="781">
        <v>0.1404</v>
      </c>
      <c r="AD196" s="781">
        <v>0.1404</v>
      </c>
      <c r="AE196" s="781">
        <v>0.1404</v>
      </c>
      <c r="AF196" s="781"/>
      <c r="AG196" s="781"/>
      <c r="AH196" s="781"/>
      <c r="AI196" s="784"/>
      <c r="AK196" s="783">
        <f>IFERROR(Tabela1[[#This Row],[EE(g)]]/Tabela1[[#This Row],[CMS(kg)]],0)</f>
        <v>0</v>
      </c>
    </row>
    <row r="197" spans="2:37" hidden="1">
      <c r="B197" s="774">
        <f>ROW()^2+(Tabela1[[#This Row],[ID2]])+ROW()</f>
        <v>39239</v>
      </c>
      <c r="C197" s="774">
        <v>233</v>
      </c>
      <c r="D197" s="774" t="s">
        <v>1256</v>
      </c>
      <c r="E197" s="775" t="s">
        <v>1276</v>
      </c>
      <c r="F197" s="775" t="s">
        <v>1268</v>
      </c>
      <c r="G197" s="775">
        <v>40</v>
      </c>
      <c r="H197" s="775" t="s">
        <v>0</v>
      </c>
      <c r="I197" s="779" t="s">
        <v>1286</v>
      </c>
      <c r="J197" s="774" t="s">
        <v>42</v>
      </c>
      <c r="K197" s="786">
        <v>1.53</v>
      </c>
      <c r="L197" s="777">
        <v>0</v>
      </c>
      <c r="M197" s="778">
        <v>0</v>
      </c>
      <c r="N197" s="779">
        <v>253</v>
      </c>
      <c r="O197" s="780">
        <v>0</v>
      </c>
      <c r="P197" s="781">
        <v>1.08</v>
      </c>
      <c r="Q197" s="781">
        <v>0.40920000000000001</v>
      </c>
      <c r="R197" s="782">
        <v>0</v>
      </c>
      <c r="S197" s="781">
        <v>7.1</v>
      </c>
      <c r="T197" s="781">
        <v>5.7</v>
      </c>
      <c r="U197" s="781">
        <v>1.6367999999999998</v>
      </c>
      <c r="V197" s="781">
        <v>1.2275999999999998</v>
      </c>
      <c r="W197" s="781">
        <v>6.8199999999999994</v>
      </c>
      <c r="X197" s="781">
        <v>1.9096</v>
      </c>
      <c r="Y197" s="781">
        <v>9.5479999999999983</v>
      </c>
      <c r="Z197" s="781">
        <v>27.279999999999998</v>
      </c>
      <c r="AA197" s="781">
        <v>40.919999999999995</v>
      </c>
      <c r="AB197" s="781">
        <v>27.279999999999998</v>
      </c>
      <c r="AC197" s="781">
        <v>0.13639999999999999</v>
      </c>
      <c r="AD197" s="781">
        <v>0.13639999999999999</v>
      </c>
      <c r="AE197" s="781">
        <v>0.13639999999999999</v>
      </c>
      <c r="AF197" s="781"/>
      <c r="AG197" s="781"/>
      <c r="AH197" s="781"/>
      <c r="AI197" s="784"/>
      <c r="AK197" s="783">
        <f>IFERROR(Tabela1[[#This Row],[EE(g)]]/Tabela1[[#This Row],[CMS(kg)]],0)</f>
        <v>0</v>
      </c>
    </row>
    <row r="198" spans="2:37" hidden="1">
      <c r="B198" s="774">
        <f>ROW()^2+(Tabela1[[#This Row],[ID2]])+ROW()</f>
        <v>39618</v>
      </c>
      <c r="C198" s="774">
        <v>216</v>
      </c>
      <c r="D198" s="774" t="s">
        <v>1256</v>
      </c>
      <c r="E198" s="775" t="s">
        <v>1276</v>
      </c>
      <c r="F198" s="775" t="s">
        <v>1268</v>
      </c>
      <c r="G198" s="775">
        <v>50</v>
      </c>
      <c r="H198" s="775" t="s">
        <v>0</v>
      </c>
      <c r="I198" s="779" t="s">
        <v>1266</v>
      </c>
      <c r="J198" s="774" t="s">
        <v>42</v>
      </c>
      <c r="K198" s="786">
        <v>0.79</v>
      </c>
      <c r="L198" s="777">
        <v>0</v>
      </c>
      <c r="M198" s="778">
        <v>0</v>
      </c>
      <c r="N198" s="779">
        <v>169</v>
      </c>
      <c r="O198" s="780">
        <v>0</v>
      </c>
      <c r="P198" s="781">
        <v>0.83</v>
      </c>
      <c r="Q198" s="781">
        <v>0.3765</v>
      </c>
      <c r="R198" s="782">
        <v>0</v>
      </c>
      <c r="S198" s="781">
        <v>4.5999999999999996</v>
      </c>
      <c r="T198" s="781">
        <v>3.9</v>
      </c>
      <c r="U198" s="781">
        <v>1.5059999999999998</v>
      </c>
      <c r="V198" s="781">
        <v>1.1294999999999997</v>
      </c>
      <c r="W198" s="781">
        <v>6.2749999999999995</v>
      </c>
      <c r="X198" s="781">
        <v>1.7570000000000001</v>
      </c>
      <c r="Y198" s="781">
        <v>8.7850000000000001</v>
      </c>
      <c r="Z198" s="781">
        <v>25.099999999999998</v>
      </c>
      <c r="AA198" s="781">
        <v>37.65</v>
      </c>
      <c r="AB198" s="781">
        <v>25.099999999999998</v>
      </c>
      <c r="AC198" s="781">
        <v>0.1255</v>
      </c>
      <c r="AD198" s="781">
        <v>0.1255</v>
      </c>
      <c r="AE198" s="781">
        <v>0.1255</v>
      </c>
      <c r="AF198" s="781"/>
      <c r="AG198" s="781"/>
      <c r="AH198" s="781"/>
      <c r="AI198" s="784"/>
      <c r="AK198" s="783">
        <f>IFERROR(Tabela1[[#This Row],[EE(g)]]/Tabela1[[#This Row],[CMS(kg)]],0)</f>
        <v>0</v>
      </c>
    </row>
    <row r="199" spans="2:37" hidden="1">
      <c r="B199" s="774">
        <f>ROW()^2+(Tabela1[[#This Row],[ID2]])+ROW()</f>
        <v>40025</v>
      </c>
      <c r="C199" s="774">
        <v>225</v>
      </c>
      <c r="D199" s="774" t="s">
        <v>1256</v>
      </c>
      <c r="E199" s="775" t="s">
        <v>1276</v>
      </c>
      <c r="F199" s="775" t="s">
        <v>1268</v>
      </c>
      <c r="G199" s="775">
        <v>50</v>
      </c>
      <c r="H199" s="775" t="s">
        <v>0</v>
      </c>
      <c r="I199" s="779" t="s">
        <v>1285</v>
      </c>
      <c r="J199" s="774" t="s">
        <v>42</v>
      </c>
      <c r="K199" s="786">
        <v>1.32</v>
      </c>
      <c r="L199" s="777">
        <v>0</v>
      </c>
      <c r="M199" s="778">
        <v>0</v>
      </c>
      <c r="N199" s="779">
        <v>242</v>
      </c>
      <c r="O199" s="780">
        <v>0</v>
      </c>
      <c r="P199" s="781">
        <v>1.07</v>
      </c>
      <c r="Q199" s="781">
        <v>0.48299999999999998</v>
      </c>
      <c r="R199" s="782">
        <v>0</v>
      </c>
      <c r="S199" s="781">
        <v>6.7</v>
      </c>
      <c r="T199" s="781">
        <v>5.7</v>
      </c>
      <c r="U199" s="781">
        <v>1.9319999999999997</v>
      </c>
      <c r="V199" s="781">
        <v>1.4489999999999998</v>
      </c>
      <c r="W199" s="781">
        <v>8.0499999999999989</v>
      </c>
      <c r="X199" s="781">
        <v>2.254</v>
      </c>
      <c r="Y199" s="781">
        <v>11.27</v>
      </c>
      <c r="Z199" s="781">
        <v>32.199999999999996</v>
      </c>
      <c r="AA199" s="781">
        <v>48.3</v>
      </c>
      <c r="AB199" s="781">
        <v>32.199999999999996</v>
      </c>
      <c r="AC199" s="781">
        <v>0.161</v>
      </c>
      <c r="AD199" s="781">
        <v>0.161</v>
      </c>
      <c r="AE199" s="781">
        <v>0.161</v>
      </c>
      <c r="AF199" s="781"/>
      <c r="AG199" s="781"/>
      <c r="AH199" s="781"/>
      <c r="AI199" s="784"/>
      <c r="AK199" s="783">
        <f>IFERROR(Tabela1[[#This Row],[EE(g)]]/Tabela1[[#This Row],[CMS(kg)]],0)</f>
        <v>0</v>
      </c>
    </row>
    <row r="200" spans="2:37" hidden="1">
      <c r="B200" s="774">
        <f>ROW()^2+(Tabela1[[#This Row],[ID2]])+ROW()</f>
        <v>40434</v>
      </c>
      <c r="C200" s="774">
        <v>234</v>
      </c>
      <c r="D200" s="774" t="s">
        <v>1256</v>
      </c>
      <c r="E200" s="775" t="s">
        <v>1276</v>
      </c>
      <c r="F200" s="775" t="s">
        <v>1268</v>
      </c>
      <c r="G200" s="775">
        <v>50</v>
      </c>
      <c r="H200" s="775" t="s">
        <v>0</v>
      </c>
      <c r="I200" s="779" t="s">
        <v>1286</v>
      </c>
      <c r="J200" s="774" t="s">
        <v>42</v>
      </c>
      <c r="K200" s="786">
        <v>1.72</v>
      </c>
      <c r="L200" s="777">
        <v>0</v>
      </c>
      <c r="M200" s="778">
        <v>0</v>
      </c>
      <c r="N200" s="779">
        <v>297</v>
      </c>
      <c r="O200" s="780">
        <v>0</v>
      </c>
      <c r="P200" s="781">
        <v>1.24</v>
      </c>
      <c r="Q200" s="781">
        <v>0.56399999999999995</v>
      </c>
      <c r="R200" s="782">
        <v>0</v>
      </c>
      <c r="S200" s="781">
        <v>8.3000000000000007</v>
      </c>
      <c r="T200" s="781">
        <v>7</v>
      </c>
      <c r="U200" s="781">
        <v>2.2559999999999993</v>
      </c>
      <c r="V200" s="781">
        <v>1.6919999999999995</v>
      </c>
      <c r="W200" s="781">
        <v>9.3999999999999986</v>
      </c>
      <c r="X200" s="781">
        <v>2.6319999999999997</v>
      </c>
      <c r="Y200" s="781">
        <v>13.159999999999998</v>
      </c>
      <c r="Z200" s="781">
        <v>37.599999999999994</v>
      </c>
      <c r="AA200" s="781">
        <v>56.399999999999991</v>
      </c>
      <c r="AB200" s="781">
        <v>37.599999999999994</v>
      </c>
      <c r="AC200" s="781">
        <v>0.18799999999999997</v>
      </c>
      <c r="AD200" s="781">
        <v>0.18799999999999997</v>
      </c>
      <c r="AE200" s="781">
        <v>0.18799999999999997</v>
      </c>
      <c r="AF200" s="781"/>
      <c r="AG200" s="781"/>
      <c r="AH200" s="781"/>
      <c r="AI200" s="784"/>
      <c r="AK200" s="783">
        <f>IFERROR(Tabela1[[#This Row],[EE(g)]]/Tabela1[[#This Row],[CMS(kg)]],0)</f>
        <v>0</v>
      </c>
    </row>
    <row r="201" spans="2:37" hidden="1">
      <c r="B201" s="774">
        <f>ROW()^2+(Tabela1[[#This Row],[ID2]])+ROW()</f>
        <v>40819</v>
      </c>
      <c r="C201" s="774">
        <v>217</v>
      </c>
      <c r="D201" s="774" t="s">
        <v>1256</v>
      </c>
      <c r="E201" s="775" t="s">
        <v>1276</v>
      </c>
      <c r="F201" s="775" t="s">
        <v>1268</v>
      </c>
      <c r="G201" s="775">
        <v>60</v>
      </c>
      <c r="H201" s="775" t="s">
        <v>0</v>
      </c>
      <c r="I201" s="779" t="s">
        <v>1266</v>
      </c>
      <c r="J201" s="774" t="s">
        <v>42</v>
      </c>
      <c r="K201" s="786">
        <v>0.87</v>
      </c>
      <c r="L201" s="777">
        <v>0</v>
      </c>
      <c r="M201" s="778">
        <v>0</v>
      </c>
      <c r="N201" s="779">
        <v>200</v>
      </c>
      <c r="O201" s="780">
        <v>0</v>
      </c>
      <c r="P201" s="781">
        <v>0.94</v>
      </c>
      <c r="Q201" s="781">
        <v>0.53280000000000005</v>
      </c>
      <c r="R201" s="782">
        <v>0</v>
      </c>
      <c r="S201" s="781">
        <v>5.4</v>
      </c>
      <c r="T201" s="781">
        <v>5</v>
      </c>
      <c r="U201" s="781">
        <v>2.1311999999999998</v>
      </c>
      <c r="V201" s="781">
        <v>1.5983999999999998</v>
      </c>
      <c r="W201" s="781">
        <v>8.8800000000000008</v>
      </c>
      <c r="X201" s="781">
        <v>2.4864000000000002</v>
      </c>
      <c r="Y201" s="781">
        <v>12.432</v>
      </c>
      <c r="Z201" s="781">
        <v>35.520000000000003</v>
      </c>
      <c r="AA201" s="781">
        <v>53.28</v>
      </c>
      <c r="AB201" s="781">
        <v>35.520000000000003</v>
      </c>
      <c r="AC201" s="781">
        <v>0.17760000000000001</v>
      </c>
      <c r="AD201" s="781">
        <v>0.17760000000000001</v>
      </c>
      <c r="AE201" s="781">
        <v>0.17760000000000001</v>
      </c>
      <c r="AF201" s="781"/>
      <c r="AG201" s="781"/>
      <c r="AH201" s="781"/>
      <c r="AI201" s="784"/>
      <c r="AK201" s="783">
        <f>IFERROR(Tabela1[[#This Row],[EE(g)]]/Tabela1[[#This Row],[CMS(kg)]],0)</f>
        <v>0</v>
      </c>
    </row>
    <row r="202" spans="2:37" hidden="1">
      <c r="B202" s="774">
        <f>ROW()^2+(Tabela1[[#This Row],[ID2]])+ROW()</f>
        <v>41232</v>
      </c>
      <c r="C202" s="774">
        <v>226</v>
      </c>
      <c r="D202" s="774" t="s">
        <v>1256</v>
      </c>
      <c r="E202" s="775" t="s">
        <v>1276</v>
      </c>
      <c r="F202" s="775" t="s">
        <v>1268</v>
      </c>
      <c r="G202" s="775">
        <v>60</v>
      </c>
      <c r="H202" s="775" t="s">
        <v>0</v>
      </c>
      <c r="I202" s="779" t="s">
        <v>1285</v>
      </c>
      <c r="J202" s="774" t="s">
        <v>42</v>
      </c>
      <c r="K202" s="786">
        <v>1.45</v>
      </c>
      <c r="L202" s="777">
        <v>0</v>
      </c>
      <c r="M202" s="778">
        <v>0</v>
      </c>
      <c r="N202" s="779">
        <v>268</v>
      </c>
      <c r="O202" s="780">
        <v>0</v>
      </c>
      <c r="P202" s="781">
        <v>1.2</v>
      </c>
      <c r="Q202" s="781">
        <v>0.54179999999999995</v>
      </c>
      <c r="R202" s="782">
        <v>0</v>
      </c>
      <c r="S202" s="781">
        <v>7.3</v>
      </c>
      <c r="T202" s="781">
        <v>6.3</v>
      </c>
      <c r="U202" s="781">
        <v>2.1671999999999998</v>
      </c>
      <c r="V202" s="781">
        <v>1.6253999999999997</v>
      </c>
      <c r="W202" s="781">
        <v>9.0299999999999994</v>
      </c>
      <c r="X202" s="781">
        <v>2.5284</v>
      </c>
      <c r="Y202" s="781">
        <v>12.641999999999999</v>
      </c>
      <c r="Z202" s="781">
        <v>36.119999999999997</v>
      </c>
      <c r="AA202" s="781">
        <v>54.179999999999993</v>
      </c>
      <c r="AB202" s="781">
        <v>36.119999999999997</v>
      </c>
      <c r="AC202" s="781">
        <v>0.18059999999999998</v>
      </c>
      <c r="AD202" s="781">
        <v>0.18059999999999998</v>
      </c>
      <c r="AE202" s="781">
        <v>0.18059999999999998</v>
      </c>
      <c r="AF202" s="781"/>
      <c r="AG202" s="781"/>
      <c r="AH202" s="781"/>
      <c r="AI202" s="784"/>
      <c r="AK202" s="783">
        <f>IFERROR(Tabela1[[#This Row],[EE(g)]]/Tabela1[[#This Row],[CMS(kg)]],0)</f>
        <v>0</v>
      </c>
    </row>
    <row r="203" spans="2:37" hidden="1">
      <c r="B203" s="774">
        <f>ROW()^2+(Tabela1[[#This Row],[ID2]])+ROW()</f>
        <v>41647</v>
      </c>
      <c r="C203" s="774">
        <v>235</v>
      </c>
      <c r="D203" s="774" t="s">
        <v>1256</v>
      </c>
      <c r="E203" s="775" t="s">
        <v>1276</v>
      </c>
      <c r="F203" s="775" t="s">
        <v>1268</v>
      </c>
      <c r="G203" s="775">
        <v>60</v>
      </c>
      <c r="H203" s="775" t="s">
        <v>0</v>
      </c>
      <c r="I203" s="779" t="s">
        <v>1286</v>
      </c>
      <c r="J203" s="774" t="s">
        <v>42</v>
      </c>
      <c r="K203" s="786">
        <v>1.88</v>
      </c>
      <c r="L203" s="777">
        <v>0</v>
      </c>
      <c r="M203" s="778">
        <v>0</v>
      </c>
      <c r="N203" s="779">
        <v>327</v>
      </c>
      <c r="O203" s="780">
        <v>0</v>
      </c>
      <c r="P203" s="781">
        <v>1.38</v>
      </c>
      <c r="Q203" s="781">
        <v>0.62639999999999996</v>
      </c>
      <c r="R203" s="782">
        <v>0</v>
      </c>
      <c r="S203" s="781">
        <v>9.1</v>
      </c>
      <c r="T203" s="781">
        <v>7.8</v>
      </c>
      <c r="U203" s="781">
        <v>2.5055999999999998</v>
      </c>
      <c r="V203" s="781">
        <v>1.8792</v>
      </c>
      <c r="W203" s="781">
        <v>10.440000000000001</v>
      </c>
      <c r="X203" s="781">
        <v>2.9232000000000005</v>
      </c>
      <c r="Y203" s="781">
        <v>14.616</v>
      </c>
      <c r="Z203" s="781">
        <v>41.760000000000005</v>
      </c>
      <c r="AA203" s="781">
        <v>62.64</v>
      </c>
      <c r="AB203" s="781">
        <v>41.760000000000005</v>
      </c>
      <c r="AC203" s="781">
        <v>0.20880000000000001</v>
      </c>
      <c r="AD203" s="781">
        <v>0.20880000000000001</v>
      </c>
      <c r="AE203" s="781">
        <v>0.20880000000000001</v>
      </c>
      <c r="AF203" s="781"/>
      <c r="AG203" s="781"/>
      <c r="AH203" s="781"/>
      <c r="AI203" s="784"/>
      <c r="AK203" s="783">
        <f>IFERROR(Tabela1[[#This Row],[EE(g)]]/Tabela1[[#This Row],[CMS(kg)]],0)</f>
        <v>0</v>
      </c>
    </row>
    <row r="204" spans="2:37" hidden="1">
      <c r="B204" s="774">
        <f>ROW()^2+(Tabela1[[#This Row],[ID2]])+ROW()</f>
        <v>42038</v>
      </c>
      <c r="C204" s="774">
        <v>218</v>
      </c>
      <c r="D204" s="774" t="s">
        <v>1256</v>
      </c>
      <c r="E204" s="775" t="s">
        <v>1276</v>
      </c>
      <c r="F204" s="775" t="s">
        <v>1268</v>
      </c>
      <c r="G204" s="775">
        <v>70</v>
      </c>
      <c r="H204" s="775" t="s">
        <v>0</v>
      </c>
      <c r="I204" s="779" t="s">
        <v>1266</v>
      </c>
      <c r="J204" s="774" t="s">
        <v>42</v>
      </c>
      <c r="K204" s="786">
        <v>0.94</v>
      </c>
      <c r="L204" s="777">
        <v>0</v>
      </c>
      <c r="M204" s="778">
        <v>0</v>
      </c>
      <c r="N204" s="779">
        <v>219</v>
      </c>
      <c r="O204" s="780">
        <v>0</v>
      </c>
      <c r="P204" s="781">
        <v>1.04</v>
      </c>
      <c r="Q204" s="781">
        <v>0.58799999999999997</v>
      </c>
      <c r="R204" s="782">
        <v>0</v>
      </c>
      <c r="S204" s="781">
        <v>5.9</v>
      </c>
      <c r="T204" s="781">
        <v>5.5</v>
      </c>
      <c r="U204" s="781">
        <v>2.3519999999999994</v>
      </c>
      <c r="V204" s="781">
        <v>1.7639999999999996</v>
      </c>
      <c r="W204" s="781">
        <v>9.7999999999999989</v>
      </c>
      <c r="X204" s="781">
        <v>2.7439999999999998</v>
      </c>
      <c r="Y204" s="781">
        <v>13.719999999999999</v>
      </c>
      <c r="Z204" s="781">
        <v>39.199999999999996</v>
      </c>
      <c r="AA204" s="781">
        <v>58.79999999999999</v>
      </c>
      <c r="AB204" s="781">
        <v>39.199999999999996</v>
      </c>
      <c r="AC204" s="781">
        <v>0.19599999999999998</v>
      </c>
      <c r="AD204" s="781">
        <v>0.19599999999999998</v>
      </c>
      <c r="AE204" s="781">
        <v>0.19599999999999998</v>
      </c>
      <c r="AF204" s="781"/>
      <c r="AG204" s="781"/>
      <c r="AH204" s="781"/>
      <c r="AI204" s="784"/>
      <c r="AK204" s="783">
        <f>IFERROR(Tabela1[[#This Row],[EE(g)]]/Tabela1[[#This Row],[CMS(kg)]],0)</f>
        <v>0</v>
      </c>
    </row>
    <row r="205" spans="2:37" hidden="1">
      <c r="B205" s="774">
        <f>ROW()^2+(Tabela1[[#This Row],[ID2]])+ROW()</f>
        <v>42457</v>
      </c>
      <c r="C205" s="774">
        <v>227</v>
      </c>
      <c r="D205" s="774" t="s">
        <v>1256</v>
      </c>
      <c r="E205" s="775" t="s">
        <v>1276</v>
      </c>
      <c r="F205" s="775" t="s">
        <v>1268</v>
      </c>
      <c r="G205" s="775">
        <v>70</v>
      </c>
      <c r="H205" s="775" t="s">
        <v>0</v>
      </c>
      <c r="I205" s="779" t="s">
        <v>1285</v>
      </c>
      <c r="J205" s="774" t="s">
        <v>42</v>
      </c>
      <c r="K205" s="786">
        <v>1.56</v>
      </c>
      <c r="L205" s="777">
        <v>0</v>
      </c>
      <c r="M205" s="778">
        <v>0</v>
      </c>
      <c r="N205" s="779">
        <v>292</v>
      </c>
      <c r="O205" s="780">
        <v>0</v>
      </c>
      <c r="P205" s="781">
        <v>1.31</v>
      </c>
      <c r="Q205" s="781">
        <v>0.59430000000000005</v>
      </c>
      <c r="R205" s="782">
        <v>0</v>
      </c>
      <c r="S205" s="781">
        <v>7.9</v>
      </c>
      <c r="T205" s="781">
        <v>6.9</v>
      </c>
      <c r="U205" s="781">
        <v>2.3772000000000002</v>
      </c>
      <c r="V205" s="781">
        <v>1.7828999999999999</v>
      </c>
      <c r="W205" s="781">
        <v>9.9050000000000011</v>
      </c>
      <c r="X205" s="781">
        <v>2.7734000000000005</v>
      </c>
      <c r="Y205" s="781">
        <v>13.867000000000001</v>
      </c>
      <c r="Z205" s="781">
        <v>39.620000000000005</v>
      </c>
      <c r="AA205" s="781">
        <v>59.43</v>
      </c>
      <c r="AB205" s="781">
        <v>39.620000000000005</v>
      </c>
      <c r="AC205" s="781">
        <v>0.19810000000000003</v>
      </c>
      <c r="AD205" s="781">
        <v>0.19810000000000003</v>
      </c>
      <c r="AE205" s="781">
        <v>0.19810000000000003</v>
      </c>
      <c r="AF205" s="781"/>
      <c r="AG205" s="781"/>
      <c r="AH205" s="781"/>
      <c r="AI205" s="784"/>
      <c r="AK205" s="783">
        <f>IFERROR(Tabela1[[#This Row],[EE(g)]]/Tabela1[[#This Row],[CMS(kg)]],0)</f>
        <v>0</v>
      </c>
    </row>
    <row r="206" spans="2:37" hidden="1">
      <c r="B206" s="774">
        <f>ROW()^2+(Tabela1[[#This Row],[ID2]])+ROW()</f>
        <v>42878</v>
      </c>
      <c r="C206" s="774">
        <v>236</v>
      </c>
      <c r="D206" s="774" t="s">
        <v>1256</v>
      </c>
      <c r="E206" s="775" t="s">
        <v>1276</v>
      </c>
      <c r="F206" s="775" t="s">
        <v>1268</v>
      </c>
      <c r="G206" s="775">
        <v>70</v>
      </c>
      <c r="H206" s="775" t="s">
        <v>0</v>
      </c>
      <c r="I206" s="779" t="s">
        <v>1286</v>
      </c>
      <c r="J206" s="774" t="s">
        <v>42</v>
      </c>
      <c r="K206" s="786">
        <v>2.0299999999999998</v>
      </c>
      <c r="L206" s="777">
        <v>0</v>
      </c>
      <c r="M206" s="778">
        <v>0</v>
      </c>
      <c r="N206" s="779">
        <v>356</v>
      </c>
      <c r="O206" s="780">
        <v>0</v>
      </c>
      <c r="P206" s="781">
        <v>1.52</v>
      </c>
      <c r="Q206" s="781">
        <v>0.68669999999999998</v>
      </c>
      <c r="R206" s="782">
        <v>0</v>
      </c>
      <c r="S206" s="781">
        <v>9.8000000000000007</v>
      </c>
      <c r="T206" s="781">
        <v>8.5</v>
      </c>
      <c r="U206" s="781">
        <v>2.7467999999999999</v>
      </c>
      <c r="V206" s="781">
        <v>2.0600999999999998</v>
      </c>
      <c r="W206" s="781">
        <v>11.445</v>
      </c>
      <c r="X206" s="781">
        <v>3.2046000000000006</v>
      </c>
      <c r="Y206" s="781">
        <v>16.023</v>
      </c>
      <c r="Z206" s="781">
        <v>45.78</v>
      </c>
      <c r="AA206" s="781">
        <v>68.67</v>
      </c>
      <c r="AB206" s="781">
        <v>45.78</v>
      </c>
      <c r="AC206" s="781">
        <v>0.22890000000000002</v>
      </c>
      <c r="AD206" s="781">
        <v>0.22890000000000002</v>
      </c>
      <c r="AE206" s="781">
        <v>0.22890000000000002</v>
      </c>
      <c r="AF206" s="781"/>
      <c r="AG206" s="781"/>
      <c r="AH206" s="781"/>
      <c r="AI206" s="784"/>
      <c r="AK206" s="783">
        <f>IFERROR(Tabela1[[#This Row],[EE(g)]]/Tabela1[[#This Row],[CMS(kg)]],0)</f>
        <v>0</v>
      </c>
    </row>
    <row r="207" spans="2:37" hidden="1">
      <c r="B207" s="774">
        <f>ROW()^2+(Tabela1[[#This Row],[ID2]])+ROW()</f>
        <v>43275</v>
      </c>
      <c r="C207" s="774">
        <v>219</v>
      </c>
      <c r="D207" s="774" t="s">
        <v>1256</v>
      </c>
      <c r="E207" s="775" t="s">
        <v>1276</v>
      </c>
      <c r="F207" s="775" t="s">
        <v>1268</v>
      </c>
      <c r="G207" s="775">
        <v>80</v>
      </c>
      <c r="H207" s="775" t="s">
        <v>0</v>
      </c>
      <c r="I207" s="779" t="s">
        <v>1266</v>
      </c>
      <c r="J207" s="774" t="s">
        <v>42</v>
      </c>
      <c r="K207" s="786">
        <v>1</v>
      </c>
      <c r="L207" s="777">
        <v>0</v>
      </c>
      <c r="M207" s="778">
        <v>0</v>
      </c>
      <c r="N207" s="779">
        <v>237</v>
      </c>
      <c r="O207" s="780">
        <v>0</v>
      </c>
      <c r="P207" s="781">
        <v>1.1299999999999999</v>
      </c>
      <c r="Q207" s="781">
        <v>0.64080000000000004</v>
      </c>
      <c r="R207" s="782">
        <v>0</v>
      </c>
      <c r="S207" s="781">
        <v>6.3</v>
      </c>
      <c r="T207" s="781">
        <v>5.9</v>
      </c>
      <c r="U207" s="781">
        <v>2.5631999999999997</v>
      </c>
      <c r="V207" s="781">
        <v>1.9223999999999994</v>
      </c>
      <c r="W207" s="781">
        <v>10.679999999999998</v>
      </c>
      <c r="X207" s="781">
        <v>2.9903999999999997</v>
      </c>
      <c r="Y207" s="781">
        <v>14.951999999999998</v>
      </c>
      <c r="Z207" s="781">
        <v>42.719999999999992</v>
      </c>
      <c r="AA207" s="781">
        <v>64.079999999999984</v>
      </c>
      <c r="AB207" s="781">
        <v>42.719999999999992</v>
      </c>
      <c r="AC207" s="781">
        <v>0.21359999999999998</v>
      </c>
      <c r="AD207" s="781">
        <v>0.21359999999999998</v>
      </c>
      <c r="AE207" s="781">
        <v>0.21359999999999998</v>
      </c>
      <c r="AF207" s="781"/>
      <c r="AG207" s="781"/>
      <c r="AH207" s="781"/>
      <c r="AI207" s="784"/>
      <c r="AK207" s="783">
        <f>IFERROR(Tabela1[[#This Row],[EE(g)]]/Tabela1[[#This Row],[CMS(kg)]],0)</f>
        <v>0</v>
      </c>
    </row>
    <row r="208" spans="2:37" hidden="1">
      <c r="B208" s="774">
        <f>ROW()^2+(Tabela1[[#This Row],[ID2]])+ROW()</f>
        <v>43700</v>
      </c>
      <c r="C208" s="774">
        <v>228</v>
      </c>
      <c r="D208" s="774" t="s">
        <v>1256</v>
      </c>
      <c r="E208" s="775" t="s">
        <v>1276</v>
      </c>
      <c r="F208" s="775" t="s">
        <v>1268</v>
      </c>
      <c r="G208" s="775">
        <v>80</v>
      </c>
      <c r="H208" s="775" t="s">
        <v>0</v>
      </c>
      <c r="I208" s="779" t="s">
        <v>1285</v>
      </c>
      <c r="J208" s="774" t="s">
        <v>42</v>
      </c>
      <c r="K208" s="786">
        <v>1.67</v>
      </c>
      <c r="L208" s="777">
        <v>0</v>
      </c>
      <c r="M208" s="778">
        <v>0</v>
      </c>
      <c r="N208" s="779">
        <v>315</v>
      </c>
      <c r="O208" s="780">
        <v>0</v>
      </c>
      <c r="P208" s="781">
        <v>1.43</v>
      </c>
      <c r="Q208" s="781">
        <v>0.64559999999999995</v>
      </c>
      <c r="R208" s="782">
        <v>0</v>
      </c>
      <c r="S208" s="781">
        <v>8.5</v>
      </c>
      <c r="T208" s="781">
        <v>7.4</v>
      </c>
      <c r="U208" s="781">
        <v>2.5824000000000003</v>
      </c>
      <c r="V208" s="781">
        <v>1.9367999999999999</v>
      </c>
      <c r="W208" s="781">
        <v>10.760000000000002</v>
      </c>
      <c r="X208" s="781">
        <v>3.0128000000000004</v>
      </c>
      <c r="Y208" s="781">
        <v>15.064</v>
      </c>
      <c r="Z208" s="781">
        <v>43.040000000000006</v>
      </c>
      <c r="AA208" s="781">
        <v>64.56</v>
      </c>
      <c r="AB208" s="781">
        <v>43.040000000000006</v>
      </c>
      <c r="AC208" s="781">
        <v>0.21520000000000003</v>
      </c>
      <c r="AD208" s="781">
        <v>0.21520000000000003</v>
      </c>
      <c r="AE208" s="781">
        <v>0.21520000000000003</v>
      </c>
      <c r="AF208" s="781"/>
      <c r="AG208" s="781"/>
      <c r="AH208" s="781"/>
      <c r="AI208" s="784"/>
      <c r="AK208" s="783">
        <f>IFERROR(Tabela1[[#This Row],[EE(g)]]/Tabela1[[#This Row],[CMS(kg)]],0)</f>
        <v>0</v>
      </c>
    </row>
    <row r="209" spans="2:37" hidden="1">
      <c r="B209" s="774">
        <f>ROW()^2+(Tabela1[[#This Row],[ID2]])+ROW()</f>
        <v>44127</v>
      </c>
      <c r="C209" s="774">
        <v>237</v>
      </c>
      <c r="D209" s="774" t="s">
        <v>1256</v>
      </c>
      <c r="E209" s="775" t="s">
        <v>1276</v>
      </c>
      <c r="F209" s="775" t="s">
        <v>1268</v>
      </c>
      <c r="G209" s="775">
        <v>80</v>
      </c>
      <c r="H209" s="775" t="s">
        <v>0</v>
      </c>
      <c r="I209" s="779" t="s">
        <v>1286</v>
      </c>
      <c r="J209" s="774" t="s">
        <v>42</v>
      </c>
      <c r="K209" s="786">
        <v>2.17</v>
      </c>
      <c r="L209" s="777">
        <v>0</v>
      </c>
      <c r="M209" s="778">
        <v>0</v>
      </c>
      <c r="N209" s="779">
        <v>404</v>
      </c>
      <c r="O209" s="780">
        <v>0</v>
      </c>
      <c r="P209" s="781">
        <v>1.65</v>
      </c>
      <c r="Q209" s="781">
        <v>0.93359999999999999</v>
      </c>
      <c r="R209" s="782">
        <v>0</v>
      </c>
      <c r="S209" s="781">
        <v>11.3</v>
      </c>
      <c r="T209" s="781">
        <v>10.3</v>
      </c>
      <c r="U209" s="781">
        <v>3.7343999999999999</v>
      </c>
      <c r="V209" s="781">
        <v>2.8007999999999997</v>
      </c>
      <c r="W209" s="781">
        <v>15.56</v>
      </c>
      <c r="X209" s="781">
        <v>4.3568000000000007</v>
      </c>
      <c r="Y209" s="781">
        <v>21.783999999999999</v>
      </c>
      <c r="Z209" s="781">
        <v>62.24</v>
      </c>
      <c r="AA209" s="781">
        <v>93.36</v>
      </c>
      <c r="AB209" s="781">
        <v>62.24</v>
      </c>
      <c r="AC209" s="781">
        <v>0.31120000000000003</v>
      </c>
      <c r="AD209" s="781">
        <v>0.31120000000000003</v>
      </c>
      <c r="AE209" s="781">
        <v>0.31120000000000003</v>
      </c>
      <c r="AF209" s="781"/>
      <c r="AG209" s="781"/>
      <c r="AH209" s="781"/>
      <c r="AI209" s="784"/>
      <c r="AK209" s="783">
        <f>IFERROR(Tabela1[[#This Row],[EE(g)]]/Tabela1[[#This Row],[CMS(kg)]],0)</f>
        <v>0</v>
      </c>
    </row>
    <row r="210" spans="2:37" hidden="1">
      <c r="B210" s="774">
        <f>ROW()^2+(Tabela1[[#This Row],[ID2]])+ROW()</f>
        <v>44530</v>
      </c>
      <c r="C210" s="774">
        <v>220</v>
      </c>
      <c r="D210" s="774" t="s">
        <v>1256</v>
      </c>
      <c r="E210" s="775" t="s">
        <v>1276</v>
      </c>
      <c r="F210" s="775" t="s">
        <v>1268</v>
      </c>
      <c r="G210" s="775">
        <v>90</v>
      </c>
      <c r="H210" s="775" t="s">
        <v>0</v>
      </c>
      <c r="I210" s="779" t="s">
        <v>1266</v>
      </c>
      <c r="J210" s="774" t="s">
        <v>42</v>
      </c>
      <c r="K210" s="786">
        <v>1.06</v>
      </c>
      <c r="L210" s="777">
        <v>0</v>
      </c>
      <c r="M210" s="778">
        <v>0</v>
      </c>
      <c r="N210" s="779">
        <v>254</v>
      </c>
      <c r="O210" s="780">
        <v>0</v>
      </c>
      <c r="P210" s="781">
        <v>1.22</v>
      </c>
      <c r="Q210" s="781">
        <v>0.69120000000000004</v>
      </c>
      <c r="R210" s="782">
        <v>0</v>
      </c>
      <c r="S210" s="781">
        <v>6.7</v>
      </c>
      <c r="T210" s="781">
        <v>6.4</v>
      </c>
      <c r="U210" s="781">
        <v>2.7648000000000001</v>
      </c>
      <c r="V210" s="781">
        <v>2.0735999999999999</v>
      </c>
      <c r="W210" s="781">
        <v>11.520000000000001</v>
      </c>
      <c r="X210" s="781">
        <v>3.2256000000000005</v>
      </c>
      <c r="Y210" s="781">
        <v>16.128</v>
      </c>
      <c r="Z210" s="781">
        <v>46.080000000000005</v>
      </c>
      <c r="AA210" s="781">
        <v>69.12</v>
      </c>
      <c r="AB210" s="781">
        <v>46.080000000000005</v>
      </c>
      <c r="AC210" s="781">
        <v>0.23040000000000005</v>
      </c>
      <c r="AD210" s="781">
        <v>0.23040000000000005</v>
      </c>
      <c r="AE210" s="781">
        <v>0.23040000000000005</v>
      </c>
      <c r="AF210" s="781"/>
      <c r="AG210" s="781"/>
      <c r="AH210" s="781"/>
      <c r="AI210" s="784"/>
      <c r="AK210" s="783">
        <f>IFERROR(Tabela1[[#This Row],[EE(g)]]/Tabela1[[#This Row],[CMS(kg)]],0)</f>
        <v>0</v>
      </c>
    </row>
    <row r="211" spans="2:37" hidden="1">
      <c r="B211" s="774">
        <f>ROW()^2+(Tabela1[[#This Row],[ID2]])+ROW()</f>
        <v>44961</v>
      </c>
      <c r="C211" s="774">
        <v>229</v>
      </c>
      <c r="D211" s="774" t="s">
        <v>1256</v>
      </c>
      <c r="E211" s="775" t="s">
        <v>1276</v>
      </c>
      <c r="F211" s="775" t="s">
        <v>1268</v>
      </c>
      <c r="G211" s="775">
        <v>90</v>
      </c>
      <c r="H211" s="775" t="s">
        <v>0</v>
      </c>
      <c r="I211" s="779" t="s">
        <v>1285</v>
      </c>
      <c r="J211" s="774" t="s">
        <v>42</v>
      </c>
      <c r="K211" s="786">
        <v>1.77</v>
      </c>
      <c r="L211" s="777">
        <v>0</v>
      </c>
      <c r="M211" s="778">
        <v>0</v>
      </c>
      <c r="N211" s="779">
        <v>337</v>
      </c>
      <c r="O211" s="780">
        <v>0</v>
      </c>
      <c r="P211" s="781">
        <v>1.54</v>
      </c>
      <c r="Q211" s="781">
        <v>0.69389999999999996</v>
      </c>
      <c r="R211" s="782">
        <v>0</v>
      </c>
      <c r="S211" s="781">
        <v>9</v>
      </c>
      <c r="T211" s="781">
        <v>8</v>
      </c>
      <c r="U211" s="781">
        <v>2.7755999999999994</v>
      </c>
      <c r="V211" s="781">
        <v>2.0816999999999997</v>
      </c>
      <c r="W211" s="781">
        <v>11.564999999999998</v>
      </c>
      <c r="X211" s="781">
        <v>3.2382</v>
      </c>
      <c r="Y211" s="781">
        <v>16.190999999999999</v>
      </c>
      <c r="Z211" s="781">
        <v>46.259999999999991</v>
      </c>
      <c r="AA211" s="781">
        <v>69.389999999999986</v>
      </c>
      <c r="AB211" s="781">
        <v>46.259999999999991</v>
      </c>
      <c r="AC211" s="781">
        <v>0.23129999999999998</v>
      </c>
      <c r="AD211" s="781">
        <v>0.23129999999999998</v>
      </c>
      <c r="AE211" s="781">
        <v>0.23129999999999998</v>
      </c>
      <c r="AF211" s="781"/>
      <c r="AG211" s="781"/>
      <c r="AH211" s="781"/>
      <c r="AI211" s="784"/>
      <c r="AK211" s="783">
        <f>IFERROR(Tabela1[[#This Row],[EE(g)]]/Tabela1[[#This Row],[CMS(kg)]],0)</f>
        <v>0</v>
      </c>
    </row>
    <row r="212" spans="2:37" hidden="1">
      <c r="B212" s="774">
        <f>ROW()^2+(Tabela1[[#This Row],[ID2]])+ROW()</f>
        <v>45394</v>
      </c>
      <c r="C212" s="774">
        <v>238</v>
      </c>
      <c r="D212" s="774" t="s">
        <v>1256</v>
      </c>
      <c r="E212" s="775" t="s">
        <v>1276</v>
      </c>
      <c r="F212" s="775" t="s">
        <v>1268</v>
      </c>
      <c r="G212" s="775">
        <v>90</v>
      </c>
      <c r="H212" s="775" t="s">
        <v>0</v>
      </c>
      <c r="I212" s="779" t="s">
        <v>1286</v>
      </c>
      <c r="J212" s="774" t="s">
        <v>42</v>
      </c>
      <c r="K212" s="786">
        <v>2.2999999999999998</v>
      </c>
      <c r="L212" s="777">
        <v>0</v>
      </c>
      <c r="M212" s="778">
        <v>0</v>
      </c>
      <c r="N212" s="779">
        <v>431</v>
      </c>
      <c r="O212" s="780">
        <v>0</v>
      </c>
      <c r="P212" s="781">
        <v>1.77</v>
      </c>
      <c r="Q212" s="781">
        <v>1.0017</v>
      </c>
      <c r="R212" s="782">
        <v>0</v>
      </c>
      <c r="S212" s="781">
        <v>12</v>
      </c>
      <c r="T212" s="781">
        <v>11</v>
      </c>
      <c r="U212" s="781">
        <v>4.0068000000000001</v>
      </c>
      <c r="V212" s="781">
        <v>3.0050999999999997</v>
      </c>
      <c r="W212" s="781">
        <v>16.695</v>
      </c>
      <c r="X212" s="781">
        <v>4.6746000000000008</v>
      </c>
      <c r="Y212" s="781">
        <v>23.373000000000001</v>
      </c>
      <c r="Z212" s="781">
        <v>66.78</v>
      </c>
      <c r="AA212" s="781">
        <v>100.17</v>
      </c>
      <c r="AB212" s="781">
        <v>66.78</v>
      </c>
      <c r="AC212" s="781">
        <v>0.33390000000000003</v>
      </c>
      <c r="AD212" s="781">
        <v>0.33390000000000003</v>
      </c>
      <c r="AE212" s="781">
        <v>0.33390000000000003</v>
      </c>
      <c r="AF212" s="781"/>
      <c r="AG212" s="781"/>
      <c r="AH212" s="781"/>
      <c r="AI212" s="784"/>
      <c r="AK212" s="783">
        <f>IFERROR(Tabela1[[#This Row],[EE(g)]]/Tabela1[[#This Row],[CMS(kg)]],0)</f>
        <v>0</v>
      </c>
    </row>
    <row r="213" spans="2:37" hidden="1">
      <c r="B213" s="774">
        <f>ROW()^2+(Tabela1[[#This Row],[ID2]])+ROW()</f>
        <v>45803</v>
      </c>
      <c r="C213" s="774">
        <v>221</v>
      </c>
      <c r="D213" s="774" t="s">
        <v>1256</v>
      </c>
      <c r="E213" s="775" t="s">
        <v>1276</v>
      </c>
      <c r="F213" s="775" t="s">
        <v>1268</v>
      </c>
      <c r="G213" s="775">
        <v>100</v>
      </c>
      <c r="H213" s="775" t="s">
        <v>0</v>
      </c>
      <c r="I213" s="779" t="s">
        <v>1266</v>
      </c>
      <c r="J213" s="774" t="s">
        <v>42</v>
      </c>
      <c r="K213" s="786">
        <v>1.1200000000000001</v>
      </c>
      <c r="L213" s="777">
        <v>0</v>
      </c>
      <c r="M213" s="778">
        <v>0</v>
      </c>
      <c r="N213" s="779">
        <v>272</v>
      </c>
      <c r="O213" s="780">
        <v>0</v>
      </c>
      <c r="P213" s="781">
        <v>1.31</v>
      </c>
      <c r="Q213" s="781">
        <v>0.74099999999999999</v>
      </c>
      <c r="R213" s="782">
        <v>0</v>
      </c>
      <c r="S213" s="781">
        <v>7.1</v>
      </c>
      <c r="T213" s="781">
        <v>6.8</v>
      </c>
      <c r="U213" s="781">
        <v>2.964</v>
      </c>
      <c r="V213" s="781">
        <v>2.2229999999999999</v>
      </c>
      <c r="W213" s="781">
        <v>12.350000000000001</v>
      </c>
      <c r="X213" s="781">
        <v>3.4580000000000006</v>
      </c>
      <c r="Y213" s="781">
        <v>17.290000000000003</v>
      </c>
      <c r="Z213" s="781">
        <v>49.400000000000006</v>
      </c>
      <c r="AA213" s="781">
        <v>74.100000000000009</v>
      </c>
      <c r="AB213" s="781">
        <v>49.400000000000006</v>
      </c>
      <c r="AC213" s="781">
        <v>0.24700000000000003</v>
      </c>
      <c r="AD213" s="781">
        <v>0.24700000000000003</v>
      </c>
      <c r="AE213" s="781">
        <v>0.24700000000000003</v>
      </c>
      <c r="AF213" s="781"/>
      <c r="AG213" s="781"/>
      <c r="AH213" s="781"/>
      <c r="AI213" s="784"/>
      <c r="AK213" s="783">
        <f>IFERROR(Tabela1[[#This Row],[EE(g)]]/Tabela1[[#This Row],[CMS(kg)]],0)</f>
        <v>0</v>
      </c>
    </row>
    <row r="214" spans="2:37" hidden="1">
      <c r="B214" s="774">
        <f>ROW()^2+(Tabela1[[#This Row],[ID2]])+ROW()</f>
        <v>46240</v>
      </c>
      <c r="C214" s="774">
        <v>230</v>
      </c>
      <c r="D214" s="774" t="s">
        <v>1256</v>
      </c>
      <c r="E214" s="775" t="s">
        <v>1276</v>
      </c>
      <c r="F214" s="775" t="s">
        <v>1268</v>
      </c>
      <c r="G214" s="775">
        <v>100</v>
      </c>
      <c r="H214" s="775" t="s">
        <v>0</v>
      </c>
      <c r="I214" s="779" t="s">
        <v>1285</v>
      </c>
      <c r="J214" s="774" t="s">
        <v>42</v>
      </c>
      <c r="K214" s="786">
        <v>1.87</v>
      </c>
      <c r="L214" s="777">
        <v>0</v>
      </c>
      <c r="M214" s="778">
        <v>0</v>
      </c>
      <c r="N214" s="779">
        <v>359</v>
      </c>
      <c r="O214" s="780">
        <v>0</v>
      </c>
      <c r="P214" s="781">
        <v>1.64</v>
      </c>
      <c r="Q214" s="781">
        <v>0.74399999999999999</v>
      </c>
      <c r="R214" s="782">
        <v>0</v>
      </c>
      <c r="S214" s="781">
        <v>9.5</v>
      </c>
      <c r="T214" s="781">
        <v>8.5</v>
      </c>
      <c r="U214" s="781">
        <v>2.976</v>
      </c>
      <c r="V214" s="781">
        <v>2.2319999999999998</v>
      </c>
      <c r="W214" s="781">
        <v>12.4</v>
      </c>
      <c r="X214" s="781">
        <v>3.4720000000000004</v>
      </c>
      <c r="Y214" s="781">
        <v>17.36</v>
      </c>
      <c r="Z214" s="781">
        <v>49.6</v>
      </c>
      <c r="AA214" s="781">
        <v>74.400000000000006</v>
      </c>
      <c r="AB214" s="781">
        <v>49.6</v>
      </c>
      <c r="AC214" s="781">
        <v>0.248</v>
      </c>
      <c r="AD214" s="781">
        <v>0.248</v>
      </c>
      <c r="AE214" s="781">
        <v>0.248</v>
      </c>
      <c r="AF214" s="781"/>
      <c r="AG214" s="781"/>
      <c r="AH214" s="781"/>
      <c r="AI214" s="784"/>
      <c r="AK214" s="783">
        <f>IFERROR(Tabela1[[#This Row],[EE(g)]]/Tabela1[[#This Row],[CMS(kg)]],0)</f>
        <v>0</v>
      </c>
    </row>
    <row r="215" spans="2:37" hidden="1">
      <c r="B215" s="774">
        <f>ROW()^2+(Tabela1[[#This Row],[ID2]])+ROW()</f>
        <v>46679</v>
      </c>
      <c r="C215" s="774">
        <v>239</v>
      </c>
      <c r="D215" s="774" t="s">
        <v>1256</v>
      </c>
      <c r="E215" s="775" t="s">
        <v>1276</v>
      </c>
      <c r="F215" s="775" t="s">
        <v>1268</v>
      </c>
      <c r="G215" s="775">
        <v>100</v>
      </c>
      <c r="H215" s="775" t="s">
        <v>0</v>
      </c>
      <c r="I215" s="779" t="s">
        <v>1286</v>
      </c>
      <c r="J215" s="774" t="s">
        <v>42</v>
      </c>
      <c r="K215" s="786">
        <v>2.4300000000000002</v>
      </c>
      <c r="L215" s="777">
        <v>0</v>
      </c>
      <c r="M215" s="778">
        <v>0</v>
      </c>
      <c r="N215" s="779">
        <v>458</v>
      </c>
      <c r="O215" s="780">
        <v>0</v>
      </c>
      <c r="P215" s="781">
        <v>1.89</v>
      </c>
      <c r="Q215" s="781">
        <v>1.0680000000000001</v>
      </c>
      <c r="R215" s="782">
        <v>0</v>
      </c>
      <c r="S215" s="781">
        <v>12.7</v>
      </c>
      <c r="T215" s="781">
        <v>11.7</v>
      </c>
      <c r="U215" s="781">
        <v>4.2720000000000002</v>
      </c>
      <c r="V215" s="781">
        <v>3.2039999999999997</v>
      </c>
      <c r="W215" s="781">
        <v>17.8</v>
      </c>
      <c r="X215" s="781">
        <v>4.9840000000000009</v>
      </c>
      <c r="Y215" s="781">
        <v>24.92</v>
      </c>
      <c r="Z215" s="781">
        <v>71.2</v>
      </c>
      <c r="AA215" s="781">
        <v>106.8</v>
      </c>
      <c r="AB215" s="781">
        <v>71.2</v>
      </c>
      <c r="AC215" s="781">
        <v>0.35600000000000004</v>
      </c>
      <c r="AD215" s="781">
        <v>0.35600000000000004</v>
      </c>
      <c r="AE215" s="781">
        <v>0.35600000000000004</v>
      </c>
      <c r="AF215" s="781"/>
      <c r="AG215" s="781"/>
      <c r="AH215" s="781"/>
      <c r="AI215" s="784"/>
      <c r="AK215" s="783">
        <f>IFERROR(Tabela1[[#This Row],[EE(g)]]/Tabela1[[#This Row],[CMS(kg)]],0)</f>
        <v>0</v>
      </c>
    </row>
    <row r="216" spans="2:37" hidden="1">
      <c r="B216" s="774">
        <f>ROW()^2+(Tabela1[[#This Row],[ID2]])+ROW()</f>
        <v>47094</v>
      </c>
      <c r="C216" s="774">
        <v>222</v>
      </c>
      <c r="D216" s="774" t="s">
        <v>1256</v>
      </c>
      <c r="E216" s="775" t="s">
        <v>1276</v>
      </c>
      <c r="F216" s="775" t="s">
        <v>1268</v>
      </c>
      <c r="G216" s="775">
        <v>120</v>
      </c>
      <c r="H216" s="775" t="s">
        <v>0</v>
      </c>
      <c r="I216" s="779" t="s">
        <v>1266</v>
      </c>
      <c r="J216" s="774" t="s">
        <v>42</v>
      </c>
      <c r="K216" s="786">
        <v>1.22</v>
      </c>
      <c r="L216" s="777">
        <v>0</v>
      </c>
      <c r="M216" s="778">
        <v>0</v>
      </c>
      <c r="N216" s="779">
        <v>303</v>
      </c>
      <c r="O216" s="780">
        <v>0</v>
      </c>
      <c r="P216" s="781">
        <v>1.47</v>
      </c>
      <c r="Q216" s="781">
        <v>0.83520000000000005</v>
      </c>
      <c r="R216" s="782">
        <v>0</v>
      </c>
      <c r="S216" s="781">
        <v>7.8</v>
      </c>
      <c r="T216" s="781">
        <v>7.6</v>
      </c>
      <c r="U216" s="781">
        <v>3.3407999999999998</v>
      </c>
      <c r="V216" s="781">
        <v>2.5055999999999994</v>
      </c>
      <c r="W216" s="781">
        <v>13.919999999999998</v>
      </c>
      <c r="X216" s="781">
        <v>3.8976000000000002</v>
      </c>
      <c r="Y216" s="781">
        <v>19.488</v>
      </c>
      <c r="Z216" s="781">
        <v>55.679999999999993</v>
      </c>
      <c r="AA216" s="781">
        <v>83.52</v>
      </c>
      <c r="AB216" s="781">
        <v>55.679999999999993</v>
      </c>
      <c r="AC216" s="781">
        <v>0.27839999999999998</v>
      </c>
      <c r="AD216" s="781">
        <v>0.27839999999999998</v>
      </c>
      <c r="AE216" s="781">
        <v>0.27839999999999998</v>
      </c>
      <c r="AF216" s="781"/>
      <c r="AG216" s="781"/>
      <c r="AH216" s="781"/>
      <c r="AI216" s="784"/>
      <c r="AK216" s="783">
        <f>IFERROR(Tabela1[[#This Row],[EE(g)]]/Tabela1[[#This Row],[CMS(kg)]],0)</f>
        <v>0</v>
      </c>
    </row>
    <row r="217" spans="2:37" hidden="1">
      <c r="B217" s="774">
        <f>ROW()^2+(Tabela1[[#This Row],[ID2]])+ROW()</f>
        <v>47537</v>
      </c>
      <c r="C217" s="774">
        <v>231</v>
      </c>
      <c r="D217" s="774" t="s">
        <v>1256</v>
      </c>
      <c r="E217" s="775" t="s">
        <v>1276</v>
      </c>
      <c r="F217" s="775" t="s">
        <v>1268</v>
      </c>
      <c r="G217" s="775">
        <v>120</v>
      </c>
      <c r="H217" s="775" t="s">
        <v>0</v>
      </c>
      <c r="I217" s="779" t="s">
        <v>1285</v>
      </c>
      <c r="J217" s="774" t="s">
        <v>42</v>
      </c>
      <c r="K217" s="786">
        <v>2.0499999999999998</v>
      </c>
      <c r="L217" s="777">
        <v>0</v>
      </c>
      <c r="M217" s="778">
        <v>0</v>
      </c>
      <c r="N217" s="779">
        <v>421</v>
      </c>
      <c r="O217" s="780">
        <v>0</v>
      </c>
      <c r="P217" s="781">
        <v>1.84</v>
      </c>
      <c r="Q217" s="781">
        <v>1.0404</v>
      </c>
      <c r="R217" s="782">
        <v>0</v>
      </c>
      <c r="S217" s="781">
        <v>11.3</v>
      </c>
      <c r="T217" s="781">
        <v>10.7</v>
      </c>
      <c r="U217" s="781">
        <v>4.1616</v>
      </c>
      <c r="V217" s="781">
        <v>3.1212</v>
      </c>
      <c r="W217" s="781">
        <v>17.340000000000003</v>
      </c>
      <c r="X217" s="781">
        <v>4.8552000000000008</v>
      </c>
      <c r="Y217" s="781">
        <v>24.276000000000003</v>
      </c>
      <c r="Z217" s="781">
        <v>69.360000000000014</v>
      </c>
      <c r="AA217" s="781">
        <v>104.04</v>
      </c>
      <c r="AB217" s="781">
        <v>69.360000000000014</v>
      </c>
      <c r="AC217" s="781">
        <v>0.34680000000000005</v>
      </c>
      <c r="AD217" s="781">
        <v>0.34680000000000005</v>
      </c>
      <c r="AE217" s="781">
        <v>0.34680000000000005</v>
      </c>
      <c r="AF217" s="781"/>
      <c r="AG217" s="781"/>
      <c r="AH217" s="781"/>
      <c r="AI217" s="784"/>
      <c r="AK217" s="783">
        <f>IFERROR(Tabela1[[#This Row],[EE(g)]]/Tabela1[[#This Row],[CMS(kg)]],0)</f>
        <v>0</v>
      </c>
    </row>
    <row r="218" spans="2:37" hidden="1">
      <c r="B218" s="774">
        <f>ROW()^2+(Tabela1[[#This Row],[ID2]])+ROW()</f>
        <v>47982</v>
      </c>
      <c r="C218" s="774">
        <v>240</v>
      </c>
      <c r="D218" s="774" t="s">
        <v>1256</v>
      </c>
      <c r="E218" s="775" t="s">
        <v>1276</v>
      </c>
      <c r="F218" s="775" t="s">
        <v>1268</v>
      </c>
      <c r="G218" s="775">
        <v>120</v>
      </c>
      <c r="H218" s="775" t="s">
        <v>0</v>
      </c>
      <c r="I218" s="779" t="s">
        <v>1286</v>
      </c>
      <c r="J218" s="774" t="s">
        <v>42</v>
      </c>
      <c r="K218" s="786">
        <v>2.66</v>
      </c>
      <c r="L218" s="777">
        <v>0</v>
      </c>
      <c r="M218" s="778">
        <v>0</v>
      </c>
      <c r="N218" s="779">
        <v>508</v>
      </c>
      <c r="O218" s="780">
        <v>0</v>
      </c>
      <c r="P218" s="781">
        <v>2.11</v>
      </c>
      <c r="Q218" s="781">
        <v>1.1952</v>
      </c>
      <c r="R218" s="782">
        <v>0</v>
      </c>
      <c r="S218" s="781">
        <v>13.9</v>
      </c>
      <c r="T218" s="781">
        <v>13</v>
      </c>
      <c r="U218" s="781">
        <v>4.7808000000000002</v>
      </c>
      <c r="V218" s="781">
        <v>3.5855999999999995</v>
      </c>
      <c r="W218" s="781">
        <v>19.920000000000002</v>
      </c>
      <c r="X218" s="781">
        <v>5.5776000000000003</v>
      </c>
      <c r="Y218" s="781">
        <v>27.887999999999998</v>
      </c>
      <c r="Z218" s="781">
        <v>79.680000000000007</v>
      </c>
      <c r="AA218" s="781">
        <v>119.52</v>
      </c>
      <c r="AB218" s="781">
        <v>79.680000000000007</v>
      </c>
      <c r="AC218" s="781">
        <v>0.39840000000000003</v>
      </c>
      <c r="AD218" s="781">
        <v>0.39840000000000003</v>
      </c>
      <c r="AE218" s="781">
        <v>0.39840000000000003</v>
      </c>
      <c r="AF218" s="781"/>
      <c r="AG218" s="781"/>
      <c r="AH218" s="781"/>
      <c r="AI218" s="784"/>
      <c r="AK218" s="783">
        <f>IFERROR(Tabela1[[#This Row],[EE(g)]]/Tabela1[[#This Row],[CMS(kg)]],0)</f>
        <v>0</v>
      </c>
    </row>
    <row r="219" spans="2:37" hidden="1">
      <c r="B219" s="774">
        <f>ROW()^2+(Tabela1[[#This Row],[ID2]])+ROW()</f>
        <v>48403</v>
      </c>
      <c r="C219" s="774">
        <v>223</v>
      </c>
      <c r="D219" s="774" t="s">
        <v>1256</v>
      </c>
      <c r="E219" s="775" t="s">
        <v>1276</v>
      </c>
      <c r="F219" s="775" t="s">
        <v>1268</v>
      </c>
      <c r="G219" s="775">
        <v>140</v>
      </c>
      <c r="H219" s="775" t="s">
        <v>0</v>
      </c>
      <c r="I219" s="779" t="s">
        <v>1266</v>
      </c>
      <c r="J219" s="774" t="s">
        <v>42</v>
      </c>
      <c r="K219" s="786">
        <v>1.32</v>
      </c>
      <c r="L219" s="777">
        <v>0</v>
      </c>
      <c r="M219" s="778">
        <v>0</v>
      </c>
      <c r="N219" s="779">
        <v>333</v>
      </c>
      <c r="O219" s="780">
        <v>0</v>
      </c>
      <c r="P219" s="781">
        <v>1.63</v>
      </c>
      <c r="Q219" s="781">
        <v>0.92400000000000004</v>
      </c>
      <c r="R219" s="782">
        <v>0</v>
      </c>
      <c r="S219" s="781">
        <v>8.5</v>
      </c>
      <c r="T219" s="781">
        <v>8.4</v>
      </c>
      <c r="U219" s="781">
        <v>3.6960000000000006</v>
      </c>
      <c r="V219" s="781">
        <v>2.7720000000000002</v>
      </c>
      <c r="W219" s="781">
        <v>15.400000000000002</v>
      </c>
      <c r="X219" s="781">
        <v>4.3120000000000012</v>
      </c>
      <c r="Y219" s="781">
        <v>21.560000000000002</v>
      </c>
      <c r="Z219" s="781">
        <v>61.600000000000009</v>
      </c>
      <c r="AA219" s="781">
        <v>92.40000000000002</v>
      </c>
      <c r="AB219" s="781">
        <v>61.600000000000009</v>
      </c>
      <c r="AC219" s="781">
        <v>0.30800000000000005</v>
      </c>
      <c r="AD219" s="781">
        <v>0.30800000000000005</v>
      </c>
      <c r="AE219" s="781">
        <v>0.30800000000000005</v>
      </c>
      <c r="AF219" s="781"/>
      <c r="AG219" s="781"/>
      <c r="AH219" s="781"/>
      <c r="AI219" s="784"/>
      <c r="AK219" s="783">
        <f>IFERROR(Tabela1[[#This Row],[EE(g)]]/Tabela1[[#This Row],[CMS(kg)]],0)</f>
        <v>0</v>
      </c>
    </row>
    <row r="220" spans="2:37" hidden="1">
      <c r="B220" s="774">
        <f>ROW()^2+(Tabela1[[#This Row],[ID2]])+ROW()</f>
        <v>48852</v>
      </c>
      <c r="C220" s="774">
        <v>232</v>
      </c>
      <c r="D220" s="774" t="s">
        <v>1256</v>
      </c>
      <c r="E220" s="775" t="s">
        <v>1276</v>
      </c>
      <c r="F220" s="775" t="s">
        <v>1268</v>
      </c>
      <c r="G220" s="775">
        <v>140</v>
      </c>
      <c r="H220" s="775" t="s">
        <v>0</v>
      </c>
      <c r="I220" s="779" t="s">
        <v>1285</v>
      </c>
      <c r="J220" s="774" t="s">
        <v>42</v>
      </c>
      <c r="K220" s="786">
        <v>2.21</v>
      </c>
      <c r="L220" s="777">
        <v>0</v>
      </c>
      <c r="M220" s="778">
        <v>0</v>
      </c>
      <c r="N220" s="779">
        <v>461</v>
      </c>
      <c r="O220" s="780">
        <v>0</v>
      </c>
      <c r="P220" s="781">
        <v>2.0299999999999998</v>
      </c>
      <c r="Q220" s="781">
        <v>1.1466000000000001</v>
      </c>
      <c r="R220" s="782">
        <v>0</v>
      </c>
      <c r="S220" s="781">
        <v>12.3</v>
      </c>
      <c r="T220" s="781">
        <v>11.7</v>
      </c>
      <c r="U220" s="781">
        <v>4.5864000000000003</v>
      </c>
      <c r="V220" s="781">
        <v>3.4397999999999995</v>
      </c>
      <c r="W220" s="781">
        <v>19.11</v>
      </c>
      <c r="X220" s="781">
        <v>5.3508000000000004</v>
      </c>
      <c r="Y220" s="781">
        <v>26.754000000000001</v>
      </c>
      <c r="Z220" s="781">
        <v>76.44</v>
      </c>
      <c r="AA220" s="781">
        <v>114.66</v>
      </c>
      <c r="AB220" s="781">
        <v>76.44</v>
      </c>
      <c r="AC220" s="781">
        <v>0.38220000000000004</v>
      </c>
      <c r="AD220" s="781">
        <v>0.38220000000000004</v>
      </c>
      <c r="AE220" s="781">
        <v>0.38220000000000004</v>
      </c>
      <c r="AF220" s="781"/>
      <c r="AG220" s="781"/>
      <c r="AH220" s="781"/>
      <c r="AI220" s="784"/>
      <c r="AK220" s="783">
        <f>IFERROR(Tabela1[[#This Row],[EE(g)]]/Tabela1[[#This Row],[CMS(kg)]],0)</f>
        <v>0</v>
      </c>
    </row>
    <row r="221" spans="2:37" hidden="1">
      <c r="B221" s="774">
        <f>ROW()^2+(Tabela1[[#This Row],[ID2]])+ROW()</f>
        <v>49303</v>
      </c>
      <c r="C221" s="774">
        <v>241</v>
      </c>
      <c r="D221" s="774" t="s">
        <v>1256</v>
      </c>
      <c r="E221" s="775" t="s">
        <v>1276</v>
      </c>
      <c r="F221" s="775" t="s">
        <v>1268</v>
      </c>
      <c r="G221" s="775">
        <v>140</v>
      </c>
      <c r="H221" s="775" t="s">
        <v>0</v>
      </c>
      <c r="I221" s="779" t="s">
        <v>1286</v>
      </c>
      <c r="J221" s="774" t="s">
        <v>42</v>
      </c>
      <c r="K221" s="786">
        <v>2.87</v>
      </c>
      <c r="L221" s="777">
        <v>0</v>
      </c>
      <c r="M221" s="778">
        <v>0</v>
      </c>
      <c r="N221" s="779">
        <v>555</v>
      </c>
      <c r="O221" s="780">
        <v>0</v>
      </c>
      <c r="P221" s="781">
        <v>2.3199999999999998</v>
      </c>
      <c r="Q221" s="781">
        <v>1.3104</v>
      </c>
      <c r="R221" s="782">
        <v>0</v>
      </c>
      <c r="S221" s="781">
        <v>15.1</v>
      </c>
      <c r="T221" s="781">
        <v>14.1</v>
      </c>
      <c r="U221" s="781">
        <v>5.2416</v>
      </c>
      <c r="V221" s="781">
        <v>3.9312</v>
      </c>
      <c r="W221" s="781">
        <v>21.840000000000003</v>
      </c>
      <c r="X221" s="781">
        <v>6.1152000000000006</v>
      </c>
      <c r="Y221" s="781">
        <v>30.576000000000001</v>
      </c>
      <c r="Z221" s="781">
        <v>87.360000000000014</v>
      </c>
      <c r="AA221" s="781">
        <v>131.04000000000002</v>
      </c>
      <c r="AB221" s="781">
        <v>87.360000000000014</v>
      </c>
      <c r="AC221" s="781">
        <v>0.43680000000000008</v>
      </c>
      <c r="AD221" s="781">
        <v>0.43680000000000008</v>
      </c>
      <c r="AE221" s="781">
        <v>0.43680000000000008</v>
      </c>
      <c r="AF221" s="781"/>
      <c r="AG221" s="781"/>
      <c r="AH221" s="781"/>
      <c r="AI221" s="784"/>
      <c r="AK221" s="783">
        <f>IFERROR(Tabela1[[#This Row],[EE(g)]]/Tabela1[[#This Row],[CMS(kg)]],0)</f>
        <v>0</v>
      </c>
    </row>
    <row r="222" spans="2:37" hidden="1">
      <c r="B222" s="774">
        <f>ROW()^2+(Tabela1[[#This Row],[ID2]])+ROW()</f>
        <v>49775</v>
      </c>
      <c r="C222" s="774">
        <v>269</v>
      </c>
      <c r="D222" s="774" t="s">
        <v>1256</v>
      </c>
      <c r="E222" s="775" t="s">
        <v>1276</v>
      </c>
      <c r="F222" s="775" t="s">
        <v>1269</v>
      </c>
      <c r="G222" s="775">
        <v>40</v>
      </c>
      <c r="H222" s="775" t="s">
        <v>0</v>
      </c>
      <c r="I222" s="779" t="s">
        <v>1266</v>
      </c>
      <c r="J222" s="774" t="s">
        <v>42</v>
      </c>
      <c r="K222" s="786">
        <v>0.23</v>
      </c>
      <c r="L222" s="777">
        <v>10</v>
      </c>
      <c r="M222" s="778">
        <v>0</v>
      </c>
      <c r="N222" s="779">
        <v>100</v>
      </c>
      <c r="O222" s="780">
        <v>0</v>
      </c>
      <c r="P222" s="781">
        <v>0.57999999999999996</v>
      </c>
      <c r="Q222" s="781">
        <v>0.32640000000000002</v>
      </c>
      <c r="R222" s="782">
        <v>0</v>
      </c>
      <c r="S222" s="781">
        <v>2.7</v>
      </c>
      <c r="T222" s="781">
        <v>2.2999999999999998</v>
      </c>
      <c r="U222" s="781">
        <v>1.3056000000000001</v>
      </c>
      <c r="V222" s="781">
        <v>0.97919999999999996</v>
      </c>
      <c r="W222" s="781">
        <v>5.44</v>
      </c>
      <c r="X222" s="781">
        <v>1.5232000000000003</v>
      </c>
      <c r="Y222" s="781">
        <v>7.6160000000000005</v>
      </c>
      <c r="Z222" s="781">
        <v>21.76</v>
      </c>
      <c r="AA222" s="781">
        <v>32.64</v>
      </c>
      <c r="AB222" s="781">
        <v>21.76</v>
      </c>
      <c r="AC222" s="781">
        <v>0.10880000000000001</v>
      </c>
      <c r="AD222" s="781">
        <v>0.10880000000000001</v>
      </c>
      <c r="AE222" s="781">
        <v>0.10880000000000001</v>
      </c>
      <c r="AF222" s="781"/>
      <c r="AG222" s="781"/>
      <c r="AH222" s="781"/>
      <c r="AI222" s="784"/>
      <c r="AK222" s="783">
        <f>IFERROR(Tabela1[[#This Row],[EE(g)]]/Tabela1[[#This Row],[CMS(kg)]],0)</f>
        <v>0</v>
      </c>
    </row>
    <row r="223" spans="2:37" hidden="1">
      <c r="B223" s="774">
        <f>ROW()^2+(Tabela1[[#This Row],[ID2]])+ROW()</f>
        <v>50230</v>
      </c>
      <c r="C223" s="774">
        <v>278</v>
      </c>
      <c r="D223" s="774" t="s">
        <v>1256</v>
      </c>
      <c r="E223" s="775" t="s">
        <v>1276</v>
      </c>
      <c r="F223" s="775" t="s">
        <v>1269</v>
      </c>
      <c r="G223" s="775">
        <v>40</v>
      </c>
      <c r="H223" s="775" t="s">
        <v>0</v>
      </c>
      <c r="I223" s="779" t="s">
        <v>1285</v>
      </c>
      <c r="J223" s="774" t="s">
        <v>42</v>
      </c>
      <c r="K223" s="786">
        <v>0.38</v>
      </c>
      <c r="L223" s="777">
        <v>25</v>
      </c>
      <c r="M223" s="778">
        <v>0</v>
      </c>
      <c r="N223" s="779">
        <v>136</v>
      </c>
      <c r="O223" s="780">
        <v>0</v>
      </c>
      <c r="P223" s="781">
        <v>0.73</v>
      </c>
      <c r="Q223" s="781">
        <v>0.41399999999999998</v>
      </c>
      <c r="R223" s="782">
        <v>0</v>
      </c>
      <c r="S223" s="781">
        <v>3.7</v>
      </c>
      <c r="T223" s="781">
        <v>3.2</v>
      </c>
      <c r="U223" s="781">
        <v>1.6560000000000001</v>
      </c>
      <c r="V223" s="781">
        <v>1.242</v>
      </c>
      <c r="W223" s="781">
        <v>6.9</v>
      </c>
      <c r="X223" s="781">
        <v>1.9320000000000004</v>
      </c>
      <c r="Y223" s="781">
        <v>9.66</v>
      </c>
      <c r="Z223" s="781">
        <v>27.6</v>
      </c>
      <c r="AA223" s="781">
        <v>41.400000000000006</v>
      </c>
      <c r="AB223" s="781">
        <v>27.6</v>
      </c>
      <c r="AC223" s="781">
        <v>0.13800000000000001</v>
      </c>
      <c r="AD223" s="781">
        <v>0.13800000000000001</v>
      </c>
      <c r="AE223" s="781">
        <v>0.13800000000000001</v>
      </c>
      <c r="AF223" s="781"/>
      <c r="AG223" s="781"/>
      <c r="AH223" s="781"/>
      <c r="AI223" s="784"/>
      <c r="AK223" s="783">
        <f>IFERROR(Tabela1[[#This Row],[EE(g)]]/Tabela1[[#This Row],[CMS(kg)]],0)</f>
        <v>0</v>
      </c>
    </row>
    <row r="224" spans="2:37" hidden="1">
      <c r="B224" s="774">
        <f>ROW()^2+(Tabela1[[#This Row],[ID2]])+ROW()</f>
        <v>50670</v>
      </c>
      <c r="C224" s="774">
        <v>270</v>
      </c>
      <c r="D224" s="774" t="s">
        <v>1256</v>
      </c>
      <c r="E224" s="775" t="s">
        <v>1276</v>
      </c>
      <c r="F224" s="775" t="s">
        <v>1269</v>
      </c>
      <c r="G224" s="775">
        <v>50</v>
      </c>
      <c r="H224" s="775" t="s">
        <v>0</v>
      </c>
      <c r="I224" s="779" t="s">
        <v>1266</v>
      </c>
      <c r="J224" s="774" t="s">
        <v>42</v>
      </c>
      <c r="K224" s="786">
        <v>0.25</v>
      </c>
      <c r="L224" s="777">
        <v>11</v>
      </c>
      <c r="M224" s="778">
        <v>0</v>
      </c>
      <c r="N224" s="779">
        <v>114</v>
      </c>
      <c r="O224" s="780">
        <v>0</v>
      </c>
      <c r="P224" s="781">
        <v>0.67</v>
      </c>
      <c r="Q224" s="781">
        <v>0.378</v>
      </c>
      <c r="R224" s="782">
        <v>0</v>
      </c>
      <c r="S224" s="781">
        <v>3</v>
      </c>
      <c r="T224" s="781">
        <v>2.7</v>
      </c>
      <c r="U224" s="781">
        <v>1.512</v>
      </c>
      <c r="V224" s="781">
        <v>1.1339999999999999</v>
      </c>
      <c r="W224" s="781">
        <v>6.3</v>
      </c>
      <c r="X224" s="781">
        <v>1.7640000000000002</v>
      </c>
      <c r="Y224" s="781">
        <v>8.82</v>
      </c>
      <c r="Z224" s="781">
        <v>25.2</v>
      </c>
      <c r="AA224" s="781">
        <v>37.799999999999997</v>
      </c>
      <c r="AB224" s="781">
        <v>25.2</v>
      </c>
      <c r="AC224" s="781">
        <v>0.126</v>
      </c>
      <c r="AD224" s="781">
        <v>0.126</v>
      </c>
      <c r="AE224" s="781">
        <v>0.126</v>
      </c>
      <c r="AF224" s="781"/>
      <c r="AG224" s="781"/>
      <c r="AH224" s="781"/>
      <c r="AI224" s="784"/>
      <c r="AK224" s="783">
        <f>IFERROR(Tabela1[[#This Row],[EE(g)]]/Tabela1[[#This Row],[CMS(kg)]],0)</f>
        <v>0</v>
      </c>
    </row>
    <row r="225" spans="2:37" hidden="1">
      <c r="B225" s="774">
        <f>ROW()^2+(Tabela1[[#This Row],[ID2]])+ROW()</f>
        <v>51129</v>
      </c>
      <c r="C225" s="774">
        <v>279</v>
      </c>
      <c r="D225" s="774" t="s">
        <v>1256</v>
      </c>
      <c r="E225" s="775" t="s">
        <v>1276</v>
      </c>
      <c r="F225" s="775" t="s">
        <v>1269</v>
      </c>
      <c r="G225" s="775">
        <v>50</v>
      </c>
      <c r="H225" s="775" t="s">
        <v>0</v>
      </c>
      <c r="I225" s="779" t="s">
        <v>1285</v>
      </c>
      <c r="J225" s="774" t="s">
        <v>42</v>
      </c>
      <c r="K225" s="786">
        <v>0.43</v>
      </c>
      <c r="L225" s="777">
        <v>28</v>
      </c>
      <c r="M225" s="778">
        <v>0</v>
      </c>
      <c r="N225" s="779">
        <v>156</v>
      </c>
      <c r="O225" s="780">
        <v>0</v>
      </c>
      <c r="P225" s="781">
        <v>0.85</v>
      </c>
      <c r="Q225" s="781">
        <v>0.48</v>
      </c>
      <c r="R225" s="782">
        <v>0</v>
      </c>
      <c r="S225" s="781">
        <v>4.2</v>
      </c>
      <c r="T225" s="781">
        <v>3.7</v>
      </c>
      <c r="U225" s="781">
        <v>1.92</v>
      </c>
      <c r="V225" s="781">
        <v>1.44</v>
      </c>
      <c r="W225" s="781">
        <v>8</v>
      </c>
      <c r="X225" s="781">
        <v>2.2400000000000002</v>
      </c>
      <c r="Y225" s="781">
        <v>11.200000000000001</v>
      </c>
      <c r="Z225" s="781">
        <v>32</v>
      </c>
      <c r="AA225" s="781">
        <v>48</v>
      </c>
      <c r="AB225" s="781">
        <v>32</v>
      </c>
      <c r="AC225" s="781">
        <v>0.16000000000000003</v>
      </c>
      <c r="AD225" s="781">
        <v>0.16000000000000003</v>
      </c>
      <c r="AE225" s="781">
        <v>0.16000000000000003</v>
      </c>
      <c r="AF225" s="781"/>
      <c r="AG225" s="781"/>
      <c r="AH225" s="781"/>
      <c r="AI225" s="784"/>
      <c r="AK225" s="783">
        <f>IFERROR(Tabela1[[#This Row],[EE(g)]]/Tabela1[[#This Row],[CMS(kg)]],0)</f>
        <v>0</v>
      </c>
    </row>
    <row r="226" spans="2:37" hidden="1">
      <c r="B226" s="774">
        <f>ROW()^2+(Tabela1[[#This Row],[ID2]])+ROW()</f>
        <v>51589</v>
      </c>
      <c r="C226" s="774">
        <v>287</v>
      </c>
      <c r="D226" s="774" t="s">
        <v>1256</v>
      </c>
      <c r="E226" s="775" t="s">
        <v>1276</v>
      </c>
      <c r="F226" s="775" t="s">
        <v>1269</v>
      </c>
      <c r="G226" s="775">
        <v>50</v>
      </c>
      <c r="H226" s="775" t="s">
        <v>0</v>
      </c>
      <c r="I226" s="779" t="s">
        <v>1286</v>
      </c>
      <c r="J226" s="774" t="s">
        <v>42</v>
      </c>
      <c r="K226" s="786">
        <v>0.55000000000000004</v>
      </c>
      <c r="L226" s="777">
        <v>40</v>
      </c>
      <c r="M226" s="778">
        <v>0</v>
      </c>
      <c r="N226" s="779">
        <v>185</v>
      </c>
      <c r="O226" s="780">
        <v>0</v>
      </c>
      <c r="P226" s="781">
        <v>0.97</v>
      </c>
      <c r="Q226" s="781">
        <v>0.55049999999999999</v>
      </c>
      <c r="R226" s="782">
        <v>0</v>
      </c>
      <c r="S226" s="781">
        <v>5</v>
      </c>
      <c r="T226" s="781">
        <v>4.4000000000000004</v>
      </c>
      <c r="U226" s="781">
        <v>2.2019999999999995</v>
      </c>
      <c r="V226" s="781">
        <v>1.6514999999999995</v>
      </c>
      <c r="W226" s="781">
        <v>9.1749999999999989</v>
      </c>
      <c r="X226" s="781">
        <v>2.569</v>
      </c>
      <c r="Y226" s="781">
        <v>12.844999999999999</v>
      </c>
      <c r="Z226" s="781">
        <v>36.699999999999996</v>
      </c>
      <c r="AA226" s="781">
        <v>55.04999999999999</v>
      </c>
      <c r="AB226" s="781">
        <v>36.699999999999996</v>
      </c>
      <c r="AC226" s="781">
        <v>0.1835</v>
      </c>
      <c r="AD226" s="781">
        <v>0.1835</v>
      </c>
      <c r="AE226" s="781">
        <v>0.1835</v>
      </c>
      <c r="AF226" s="781"/>
      <c r="AG226" s="781"/>
      <c r="AH226" s="781"/>
      <c r="AI226" s="784"/>
      <c r="AK226" s="783">
        <f>IFERROR(Tabela1[[#This Row],[EE(g)]]/Tabela1[[#This Row],[CMS(kg)]],0)</f>
        <v>0</v>
      </c>
    </row>
    <row r="227" spans="2:37" hidden="1">
      <c r="B227" s="774">
        <f>ROW()^2+(Tabela1[[#This Row],[ID2]])+ROW()</f>
        <v>52027</v>
      </c>
      <c r="C227" s="774">
        <v>271</v>
      </c>
      <c r="D227" s="774" t="s">
        <v>1256</v>
      </c>
      <c r="E227" s="775" t="s">
        <v>1276</v>
      </c>
      <c r="F227" s="775" t="s">
        <v>1269</v>
      </c>
      <c r="G227" s="775">
        <v>60</v>
      </c>
      <c r="H227" s="775" t="s">
        <v>0</v>
      </c>
      <c r="I227" s="779" t="s">
        <v>1266</v>
      </c>
      <c r="J227" s="774" t="s">
        <v>42</v>
      </c>
      <c r="K227" s="786">
        <v>0.28000000000000003</v>
      </c>
      <c r="L227" s="777">
        <v>12</v>
      </c>
      <c r="M227" s="778">
        <v>0</v>
      </c>
      <c r="N227" s="779">
        <v>129</v>
      </c>
      <c r="O227" s="780">
        <v>0</v>
      </c>
      <c r="P227" s="781">
        <v>0.76</v>
      </c>
      <c r="Q227" s="781">
        <v>0.4284</v>
      </c>
      <c r="R227" s="782">
        <v>0</v>
      </c>
      <c r="S227" s="781">
        <v>3.3</v>
      </c>
      <c r="T227" s="781">
        <v>3.1</v>
      </c>
      <c r="U227" s="781">
        <v>1.7135999999999998</v>
      </c>
      <c r="V227" s="781">
        <v>1.2851999999999999</v>
      </c>
      <c r="W227" s="781">
        <v>7.14</v>
      </c>
      <c r="X227" s="781">
        <v>1.9992000000000001</v>
      </c>
      <c r="Y227" s="781">
        <v>9.9959999999999987</v>
      </c>
      <c r="Z227" s="781">
        <v>28.56</v>
      </c>
      <c r="AA227" s="781">
        <v>42.839999999999996</v>
      </c>
      <c r="AB227" s="781">
        <v>28.56</v>
      </c>
      <c r="AC227" s="781">
        <v>0.14280000000000001</v>
      </c>
      <c r="AD227" s="781">
        <v>0.14280000000000001</v>
      </c>
      <c r="AE227" s="781">
        <v>0.14280000000000001</v>
      </c>
      <c r="AF227" s="781"/>
      <c r="AG227" s="781"/>
      <c r="AH227" s="781"/>
      <c r="AI227" s="784"/>
      <c r="AK227" s="783">
        <f>IFERROR(Tabela1[[#This Row],[EE(g)]]/Tabela1[[#This Row],[CMS(kg)]],0)</f>
        <v>0</v>
      </c>
    </row>
    <row r="228" spans="2:37" hidden="1">
      <c r="B228" s="774">
        <f>ROW()^2+(Tabela1[[#This Row],[ID2]])+ROW()</f>
        <v>52492</v>
      </c>
      <c r="C228" s="774">
        <v>280</v>
      </c>
      <c r="D228" s="774" t="s">
        <v>1256</v>
      </c>
      <c r="E228" s="775" t="s">
        <v>1276</v>
      </c>
      <c r="F228" s="775" t="s">
        <v>1269</v>
      </c>
      <c r="G228" s="775">
        <v>60</v>
      </c>
      <c r="H228" s="775" t="s">
        <v>0</v>
      </c>
      <c r="I228" s="779" t="s">
        <v>1285</v>
      </c>
      <c r="J228" s="774" t="s">
        <v>42</v>
      </c>
      <c r="K228" s="786">
        <v>0.47</v>
      </c>
      <c r="L228" s="777">
        <v>31</v>
      </c>
      <c r="M228" s="778">
        <v>0</v>
      </c>
      <c r="N228" s="779">
        <v>174</v>
      </c>
      <c r="O228" s="780">
        <v>0</v>
      </c>
      <c r="P228" s="781">
        <v>0.95</v>
      </c>
      <c r="Q228" s="781">
        <v>0.54</v>
      </c>
      <c r="R228" s="782">
        <v>0</v>
      </c>
      <c r="S228" s="781">
        <v>4.5999999999999996</v>
      </c>
      <c r="T228" s="781">
        <v>4.2</v>
      </c>
      <c r="U228" s="781">
        <v>2.1599999999999997</v>
      </c>
      <c r="V228" s="781">
        <v>1.6199999999999997</v>
      </c>
      <c r="W228" s="781">
        <v>9</v>
      </c>
      <c r="X228" s="781">
        <v>2.52</v>
      </c>
      <c r="Y228" s="781">
        <v>12.599999999999998</v>
      </c>
      <c r="Z228" s="781">
        <v>36</v>
      </c>
      <c r="AA228" s="781">
        <v>53.999999999999993</v>
      </c>
      <c r="AB228" s="781">
        <v>36</v>
      </c>
      <c r="AC228" s="781">
        <v>0.18</v>
      </c>
      <c r="AD228" s="781">
        <v>0.18</v>
      </c>
      <c r="AE228" s="781">
        <v>0.18</v>
      </c>
      <c r="AF228" s="781"/>
      <c r="AG228" s="781"/>
      <c r="AH228" s="781"/>
      <c r="AI228" s="784"/>
      <c r="AK228" s="783">
        <f>IFERROR(Tabela1[[#This Row],[EE(g)]]/Tabela1[[#This Row],[CMS(kg)]],0)</f>
        <v>0</v>
      </c>
    </row>
    <row r="229" spans="2:37" hidden="1">
      <c r="B229" s="774">
        <f>ROW()^2+(Tabela1[[#This Row],[ID2]])+ROW()</f>
        <v>52958</v>
      </c>
      <c r="C229" s="774">
        <v>288</v>
      </c>
      <c r="D229" s="774" t="s">
        <v>1256</v>
      </c>
      <c r="E229" s="775" t="s">
        <v>1276</v>
      </c>
      <c r="F229" s="775" t="s">
        <v>1269</v>
      </c>
      <c r="G229" s="775">
        <v>60</v>
      </c>
      <c r="H229" s="775" t="s">
        <v>0</v>
      </c>
      <c r="I229" s="779" t="s">
        <v>1286</v>
      </c>
      <c r="J229" s="774" t="s">
        <v>42</v>
      </c>
      <c r="K229" s="786">
        <v>0.61</v>
      </c>
      <c r="L229" s="777">
        <v>44</v>
      </c>
      <c r="M229" s="778">
        <v>0</v>
      </c>
      <c r="N229" s="779">
        <v>207</v>
      </c>
      <c r="O229" s="780">
        <v>0</v>
      </c>
      <c r="P229" s="781">
        <v>1.0900000000000001</v>
      </c>
      <c r="Q229" s="781">
        <v>0.61919999999999997</v>
      </c>
      <c r="R229" s="782">
        <v>0</v>
      </c>
      <c r="S229" s="781">
        <v>5.6</v>
      </c>
      <c r="T229" s="781">
        <v>5</v>
      </c>
      <c r="U229" s="781">
        <v>2.4767999999999999</v>
      </c>
      <c r="V229" s="781">
        <v>1.8575999999999999</v>
      </c>
      <c r="W229" s="781">
        <v>10.32</v>
      </c>
      <c r="X229" s="781">
        <v>2.8896000000000002</v>
      </c>
      <c r="Y229" s="781">
        <v>14.448</v>
      </c>
      <c r="Z229" s="781">
        <v>41.28</v>
      </c>
      <c r="AA229" s="781">
        <v>61.92</v>
      </c>
      <c r="AB229" s="781">
        <v>41.28</v>
      </c>
      <c r="AC229" s="781">
        <v>0.20640000000000003</v>
      </c>
      <c r="AD229" s="781">
        <v>0.20640000000000003</v>
      </c>
      <c r="AE229" s="781">
        <v>0.20640000000000003</v>
      </c>
      <c r="AF229" s="781"/>
      <c r="AG229" s="781"/>
      <c r="AH229" s="781"/>
      <c r="AI229" s="784"/>
      <c r="AK229" s="783">
        <f>IFERROR(Tabela1[[#This Row],[EE(g)]]/Tabela1[[#This Row],[CMS(kg)]],0)</f>
        <v>0</v>
      </c>
    </row>
    <row r="230" spans="2:37" hidden="1">
      <c r="B230" s="774">
        <f>ROW()^2+(Tabela1[[#This Row],[ID2]])+ROW()</f>
        <v>53402</v>
      </c>
      <c r="C230" s="774">
        <v>272</v>
      </c>
      <c r="D230" s="774" t="s">
        <v>1256</v>
      </c>
      <c r="E230" s="775" t="s">
        <v>1276</v>
      </c>
      <c r="F230" s="775" t="s">
        <v>1269</v>
      </c>
      <c r="G230" s="775">
        <v>70</v>
      </c>
      <c r="H230" s="775" t="s">
        <v>0</v>
      </c>
      <c r="I230" s="779" t="s">
        <v>1266</v>
      </c>
      <c r="J230" s="774" t="s">
        <v>42</v>
      </c>
      <c r="K230" s="786">
        <v>0.31</v>
      </c>
      <c r="L230" s="777">
        <v>14</v>
      </c>
      <c r="M230" s="778">
        <v>0</v>
      </c>
      <c r="N230" s="779">
        <v>144</v>
      </c>
      <c r="O230" s="780">
        <v>0</v>
      </c>
      <c r="P230" s="781">
        <v>0.85</v>
      </c>
      <c r="Q230" s="781">
        <v>0.48089999999999999</v>
      </c>
      <c r="R230" s="782">
        <v>0</v>
      </c>
      <c r="S230" s="781">
        <v>3.6</v>
      </c>
      <c r="T230" s="781">
        <v>3.5</v>
      </c>
      <c r="U230" s="781">
        <v>1.9236</v>
      </c>
      <c r="V230" s="781">
        <v>1.4426999999999999</v>
      </c>
      <c r="W230" s="781">
        <v>8.0150000000000006</v>
      </c>
      <c r="X230" s="781">
        <v>2.2442000000000002</v>
      </c>
      <c r="Y230" s="781">
        <v>11.221</v>
      </c>
      <c r="Z230" s="781">
        <v>32.06</v>
      </c>
      <c r="AA230" s="781">
        <v>48.089999999999996</v>
      </c>
      <c r="AB230" s="781">
        <v>32.06</v>
      </c>
      <c r="AC230" s="781">
        <v>0.1603</v>
      </c>
      <c r="AD230" s="781">
        <v>0.1603</v>
      </c>
      <c r="AE230" s="781">
        <v>0.1603</v>
      </c>
      <c r="AF230" s="781"/>
      <c r="AG230" s="781"/>
      <c r="AH230" s="781"/>
      <c r="AI230" s="784"/>
      <c r="AK230" s="783">
        <f>IFERROR(Tabela1[[#This Row],[EE(g)]]/Tabela1[[#This Row],[CMS(kg)]],0)</f>
        <v>0</v>
      </c>
    </row>
    <row r="231" spans="2:37" hidden="1">
      <c r="B231" s="774">
        <f>ROW()^2+(Tabela1[[#This Row],[ID2]])+ROW()</f>
        <v>53873</v>
      </c>
      <c r="C231" s="774">
        <v>281</v>
      </c>
      <c r="D231" s="774" t="s">
        <v>1256</v>
      </c>
      <c r="E231" s="775" t="s">
        <v>1276</v>
      </c>
      <c r="F231" s="775" t="s">
        <v>1269</v>
      </c>
      <c r="G231" s="775">
        <v>70</v>
      </c>
      <c r="H231" s="775" t="s">
        <v>0</v>
      </c>
      <c r="I231" s="779" t="s">
        <v>1285</v>
      </c>
      <c r="J231" s="774" t="s">
        <v>42</v>
      </c>
      <c r="K231" s="786">
        <v>0.51</v>
      </c>
      <c r="L231" s="777">
        <v>34</v>
      </c>
      <c r="M231" s="778">
        <v>0</v>
      </c>
      <c r="N231" s="779">
        <v>192</v>
      </c>
      <c r="O231" s="780">
        <v>0</v>
      </c>
      <c r="P231" s="781">
        <v>1.06</v>
      </c>
      <c r="Q231" s="781">
        <v>0.59850000000000003</v>
      </c>
      <c r="R231" s="782">
        <v>0</v>
      </c>
      <c r="S231" s="781">
        <v>5</v>
      </c>
      <c r="T231" s="781">
        <v>4.5999999999999996</v>
      </c>
      <c r="U231" s="781">
        <v>2.3940000000000001</v>
      </c>
      <c r="V231" s="781">
        <v>1.7954999999999999</v>
      </c>
      <c r="W231" s="781">
        <v>9.9750000000000014</v>
      </c>
      <c r="X231" s="781">
        <v>2.7930000000000006</v>
      </c>
      <c r="Y231" s="781">
        <v>13.965</v>
      </c>
      <c r="Z231" s="781">
        <v>39.900000000000006</v>
      </c>
      <c r="AA231" s="781">
        <v>59.85</v>
      </c>
      <c r="AB231" s="781">
        <v>39.900000000000006</v>
      </c>
      <c r="AC231" s="781">
        <v>0.19950000000000001</v>
      </c>
      <c r="AD231" s="781">
        <v>0.19950000000000001</v>
      </c>
      <c r="AE231" s="781">
        <v>0.19950000000000001</v>
      </c>
      <c r="AF231" s="781"/>
      <c r="AG231" s="781"/>
      <c r="AH231" s="781"/>
      <c r="AI231" s="784"/>
      <c r="AK231" s="783">
        <f>IFERROR(Tabela1[[#This Row],[EE(g)]]/Tabela1[[#This Row],[CMS(kg)]],0)</f>
        <v>0</v>
      </c>
    </row>
    <row r="232" spans="2:37" hidden="1">
      <c r="B232" s="774">
        <f>ROW()^2+(Tabela1[[#This Row],[ID2]])+ROW()</f>
        <v>54345</v>
      </c>
      <c r="C232" s="774">
        <v>289</v>
      </c>
      <c r="D232" s="774" t="s">
        <v>1256</v>
      </c>
      <c r="E232" s="775" t="s">
        <v>1276</v>
      </c>
      <c r="F232" s="775" t="s">
        <v>1269</v>
      </c>
      <c r="G232" s="775">
        <v>70</v>
      </c>
      <c r="H232" s="775" t="s">
        <v>0</v>
      </c>
      <c r="I232" s="779" t="s">
        <v>1286</v>
      </c>
      <c r="J232" s="774" t="s">
        <v>42</v>
      </c>
      <c r="K232" s="786">
        <v>0.67</v>
      </c>
      <c r="L232" s="777">
        <v>48</v>
      </c>
      <c r="M232" s="778">
        <v>0</v>
      </c>
      <c r="N232" s="779">
        <v>229</v>
      </c>
      <c r="O232" s="780">
        <v>0</v>
      </c>
      <c r="P232" s="781">
        <v>1.21</v>
      </c>
      <c r="Q232" s="781">
        <v>0.68669999999999998</v>
      </c>
      <c r="R232" s="782">
        <v>0</v>
      </c>
      <c r="S232" s="781">
        <v>6.1</v>
      </c>
      <c r="T232" s="781">
        <v>5.5</v>
      </c>
      <c r="U232" s="781">
        <v>2.7467999999999999</v>
      </c>
      <c r="V232" s="781">
        <v>2.0600999999999998</v>
      </c>
      <c r="W232" s="781">
        <v>11.445</v>
      </c>
      <c r="X232" s="781">
        <v>3.2046000000000006</v>
      </c>
      <c r="Y232" s="781">
        <v>16.023</v>
      </c>
      <c r="Z232" s="781">
        <v>45.78</v>
      </c>
      <c r="AA232" s="781">
        <v>68.67</v>
      </c>
      <c r="AB232" s="781">
        <v>45.78</v>
      </c>
      <c r="AC232" s="781">
        <v>0.22890000000000002</v>
      </c>
      <c r="AD232" s="781">
        <v>0.22890000000000002</v>
      </c>
      <c r="AE232" s="781">
        <v>0.22890000000000002</v>
      </c>
      <c r="AF232" s="781"/>
      <c r="AG232" s="781"/>
      <c r="AH232" s="781"/>
      <c r="AI232" s="784"/>
      <c r="AK232" s="783">
        <f>IFERROR(Tabela1[[#This Row],[EE(g)]]/Tabela1[[#This Row],[CMS(kg)]],0)</f>
        <v>0</v>
      </c>
    </row>
    <row r="233" spans="2:37" hidden="1">
      <c r="B233" s="774">
        <f>ROW()^2+(Tabela1[[#This Row],[ID2]])+ROW()</f>
        <v>54795</v>
      </c>
      <c r="C233" s="774">
        <v>273</v>
      </c>
      <c r="D233" s="774" t="s">
        <v>1256</v>
      </c>
      <c r="E233" s="775" t="s">
        <v>1276</v>
      </c>
      <c r="F233" s="775" t="s">
        <v>1269</v>
      </c>
      <c r="G233" s="775">
        <v>80</v>
      </c>
      <c r="H233" s="775" t="s">
        <v>0</v>
      </c>
      <c r="I233" s="779" t="s">
        <v>1266</v>
      </c>
      <c r="J233" s="774" t="s">
        <v>42</v>
      </c>
      <c r="K233" s="786">
        <v>0.33</v>
      </c>
      <c r="L233" s="777">
        <v>15</v>
      </c>
      <c r="M233" s="778">
        <v>0</v>
      </c>
      <c r="N233" s="779">
        <v>157</v>
      </c>
      <c r="O233" s="780">
        <v>0</v>
      </c>
      <c r="P233" s="781">
        <v>0.93</v>
      </c>
      <c r="Q233" s="781">
        <v>0.52800000000000002</v>
      </c>
      <c r="R233" s="782">
        <v>0</v>
      </c>
      <c r="S233" s="781">
        <v>3.9</v>
      </c>
      <c r="T233" s="781">
        <v>3.8</v>
      </c>
      <c r="U233" s="781">
        <v>2.1120000000000001</v>
      </c>
      <c r="V233" s="781">
        <v>1.5840000000000001</v>
      </c>
      <c r="W233" s="781">
        <v>8.8000000000000007</v>
      </c>
      <c r="X233" s="781">
        <v>2.4640000000000004</v>
      </c>
      <c r="Y233" s="781">
        <v>12.320000000000002</v>
      </c>
      <c r="Z233" s="781">
        <v>35.200000000000003</v>
      </c>
      <c r="AA233" s="781">
        <v>52.800000000000004</v>
      </c>
      <c r="AB233" s="781">
        <v>35.200000000000003</v>
      </c>
      <c r="AC233" s="781">
        <v>0.17600000000000005</v>
      </c>
      <c r="AD233" s="781">
        <v>0.17600000000000005</v>
      </c>
      <c r="AE233" s="781">
        <v>0.17600000000000005</v>
      </c>
      <c r="AF233" s="781"/>
      <c r="AG233" s="781"/>
      <c r="AH233" s="781"/>
      <c r="AI233" s="784"/>
      <c r="AK233" s="783">
        <f>IFERROR(Tabela1[[#This Row],[EE(g)]]/Tabela1[[#This Row],[CMS(kg)]],0)</f>
        <v>0</v>
      </c>
    </row>
    <row r="234" spans="2:37" hidden="1">
      <c r="B234" s="774">
        <f>ROW()^2+(Tabela1[[#This Row],[ID2]])+ROW()</f>
        <v>55272</v>
      </c>
      <c r="C234" s="774">
        <v>282</v>
      </c>
      <c r="D234" s="774" t="s">
        <v>1256</v>
      </c>
      <c r="E234" s="775" t="s">
        <v>1276</v>
      </c>
      <c r="F234" s="775" t="s">
        <v>1269</v>
      </c>
      <c r="G234" s="775">
        <v>80</v>
      </c>
      <c r="H234" s="775" t="s">
        <v>0</v>
      </c>
      <c r="I234" s="779" t="s">
        <v>1285</v>
      </c>
      <c r="J234" s="774" t="s">
        <v>42</v>
      </c>
      <c r="K234" s="786">
        <v>0.55000000000000004</v>
      </c>
      <c r="L234" s="777">
        <v>37</v>
      </c>
      <c r="M234" s="778">
        <v>0</v>
      </c>
      <c r="N234" s="779">
        <v>210</v>
      </c>
      <c r="O234" s="780">
        <v>0</v>
      </c>
      <c r="P234" s="781">
        <v>1.1599999999999999</v>
      </c>
      <c r="Q234" s="781">
        <v>0.65759999999999996</v>
      </c>
      <c r="R234" s="782">
        <v>0</v>
      </c>
      <c r="S234" s="781">
        <v>5.4</v>
      </c>
      <c r="T234" s="781">
        <v>5.0999999999999996</v>
      </c>
      <c r="U234" s="781">
        <v>2.6304000000000003</v>
      </c>
      <c r="V234" s="781">
        <v>1.9727999999999999</v>
      </c>
      <c r="W234" s="781">
        <v>10.96</v>
      </c>
      <c r="X234" s="781">
        <v>3.0688000000000004</v>
      </c>
      <c r="Y234" s="781">
        <v>15.344000000000001</v>
      </c>
      <c r="Z234" s="781">
        <v>43.84</v>
      </c>
      <c r="AA234" s="781">
        <v>65.760000000000005</v>
      </c>
      <c r="AB234" s="781">
        <v>43.84</v>
      </c>
      <c r="AC234" s="781">
        <v>0.21920000000000003</v>
      </c>
      <c r="AD234" s="781">
        <v>0.21920000000000003</v>
      </c>
      <c r="AE234" s="781">
        <v>0.21920000000000003</v>
      </c>
      <c r="AF234" s="781"/>
      <c r="AG234" s="781"/>
      <c r="AH234" s="781"/>
      <c r="AI234" s="784"/>
      <c r="AK234" s="783">
        <f>IFERROR(Tabela1[[#This Row],[EE(g)]]/Tabela1[[#This Row],[CMS(kg)]],0)</f>
        <v>0</v>
      </c>
    </row>
    <row r="235" spans="2:37" hidden="1">
      <c r="B235" s="774">
        <f>ROW()^2+(Tabela1[[#This Row],[ID2]])+ROW()</f>
        <v>55750</v>
      </c>
      <c r="C235" s="774">
        <v>290</v>
      </c>
      <c r="D235" s="774" t="s">
        <v>1256</v>
      </c>
      <c r="E235" s="775" t="s">
        <v>1276</v>
      </c>
      <c r="F235" s="775" t="s">
        <v>1269</v>
      </c>
      <c r="G235" s="775">
        <v>80</v>
      </c>
      <c r="H235" s="775" t="s">
        <v>0</v>
      </c>
      <c r="I235" s="779" t="s">
        <v>1286</v>
      </c>
      <c r="J235" s="774" t="s">
        <v>42</v>
      </c>
      <c r="K235" s="786">
        <v>0.72</v>
      </c>
      <c r="L235" s="777">
        <v>52</v>
      </c>
      <c r="M235" s="778">
        <v>0</v>
      </c>
      <c r="N235" s="779">
        <v>249</v>
      </c>
      <c r="O235" s="780">
        <v>0</v>
      </c>
      <c r="P235" s="781">
        <v>1.33</v>
      </c>
      <c r="Q235" s="781">
        <v>0.75119999999999998</v>
      </c>
      <c r="R235" s="782">
        <v>0</v>
      </c>
      <c r="S235" s="781">
        <v>6.6</v>
      </c>
      <c r="T235" s="781">
        <v>6</v>
      </c>
      <c r="U235" s="781">
        <v>3.0047999999999999</v>
      </c>
      <c r="V235" s="781">
        <v>2.2535999999999996</v>
      </c>
      <c r="W235" s="781">
        <v>12.52</v>
      </c>
      <c r="X235" s="781">
        <v>3.5056000000000003</v>
      </c>
      <c r="Y235" s="781">
        <v>17.527999999999999</v>
      </c>
      <c r="Z235" s="781">
        <v>50.08</v>
      </c>
      <c r="AA235" s="781">
        <v>75.12</v>
      </c>
      <c r="AB235" s="781">
        <v>50.08</v>
      </c>
      <c r="AC235" s="781">
        <v>0.25040000000000001</v>
      </c>
      <c r="AD235" s="781">
        <v>0.25040000000000001</v>
      </c>
      <c r="AE235" s="781">
        <v>0.25040000000000001</v>
      </c>
      <c r="AF235" s="781"/>
      <c r="AG235" s="781"/>
      <c r="AH235" s="781"/>
      <c r="AI235" s="784"/>
      <c r="AK235" s="783">
        <f>IFERROR(Tabela1[[#This Row],[EE(g)]]/Tabela1[[#This Row],[CMS(kg)]],0)</f>
        <v>0</v>
      </c>
    </row>
    <row r="236" spans="2:37" hidden="1">
      <c r="B236" s="774">
        <f>ROW()^2+(Tabela1[[#This Row],[ID2]])+ROW()</f>
        <v>56206</v>
      </c>
      <c r="C236" s="774">
        <v>274</v>
      </c>
      <c r="D236" s="774" t="s">
        <v>1256</v>
      </c>
      <c r="E236" s="775" t="s">
        <v>1276</v>
      </c>
      <c r="F236" s="775" t="s">
        <v>1269</v>
      </c>
      <c r="G236" s="775">
        <v>90</v>
      </c>
      <c r="H236" s="775" t="s">
        <v>0</v>
      </c>
      <c r="I236" s="779" t="s">
        <v>1266</v>
      </c>
      <c r="J236" s="774" t="s">
        <v>42</v>
      </c>
      <c r="K236" s="786">
        <v>0.35</v>
      </c>
      <c r="L236" s="777">
        <v>16</v>
      </c>
      <c r="M236" s="778">
        <v>0</v>
      </c>
      <c r="N236" s="779">
        <v>170</v>
      </c>
      <c r="O236" s="780">
        <v>0</v>
      </c>
      <c r="P236" s="781">
        <v>1.01</v>
      </c>
      <c r="Q236" s="781">
        <v>0.57240000000000002</v>
      </c>
      <c r="R236" s="782">
        <v>0</v>
      </c>
      <c r="S236" s="781">
        <v>4.2</v>
      </c>
      <c r="T236" s="781">
        <v>4.0999999999999996</v>
      </c>
      <c r="U236" s="781">
        <v>2.2895999999999996</v>
      </c>
      <c r="V236" s="781">
        <v>1.7171999999999998</v>
      </c>
      <c r="W236" s="781">
        <v>9.5399999999999991</v>
      </c>
      <c r="X236" s="781">
        <v>2.6712000000000002</v>
      </c>
      <c r="Y236" s="781">
        <v>13.356</v>
      </c>
      <c r="Z236" s="781">
        <v>38.159999999999997</v>
      </c>
      <c r="AA236" s="781">
        <v>57.239999999999995</v>
      </c>
      <c r="AB236" s="781">
        <v>38.159999999999997</v>
      </c>
      <c r="AC236" s="781">
        <v>0.1908</v>
      </c>
      <c r="AD236" s="781">
        <v>0.1908</v>
      </c>
      <c r="AE236" s="781">
        <v>0.1908</v>
      </c>
      <c r="AF236" s="781"/>
      <c r="AG236" s="781"/>
      <c r="AH236" s="781"/>
      <c r="AI236" s="784"/>
      <c r="AK236" s="783">
        <f>IFERROR(Tabela1[[#This Row],[EE(g)]]/Tabela1[[#This Row],[CMS(kg)]],0)</f>
        <v>0</v>
      </c>
    </row>
    <row r="237" spans="2:37" hidden="1">
      <c r="B237" s="774">
        <f>ROW()^2+(Tabela1[[#This Row],[ID2]])+ROW()</f>
        <v>56689</v>
      </c>
      <c r="C237" s="774">
        <v>283</v>
      </c>
      <c r="D237" s="774" t="s">
        <v>1256</v>
      </c>
      <c r="E237" s="775" t="s">
        <v>1276</v>
      </c>
      <c r="F237" s="775" t="s">
        <v>1269</v>
      </c>
      <c r="G237" s="775">
        <v>90</v>
      </c>
      <c r="H237" s="775" t="s">
        <v>0</v>
      </c>
      <c r="I237" s="779" t="s">
        <v>1285</v>
      </c>
      <c r="J237" s="774" t="s">
        <v>42</v>
      </c>
      <c r="K237" s="786">
        <v>0.59</v>
      </c>
      <c r="L237" s="777">
        <v>39</v>
      </c>
      <c r="M237" s="778">
        <v>0</v>
      </c>
      <c r="N237" s="779">
        <v>226</v>
      </c>
      <c r="O237" s="780">
        <v>0</v>
      </c>
      <c r="P237" s="781">
        <v>1.25</v>
      </c>
      <c r="Q237" s="781">
        <v>0.71009999999999995</v>
      </c>
      <c r="R237" s="782">
        <v>0</v>
      </c>
      <c r="S237" s="781">
        <v>5.8</v>
      </c>
      <c r="T237" s="781">
        <v>5.5</v>
      </c>
      <c r="U237" s="781">
        <v>2.8403999999999998</v>
      </c>
      <c r="V237" s="781">
        <v>2.1302999999999996</v>
      </c>
      <c r="W237" s="781">
        <v>11.835000000000001</v>
      </c>
      <c r="X237" s="781">
        <v>3.3138000000000005</v>
      </c>
      <c r="Y237" s="781">
        <v>16.568999999999999</v>
      </c>
      <c r="Z237" s="781">
        <v>47.34</v>
      </c>
      <c r="AA237" s="781">
        <v>71.010000000000005</v>
      </c>
      <c r="AB237" s="781">
        <v>47.34</v>
      </c>
      <c r="AC237" s="781">
        <v>0.23670000000000002</v>
      </c>
      <c r="AD237" s="781">
        <v>0.23670000000000002</v>
      </c>
      <c r="AE237" s="781">
        <v>0.23670000000000002</v>
      </c>
      <c r="AF237" s="781"/>
      <c r="AG237" s="781"/>
      <c r="AH237" s="781"/>
      <c r="AI237" s="784"/>
      <c r="AK237" s="783">
        <f>IFERROR(Tabela1[[#This Row],[EE(g)]]/Tabela1[[#This Row],[CMS(kg)]],0)</f>
        <v>0</v>
      </c>
    </row>
    <row r="238" spans="2:37" hidden="1">
      <c r="B238" s="774">
        <f>ROW()^2+(Tabela1[[#This Row],[ID2]])+ROW()</f>
        <v>57173</v>
      </c>
      <c r="C238" s="774">
        <v>291</v>
      </c>
      <c r="D238" s="774" t="s">
        <v>1256</v>
      </c>
      <c r="E238" s="775" t="s">
        <v>1276</v>
      </c>
      <c r="F238" s="775" t="s">
        <v>1269</v>
      </c>
      <c r="G238" s="775">
        <v>90</v>
      </c>
      <c r="H238" s="775" t="s">
        <v>0</v>
      </c>
      <c r="I238" s="779" t="s">
        <v>1286</v>
      </c>
      <c r="J238" s="774" t="s">
        <v>42</v>
      </c>
      <c r="K238" s="786">
        <v>0.76</v>
      </c>
      <c r="L238" s="777">
        <v>55</v>
      </c>
      <c r="M238" s="778">
        <v>0</v>
      </c>
      <c r="N238" s="779">
        <v>266</v>
      </c>
      <c r="O238" s="780">
        <v>0</v>
      </c>
      <c r="P238" s="781">
        <v>1.43</v>
      </c>
      <c r="Q238" s="781">
        <v>0.80730000000000002</v>
      </c>
      <c r="R238" s="782">
        <v>0</v>
      </c>
      <c r="S238" s="781">
        <v>7</v>
      </c>
      <c r="T238" s="781">
        <v>6.5</v>
      </c>
      <c r="U238" s="781">
        <v>3.2292000000000001</v>
      </c>
      <c r="V238" s="781">
        <v>2.4218999999999999</v>
      </c>
      <c r="W238" s="781">
        <v>13.455000000000002</v>
      </c>
      <c r="X238" s="781">
        <v>3.7674000000000007</v>
      </c>
      <c r="Y238" s="781">
        <v>18.837000000000003</v>
      </c>
      <c r="Z238" s="781">
        <v>53.820000000000007</v>
      </c>
      <c r="AA238" s="781">
        <v>80.73</v>
      </c>
      <c r="AB238" s="781">
        <v>53.820000000000007</v>
      </c>
      <c r="AC238" s="781">
        <v>0.26910000000000006</v>
      </c>
      <c r="AD238" s="781">
        <v>0.26910000000000006</v>
      </c>
      <c r="AE238" s="781">
        <v>0.26910000000000006</v>
      </c>
      <c r="AF238" s="781"/>
      <c r="AG238" s="781"/>
      <c r="AH238" s="781"/>
      <c r="AI238" s="784"/>
      <c r="AK238" s="783">
        <f>IFERROR(Tabela1[[#This Row],[EE(g)]]/Tabela1[[#This Row],[CMS(kg)]],0)</f>
        <v>0</v>
      </c>
    </row>
    <row r="239" spans="2:37" hidden="1">
      <c r="B239" s="774">
        <f>ROW()^2+(Tabela1[[#This Row],[ID2]])+ROW()</f>
        <v>57635</v>
      </c>
      <c r="C239" s="774">
        <v>275</v>
      </c>
      <c r="D239" s="774" t="s">
        <v>1256</v>
      </c>
      <c r="E239" s="775" t="s">
        <v>1276</v>
      </c>
      <c r="F239" s="775" t="s">
        <v>1269</v>
      </c>
      <c r="G239" s="775">
        <v>100</v>
      </c>
      <c r="H239" s="775" t="s">
        <v>0</v>
      </c>
      <c r="I239" s="779" t="s">
        <v>1266</v>
      </c>
      <c r="J239" s="774" t="s">
        <v>42</v>
      </c>
      <c r="K239" s="786">
        <v>0.37</v>
      </c>
      <c r="L239" s="777">
        <v>17</v>
      </c>
      <c r="M239" s="778">
        <v>0</v>
      </c>
      <c r="N239" s="779">
        <v>182</v>
      </c>
      <c r="O239" s="780">
        <v>0</v>
      </c>
      <c r="P239" s="781">
        <v>1.0900000000000001</v>
      </c>
      <c r="Q239" s="781">
        <v>0.61499999999999999</v>
      </c>
      <c r="R239" s="782">
        <v>0</v>
      </c>
      <c r="S239" s="781">
        <v>4.4000000000000004</v>
      </c>
      <c r="T239" s="781">
        <v>4.4000000000000004</v>
      </c>
      <c r="U239" s="781">
        <v>2.4599999999999995</v>
      </c>
      <c r="V239" s="781">
        <v>1.8449999999999998</v>
      </c>
      <c r="W239" s="781">
        <v>10.25</v>
      </c>
      <c r="X239" s="781">
        <v>2.87</v>
      </c>
      <c r="Y239" s="781">
        <v>14.349999999999998</v>
      </c>
      <c r="Z239" s="781">
        <v>41</v>
      </c>
      <c r="AA239" s="781">
        <v>61.499999999999993</v>
      </c>
      <c r="AB239" s="781">
        <v>41</v>
      </c>
      <c r="AC239" s="781">
        <v>0.20499999999999999</v>
      </c>
      <c r="AD239" s="781">
        <v>0.20499999999999999</v>
      </c>
      <c r="AE239" s="781">
        <v>0.20499999999999999</v>
      </c>
      <c r="AF239" s="781"/>
      <c r="AG239" s="781"/>
      <c r="AH239" s="781"/>
      <c r="AI239" s="784"/>
      <c r="AK239" s="783">
        <f>IFERROR(Tabela1[[#This Row],[EE(g)]]/Tabela1[[#This Row],[CMS(kg)]],0)</f>
        <v>0</v>
      </c>
    </row>
    <row r="240" spans="2:37" hidden="1">
      <c r="B240" s="774">
        <f>ROW()^2+(Tabela1[[#This Row],[ID2]])+ROW()</f>
        <v>58124</v>
      </c>
      <c r="C240" s="774">
        <v>284</v>
      </c>
      <c r="D240" s="774" t="s">
        <v>1256</v>
      </c>
      <c r="E240" s="775" t="s">
        <v>1276</v>
      </c>
      <c r="F240" s="775" t="s">
        <v>1269</v>
      </c>
      <c r="G240" s="775">
        <v>100</v>
      </c>
      <c r="H240" s="775" t="s">
        <v>0</v>
      </c>
      <c r="I240" s="779" t="s">
        <v>1285</v>
      </c>
      <c r="J240" s="774" t="s">
        <v>42</v>
      </c>
      <c r="K240" s="786">
        <v>0.62</v>
      </c>
      <c r="L240" s="777">
        <v>41</v>
      </c>
      <c r="M240" s="778">
        <v>0</v>
      </c>
      <c r="N240" s="779">
        <v>241</v>
      </c>
      <c r="O240" s="780">
        <v>0</v>
      </c>
      <c r="P240" s="781">
        <v>1.34</v>
      </c>
      <c r="Q240" s="781">
        <v>0.75900000000000001</v>
      </c>
      <c r="R240" s="782">
        <v>0</v>
      </c>
      <c r="S240" s="781">
        <v>6.2</v>
      </c>
      <c r="T240" s="781">
        <v>5.9</v>
      </c>
      <c r="U240" s="781">
        <v>3.0359999999999996</v>
      </c>
      <c r="V240" s="781">
        <v>2.2769999999999997</v>
      </c>
      <c r="W240" s="781">
        <v>12.649999999999999</v>
      </c>
      <c r="X240" s="781">
        <v>3.5420000000000003</v>
      </c>
      <c r="Y240" s="781">
        <v>17.709999999999997</v>
      </c>
      <c r="Z240" s="781">
        <v>50.599999999999994</v>
      </c>
      <c r="AA240" s="781">
        <v>75.899999999999991</v>
      </c>
      <c r="AB240" s="781">
        <v>50.599999999999994</v>
      </c>
      <c r="AC240" s="781">
        <v>0.253</v>
      </c>
      <c r="AD240" s="781">
        <v>0.253</v>
      </c>
      <c r="AE240" s="781">
        <v>0.253</v>
      </c>
      <c r="AF240" s="781"/>
      <c r="AG240" s="781"/>
      <c r="AH240" s="781"/>
      <c r="AI240" s="784"/>
      <c r="AK240" s="783">
        <f>IFERROR(Tabela1[[#This Row],[EE(g)]]/Tabela1[[#This Row],[CMS(kg)]],0)</f>
        <v>0</v>
      </c>
    </row>
    <row r="241" spans="2:37" hidden="1">
      <c r="B241" s="774">
        <f>ROW()^2+(Tabela1[[#This Row],[ID2]])+ROW()</f>
        <v>58614</v>
      </c>
      <c r="C241" s="774">
        <v>292</v>
      </c>
      <c r="D241" s="774" t="s">
        <v>1256</v>
      </c>
      <c r="E241" s="775" t="s">
        <v>1276</v>
      </c>
      <c r="F241" s="775" t="s">
        <v>1269</v>
      </c>
      <c r="G241" s="775">
        <v>100</v>
      </c>
      <c r="H241" s="775" t="s">
        <v>0</v>
      </c>
      <c r="I241" s="779" t="s">
        <v>1286</v>
      </c>
      <c r="J241" s="774" t="s">
        <v>42</v>
      </c>
      <c r="K241" s="786">
        <v>0.81</v>
      </c>
      <c r="L241" s="777">
        <v>59</v>
      </c>
      <c r="M241" s="778">
        <v>0</v>
      </c>
      <c r="N241" s="779">
        <v>286</v>
      </c>
      <c r="O241" s="780">
        <v>0</v>
      </c>
      <c r="P241" s="781">
        <v>1.53</v>
      </c>
      <c r="Q241" s="781">
        <v>0.86699999999999999</v>
      </c>
      <c r="R241" s="782">
        <v>0</v>
      </c>
      <c r="S241" s="781">
        <v>7.4</v>
      </c>
      <c r="T241" s="781">
        <v>6.9</v>
      </c>
      <c r="U241" s="781">
        <v>3.468</v>
      </c>
      <c r="V241" s="781">
        <v>2.601</v>
      </c>
      <c r="W241" s="781">
        <v>14.450000000000001</v>
      </c>
      <c r="X241" s="781">
        <v>4.0460000000000003</v>
      </c>
      <c r="Y241" s="781">
        <v>20.23</v>
      </c>
      <c r="Z241" s="781">
        <v>57.800000000000004</v>
      </c>
      <c r="AA241" s="781">
        <v>86.7</v>
      </c>
      <c r="AB241" s="781">
        <v>57.800000000000004</v>
      </c>
      <c r="AC241" s="781">
        <v>0.28900000000000003</v>
      </c>
      <c r="AD241" s="781">
        <v>0.28900000000000003</v>
      </c>
      <c r="AE241" s="781">
        <v>0.28900000000000003</v>
      </c>
      <c r="AF241" s="781"/>
      <c r="AG241" s="781"/>
      <c r="AH241" s="781"/>
      <c r="AI241" s="784"/>
      <c r="AK241" s="783">
        <f>IFERROR(Tabela1[[#This Row],[EE(g)]]/Tabela1[[#This Row],[CMS(kg)]],0)</f>
        <v>0</v>
      </c>
    </row>
    <row r="242" spans="2:37" hidden="1">
      <c r="B242" s="774">
        <f>ROW()^2+(Tabela1[[#This Row],[ID2]])+ROW()</f>
        <v>59082</v>
      </c>
      <c r="C242" s="774">
        <v>276</v>
      </c>
      <c r="D242" s="774" t="s">
        <v>1256</v>
      </c>
      <c r="E242" s="775" t="s">
        <v>1276</v>
      </c>
      <c r="F242" s="775" t="s">
        <v>1269</v>
      </c>
      <c r="G242" s="775">
        <v>120</v>
      </c>
      <c r="H242" s="775" t="s">
        <v>0</v>
      </c>
      <c r="I242" s="779" t="s">
        <v>1266</v>
      </c>
      <c r="J242" s="774" t="s">
        <v>42</v>
      </c>
      <c r="K242" s="786">
        <v>0.41</v>
      </c>
      <c r="L242" s="777">
        <v>18</v>
      </c>
      <c r="M242" s="778">
        <v>0</v>
      </c>
      <c r="N242" s="779">
        <v>206</v>
      </c>
      <c r="O242" s="780">
        <v>0</v>
      </c>
      <c r="P242" s="781">
        <v>1.23</v>
      </c>
      <c r="Q242" s="781">
        <v>0.69840000000000002</v>
      </c>
      <c r="R242" s="782">
        <v>0</v>
      </c>
      <c r="S242" s="781">
        <v>4.9000000000000004</v>
      </c>
      <c r="T242" s="781">
        <v>5</v>
      </c>
      <c r="U242" s="781">
        <v>2.7936000000000001</v>
      </c>
      <c r="V242" s="781">
        <v>2.0952000000000002</v>
      </c>
      <c r="W242" s="781">
        <v>11.64</v>
      </c>
      <c r="X242" s="781">
        <v>3.2592000000000008</v>
      </c>
      <c r="Y242" s="781">
        <v>16.296000000000003</v>
      </c>
      <c r="Z242" s="781">
        <v>46.56</v>
      </c>
      <c r="AA242" s="781">
        <v>69.84</v>
      </c>
      <c r="AB242" s="781">
        <v>46.56</v>
      </c>
      <c r="AC242" s="781">
        <v>0.23280000000000003</v>
      </c>
      <c r="AD242" s="781">
        <v>0.23280000000000003</v>
      </c>
      <c r="AE242" s="781">
        <v>0.23280000000000003</v>
      </c>
      <c r="AF242" s="781"/>
      <c r="AG242" s="781"/>
      <c r="AH242" s="781"/>
      <c r="AI242" s="784"/>
      <c r="AK242" s="783">
        <f>IFERROR(Tabela1[[#This Row],[EE(g)]]/Tabela1[[#This Row],[CMS(kg)]],0)</f>
        <v>0</v>
      </c>
    </row>
    <row r="243" spans="2:37" hidden="1">
      <c r="B243" s="774">
        <f>ROW()^2+(Tabela1[[#This Row],[ID2]])+ROW()</f>
        <v>59577</v>
      </c>
      <c r="C243" s="774">
        <v>285</v>
      </c>
      <c r="D243" s="774" t="s">
        <v>1256</v>
      </c>
      <c r="E243" s="775" t="s">
        <v>1276</v>
      </c>
      <c r="F243" s="775" t="s">
        <v>1269</v>
      </c>
      <c r="G243" s="775">
        <v>120</v>
      </c>
      <c r="H243" s="775" t="s">
        <v>0</v>
      </c>
      <c r="I243" s="779" t="s">
        <v>1285</v>
      </c>
      <c r="J243" s="774" t="s">
        <v>42</v>
      </c>
      <c r="K243" s="786">
        <v>0.69</v>
      </c>
      <c r="L243" s="777">
        <v>46</v>
      </c>
      <c r="M243" s="778">
        <v>0</v>
      </c>
      <c r="N243" s="779">
        <v>273</v>
      </c>
      <c r="O243" s="780">
        <v>0</v>
      </c>
      <c r="P243" s="781">
        <v>1.52</v>
      </c>
      <c r="Q243" s="781">
        <v>0.86040000000000005</v>
      </c>
      <c r="R243" s="782">
        <v>0</v>
      </c>
      <c r="S243" s="781">
        <v>6.9</v>
      </c>
      <c r="T243" s="781">
        <v>6.6</v>
      </c>
      <c r="U243" s="781">
        <v>3.4416000000000002</v>
      </c>
      <c r="V243" s="781">
        <v>2.5811999999999999</v>
      </c>
      <c r="W243" s="781">
        <v>14.340000000000002</v>
      </c>
      <c r="X243" s="781">
        <v>4.015200000000001</v>
      </c>
      <c r="Y243" s="781">
        <v>20.076000000000001</v>
      </c>
      <c r="Z243" s="781">
        <v>57.360000000000007</v>
      </c>
      <c r="AA243" s="781">
        <v>86.04</v>
      </c>
      <c r="AB243" s="781">
        <v>57.360000000000007</v>
      </c>
      <c r="AC243" s="781">
        <v>0.28680000000000005</v>
      </c>
      <c r="AD243" s="781">
        <v>0.28680000000000005</v>
      </c>
      <c r="AE243" s="781">
        <v>0.28680000000000005</v>
      </c>
      <c r="AF243" s="781"/>
      <c r="AG243" s="781"/>
      <c r="AH243" s="781"/>
      <c r="AI243" s="784"/>
      <c r="AK243" s="783">
        <f>IFERROR(Tabela1[[#This Row],[EE(g)]]/Tabela1[[#This Row],[CMS(kg)]],0)</f>
        <v>0</v>
      </c>
    </row>
    <row r="244" spans="2:37" hidden="1">
      <c r="B244" s="774">
        <f>ROW()^2+(Tabela1[[#This Row],[ID2]])+ROW()</f>
        <v>60073</v>
      </c>
      <c r="C244" s="774">
        <v>293</v>
      </c>
      <c r="D244" s="774" t="s">
        <v>1256</v>
      </c>
      <c r="E244" s="775" t="s">
        <v>1276</v>
      </c>
      <c r="F244" s="775" t="s">
        <v>1269</v>
      </c>
      <c r="G244" s="775">
        <v>120</v>
      </c>
      <c r="H244" s="775" t="s">
        <v>0</v>
      </c>
      <c r="I244" s="779" t="s">
        <v>1286</v>
      </c>
      <c r="J244" s="774" t="s">
        <v>42</v>
      </c>
      <c r="K244" s="786">
        <v>0.9</v>
      </c>
      <c r="L244" s="777">
        <v>65</v>
      </c>
      <c r="M244" s="778">
        <v>0</v>
      </c>
      <c r="N244" s="779">
        <v>322</v>
      </c>
      <c r="O244" s="780">
        <v>0</v>
      </c>
      <c r="P244" s="781">
        <v>1.73</v>
      </c>
      <c r="Q244" s="781">
        <v>0.97919999999999996</v>
      </c>
      <c r="R244" s="782">
        <v>0</v>
      </c>
      <c r="S244" s="781">
        <v>8.3000000000000007</v>
      </c>
      <c r="T244" s="781">
        <v>7.8</v>
      </c>
      <c r="U244" s="781">
        <v>3.9168000000000003</v>
      </c>
      <c r="V244" s="781">
        <v>2.9375999999999998</v>
      </c>
      <c r="W244" s="781">
        <v>16.32</v>
      </c>
      <c r="X244" s="781">
        <v>4.5696000000000003</v>
      </c>
      <c r="Y244" s="781">
        <v>22.848000000000003</v>
      </c>
      <c r="Z244" s="781">
        <v>65.28</v>
      </c>
      <c r="AA244" s="781">
        <v>97.92</v>
      </c>
      <c r="AB244" s="781">
        <v>65.28</v>
      </c>
      <c r="AC244" s="781">
        <v>0.32640000000000002</v>
      </c>
      <c r="AD244" s="781">
        <v>0.32640000000000002</v>
      </c>
      <c r="AE244" s="781">
        <v>0.32640000000000002</v>
      </c>
      <c r="AF244" s="781"/>
      <c r="AG244" s="781"/>
      <c r="AH244" s="781"/>
      <c r="AI244" s="784"/>
      <c r="AK244" s="783">
        <f>IFERROR(Tabela1[[#This Row],[EE(g)]]/Tabela1[[#This Row],[CMS(kg)]],0)</f>
        <v>0</v>
      </c>
    </row>
    <row r="245" spans="2:37" hidden="1">
      <c r="B245" s="774">
        <f>ROW()^2+(Tabela1[[#This Row],[ID2]])+ROW()</f>
        <v>60547</v>
      </c>
      <c r="C245" s="774">
        <v>277</v>
      </c>
      <c r="D245" s="774" t="s">
        <v>1256</v>
      </c>
      <c r="E245" s="775" t="s">
        <v>1276</v>
      </c>
      <c r="F245" s="775" t="s">
        <v>1269</v>
      </c>
      <c r="G245" s="775">
        <v>140</v>
      </c>
      <c r="H245" s="775" t="s">
        <v>0</v>
      </c>
      <c r="I245" s="779" t="s">
        <v>1266</v>
      </c>
      <c r="J245" s="774" t="s">
        <v>42</v>
      </c>
      <c r="K245" s="786">
        <v>0.45</v>
      </c>
      <c r="L245" s="777">
        <v>20</v>
      </c>
      <c r="M245" s="778">
        <v>0</v>
      </c>
      <c r="N245" s="779">
        <v>231</v>
      </c>
      <c r="O245" s="780">
        <v>0</v>
      </c>
      <c r="P245" s="781">
        <v>1.38</v>
      </c>
      <c r="Q245" s="781">
        <v>0.78120000000000001</v>
      </c>
      <c r="R245" s="782">
        <v>0</v>
      </c>
      <c r="S245" s="781">
        <v>5.4</v>
      </c>
      <c r="T245" s="781">
        <v>5.6</v>
      </c>
      <c r="U245" s="781">
        <v>3.1248</v>
      </c>
      <c r="V245" s="781">
        <v>2.3435999999999999</v>
      </c>
      <c r="W245" s="781">
        <v>13.02</v>
      </c>
      <c r="X245" s="781">
        <v>3.6456000000000004</v>
      </c>
      <c r="Y245" s="781">
        <v>18.228000000000002</v>
      </c>
      <c r="Z245" s="781">
        <v>52.08</v>
      </c>
      <c r="AA245" s="781">
        <v>78.12</v>
      </c>
      <c r="AB245" s="781">
        <v>52.08</v>
      </c>
      <c r="AC245" s="781">
        <v>0.26040000000000002</v>
      </c>
      <c r="AD245" s="781">
        <v>0.26040000000000002</v>
      </c>
      <c r="AE245" s="781">
        <v>0.26040000000000002</v>
      </c>
      <c r="AF245" s="781"/>
      <c r="AG245" s="781"/>
      <c r="AH245" s="781"/>
      <c r="AI245" s="784"/>
      <c r="AK245" s="783">
        <f>IFERROR(Tabela1[[#This Row],[EE(g)]]/Tabela1[[#This Row],[CMS(kg)]],0)</f>
        <v>0</v>
      </c>
    </row>
    <row r="246" spans="2:37" hidden="1">
      <c r="B246" s="774">
        <f>ROW()^2+(Tabela1[[#This Row],[ID2]])+ROW()</f>
        <v>61048</v>
      </c>
      <c r="C246" s="774">
        <v>286</v>
      </c>
      <c r="D246" s="774" t="s">
        <v>1256</v>
      </c>
      <c r="E246" s="775" t="s">
        <v>1276</v>
      </c>
      <c r="F246" s="775" t="s">
        <v>1269</v>
      </c>
      <c r="G246" s="775">
        <v>140</v>
      </c>
      <c r="H246" s="775" t="s">
        <v>0</v>
      </c>
      <c r="I246" s="779" t="s">
        <v>1285</v>
      </c>
      <c r="J246" s="774" t="s">
        <v>42</v>
      </c>
      <c r="K246" s="786">
        <v>0.75</v>
      </c>
      <c r="L246" s="777">
        <v>50</v>
      </c>
      <c r="M246" s="778">
        <v>0</v>
      </c>
      <c r="N246" s="779">
        <v>302</v>
      </c>
      <c r="O246" s="780">
        <v>0</v>
      </c>
      <c r="P246" s="781">
        <v>1.69</v>
      </c>
      <c r="Q246" s="781">
        <v>0.95760000000000001</v>
      </c>
      <c r="R246" s="782">
        <v>0</v>
      </c>
      <c r="S246" s="781">
        <v>7.5</v>
      </c>
      <c r="T246" s="781">
        <v>7.4</v>
      </c>
      <c r="U246" s="781">
        <v>3.8303999999999996</v>
      </c>
      <c r="V246" s="781">
        <v>2.8727999999999994</v>
      </c>
      <c r="W246" s="781">
        <v>15.959999999999999</v>
      </c>
      <c r="X246" s="781">
        <v>4.4687999999999999</v>
      </c>
      <c r="Y246" s="781">
        <v>22.343999999999998</v>
      </c>
      <c r="Z246" s="781">
        <v>63.839999999999996</v>
      </c>
      <c r="AA246" s="781">
        <v>95.759999999999991</v>
      </c>
      <c r="AB246" s="781">
        <v>63.839999999999996</v>
      </c>
      <c r="AC246" s="781">
        <v>0.31919999999999998</v>
      </c>
      <c r="AD246" s="781">
        <v>0.31919999999999998</v>
      </c>
      <c r="AE246" s="781">
        <v>0.31919999999999998</v>
      </c>
      <c r="AF246" s="781"/>
      <c r="AG246" s="781"/>
      <c r="AH246" s="781"/>
      <c r="AI246" s="784"/>
      <c r="AK246" s="783">
        <f>IFERROR(Tabela1[[#This Row],[EE(g)]]/Tabela1[[#This Row],[CMS(kg)]],0)</f>
        <v>0</v>
      </c>
    </row>
    <row r="247" spans="2:37" hidden="1">
      <c r="B247" s="774">
        <f>ROW()^2+(Tabela1[[#This Row],[ID2]])+ROW()</f>
        <v>61550</v>
      </c>
      <c r="C247" s="774">
        <v>294</v>
      </c>
      <c r="D247" s="774" t="s">
        <v>1256</v>
      </c>
      <c r="E247" s="775" t="s">
        <v>1276</v>
      </c>
      <c r="F247" s="775" t="s">
        <v>1269</v>
      </c>
      <c r="G247" s="775">
        <v>140</v>
      </c>
      <c r="H247" s="775" t="s">
        <v>0</v>
      </c>
      <c r="I247" s="779" t="s">
        <v>1286</v>
      </c>
      <c r="J247" s="774" t="s">
        <v>42</v>
      </c>
      <c r="K247" s="786">
        <v>0.97</v>
      </c>
      <c r="L247" s="777">
        <v>70</v>
      </c>
      <c r="M247" s="778">
        <v>0</v>
      </c>
      <c r="N247" s="779">
        <v>353</v>
      </c>
      <c r="O247" s="780">
        <v>0</v>
      </c>
      <c r="P247" s="781">
        <v>1.91</v>
      </c>
      <c r="Q247" s="781">
        <v>1.0793999999999999</v>
      </c>
      <c r="R247" s="782">
        <v>0</v>
      </c>
      <c r="S247" s="781">
        <v>9</v>
      </c>
      <c r="T247" s="781">
        <v>8.6</v>
      </c>
      <c r="U247" s="781">
        <v>4.3175999999999988</v>
      </c>
      <c r="V247" s="781">
        <v>3.2381999999999991</v>
      </c>
      <c r="W247" s="781">
        <v>17.989999999999998</v>
      </c>
      <c r="X247" s="781">
        <v>5.0371999999999995</v>
      </c>
      <c r="Y247" s="781">
        <v>25.185999999999996</v>
      </c>
      <c r="Z247" s="781">
        <v>71.959999999999994</v>
      </c>
      <c r="AA247" s="781">
        <v>107.93999999999998</v>
      </c>
      <c r="AB247" s="781">
        <v>71.959999999999994</v>
      </c>
      <c r="AC247" s="781">
        <v>0.35979999999999995</v>
      </c>
      <c r="AD247" s="781">
        <v>0.35979999999999995</v>
      </c>
      <c r="AE247" s="781">
        <v>0.35979999999999995</v>
      </c>
      <c r="AF247" s="781"/>
      <c r="AG247" s="781"/>
      <c r="AH247" s="781"/>
      <c r="AI247" s="784"/>
      <c r="AK247" s="783">
        <f>IFERROR(Tabela1[[#This Row],[EE(g)]]/Tabela1[[#This Row],[CMS(kg)]],0)</f>
        <v>0</v>
      </c>
    </row>
    <row r="248" spans="2:37" hidden="1">
      <c r="B248" s="774">
        <f>ROW()^2+(Tabela1[[#This Row],[ID2]])+ROW()</f>
        <v>61895</v>
      </c>
      <c r="C248" s="774">
        <v>143</v>
      </c>
      <c r="D248" s="774" t="s">
        <v>1256</v>
      </c>
      <c r="E248" s="775" t="s">
        <v>1276</v>
      </c>
      <c r="F248" s="775" t="s">
        <v>1258</v>
      </c>
      <c r="G248" s="775">
        <v>40</v>
      </c>
      <c r="H248" s="775" t="s">
        <v>0</v>
      </c>
      <c r="I248" s="776" t="s">
        <v>42</v>
      </c>
      <c r="J248" s="774" t="s">
        <v>42</v>
      </c>
      <c r="K248" s="774" t="s">
        <v>42</v>
      </c>
      <c r="L248" s="777">
        <v>0</v>
      </c>
      <c r="M248" s="778">
        <v>0</v>
      </c>
      <c r="N248" s="779">
        <v>56</v>
      </c>
      <c r="O248" s="780">
        <v>0</v>
      </c>
      <c r="P248" s="781">
        <v>0.41</v>
      </c>
      <c r="Q248" s="781">
        <v>0.2316</v>
      </c>
      <c r="R248" s="782">
        <v>0</v>
      </c>
      <c r="S248" s="781">
        <v>1.8</v>
      </c>
      <c r="T248" s="781">
        <v>1.3</v>
      </c>
      <c r="U248" s="781">
        <v>0.92639999999999989</v>
      </c>
      <c r="V248" s="781">
        <v>0.69479999999999986</v>
      </c>
      <c r="W248" s="781">
        <v>3.8599999999999994</v>
      </c>
      <c r="X248" s="781">
        <v>1.0808</v>
      </c>
      <c r="Y248" s="781">
        <v>5.403999999999999</v>
      </c>
      <c r="Z248" s="781">
        <v>15.439999999999998</v>
      </c>
      <c r="AA248" s="781">
        <v>23.159999999999997</v>
      </c>
      <c r="AB248" s="781">
        <v>15.439999999999998</v>
      </c>
      <c r="AC248" s="781">
        <v>7.7199999999999991E-2</v>
      </c>
      <c r="AD248" s="781">
        <v>7.7199999999999991E-2</v>
      </c>
      <c r="AE248" s="781">
        <v>7.7199999999999991E-2</v>
      </c>
      <c r="AF248" s="781"/>
      <c r="AG248" s="781"/>
      <c r="AH248" s="781"/>
      <c r="AI248" s="784"/>
      <c r="AK248" s="783">
        <f>IFERROR(Tabela1[[#This Row],[EE(g)]]/Tabela1[[#This Row],[CMS(kg)]],0)</f>
        <v>0</v>
      </c>
    </row>
    <row r="249" spans="2:37" hidden="1">
      <c r="B249" s="774">
        <f>ROW()^2+(Tabela1[[#This Row],[ID2]])+ROW()</f>
        <v>62394</v>
      </c>
      <c r="C249" s="774">
        <v>144</v>
      </c>
      <c r="D249" s="774" t="s">
        <v>1256</v>
      </c>
      <c r="E249" s="775" t="s">
        <v>1276</v>
      </c>
      <c r="F249" s="775" t="s">
        <v>1258</v>
      </c>
      <c r="G249" s="775">
        <v>50</v>
      </c>
      <c r="H249" s="775" t="s">
        <v>0</v>
      </c>
      <c r="I249" s="776" t="s">
        <v>42</v>
      </c>
      <c r="J249" s="774" t="s">
        <v>42</v>
      </c>
      <c r="K249" s="774" t="s">
        <v>42</v>
      </c>
      <c r="L249" s="777">
        <v>0</v>
      </c>
      <c r="M249" s="778">
        <v>0</v>
      </c>
      <c r="N249" s="779">
        <v>66</v>
      </c>
      <c r="O249" s="780">
        <v>0</v>
      </c>
      <c r="P249" s="781">
        <v>0.49</v>
      </c>
      <c r="Q249" s="781">
        <v>0.27450000000000002</v>
      </c>
      <c r="R249" s="782">
        <v>0</v>
      </c>
      <c r="S249" s="781">
        <v>2</v>
      </c>
      <c r="T249" s="781">
        <v>1.5</v>
      </c>
      <c r="U249" s="781">
        <v>1.0980000000000001</v>
      </c>
      <c r="V249" s="781">
        <v>0.8234999999999999</v>
      </c>
      <c r="W249" s="781">
        <v>4.5750000000000002</v>
      </c>
      <c r="X249" s="781">
        <v>1.2810000000000001</v>
      </c>
      <c r="Y249" s="781">
        <v>6.4050000000000002</v>
      </c>
      <c r="Z249" s="781">
        <v>18.3</v>
      </c>
      <c r="AA249" s="781">
        <v>27.450000000000003</v>
      </c>
      <c r="AB249" s="781">
        <v>18.3</v>
      </c>
      <c r="AC249" s="781">
        <v>9.1500000000000012E-2</v>
      </c>
      <c r="AD249" s="781">
        <v>9.1500000000000012E-2</v>
      </c>
      <c r="AE249" s="781">
        <v>9.1500000000000012E-2</v>
      </c>
      <c r="AF249" s="781"/>
      <c r="AG249" s="781"/>
      <c r="AH249" s="781"/>
      <c r="AI249" s="784"/>
      <c r="AK249" s="783">
        <f>IFERROR(Tabela1[[#This Row],[EE(g)]]/Tabela1[[#This Row],[CMS(kg)]],0)</f>
        <v>0</v>
      </c>
    </row>
    <row r="250" spans="2:37" hidden="1">
      <c r="B250" s="774">
        <f>ROW()^2+(Tabela1[[#This Row],[ID2]])+ROW()</f>
        <v>62895</v>
      </c>
      <c r="C250" s="774">
        <v>145</v>
      </c>
      <c r="D250" s="774" t="s">
        <v>1256</v>
      </c>
      <c r="E250" s="775" t="s">
        <v>1276</v>
      </c>
      <c r="F250" s="775" t="s">
        <v>1258</v>
      </c>
      <c r="G250" s="775">
        <v>60</v>
      </c>
      <c r="H250" s="775" t="s">
        <v>0</v>
      </c>
      <c r="I250" s="776" t="s">
        <v>42</v>
      </c>
      <c r="J250" s="774" t="s">
        <v>42</v>
      </c>
      <c r="K250" s="774" t="s">
        <v>42</v>
      </c>
      <c r="L250" s="777">
        <v>0</v>
      </c>
      <c r="M250" s="778">
        <v>0</v>
      </c>
      <c r="N250" s="779">
        <v>76</v>
      </c>
      <c r="O250" s="780">
        <v>0</v>
      </c>
      <c r="P250" s="781">
        <v>0.56000000000000005</v>
      </c>
      <c r="Q250" s="781">
        <v>0.315</v>
      </c>
      <c r="R250" s="782">
        <v>0</v>
      </c>
      <c r="S250" s="781">
        <v>2.2000000000000002</v>
      </c>
      <c r="T250" s="781">
        <v>1.8</v>
      </c>
      <c r="U250" s="781">
        <v>1.26</v>
      </c>
      <c r="V250" s="781">
        <v>0.94499999999999995</v>
      </c>
      <c r="W250" s="781">
        <v>5.25</v>
      </c>
      <c r="X250" s="781">
        <v>1.4700000000000002</v>
      </c>
      <c r="Y250" s="781">
        <v>7.3500000000000005</v>
      </c>
      <c r="Z250" s="781">
        <v>21</v>
      </c>
      <c r="AA250" s="781">
        <v>31.5</v>
      </c>
      <c r="AB250" s="781">
        <v>21</v>
      </c>
      <c r="AC250" s="781">
        <v>0.10500000000000001</v>
      </c>
      <c r="AD250" s="781">
        <v>0.10500000000000001</v>
      </c>
      <c r="AE250" s="781">
        <v>0.10500000000000001</v>
      </c>
      <c r="AF250" s="781"/>
      <c r="AG250" s="781"/>
      <c r="AH250" s="781"/>
      <c r="AI250" s="784"/>
      <c r="AK250" s="783">
        <f>IFERROR(Tabela1[[#This Row],[EE(g)]]/Tabela1[[#This Row],[CMS(kg)]],0)</f>
        <v>0</v>
      </c>
    </row>
    <row r="251" spans="2:37" hidden="1">
      <c r="B251" s="774">
        <f>ROW()^2+(Tabela1[[#This Row],[ID2]])+ROW()</f>
        <v>63398</v>
      </c>
      <c r="C251" s="774">
        <v>146</v>
      </c>
      <c r="D251" s="774" t="s">
        <v>1256</v>
      </c>
      <c r="E251" s="775" t="s">
        <v>1276</v>
      </c>
      <c r="F251" s="775" t="s">
        <v>1258</v>
      </c>
      <c r="G251" s="775">
        <v>70</v>
      </c>
      <c r="H251" s="775" t="s">
        <v>0</v>
      </c>
      <c r="I251" s="776" t="s">
        <v>42</v>
      </c>
      <c r="J251" s="774" t="s">
        <v>42</v>
      </c>
      <c r="K251" s="774" t="s">
        <v>42</v>
      </c>
      <c r="L251" s="777">
        <v>0</v>
      </c>
      <c r="M251" s="778">
        <v>0</v>
      </c>
      <c r="N251" s="779">
        <v>85</v>
      </c>
      <c r="O251" s="780">
        <v>0</v>
      </c>
      <c r="P251" s="781">
        <v>0.62</v>
      </c>
      <c r="Q251" s="781">
        <v>0.3528</v>
      </c>
      <c r="R251" s="782">
        <v>0</v>
      </c>
      <c r="S251" s="781">
        <v>2.4</v>
      </c>
      <c r="T251" s="781">
        <v>2</v>
      </c>
      <c r="U251" s="781">
        <v>1.4111999999999998</v>
      </c>
      <c r="V251" s="781">
        <v>1.0583999999999998</v>
      </c>
      <c r="W251" s="781">
        <v>5.88</v>
      </c>
      <c r="X251" s="781">
        <v>1.6464000000000001</v>
      </c>
      <c r="Y251" s="781">
        <v>8.2319999999999993</v>
      </c>
      <c r="Z251" s="781">
        <v>23.52</v>
      </c>
      <c r="AA251" s="781">
        <v>35.28</v>
      </c>
      <c r="AB251" s="781">
        <v>23.52</v>
      </c>
      <c r="AC251" s="781">
        <v>0.1176</v>
      </c>
      <c r="AD251" s="781">
        <v>0.1176</v>
      </c>
      <c r="AE251" s="781">
        <v>0.1176</v>
      </c>
      <c r="AF251" s="781"/>
      <c r="AG251" s="781"/>
      <c r="AH251" s="781"/>
      <c r="AI251" s="784"/>
      <c r="AK251" s="783">
        <f>IFERROR(Tabela1[[#This Row],[EE(g)]]/Tabela1[[#This Row],[CMS(kg)]],0)</f>
        <v>0</v>
      </c>
    </row>
    <row r="252" spans="2:37" hidden="1">
      <c r="B252" s="774">
        <f>ROW()^2+(Tabela1[[#This Row],[ID2]])+ROW()</f>
        <v>63903</v>
      </c>
      <c r="C252" s="774">
        <v>147</v>
      </c>
      <c r="D252" s="774" t="s">
        <v>1256</v>
      </c>
      <c r="E252" s="775" t="s">
        <v>1276</v>
      </c>
      <c r="F252" s="775" t="s">
        <v>1258</v>
      </c>
      <c r="G252" s="775">
        <v>80</v>
      </c>
      <c r="H252" s="775" t="s">
        <v>0</v>
      </c>
      <c r="I252" s="776" t="s">
        <v>42</v>
      </c>
      <c r="J252" s="774" t="s">
        <v>42</v>
      </c>
      <c r="K252" s="774" t="s">
        <v>42</v>
      </c>
      <c r="L252" s="777">
        <v>0</v>
      </c>
      <c r="M252" s="778">
        <v>0</v>
      </c>
      <c r="N252" s="779">
        <v>94</v>
      </c>
      <c r="O252" s="780">
        <v>0</v>
      </c>
      <c r="P252" s="781">
        <v>0.69</v>
      </c>
      <c r="Q252" s="781">
        <v>0.39119999999999999</v>
      </c>
      <c r="R252" s="782">
        <v>0</v>
      </c>
      <c r="S252" s="781">
        <v>2.6</v>
      </c>
      <c r="T252" s="781">
        <v>2.2000000000000002</v>
      </c>
      <c r="U252" s="781">
        <v>1.5647999999999997</v>
      </c>
      <c r="V252" s="781">
        <v>1.1735999999999998</v>
      </c>
      <c r="W252" s="781">
        <v>6.52</v>
      </c>
      <c r="X252" s="781">
        <v>1.8255999999999999</v>
      </c>
      <c r="Y252" s="781">
        <v>9.1279999999999983</v>
      </c>
      <c r="Z252" s="781">
        <v>26.08</v>
      </c>
      <c r="AA252" s="781">
        <v>39.119999999999997</v>
      </c>
      <c r="AB252" s="781">
        <v>26.08</v>
      </c>
      <c r="AC252" s="781">
        <v>0.13039999999999999</v>
      </c>
      <c r="AD252" s="781">
        <v>0.13039999999999999</v>
      </c>
      <c r="AE252" s="781">
        <v>0.13039999999999999</v>
      </c>
      <c r="AF252" s="781"/>
      <c r="AG252" s="781"/>
      <c r="AH252" s="781"/>
      <c r="AI252" s="784"/>
      <c r="AK252" s="783">
        <f>IFERROR(Tabela1[[#This Row],[EE(g)]]/Tabela1[[#This Row],[CMS(kg)]],0)</f>
        <v>0</v>
      </c>
    </row>
    <row r="253" spans="2:37" hidden="1">
      <c r="B253" s="774">
        <f>ROW()^2+(Tabela1[[#This Row],[ID2]])+ROW()</f>
        <v>64410</v>
      </c>
      <c r="C253" s="774">
        <v>148</v>
      </c>
      <c r="D253" s="774" t="s">
        <v>1256</v>
      </c>
      <c r="E253" s="775" t="s">
        <v>1276</v>
      </c>
      <c r="F253" s="775" t="s">
        <v>1258</v>
      </c>
      <c r="G253" s="775">
        <v>90</v>
      </c>
      <c r="H253" s="775" t="s">
        <v>0</v>
      </c>
      <c r="I253" s="776" t="s">
        <v>42</v>
      </c>
      <c r="J253" s="774" t="s">
        <v>42</v>
      </c>
      <c r="K253" s="774" t="s">
        <v>42</v>
      </c>
      <c r="L253" s="777">
        <v>0</v>
      </c>
      <c r="M253" s="778">
        <v>0</v>
      </c>
      <c r="N253" s="779">
        <v>103</v>
      </c>
      <c r="O253" s="780">
        <v>0</v>
      </c>
      <c r="P253" s="781">
        <v>0.75</v>
      </c>
      <c r="Q253" s="781">
        <v>0.42659999999999998</v>
      </c>
      <c r="R253" s="782">
        <v>0</v>
      </c>
      <c r="S253" s="781">
        <v>2.8</v>
      </c>
      <c r="T253" s="781">
        <v>2.5</v>
      </c>
      <c r="U253" s="781">
        <v>1.7064000000000001</v>
      </c>
      <c r="V253" s="781">
        <v>1.2798</v>
      </c>
      <c r="W253" s="781">
        <v>7.1100000000000012</v>
      </c>
      <c r="X253" s="781">
        <v>1.9908000000000003</v>
      </c>
      <c r="Y253" s="781">
        <v>9.9540000000000006</v>
      </c>
      <c r="Z253" s="781">
        <v>28.440000000000005</v>
      </c>
      <c r="AA253" s="781">
        <v>42.660000000000004</v>
      </c>
      <c r="AB253" s="781">
        <v>28.440000000000005</v>
      </c>
      <c r="AC253" s="781">
        <v>0.14220000000000002</v>
      </c>
      <c r="AD253" s="781">
        <v>0.14220000000000002</v>
      </c>
      <c r="AE253" s="781">
        <v>0.14220000000000002</v>
      </c>
      <c r="AF253" s="781"/>
      <c r="AG253" s="781"/>
      <c r="AH253" s="781"/>
      <c r="AI253" s="784"/>
      <c r="AK253" s="783">
        <f>IFERROR(Tabela1[[#This Row],[EE(g)]]/Tabela1[[#This Row],[CMS(kg)]],0)</f>
        <v>0</v>
      </c>
    </row>
    <row r="254" spans="2:37" hidden="1">
      <c r="B254" s="774">
        <f>ROW()^2+(Tabela1[[#This Row],[ID2]])+ROW()</f>
        <v>64919</v>
      </c>
      <c r="C254" s="774">
        <v>149</v>
      </c>
      <c r="D254" s="774" t="s">
        <v>1256</v>
      </c>
      <c r="E254" s="775" t="s">
        <v>1276</v>
      </c>
      <c r="F254" s="775" t="s">
        <v>1258</v>
      </c>
      <c r="G254" s="775">
        <v>100</v>
      </c>
      <c r="H254" s="775" t="s">
        <v>0</v>
      </c>
      <c r="I254" s="776" t="s">
        <v>42</v>
      </c>
      <c r="J254" s="774" t="s">
        <v>42</v>
      </c>
      <c r="K254" s="774" t="s">
        <v>42</v>
      </c>
      <c r="L254" s="777">
        <v>0</v>
      </c>
      <c r="M254" s="778">
        <v>0</v>
      </c>
      <c r="N254" s="779">
        <v>111</v>
      </c>
      <c r="O254" s="780">
        <v>0</v>
      </c>
      <c r="P254" s="781">
        <v>0.82</v>
      </c>
      <c r="Q254" s="781">
        <v>0.46200000000000002</v>
      </c>
      <c r="R254" s="782">
        <v>0</v>
      </c>
      <c r="S254" s="781">
        <v>3</v>
      </c>
      <c r="T254" s="781">
        <v>2.7</v>
      </c>
      <c r="U254" s="781">
        <v>1.8479999999999999</v>
      </c>
      <c r="V254" s="781">
        <v>1.3859999999999999</v>
      </c>
      <c r="W254" s="781">
        <v>7.7</v>
      </c>
      <c r="X254" s="781">
        <v>2.1560000000000001</v>
      </c>
      <c r="Y254" s="781">
        <v>10.780000000000001</v>
      </c>
      <c r="Z254" s="781">
        <v>30.8</v>
      </c>
      <c r="AA254" s="781">
        <v>46.2</v>
      </c>
      <c r="AB254" s="781">
        <v>30.8</v>
      </c>
      <c r="AC254" s="781">
        <v>0.15400000000000003</v>
      </c>
      <c r="AD254" s="781">
        <v>0.15400000000000003</v>
      </c>
      <c r="AE254" s="781">
        <v>0.15400000000000003</v>
      </c>
      <c r="AF254" s="781"/>
      <c r="AG254" s="781"/>
      <c r="AH254" s="781"/>
      <c r="AI254" s="784"/>
      <c r="AK254" s="783">
        <f>IFERROR(Tabela1[[#This Row],[EE(g)]]/Tabela1[[#This Row],[CMS(kg)]],0)</f>
        <v>0</v>
      </c>
    </row>
    <row r="255" spans="2:37" hidden="1">
      <c r="B255" s="774">
        <f>ROW()^2+(Tabela1[[#This Row],[ID2]])+ROW()</f>
        <v>65430</v>
      </c>
      <c r="C255" s="774">
        <v>150</v>
      </c>
      <c r="D255" s="774" t="s">
        <v>1256</v>
      </c>
      <c r="E255" s="775" t="s">
        <v>1276</v>
      </c>
      <c r="F255" s="775" t="s">
        <v>1258</v>
      </c>
      <c r="G255" s="775">
        <v>120</v>
      </c>
      <c r="H255" s="775" t="s">
        <v>0</v>
      </c>
      <c r="I255" s="776" t="s">
        <v>42</v>
      </c>
      <c r="J255" s="774" t="s">
        <v>42</v>
      </c>
      <c r="K255" s="774" t="s">
        <v>42</v>
      </c>
      <c r="L255" s="777">
        <v>0</v>
      </c>
      <c r="M255" s="778">
        <v>0</v>
      </c>
      <c r="N255" s="779">
        <v>128</v>
      </c>
      <c r="O255" s="780">
        <v>0</v>
      </c>
      <c r="P255" s="781">
        <v>0.94</v>
      </c>
      <c r="Q255" s="781">
        <v>0.5292</v>
      </c>
      <c r="R255" s="782">
        <v>0</v>
      </c>
      <c r="S255" s="781">
        <v>3.3</v>
      </c>
      <c r="T255" s="781">
        <v>3.1</v>
      </c>
      <c r="U255" s="781">
        <v>2.1168</v>
      </c>
      <c r="V255" s="781">
        <v>1.5875999999999999</v>
      </c>
      <c r="W255" s="781">
        <v>8.82</v>
      </c>
      <c r="X255" s="781">
        <v>2.4696000000000002</v>
      </c>
      <c r="Y255" s="781">
        <v>12.348000000000001</v>
      </c>
      <c r="Z255" s="781">
        <v>35.28</v>
      </c>
      <c r="AA255" s="781">
        <v>52.92</v>
      </c>
      <c r="AB255" s="781">
        <v>35.28</v>
      </c>
      <c r="AC255" s="781">
        <v>0.1764</v>
      </c>
      <c r="AD255" s="781">
        <v>0.1764</v>
      </c>
      <c r="AE255" s="781">
        <v>0.1764</v>
      </c>
      <c r="AF255" s="781"/>
      <c r="AG255" s="781"/>
      <c r="AH255" s="781"/>
      <c r="AI255" s="784"/>
      <c r="AK255" s="783">
        <f>IFERROR(Tabela1[[#This Row],[EE(g)]]/Tabela1[[#This Row],[CMS(kg)]],0)</f>
        <v>0</v>
      </c>
    </row>
    <row r="256" spans="2:37" hidden="1">
      <c r="B256" s="774">
        <f>ROW()^2+(Tabela1[[#This Row],[ID2]])+ROW()</f>
        <v>65943</v>
      </c>
      <c r="C256" s="774">
        <v>151</v>
      </c>
      <c r="D256" s="774" t="s">
        <v>1256</v>
      </c>
      <c r="E256" s="775" t="s">
        <v>1276</v>
      </c>
      <c r="F256" s="775" t="s">
        <v>1258</v>
      </c>
      <c r="G256" s="775">
        <v>140</v>
      </c>
      <c r="H256" s="775" t="s">
        <v>0</v>
      </c>
      <c r="I256" s="776" t="s">
        <v>42</v>
      </c>
      <c r="J256" s="774" t="s">
        <v>42</v>
      </c>
      <c r="K256" s="774" t="s">
        <v>42</v>
      </c>
      <c r="L256" s="777">
        <v>0</v>
      </c>
      <c r="M256" s="778">
        <v>0</v>
      </c>
      <c r="N256" s="779">
        <v>145</v>
      </c>
      <c r="O256" s="780">
        <v>0</v>
      </c>
      <c r="P256" s="781">
        <v>1.05</v>
      </c>
      <c r="Q256" s="781">
        <v>0.59219999999999995</v>
      </c>
      <c r="R256" s="782">
        <v>0</v>
      </c>
      <c r="S256" s="781">
        <v>3.7</v>
      </c>
      <c r="T256" s="781">
        <v>3.5</v>
      </c>
      <c r="U256" s="781">
        <v>2.3687999999999998</v>
      </c>
      <c r="V256" s="781">
        <v>1.7765999999999997</v>
      </c>
      <c r="W256" s="781">
        <v>9.8699999999999992</v>
      </c>
      <c r="X256" s="781">
        <v>2.7636000000000003</v>
      </c>
      <c r="Y256" s="781">
        <v>13.818</v>
      </c>
      <c r="Z256" s="781">
        <v>39.479999999999997</v>
      </c>
      <c r="AA256" s="781">
        <v>59.22</v>
      </c>
      <c r="AB256" s="781">
        <v>39.479999999999997</v>
      </c>
      <c r="AC256" s="781">
        <v>0.19740000000000002</v>
      </c>
      <c r="AD256" s="781">
        <v>0.19740000000000002</v>
      </c>
      <c r="AE256" s="781">
        <v>0.19740000000000002</v>
      </c>
      <c r="AF256" s="781"/>
      <c r="AG256" s="781"/>
      <c r="AH256" s="781"/>
      <c r="AI256" s="784"/>
      <c r="AK256" s="783">
        <f>IFERROR(Tabela1[[#This Row],[EE(g)]]/Tabela1[[#This Row],[CMS(kg)]],0)</f>
        <v>0</v>
      </c>
    </row>
    <row r="257" spans="2:37" hidden="1">
      <c r="B257" s="774">
        <f>ROW()^2+(Tabela1[[#This Row],[ID2]])+ROW()</f>
        <v>66548</v>
      </c>
      <c r="C257" s="774">
        <v>242</v>
      </c>
      <c r="D257" s="774" t="s">
        <v>1256</v>
      </c>
      <c r="E257" s="775" t="s">
        <v>1276</v>
      </c>
      <c r="F257" s="775" t="s">
        <v>1270</v>
      </c>
      <c r="G257" s="775">
        <v>40</v>
      </c>
      <c r="H257" s="775" t="s">
        <v>0</v>
      </c>
      <c r="I257" s="779" t="s">
        <v>1266</v>
      </c>
      <c r="J257" s="774" t="s">
        <v>42</v>
      </c>
      <c r="K257" s="786">
        <v>0.47</v>
      </c>
      <c r="L257" s="777">
        <v>0</v>
      </c>
      <c r="M257" s="778">
        <v>0</v>
      </c>
      <c r="N257" s="779">
        <v>128</v>
      </c>
      <c r="O257" s="780">
        <v>0</v>
      </c>
      <c r="P257" s="781">
        <v>0.64</v>
      </c>
      <c r="Q257" s="781">
        <v>0.36120000000000002</v>
      </c>
      <c r="R257" s="782">
        <v>0</v>
      </c>
      <c r="S257" s="781">
        <v>3.5</v>
      </c>
      <c r="T257" s="781">
        <v>3.1</v>
      </c>
      <c r="U257" s="781">
        <v>1.4447999999999999</v>
      </c>
      <c r="V257" s="781">
        <v>1.0835999999999999</v>
      </c>
      <c r="W257" s="781">
        <v>6.02</v>
      </c>
      <c r="X257" s="781">
        <v>1.6856000000000002</v>
      </c>
      <c r="Y257" s="781">
        <v>8.427999999999999</v>
      </c>
      <c r="Z257" s="781">
        <v>24.08</v>
      </c>
      <c r="AA257" s="781">
        <v>36.119999999999997</v>
      </c>
      <c r="AB257" s="781">
        <v>24.08</v>
      </c>
      <c r="AC257" s="781">
        <v>0.12040000000000001</v>
      </c>
      <c r="AD257" s="781">
        <v>0.12040000000000001</v>
      </c>
      <c r="AE257" s="781">
        <v>0.12040000000000001</v>
      </c>
      <c r="AF257" s="781"/>
      <c r="AG257" s="781"/>
      <c r="AH257" s="781"/>
      <c r="AI257" s="784"/>
      <c r="AK257" s="783">
        <f>IFERROR(Tabela1[[#This Row],[EE(g)]]/Tabela1[[#This Row],[CMS(kg)]],0)</f>
        <v>0</v>
      </c>
    </row>
    <row r="258" spans="2:37" hidden="1">
      <c r="B258" s="774">
        <f>ROW()^2+(Tabela1[[#This Row],[ID2]])+ROW()</f>
        <v>67073</v>
      </c>
      <c r="C258" s="774">
        <v>251</v>
      </c>
      <c r="D258" s="774" t="s">
        <v>1256</v>
      </c>
      <c r="E258" s="775" t="s">
        <v>1276</v>
      </c>
      <c r="F258" s="775" t="s">
        <v>1270</v>
      </c>
      <c r="G258" s="775">
        <v>40</v>
      </c>
      <c r="H258" s="775" t="s">
        <v>0</v>
      </c>
      <c r="I258" s="779" t="s">
        <v>1285</v>
      </c>
      <c r="J258" s="774" t="s">
        <v>42</v>
      </c>
      <c r="K258" s="786">
        <v>0.79</v>
      </c>
      <c r="L258" s="777">
        <v>0</v>
      </c>
      <c r="M258" s="778">
        <v>0</v>
      </c>
      <c r="N258" s="779">
        <v>177</v>
      </c>
      <c r="O258" s="780">
        <v>0</v>
      </c>
      <c r="P258" s="781">
        <v>0.79</v>
      </c>
      <c r="Q258" s="781">
        <v>0.44879999999999998</v>
      </c>
      <c r="R258" s="782">
        <v>0</v>
      </c>
      <c r="S258" s="781">
        <v>4.9000000000000004</v>
      </c>
      <c r="T258" s="781">
        <v>4.3</v>
      </c>
      <c r="U258" s="781">
        <v>1.7951999999999999</v>
      </c>
      <c r="V258" s="781">
        <v>1.3463999999999998</v>
      </c>
      <c r="W258" s="781">
        <v>7.48</v>
      </c>
      <c r="X258" s="781">
        <v>2.0944000000000003</v>
      </c>
      <c r="Y258" s="781">
        <v>10.472</v>
      </c>
      <c r="Z258" s="781">
        <v>29.92</v>
      </c>
      <c r="AA258" s="781">
        <v>44.88</v>
      </c>
      <c r="AB258" s="781">
        <v>29.92</v>
      </c>
      <c r="AC258" s="781">
        <v>0.14960000000000001</v>
      </c>
      <c r="AD258" s="781">
        <v>0.14960000000000001</v>
      </c>
      <c r="AE258" s="781">
        <v>0.14960000000000001</v>
      </c>
      <c r="AF258" s="781"/>
      <c r="AG258" s="781"/>
      <c r="AH258" s="781"/>
      <c r="AI258" s="784"/>
      <c r="AK258" s="783">
        <f>IFERROR(Tabela1[[#This Row],[EE(g)]]/Tabela1[[#This Row],[CMS(kg)]],0)</f>
        <v>0</v>
      </c>
    </row>
    <row r="259" spans="2:37" hidden="1">
      <c r="B259" s="774">
        <f>ROW()^2+(Tabela1[[#This Row],[ID2]])+ROW()</f>
        <v>67600</v>
      </c>
      <c r="C259" s="774">
        <v>260</v>
      </c>
      <c r="D259" s="774" t="s">
        <v>1256</v>
      </c>
      <c r="E259" s="775" t="s">
        <v>1276</v>
      </c>
      <c r="F259" s="775" t="s">
        <v>1270</v>
      </c>
      <c r="G259" s="775">
        <v>40</v>
      </c>
      <c r="H259" s="775" t="s">
        <v>0</v>
      </c>
      <c r="I259" s="779" t="s">
        <v>1286</v>
      </c>
      <c r="J259" s="774" t="s">
        <v>42</v>
      </c>
      <c r="K259" s="786">
        <v>1.03</v>
      </c>
      <c r="L259" s="777">
        <v>0</v>
      </c>
      <c r="M259" s="778">
        <v>0</v>
      </c>
      <c r="N259" s="779">
        <v>203</v>
      </c>
      <c r="O259" s="780">
        <v>0</v>
      </c>
      <c r="P259" s="781">
        <v>0.91</v>
      </c>
      <c r="Q259" s="781">
        <v>0.41160000000000002</v>
      </c>
      <c r="R259" s="782">
        <v>0</v>
      </c>
      <c r="S259" s="781">
        <v>5.5</v>
      </c>
      <c r="T259" s="781">
        <v>4.5999999999999996</v>
      </c>
      <c r="U259" s="781">
        <v>1.6464000000000001</v>
      </c>
      <c r="V259" s="781">
        <v>1.2347999999999999</v>
      </c>
      <c r="W259" s="781">
        <v>6.86</v>
      </c>
      <c r="X259" s="781">
        <v>1.9208000000000003</v>
      </c>
      <c r="Y259" s="781">
        <v>9.604000000000001</v>
      </c>
      <c r="Z259" s="781">
        <v>27.44</v>
      </c>
      <c r="AA259" s="781">
        <v>41.160000000000004</v>
      </c>
      <c r="AB259" s="781">
        <v>27.44</v>
      </c>
      <c r="AC259" s="781">
        <v>0.13720000000000002</v>
      </c>
      <c r="AD259" s="781">
        <v>0.13720000000000002</v>
      </c>
      <c r="AE259" s="781">
        <v>0.13720000000000002</v>
      </c>
      <c r="AF259" s="781"/>
      <c r="AG259" s="781"/>
      <c r="AH259" s="781"/>
      <c r="AI259" s="784"/>
      <c r="AK259" s="783">
        <f>IFERROR(Tabela1[[#This Row],[EE(g)]]/Tabela1[[#This Row],[CMS(kg)]],0)</f>
        <v>0</v>
      </c>
    </row>
    <row r="260" spans="2:37" hidden="1">
      <c r="B260" s="774">
        <f>ROW()^2+(Tabela1[[#This Row],[ID2]])+ROW()</f>
        <v>68103</v>
      </c>
      <c r="C260" s="774">
        <v>243</v>
      </c>
      <c r="D260" s="774" t="s">
        <v>1256</v>
      </c>
      <c r="E260" s="775" t="s">
        <v>1276</v>
      </c>
      <c r="F260" s="775" t="s">
        <v>1270</v>
      </c>
      <c r="G260" s="775">
        <v>50</v>
      </c>
      <c r="H260" s="775" t="s">
        <v>0</v>
      </c>
      <c r="I260" s="779" t="s">
        <v>1266</v>
      </c>
      <c r="J260" s="774" t="s">
        <v>42</v>
      </c>
      <c r="K260" s="786">
        <v>0.53</v>
      </c>
      <c r="L260" s="777">
        <v>0</v>
      </c>
      <c r="M260" s="778">
        <v>0</v>
      </c>
      <c r="N260" s="779">
        <v>147</v>
      </c>
      <c r="O260" s="780">
        <v>0</v>
      </c>
      <c r="P260" s="781">
        <v>0.74</v>
      </c>
      <c r="Q260" s="781">
        <v>0.42</v>
      </c>
      <c r="R260" s="782">
        <v>0</v>
      </c>
      <c r="S260" s="781">
        <v>3.9</v>
      </c>
      <c r="T260" s="781">
        <v>3.6</v>
      </c>
      <c r="U260" s="781">
        <v>1.68</v>
      </c>
      <c r="V260" s="781">
        <v>1.2599999999999998</v>
      </c>
      <c r="W260" s="781">
        <v>7</v>
      </c>
      <c r="X260" s="781">
        <v>1.96</v>
      </c>
      <c r="Y260" s="781">
        <v>9.7999999999999989</v>
      </c>
      <c r="Z260" s="781">
        <v>28</v>
      </c>
      <c r="AA260" s="781">
        <v>42</v>
      </c>
      <c r="AB260" s="781">
        <v>28</v>
      </c>
      <c r="AC260" s="781">
        <v>0.13999999999999999</v>
      </c>
      <c r="AD260" s="781">
        <v>0.13999999999999999</v>
      </c>
      <c r="AE260" s="781">
        <v>0.13999999999999999</v>
      </c>
      <c r="AF260" s="781"/>
      <c r="AG260" s="781"/>
      <c r="AH260" s="781"/>
      <c r="AI260" s="784"/>
      <c r="AK260" s="783">
        <f>IFERROR(Tabela1[[#This Row],[EE(g)]]/Tabela1[[#This Row],[CMS(kg)]],0)</f>
        <v>0</v>
      </c>
    </row>
    <row r="261" spans="2:37" hidden="1">
      <c r="B261" s="774">
        <f>ROW()^2+(Tabela1[[#This Row],[ID2]])+ROW()</f>
        <v>68634</v>
      </c>
      <c r="C261" s="774">
        <v>252</v>
      </c>
      <c r="D261" s="774" t="s">
        <v>1256</v>
      </c>
      <c r="E261" s="775" t="s">
        <v>1276</v>
      </c>
      <c r="F261" s="775" t="s">
        <v>1270</v>
      </c>
      <c r="G261" s="775">
        <v>50</v>
      </c>
      <c r="H261" s="775" t="s">
        <v>0</v>
      </c>
      <c r="I261" s="779" t="s">
        <v>1285</v>
      </c>
      <c r="J261" s="774" t="s">
        <v>42</v>
      </c>
      <c r="K261" s="786">
        <v>0.88</v>
      </c>
      <c r="L261" s="777">
        <v>0</v>
      </c>
      <c r="M261" s="778">
        <v>0</v>
      </c>
      <c r="N261" s="779">
        <v>201</v>
      </c>
      <c r="O261" s="780">
        <v>0</v>
      </c>
      <c r="P261" s="781">
        <v>0.91</v>
      </c>
      <c r="Q261" s="781">
        <v>0.51600000000000001</v>
      </c>
      <c r="R261" s="782">
        <v>0</v>
      </c>
      <c r="S261" s="781">
        <v>5.4</v>
      </c>
      <c r="T261" s="781">
        <v>4.9000000000000004</v>
      </c>
      <c r="U261" s="781">
        <v>2.0640000000000001</v>
      </c>
      <c r="V261" s="781">
        <v>1.5479999999999998</v>
      </c>
      <c r="W261" s="781">
        <v>8.6</v>
      </c>
      <c r="X261" s="781">
        <v>2.4080000000000004</v>
      </c>
      <c r="Y261" s="781">
        <v>12.04</v>
      </c>
      <c r="Z261" s="781">
        <v>34.4</v>
      </c>
      <c r="AA261" s="781">
        <v>51.6</v>
      </c>
      <c r="AB261" s="781">
        <v>34.4</v>
      </c>
      <c r="AC261" s="781">
        <v>0.17200000000000001</v>
      </c>
      <c r="AD261" s="781">
        <v>0.17200000000000001</v>
      </c>
      <c r="AE261" s="781">
        <v>0.17200000000000001</v>
      </c>
      <c r="AF261" s="781"/>
      <c r="AG261" s="781"/>
      <c r="AH261" s="781"/>
      <c r="AI261" s="784"/>
      <c r="AK261" s="783">
        <f>IFERROR(Tabela1[[#This Row],[EE(g)]]/Tabela1[[#This Row],[CMS(kg)]],0)</f>
        <v>0</v>
      </c>
    </row>
    <row r="262" spans="2:37" hidden="1">
      <c r="B262" s="774">
        <f>ROW()^2+(Tabela1[[#This Row],[ID2]])+ROW()</f>
        <v>69167</v>
      </c>
      <c r="C262" s="774">
        <v>261</v>
      </c>
      <c r="D262" s="774" t="s">
        <v>1256</v>
      </c>
      <c r="E262" s="775" t="s">
        <v>1276</v>
      </c>
      <c r="F262" s="775" t="s">
        <v>1270</v>
      </c>
      <c r="G262" s="775">
        <v>50</v>
      </c>
      <c r="H262" s="775" t="s">
        <v>0</v>
      </c>
      <c r="I262" s="779" t="s">
        <v>1286</v>
      </c>
      <c r="J262" s="774" t="s">
        <v>42</v>
      </c>
      <c r="K262" s="786">
        <v>1.1499999999999999</v>
      </c>
      <c r="L262" s="777">
        <v>0</v>
      </c>
      <c r="M262" s="778">
        <v>0</v>
      </c>
      <c r="N262" s="779">
        <v>242</v>
      </c>
      <c r="O262" s="780">
        <v>0</v>
      </c>
      <c r="P262" s="781">
        <v>1.04</v>
      </c>
      <c r="Q262" s="781">
        <v>0.58950000000000002</v>
      </c>
      <c r="R262" s="782">
        <v>0</v>
      </c>
      <c r="S262" s="781">
        <v>6.6</v>
      </c>
      <c r="T262" s="781">
        <v>6</v>
      </c>
      <c r="U262" s="781">
        <v>2.3580000000000001</v>
      </c>
      <c r="V262" s="781">
        <v>1.7685</v>
      </c>
      <c r="W262" s="781">
        <v>9.8250000000000011</v>
      </c>
      <c r="X262" s="781">
        <v>2.7510000000000003</v>
      </c>
      <c r="Y262" s="781">
        <v>13.755000000000001</v>
      </c>
      <c r="Z262" s="781">
        <v>39.300000000000004</v>
      </c>
      <c r="AA262" s="781">
        <v>58.95</v>
      </c>
      <c r="AB262" s="781">
        <v>39.300000000000004</v>
      </c>
      <c r="AC262" s="781">
        <v>0.19650000000000001</v>
      </c>
      <c r="AD262" s="781">
        <v>0.19650000000000001</v>
      </c>
      <c r="AE262" s="781">
        <v>0.19650000000000001</v>
      </c>
      <c r="AF262" s="781"/>
      <c r="AG262" s="781"/>
      <c r="AH262" s="781"/>
      <c r="AI262" s="784"/>
      <c r="AK262" s="783">
        <f>IFERROR(Tabela1[[#This Row],[EE(g)]]/Tabela1[[#This Row],[CMS(kg)]],0)</f>
        <v>0</v>
      </c>
    </row>
    <row r="263" spans="2:37" hidden="1">
      <c r="B263" s="774">
        <f>ROW()^2+(Tabela1[[#This Row],[ID2]])+ROW()</f>
        <v>69676</v>
      </c>
      <c r="C263" s="774">
        <v>244</v>
      </c>
      <c r="D263" s="774" t="s">
        <v>1256</v>
      </c>
      <c r="E263" s="775" t="s">
        <v>1276</v>
      </c>
      <c r="F263" s="775" t="s">
        <v>1270</v>
      </c>
      <c r="G263" s="775">
        <v>60</v>
      </c>
      <c r="H263" s="775" t="s">
        <v>0</v>
      </c>
      <c r="I263" s="779" t="s">
        <v>1266</v>
      </c>
      <c r="J263" s="774" t="s">
        <v>42</v>
      </c>
      <c r="K263" s="786">
        <v>0.57999999999999996</v>
      </c>
      <c r="L263" s="777">
        <v>0</v>
      </c>
      <c r="M263" s="778">
        <v>0</v>
      </c>
      <c r="N263" s="779">
        <v>164</v>
      </c>
      <c r="O263" s="780">
        <v>0</v>
      </c>
      <c r="P263" s="781">
        <v>0.84</v>
      </c>
      <c r="Q263" s="781">
        <v>0.47339999999999999</v>
      </c>
      <c r="R263" s="782">
        <v>0</v>
      </c>
      <c r="S263" s="781">
        <v>4.3</v>
      </c>
      <c r="T263" s="781">
        <v>4</v>
      </c>
      <c r="U263" s="781">
        <v>1.8935999999999999</v>
      </c>
      <c r="V263" s="781">
        <v>1.4201999999999999</v>
      </c>
      <c r="W263" s="781">
        <v>7.8900000000000006</v>
      </c>
      <c r="X263" s="781">
        <v>2.2092000000000005</v>
      </c>
      <c r="Y263" s="781">
        <v>11.046000000000001</v>
      </c>
      <c r="Z263" s="781">
        <v>31.560000000000002</v>
      </c>
      <c r="AA263" s="781">
        <v>47.34</v>
      </c>
      <c r="AB263" s="781">
        <v>31.560000000000002</v>
      </c>
      <c r="AC263" s="781">
        <v>0.15780000000000002</v>
      </c>
      <c r="AD263" s="781">
        <v>0.15780000000000002</v>
      </c>
      <c r="AE263" s="781">
        <v>0.15780000000000002</v>
      </c>
      <c r="AF263" s="781"/>
      <c r="AG263" s="781"/>
      <c r="AH263" s="781"/>
      <c r="AI263" s="784"/>
      <c r="AK263" s="783">
        <f>IFERROR(Tabela1[[#This Row],[EE(g)]]/Tabela1[[#This Row],[CMS(kg)]],0)</f>
        <v>0</v>
      </c>
    </row>
    <row r="264" spans="2:37" hidden="1">
      <c r="B264" s="774">
        <f>ROW()^2+(Tabela1[[#This Row],[ID2]])+ROW()</f>
        <v>70213</v>
      </c>
      <c r="C264" s="774">
        <v>253</v>
      </c>
      <c r="D264" s="774" t="s">
        <v>1256</v>
      </c>
      <c r="E264" s="775" t="s">
        <v>1276</v>
      </c>
      <c r="F264" s="775" t="s">
        <v>1270</v>
      </c>
      <c r="G264" s="775">
        <v>60</v>
      </c>
      <c r="H264" s="775" t="s">
        <v>0</v>
      </c>
      <c r="I264" s="779" t="s">
        <v>1285</v>
      </c>
      <c r="J264" s="774" t="s">
        <v>42</v>
      </c>
      <c r="K264" s="786">
        <v>0.97</v>
      </c>
      <c r="L264" s="777">
        <v>0</v>
      </c>
      <c r="M264" s="778">
        <v>0</v>
      </c>
      <c r="N264" s="779">
        <v>224</v>
      </c>
      <c r="O264" s="780">
        <v>0</v>
      </c>
      <c r="P264" s="781">
        <v>1.03</v>
      </c>
      <c r="Q264" s="781">
        <v>0.58140000000000003</v>
      </c>
      <c r="R264" s="782">
        <v>0</v>
      </c>
      <c r="S264" s="781">
        <v>6</v>
      </c>
      <c r="T264" s="781">
        <v>5.5</v>
      </c>
      <c r="U264" s="781">
        <v>2.3256000000000001</v>
      </c>
      <c r="V264" s="781">
        <v>1.7442</v>
      </c>
      <c r="W264" s="781">
        <v>9.6900000000000013</v>
      </c>
      <c r="X264" s="781">
        <v>2.7132000000000005</v>
      </c>
      <c r="Y264" s="781">
        <v>13.566000000000001</v>
      </c>
      <c r="Z264" s="781">
        <v>38.760000000000005</v>
      </c>
      <c r="AA264" s="781">
        <v>58.140000000000008</v>
      </c>
      <c r="AB264" s="781">
        <v>38.760000000000005</v>
      </c>
      <c r="AC264" s="781">
        <v>0.19380000000000003</v>
      </c>
      <c r="AD264" s="781">
        <v>0.19380000000000003</v>
      </c>
      <c r="AE264" s="781">
        <v>0.19380000000000003</v>
      </c>
      <c r="AF264" s="781"/>
      <c r="AG264" s="781"/>
      <c r="AH264" s="781"/>
      <c r="AI264" s="784"/>
      <c r="AK264" s="783">
        <f>IFERROR(Tabela1[[#This Row],[EE(g)]]/Tabela1[[#This Row],[CMS(kg)]],0)</f>
        <v>0</v>
      </c>
    </row>
    <row r="265" spans="2:37" hidden="1">
      <c r="B265" s="774">
        <f>ROW()^2+(Tabela1[[#This Row],[ID2]])+ROW()</f>
        <v>70752</v>
      </c>
      <c r="C265" s="774">
        <v>262</v>
      </c>
      <c r="D265" s="774" t="s">
        <v>1256</v>
      </c>
      <c r="E265" s="775" t="s">
        <v>1276</v>
      </c>
      <c r="F265" s="775" t="s">
        <v>1270</v>
      </c>
      <c r="G265" s="775">
        <v>60</v>
      </c>
      <c r="H265" s="775" t="s">
        <v>0</v>
      </c>
      <c r="I265" s="779" t="s">
        <v>1286</v>
      </c>
      <c r="J265" s="774" t="s">
        <v>42</v>
      </c>
      <c r="K265" s="786">
        <v>1.26</v>
      </c>
      <c r="L265" s="777">
        <v>0</v>
      </c>
      <c r="M265" s="778">
        <v>0</v>
      </c>
      <c r="N265" s="779">
        <v>268</v>
      </c>
      <c r="O265" s="780">
        <v>0</v>
      </c>
      <c r="P265" s="781">
        <v>1.17</v>
      </c>
      <c r="Q265" s="781">
        <v>0.66059999999999997</v>
      </c>
      <c r="R265" s="782">
        <v>0</v>
      </c>
      <c r="S265" s="781">
        <v>7.2</v>
      </c>
      <c r="T265" s="781">
        <v>6.6</v>
      </c>
      <c r="U265" s="781">
        <v>2.6423999999999999</v>
      </c>
      <c r="V265" s="781">
        <v>1.9817999999999998</v>
      </c>
      <c r="W265" s="781">
        <v>11.01</v>
      </c>
      <c r="X265" s="781">
        <v>3.0828000000000002</v>
      </c>
      <c r="Y265" s="781">
        <v>15.414</v>
      </c>
      <c r="Z265" s="781">
        <v>44.04</v>
      </c>
      <c r="AA265" s="781">
        <v>66.06</v>
      </c>
      <c r="AB265" s="781">
        <v>44.04</v>
      </c>
      <c r="AC265" s="781">
        <v>0.22020000000000001</v>
      </c>
      <c r="AD265" s="781">
        <v>0.22020000000000001</v>
      </c>
      <c r="AE265" s="781">
        <v>0.22020000000000001</v>
      </c>
      <c r="AF265" s="781"/>
      <c r="AG265" s="781"/>
      <c r="AH265" s="781"/>
      <c r="AI265" s="784"/>
      <c r="AK265" s="783">
        <f>IFERROR(Tabela1[[#This Row],[EE(g)]]/Tabela1[[#This Row],[CMS(kg)]],0)</f>
        <v>0</v>
      </c>
    </row>
    <row r="266" spans="2:37" hidden="1">
      <c r="B266" s="774">
        <f>ROW()^2+(Tabela1[[#This Row],[ID2]])+ROW()</f>
        <v>71267</v>
      </c>
      <c r="C266" s="774">
        <v>245</v>
      </c>
      <c r="D266" s="774" t="s">
        <v>1256</v>
      </c>
      <c r="E266" s="775" t="s">
        <v>1276</v>
      </c>
      <c r="F266" s="775" t="s">
        <v>1270</v>
      </c>
      <c r="G266" s="775">
        <v>70</v>
      </c>
      <c r="H266" s="775" t="s">
        <v>0</v>
      </c>
      <c r="I266" s="779" t="s">
        <v>1266</v>
      </c>
      <c r="J266" s="774" t="s">
        <v>42</v>
      </c>
      <c r="K266" s="786">
        <v>0.63</v>
      </c>
      <c r="L266" s="777">
        <v>0</v>
      </c>
      <c r="M266" s="778">
        <v>0</v>
      </c>
      <c r="N266" s="779">
        <v>181</v>
      </c>
      <c r="O266" s="780">
        <v>0</v>
      </c>
      <c r="P266" s="781">
        <v>0.93</v>
      </c>
      <c r="Q266" s="781">
        <v>0.52710000000000001</v>
      </c>
      <c r="R266" s="782">
        <v>0</v>
      </c>
      <c r="S266" s="781">
        <v>4.5999999999999996</v>
      </c>
      <c r="T266" s="781">
        <v>4.4000000000000004</v>
      </c>
      <c r="U266" s="781">
        <v>2.1083999999999996</v>
      </c>
      <c r="V266" s="781">
        <v>1.5812999999999997</v>
      </c>
      <c r="W266" s="781">
        <v>8.7850000000000001</v>
      </c>
      <c r="X266" s="781">
        <v>2.4598</v>
      </c>
      <c r="Y266" s="781">
        <v>12.298999999999999</v>
      </c>
      <c r="Z266" s="781">
        <v>35.14</v>
      </c>
      <c r="AA266" s="781">
        <v>52.709999999999994</v>
      </c>
      <c r="AB266" s="781">
        <v>35.14</v>
      </c>
      <c r="AC266" s="781">
        <v>0.1757</v>
      </c>
      <c r="AD266" s="781">
        <v>0.1757</v>
      </c>
      <c r="AE266" s="781">
        <v>0.1757</v>
      </c>
      <c r="AF266" s="781"/>
      <c r="AG266" s="781"/>
      <c r="AH266" s="781"/>
      <c r="AI266" s="784"/>
      <c r="AK266" s="783">
        <f>IFERROR(Tabela1[[#This Row],[EE(g)]]/Tabela1[[#This Row],[CMS(kg)]],0)</f>
        <v>0</v>
      </c>
    </row>
    <row r="267" spans="2:37" hidden="1">
      <c r="B267" s="774">
        <f>ROW()^2+(Tabela1[[#This Row],[ID2]])+ROW()</f>
        <v>71810</v>
      </c>
      <c r="C267" s="774">
        <v>254</v>
      </c>
      <c r="D267" s="774" t="s">
        <v>1256</v>
      </c>
      <c r="E267" s="775" t="s">
        <v>1276</v>
      </c>
      <c r="F267" s="775" t="s">
        <v>1270</v>
      </c>
      <c r="G267" s="775">
        <v>70</v>
      </c>
      <c r="H267" s="775" t="s">
        <v>0</v>
      </c>
      <c r="I267" s="779" t="s">
        <v>1285</v>
      </c>
      <c r="J267" s="774" t="s">
        <v>42</v>
      </c>
      <c r="K267" s="786">
        <v>1.05</v>
      </c>
      <c r="L267" s="777">
        <v>0</v>
      </c>
      <c r="M267" s="778">
        <v>0</v>
      </c>
      <c r="N267" s="779">
        <v>245</v>
      </c>
      <c r="O267" s="780">
        <v>0</v>
      </c>
      <c r="P267" s="781">
        <v>1.1299999999999999</v>
      </c>
      <c r="Q267" s="781">
        <v>0.64049999999999996</v>
      </c>
      <c r="R267" s="782">
        <v>0</v>
      </c>
      <c r="S267" s="781">
        <v>6.5</v>
      </c>
      <c r="T267" s="781">
        <v>6.1</v>
      </c>
      <c r="U267" s="781">
        <v>2.5619999999999998</v>
      </c>
      <c r="V267" s="781">
        <v>1.9214999999999995</v>
      </c>
      <c r="W267" s="781">
        <v>10.674999999999999</v>
      </c>
      <c r="X267" s="781">
        <v>2.9889999999999999</v>
      </c>
      <c r="Y267" s="781">
        <v>14.944999999999999</v>
      </c>
      <c r="Z267" s="781">
        <v>42.699999999999996</v>
      </c>
      <c r="AA267" s="781">
        <v>64.05</v>
      </c>
      <c r="AB267" s="781">
        <v>42.699999999999996</v>
      </c>
      <c r="AC267" s="781">
        <v>0.2135</v>
      </c>
      <c r="AD267" s="781">
        <v>0.2135</v>
      </c>
      <c r="AE267" s="781">
        <v>0.2135</v>
      </c>
      <c r="AF267" s="781"/>
      <c r="AG267" s="781"/>
      <c r="AH267" s="781"/>
      <c r="AI267" s="784"/>
      <c r="AK267" s="783">
        <f>IFERROR(Tabela1[[#This Row],[EE(g)]]/Tabela1[[#This Row],[CMS(kg)]],0)</f>
        <v>0</v>
      </c>
    </row>
    <row r="268" spans="2:37" hidden="1">
      <c r="B268" s="774">
        <f>ROW()^2+(Tabela1[[#This Row],[ID2]])+ROW()</f>
        <v>72355</v>
      </c>
      <c r="C268" s="774">
        <v>263</v>
      </c>
      <c r="D268" s="774" t="s">
        <v>1256</v>
      </c>
      <c r="E268" s="775" t="s">
        <v>1276</v>
      </c>
      <c r="F268" s="775" t="s">
        <v>1270</v>
      </c>
      <c r="G268" s="775">
        <v>70</v>
      </c>
      <c r="H268" s="775" t="s">
        <v>0</v>
      </c>
      <c r="I268" s="779" t="s">
        <v>1286</v>
      </c>
      <c r="J268" s="774" t="s">
        <v>42</v>
      </c>
      <c r="K268" s="786">
        <v>1.36</v>
      </c>
      <c r="L268" s="777">
        <v>0</v>
      </c>
      <c r="M268" s="778">
        <v>0</v>
      </c>
      <c r="N268" s="779">
        <v>293</v>
      </c>
      <c r="O268" s="780">
        <v>0</v>
      </c>
      <c r="P268" s="781">
        <v>1.28</v>
      </c>
      <c r="Q268" s="781">
        <v>0.72660000000000002</v>
      </c>
      <c r="R268" s="782">
        <v>0</v>
      </c>
      <c r="S268" s="781">
        <v>7.8</v>
      </c>
      <c r="T268" s="781">
        <v>7.3</v>
      </c>
      <c r="U268" s="781">
        <v>2.9063999999999997</v>
      </c>
      <c r="V268" s="781">
        <v>2.1797999999999997</v>
      </c>
      <c r="W268" s="781">
        <v>12.11</v>
      </c>
      <c r="X268" s="781">
        <v>3.3908</v>
      </c>
      <c r="Y268" s="781">
        <v>16.953999999999997</v>
      </c>
      <c r="Z268" s="781">
        <v>48.44</v>
      </c>
      <c r="AA268" s="781">
        <v>72.66</v>
      </c>
      <c r="AB268" s="781">
        <v>48.44</v>
      </c>
      <c r="AC268" s="781">
        <v>0.24219999999999997</v>
      </c>
      <c r="AD268" s="781">
        <v>0.24219999999999997</v>
      </c>
      <c r="AE268" s="781">
        <v>0.24219999999999997</v>
      </c>
      <c r="AF268" s="781"/>
      <c r="AG268" s="781"/>
      <c r="AH268" s="781"/>
      <c r="AI268" s="784"/>
      <c r="AK268" s="783">
        <f>IFERROR(Tabela1[[#This Row],[EE(g)]]/Tabela1[[#This Row],[CMS(kg)]],0)</f>
        <v>0</v>
      </c>
    </row>
    <row r="269" spans="2:37" hidden="1">
      <c r="B269" s="774">
        <f>ROW()^2+(Tabela1[[#This Row],[ID2]])+ROW()</f>
        <v>72876</v>
      </c>
      <c r="C269" s="774">
        <v>246</v>
      </c>
      <c r="D269" s="774" t="s">
        <v>1256</v>
      </c>
      <c r="E269" s="775" t="s">
        <v>1276</v>
      </c>
      <c r="F269" s="775" t="s">
        <v>1270</v>
      </c>
      <c r="G269" s="775">
        <v>80</v>
      </c>
      <c r="H269" s="775" t="s">
        <v>0</v>
      </c>
      <c r="I269" s="779" t="s">
        <v>1266</v>
      </c>
      <c r="J269" s="774" t="s">
        <v>42</v>
      </c>
      <c r="K269" s="786">
        <v>0.67</v>
      </c>
      <c r="L269" s="777">
        <v>0</v>
      </c>
      <c r="M269" s="778">
        <v>0</v>
      </c>
      <c r="N269" s="779">
        <v>196</v>
      </c>
      <c r="O269" s="780">
        <v>0</v>
      </c>
      <c r="P269" s="781">
        <v>1.02</v>
      </c>
      <c r="Q269" s="781">
        <v>0.5736</v>
      </c>
      <c r="R269" s="782">
        <v>0</v>
      </c>
      <c r="S269" s="781">
        <v>5</v>
      </c>
      <c r="T269" s="781">
        <v>4.8</v>
      </c>
      <c r="U269" s="781">
        <v>2.2944</v>
      </c>
      <c r="V269" s="781">
        <v>1.7207999999999999</v>
      </c>
      <c r="W269" s="781">
        <v>9.56</v>
      </c>
      <c r="X269" s="781">
        <v>2.6768000000000005</v>
      </c>
      <c r="Y269" s="781">
        <v>13.384</v>
      </c>
      <c r="Z269" s="781">
        <v>38.24</v>
      </c>
      <c r="AA269" s="781">
        <v>57.360000000000007</v>
      </c>
      <c r="AB269" s="781">
        <v>38.24</v>
      </c>
      <c r="AC269" s="781">
        <v>0.19120000000000004</v>
      </c>
      <c r="AD269" s="781">
        <v>0.19120000000000004</v>
      </c>
      <c r="AE269" s="781">
        <v>0.19120000000000004</v>
      </c>
      <c r="AF269" s="781"/>
      <c r="AG269" s="781"/>
      <c r="AH269" s="781"/>
      <c r="AI269" s="784"/>
      <c r="AK269" s="783">
        <f>IFERROR(Tabela1[[#This Row],[EE(g)]]/Tabela1[[#This Row],[CMS(kg)]],0)</f>
        <v>0</v>
      </c>
    </row>
    <row r="270" spans="2:37" hidden="1">
      <c r="B270" s="774">
        <f>ROW()^2+(Tabela1[[#This Row],[ID2]])+ROW()</f>
        <v>73425</v>
      </c>
      <c r="C270" s="774">
        <v>255</v>
      </c>
      <c r="D270" s="774" t="s">
        <v>1256</v>
      </c>
      <c r="E270" s="775" t="s">
        <v>1276</v>
      </c>
      <c r="F270" s="775" t="s">
        <v>1270</v>
      </c>
      <c r="G270" s="775">
        <v>80</v>
      </c>
      <c r="H270" s="775" t="s">
        <v>0</v>
      </c>
      <c r="I270" s="779" t="s">
        <v>1285</v>
      </c>
      <c r="J270" s="774" t="s">
        <v>42</v>
      </c>
      <c r="K270" s="786">
        <v>1.1200000000000001</v>
      </c>
      <c r="L270" s="777">
        <v>0</v>
      </c>
      <c r="M270" s="778">
        <v>0</v>
      </c>
      <c r="N270" s="779">
        <v>265</v>
      </c>
      <c r="O270" s="780">
        <v>0</v>
      </c>
      <c r="P270" s="781">
        <v>1.23</v>
      </c>
      <c r="Q270" s="781">
        <v>0.69840000000000002</v>
      </c>
      <c r="R270" s="782">
        <v>0</v>
      </c>
      <c r="S270" s="781">
        <v>6.9</v>
      </c>
      <c r="T270" s="781">
        <v>6.6</v>
      </c>
      <c r="U270" s="781">
        <v>2.7936000000000001</v>
      </c>
      <c r="V270" s="781">
        <v>2.0952000000000002</v>
      </c>
      <c r="W270" s="781">
        <v>11.64</v>
      </c>
      <c r="X270" s="781">
        <v>3.2592000000000008</v>
      </c>
      <c r="Y270" s="781">
        <v>16.296000000000003</v>
      </c>
      <c r="Z270" s="781">
        <v>46.56</v>
      </c>
      <c r="AA270" s="781">
        <v>69.84</v>
      </c>
      <c r="AB270" s="781">
        <v>46.56</v>
      </c>
      <c r="AC270" s="781">
        <v>0.23280000000000003</v>
      </c>
      <c r="AD270" s="781">
        <v>0.23280000000000003</v>
      </c>
      <c r="AE270" s="781">
        <v>0.23280000000000003</v>
      </c>
      <c r="AF270" s="781"/>
      <c r="AG270" s="781"/>
      <c r="AH270" s="781"/>
      <c r="AI270" s="784"/>
      <c r="AK270" s="783">
        <f>IFERROR(Tabela1[[#This Row],[EE(g)]]/Tabela1[[#This Row],[CMS(kg)]],0)</f>
        <v>0</v>
      </c>
    </row>
    <row r="271" spans="2:37" hidden="1">
      <c r="B271" s="774">
        <f>ROW()^2+(Tabela1[[#This Row],[ID2]])+ROW()</f>
        <v>73976</v>
      </c>
      <c r="C271" s="774">
        <v>264</v>
      </c>
      <c r="D271" s="774" t="s">
        <v>1256</v>
      </c>
      <c r="E271" s="775" t="s">
        <v>1276</v>
      </c>
      <c r="F271" s="775" t="s">
        <v>1270</v>
      </c>
      <c r="G271" s="775">
        <v>80</v>
      </c>
      <c r="H271" s="775" t="s">
        <v>0</v>
      </c>
      <c r="I271" s="779" t="s">
        <v>1286</v>
      </c>
      <c r="J271" s="774" t="s">
        <v>42</v>
      </c>
      <c r="K271" s="786">
        <v>1.45</v>
      </c>
      <c r="L271" s="777">
        <v>0</v>
      </c>
      <c r="M271" s="778">
        <v>0</v>
      </c>
      <c r="N271" s="779">
        <v>316</v>
      </c>
      <c r="O271" s="780">
        <v>0</v>
      </c>
      <c r="P271" s="781">
        <v>1.39</v>
      </c>
      <c r="Q271" s="781">
        <v>0.78959999999999997</v>
      </c>
      <c r="R271" s="782">
        <v>0</v>
      </c>
      <c r="S271" s="781">
        <v>8.4</v>
      </c>
      <c r="T271" s="781">
        <v>7.8</v>
      </c>
      <c r="U271" s="781">
        <v>3.1583999999999994</v>
      </c>
      <c r="V271" s="781">
        <v>2.3687999999999994</v>
      </c>
      <c r="W271" s="781">
        <v>13.159999999999998</v>
      </c>
      <c r="X271" s="781">
        <v>3.6848000000000001</v>
      </c>
      <c r="Y271" s="781">
        <v>18.423999999999999</v>
      </c>
      <c r="Z271" s="781">
        <v>52.639999999999993</v>
      </c>
      <c r="AA271" s="781">
        <v>78.959999999999994</v>
      </c>
      <c r="AB271" s="781">
        <v>52.639999999999993</v>
      </c>
      <c r="AC271" s="781">
        <v>0.26319999999999999</v>
      </c>
      <c r="AD271" s="781">
        <v>0.26319999999999999</v>
      </c>
      <c r="AE271" s="781">
        <v>0.26319999999999999</v>
      </c>
      <c r="AF271" s="781"/>
      <c r="AG271" s="781"/>
      <c r="AH271" s="781"/>
      <c r="AI271" s="784"/>
      <c r="AK271" s="783">
        <f>IFERROR(Tabela1[[#This Row],[EE(g)]]/Tabela1[[#This Row],[CMS(kg)]],0)</f>
        <v>0</v>
      </c>
    </row>
    <row r="272" spans="2:37" hidden="1">
      <c r="B272" s="774">
        <f>ROW()^2+(Tabela1[[#This Row],[ID2]])+ROW()</f>
        <v>74503</v>
      </c>
      <c r="C272" s="774">
        <v>247</v>
      </c>
      <c r="D272" s="774" t="s">
        <v>1256</v>
      </c>
      <c r="E272" s="775" t="s">
        <v>1276</v>
      </c>
      <c r="F272" s="775" t="s">
        <v>1270</v>
      </c>
      <c r="G272" s="775">
        <v>90</v>
      </c>
      <c r="H272" s="775" t="s">
        <v>0</v>
      </c>
      <c r="I272" s="779" t="s">
        <v>1266</v>
      </c>
      <c r="J272" s="774" t="s">
        <v>42</v>
      </c>
      <c r="K272" s="786">
        <v>0.71</v>
      </c>
      <c r="L272" s="777">
        <v>0</v>
      </c>
      <c r="M272" s="778">
        <v>0</v>
      </c>
      <c r="N272" s="779">
        <v>211</v>
      </c>
      <c r="O272" s="780">
        <v>0</v>
      </c>
      <c r="P272" s="781">
        <v>1.1000000000000001</v>
      </c>
      <c r="Q272" s="781">
        <v>0.621</v>
      </c>
      <c r="R272" s="782">
        <v>0</v>
      </c>
      <c r="S272" s="781">
        <v>5.3</v>
      </c>
      <c r="T272" s="781">
        <v>5.2</v>
      </c>
      <c r="U272" s="781">
        <v>2.4839999999999995</v>
      </c>
      <c r="V272" s="781">
        <v>1.8629999999999998</v>
      </c>
      <c r="W272" s="781">
        <v>10.35</v>
      </c>
      <c r="X272" s="781">
        <v>2.8980000000000001</v>
      </c>
      <c r="Y272" s="781">
        <v>14.489999999999998</v>
      </c>
      <c r="Z272" s="781">
        <v>41.4</v>
      </c>
      <c r="AA272" s="781">
        <v>62.099999999999994</v>
      </c>
      <c r="AB272" s="781">
        <v>41.4</v>
      </c>
      <c r="AC272" s="781">
        <v>0.20699999999999999</v>
      </c>
      <c r="AD272" s="781">
        <v>0.20699999999999999</v>
      </c>
      <c r="AE272" s="781">
        <v>0.20699999999999999</v>
      </c>
      <c r="AF272" s="781"/>
      <c r="AG272" s="781"/>
      <c r="AH272" s="781"/>
      <c r="AI272" s="784"/>
      <c r="AK272" s="783">
        <f>IFERROR(Tabela1[[#This Row],[EE(g)]]/Tabela1[[#This Row],[CMS(kg)]],0)</f>
        <v>0</v>
      </c>
    </row>
    <row r="273" spans="2:37" hidden="1">
      <c r="B273" s="774">
        <f>ROW()^2+(Tabela1[[#This Row],[ID2]])+ROW()</f>
        <v>75058</v>
      </c>
      <c r="C273" s="774">
        <v>256</v>
      </c>
      <c r="D273" s="774" t="s">
        <v>1256</v>
      </c>
      <c r="E273" s="775" t="s">
        <v>1276</v>
      </c>
      <c r="F273" s="775" t="s">
        <v>1270</v>
      </c>
      <c r="G273" s="775">
        <v>90</v>
      </c>
      <c r="H273" s="775" t="s">
        <v>0</v>
      </c>
      <c r="I273" s="779" t="s">
        <v>1285</v>
      </c>
      <c r="J273" s="774" t="s">
        <v>42</v>
      </c>
      <c r="K273" s="786">
        <v>1.19</v>
      </c>
      <c r="L273" s="777">
        <v>0</v>
      </c>
      <c r="M273" s="778">
        <v>0</v>
      </c>
      <c r="N273" s="779">
        <v>285</v>
      </c>
      <c r="O273" s="780">
        <v>0</v>
      </c>
      <c r="P273" s="781">
        <v>1.33</v>
      </c>
      <c r="Q273" s="781">
        <v>0.75329999999999997</v>
      </c>
      <c r="R273" s="782">
        <v>0</v>
      </c>
      <c r="S273" s="781">
        <v>7.4</v>
      </c>
      <c r="T273" s="781">
        <v>7.1</v>
      </c>
      <c r="U273" s="781">
        <v>3.0131999999999999</v>
      </c>
      <c r="V273" s="781">
        <v>2.2599</v>
      </c>
      <c r="W273" s="781">
        <v>12.555</v>
      </c>
      <c r="X273" s="781">
        <v>3.5154000000000005</v>
      </c>
      <c r="Y273" s="781">
        <v>17.577000000000002</v>
      </c>
      <c r="Z273" s="781">
        <v>50.22</v>
      </c>
      <c r="AA273" s="781">
        <v>75.33</v>
      </c>
      <c r="AB273" s="781">
        <v>50.22</v>
      </c>
      <c r="AC273" s="781">
        <v>0.25110000000000005</v>
      </c>
      <c r="AD273" s="781">
        <v>0.25110000000000005</v>
      </c>
      <c r="AE273" s="781">
        <v>0.25110000000000005</v>
      </c>
      <c r="AF273" s="781"/>
      <c r="AG273" s="781"/>
      <c r="AH273" s="781"/>
      <c r="AI273" s="784"/>
      <c r="AK273" s="783">
        <f>IFERROR(Tabela1[[#This Row],[EE(g)]]/Tabela1[[#This Row],[CMS(kg)]],0)</f>
        <v>0</v>
      </c>
    </row>
    <row r="274" spans="2:37" hidden="1">
      <c r="B274" s="774">
        <f>ROW()^2+(Tabela1[[#This Row],[ID2]])+ROW()</f>
        <v>75615</v>
      </c>
      <c r="C274" s="774">
        <v>265</v>
      </c>
      <c r="D274" s="774" t="s">
        <v>1256</v>
      </c>
      <c r="E274" s="775" t="s">
        <v>1276</v>
      </c>
      <c r="F274" s="775" t="s">
        <v>1270</v>
      </c>
      <c r="G274" s="775">
        <v>90</v>
      </c>
      <c r="H274" s="775" t="s">
        <v>0</v>
      </c>
      <c r="I274" s="779" t="s">
        <v>1286</v>
      </c>
      <c r="J274" s="774" t="s">
        <v>42</v>
      </c>
      <c r="K274" s="786">
        <v>1.54</v>
      </c>
      <c r="L274" s="777">
        <v>0</v>
      </c>
      <c r="M274" s="778">
        <v>0</v>
      </c>
      <c r="N274" s="779">
        <v>338</v>
      </c>
      <c r="O274" s="780">
        <v>0</v>
      </c>
      <c r="P274" s="781">
        <v>1.5</v>
      </c>
      <c r="Q274" s="781">
        <v>0.85050000000000003</v>
      </c>
      <c r="R274" s="782">
        <v>0</v>
      </c>
      <c r="S274" s="781">
        <v>8.9</v>
      </c>
      <c r="T274" s="781">
        <v>8.4</v>
      </c>
      <c r="U274" s="781">
        <v>3.4019999999999997</v>
      </c>
      <c r="V274" s="781">
        <v>2.5514999999999999</v>
      </c>
      <c r="W274" s="781">
        <v>14.175000000000001</v>
      </c>
      <c r="X274" s="781">
        <v>3.9690000000000003</v>
      </c>
      <c r="Y274" s="781">
        <v>19.844999999999999</v>
      </c>
      <c r="Z274" s="781">
        <v>56.7</v>
      </c>
      <c r="AA274" s="781">
        <v>85.05</v>
      </c>
      <c r="AB274" s="781">
        <v>56.7</v>
      </c>
      <c r="AC274" s="781">
        <v>0.28350000000000003</v>
      </c>
      <c r="AD274" s="781">
        <v>0.28350000000000003</v>
      </c>
      <c r="AE274" s="781">
        <v>0.28350000000000003</v>
      </c>
      <c r="AF274" s="781"/>
      <c r="AG274" s="781"/>
      <c r="AH274" s="781"/>
      <c r="AI274" s="784"/>
      <c r="AK274" s="783">
        <f>IFERROR(Tabela1[[#This Row],[EE(g)]]/Tabela1[[#This Row],[CMS(kg)]],0)</f>
        <v>0</v>
      </c>
    </row>
    <row r="275" spans="2:37" hidden="1">
      <c r="B275" s="774">
        <f>ROW()^2+(Tabela1[[#This Row],[ID2]])+ROW()</f>
        <v>76148</v>
      </c>
      <c r="C275" s="774">
        <v>248</v>
      </c>
      <c r="D275" s="774" t="s">
        <v>1256</v>
      </c>
      <c r="E275" s="775" t="s">
        <v>1276</v>
      </c>
      <c r="F275" s="775" t="s">
        <v>1270</v>
      </c>
      <c r="G275" s="775">
        <v>100</v>
      </c>
      <c r="H275" s="775" t="s">
        <v>0</v>
      </c>
      <c r="I275" s="779" t="s">
        <v>1266</v>
      </c>
      <c r="J275" s="774" t="s">
        <v>42</v>
      </c>
      <c r="K275" s="786">
        <v>0.75</v>
      </c>
      <c r="L275" s="777">
        <v>0</v>
      </c>
      <c r="M275" s="778">
        <v>0</v>
      </c>
      <c r="N275" s="779">
        <v>226</v>
      </c>
      <c r="O275" s="780">
        <v>0</v>
      </c>
      <c r="P275" s="781">
        <v>1.18</v>
      </c>
      <c r="Q275" s="781">
        <v>0.66600000000000004</v>
      </c>
      <c r="R275" s="782">
        <v>0</v>
      </c>
      <c r="S275" s="781">
        <v>5.6</v>
      </c>
      <c r="T275" s="781">
        <v>5.6</v>
      </c>
      <c r="U275" s="781">
        <v>2.6640000000000001</v>
      </c>
      <c r="V275" s="781">
        <v>1.998</v>
      </c>
      <c r="W275" s="781">
        <v>11.100000000000001</v>
      </c>
      <c r="X275" s="781">
        <v>3.1080000000000005</v>
      </c>
      <c r="Y275" s="781">
        <v>15.540000000000001</v>
      </c>
      <c r="Z275" s="781">
        <v>44.400000000000006</v>
      </c>
      <c r="AA275" s="781">
        <v>66.600000000000009</v>
      </c>
      <c r="AB275" s="781">
        <v>44.400000000000006</v>
      </c>
      <c r="AC275" s="781">
        <v>0.22200000000000003</v>
      </c>
      <c r="AD275" s="781">
        <v>0.22200000000000003</v>
      </c>
      <c r="AE275" s="781">
        <v>0.22200000000000003</v>
      </c>
      <c r="AF275" s="781"/>
      <c r="AG275" s="781"/>
      <c r="AH275" s="781"/>
      <c r="AI275" s="784"/>
      <c r="AK275" s="783">
        <f>IFERROR(Tabela1[[#This Row],[EE(g)]]/Tabela1[[#This Row],[CMS(kg)]],0)</f>
        <v>0</v>
      </c>
    </row>
    <row r="276" spans="2:37" hidden="1">
      <c r="B276" s="774">
        <f>ROW()^2+(Tabela1[[#This Row],[ID2]])+ROW()</f>
        <v>76709</v>
      </c>
      <c r="C276" s="774">
        <v>257</v>
      </c>
      <c r="D276" s="774" t="s">
        <v>1256</v>
      </c>
      <c r="E276" s="775" t="s">
        <v>1276</v>
      </c>
      <c r="F276" s="775" t="s">
        <v>1270</v>
      </c>
      <c r="G276" s="775">
        <v>100</v>
      </c>
      <c r="H276" s="775" t="s">
        <v>0</v>
      </c>
      <c r="I276" s="779" t="s">
        <v>1285</v>
      </c>
      <c r="J276" s="774" t="s">
        <v>42</v>
      </c>
      <c r="K276" s="786">
        <v>1.25</v>
      </c>
      <c r="L276" s="777">
        <v>0</v>
      </c>
      <c r="M276" s="778">
        <v>0</v>
      </c>
      <c r="N276" s="779">
        <v>303</v>
      </c>
      <c r="O276" s="780">
        <v>0</v>
      </c>
      <c r="P276" s="781">
        <v>1.42</v>
      </c>
      <c r="Q276" s="781">
        <v>0.80400000000000005</v>
      </c>
      <c r="R276" s="782">
        <v>0</v>
      </c>
      <c r="S276" s="781">
        <v>7.8</v>
      </c>
      <c r="T276" s="781">
        <v>7.5</v>
      </c>
      <c r="U276" s="781">
        <v>3.2160000000000002</v>
      </c>
      <c r="V276" s="781">
        <v>2.4119999999999999</v>
      </c>
      <c r="W276" s="781">
        <v>13.4</v>
      </c>
      <c r="X276" s="781">
        <v>3.7520000000000007</v>
      </c>
      <c r="Y276" s="781">
        <v>18.760000000000002</v>
      </c>
      <c r="Z276" s="781">
        <v>53.6</v>
      </c>
      <c r="AA276" s="781">
        <v>80.400000000000006</v>
      </c>
      <c r="AB276" s="781">
        <v>53.6</v>
      </c>
      <c r="AC276" s="781">
        <v>0.26800000000000002</v>
      </c>
      <c r="AD276" s="781">
        <v>0.26800000000000002</v>
      </c>
      <c r="AE276" s="781">
        <v>0.26800000000000002</v>
      </c>
      <c r="AF276" s="781"/>
      <c r="AG276" s="781"/>
      <c r="AH276" s="781"/>
      <c r="AI276" s="784"/>
      <c r="AK276" s="783">
        <f>IFERROR(Tabela1[[#This Row],[EE(g)]]/Tabela1[[#This Row],[CMS(kg)]],0)</f>
        <v>0</v>
      </c>
    </row>
    <row r="277" spans="2:37" hidden="1">
      <c r="B277" s="774">
        <f>ROW()^2+(Tabela1[[#This Row],[ID2]])+ROW()</f>
        <v>77272</v>
      </c>
      <c r="C277" s="774">
        <v>266</v>
      </c>
      <c r="D277" s="774" t="s">
        <v>1256</v>
      </c>
      <c r="E277" s="775" t="s">
        <v>1276</v>
      </c>
      <c r="F277" s="775" t="s">
        <v>1270</v>
      </c>
      <c r="G277" s="775">
        <v>100</v>
      </c>
      <c r="H277" s="775" t="s">
        <v>0</v>
      </c>
      <c r="I277" s="779" t="s">
        <v>1286</v>
      </c>
      <c r="J277" s="774" t="s">
        <v>42</v>
      </c>
      <c r="K277" s="786">
        <v>1.63</v>
      </c>
      <c r="L277" s="777">
        <v>0</v>
      </c>
      <c r="M277" s="778">
        <v>0</v>
      </c>
      <c r="N277" s="779">
        <v>361</v>
      </c>
      <c r="O277" s="780">
        <v>0</v>
      </c>
      <c r="P277" s="781">
        <v>1.61</v>
      </c>
      <c r="Q277" s="781">
        <v>0.90900000000000003</v>
      </c>
      <c r="R277" s="782">
        <v>0</v>
      </c>
      <c r="S277" s="781">
        <v>9.4</v>
      </c>
      <c r="T277" s="781">
        <v>9</v>
      </c>
      <c r="U277" s="781">
        <v>3.6359999999999997</v>
      </c>
      <c r="V277" s="781">
        <v>2.7269999999999994</v>
      </c>
      <c r="W277" s="781">
        <v>15.149999999999999</v>
      </c>
      <c r="X277" s="781">
        <v>4.242</v>
      </c>
      <c r="Y277" s="781">
        <v>21.209999999999997</v>
      </c>
      <c r="Z277" s="781">
        <v>60.599999999999994</v>
      </c>
      <c r="AA277" s="781">
        <v>90.899999999999991</v>
      </c>
      <c r="AB277" s="781">
        <v>60.599999999999994</v>
      </c>
      <c r="AC277" s="781">
        <v>0.30299999999999999</v>
      </c>
      <c r="AD277" s="781">
        <v>0.30299999999999999</v>
      </c>
      <c r="AE277" s="781">
        <v>0.30299999999999999</v>
      </c>
      <c r="AF277" s="781"/>
      <c r="AG277" s="781"/>
      <c r="AH277" s="781"/>
      <c r="AI277" s="784"/>
      <c r="AK277" s="783">
        <f>IFERROR(Tabela1[[#This Row],[EE(g)]]/Tabela1[[#This Row],[CMS(kg)]],0)</f>
        <v>0</v>
      </c>
    </row>
    <row r="278" spans="2:37" hidden="1">
      <c r="B278" s="774">
        <f>ROW()^2+(Tabela1[[#This Row],[ID2]])+ROW()</f>
        <v>77811</v>
      </c>
      <c r="C278" s="774">
        <v>249</v>
      </c>
      <c r="D278" s="774" t="s">
        <v>1256</v>
      </c>
      <c r="E278" s="775" t="s">
        <v>1276</v>
      </c>
      <c r="F278" s="775" t="s">
        <v>1270</v>
      </c>
      <c r="G278" s="775">
        <v>120</v>
      </c>
      <c r="H278" s="775" t="s">
        <v>0</v>
      </c>
      <c r="I278" s="779" t="s">
        <v>1266</v>
      </c>
      <c r="J278" s="774" t="s">
        <v>42</v>
      </c>
      <c r="K278" s="786">
        <v>0.82</v>
      </c>
      <c r="L278" s="777">
        <v>0</v>
      </c>
      <c r="M278" s="778">
        <v>0</v>
      </c>
      <c r="N278" s="779">
        <v>254</v>
      </c>
      <c r="O278" s="780">
        <v>0</v>
      </c>
      <c r="P278" s="781">
        <v>1.33</v>
      </c>
      <c r="Q278" s="781">
        <v>0.75600000000000001</v>
      </c>
      <c r="R278" s="782">
        <v>0</v>
      </c>
      <c r="S278" s="781">
        <v>6.2</v>
      </c>
      <c r="T278" s="781">
        <v>6.3</v>
      </c>
      <c r="U278" s="781">
        <v>3.024</v>
      </c>
      <c r="V278" s="781">
        <v>2.2679999999999998</v>
      </c>
      <c r="W278" s="781">
        <v>12.6</v>
      </c>
      <c r="X278" s="781">
        <v>3.5280000000000005</v>
      </c>
      <c r="Y278" s="781">
        <v>17.64</v>
      </c>
      <c r="Z278" s="781">
        <v>50.4</v>
      </c>
      <c r="AA278" s="781">
        <v>75.599999999999994</v>
      </c>
      <c r="AB278" s="781">
        <v>50.4</v>
      </c>
      <c r="AC278" s="781">
        <v>0.252</v>
      </c>
      <c r="AD278" s="781">
        <v>0.252</v>
      </c>
      <c r="AE278" s="781">
        <v>0.252</v>
      </c>
      <c r="AF278" s="781"/>
      <c r="AG278" s="781"/>
      <c r="AH278" s="781"/>
      <c r="AI278" s="784"/>
      <c r="AK278" s="783">
        <f>IFERROR(Tabela1[[#This Row],[EE(g)]]/Tabela1[[#This Row],[CMS(kg)]],0)</f>
        <v>0</v>
      </c>
    </row>
    <row r="279" spans="2:37" hidden="1">
      <c r="B279" s="774">
        <f>ROW()^2+(Tabela1[[#This Row],[ID2]])+ROW()</f>
        <v>78378</v>
      </c>
      <c r="C279" s="774">
        <v>258</v>
      </c>
      <c r="D279" s="774" t="s">
        <v>1256</v>
      </c>
      <c r="E279" s="775" t="s">
        <v>1276</v>
      </c>
      <c r="F279" s="775" t="s">
        <v>1270</v>
      </c>
      <c r="G279" s="775">
        <v>120</v>
      </c>
      <c r="H279" s="775" t="s">
        <v>0</v>
      </c>
      <c r="I279" s="779" t="s">
        <v>1285</v>
      </c>
      <c r="J279" s="774" t="s">
        <v>42</v>
      </c>
      <c r="K279" s="786">
        <v>1.37</v>
      </c>
      <c r="L279" s="777">
        <v>0</v>
      </c>
      <c r="M279" s="778">
        <v>0</v>
      </c>
      <c r="N279" s="779">
        <v>338</v>
      </c>
      <c r="O279" s="780">
        <v>0</v>
      </c>
      <c r="P279" s="781">
        <v>1.6</v>
      </c>
      <c r="Q279" s="781">
        <v>0.90359999999999996</v>
      </c>
      <c r="R279" s="782">
        <v>0</v>
      </c>
      <c r="S279" s="781">
        <v>8.6</v>
      </c>
      <c r="T279" s="781">
        <v>8.4</v>
      </c>
      <c r="U279" s="781">
        <v>3.6143999999999994</v>
      </c>
      <c r="V279" s="781">
        <v>2.7107999999999994</v>
      </c>
      <c r="W279" s="781">
        <v>15.059999999999999</v>
      </c>
      <c r="X279" s="781">
        <v>4.2168000000000001</v>
      </c>
      <c r="Y279" s="781">
        <v>21.083999999999996</v>
      </c>
      <c r="Z279" s="781">
        <v>60.239999999999995</v>
      </c>
      <c r="AA279" s="781">
        <v>90.359999999999985</v>
      </c>
      <c r="AB279" s="781">
        <v>60.239999999999995</v>
      </c>
      <c r="AC279" s="781">
        <v>0.30119999999999997</v>
      </c>
      <c r="AD279" s="781">
        <v>0.30119999999999997</v>
      </c>
      <c r="AE279" s="781">
        <v>0.30119999999999997</v>
      </c>
      <c r="AF279" s="781"/>
      <c r="AG279" s="781"/>
      <c r="AH279" s="781"/>
      <c r="AI279" s="784"/>
      <c r="AK279" s="783">
        <f>IFERROR(Tabela1[[#This Row],[EE(g)]]/Tabela1[[#This Row],[CMS(kg)]],0)</f>
        <v>0</v>
      </c>
    </row>
    <row r="280" spans="2:37" hidden="1">
      <c r="B280" s="774">
        <f>ROW()^2+(Tabela1[[#This Row],[ID2]])+ROW()</f>
        <v>78947</v>
      </c>
      <c r="C280" s="774">
        <v>267</v>
      </c>
      <c r="D280" s="774" t="s">
        <v>1256</v>
      </c>
      <c r="E280" s="775" t="s">
        <v>1276</v>
      </c>
      <c r="F280" s="775" t="s">
        <v>1270</v>
      </c>
      <c r="G280" s="775">
        <v>120</v>
      </c>
      <c r="H280" s="775" t="s">
        <v>0</v>
      </c>
      <c r="I280" s="779" t="s">
        <v>1286</v>
      </c>
      <c r="J280" s="774" t="s">
        <v>42</v>
      </c>
      <c r="K280" s="786">
        <v>1.78</v>
      </c>
      <c r="L280" s="777">
        <v>0</v>
      </c>
      <c r="M280" s="778">
        <v>0</v>
      </c>
      <c r="N280" s="779">
        <v>401</v>
      </c>
      <c r="O280" s="780">
        <v>0</v>
      </c>
      <c r="P280" s="781">
        <v>1.8</v>
      </c>
      <c r="Q280" s="781">
        <v>1.0187999999999999</v>
      </c>
      <c r="R280" s="782">
        <v>0</v>
      </c>
      <c r="S280" s="781">
        <v>10.4</v>
      </c>
      <c r="T280" s="781">
        <v>10</v>
      </c>
      <c r="U280" s="781">
        <v>4.0752000000000006</v>
      </c>
      <c r="V280" s="781">
        <v>3.0564</v>
      </c>
      <c r="W280" s="781">
        <v>16.98</v>
      </c>
      <c r="X280" s="781">
        <v>4.7544000000000013</v>
      </c>
      <c r="Y280" s="781">
        <v>23.772000000000002</v>
      </c>
      <c r="Z280" s="781">
        <v>67.92</v>
      </c>
      <c r="AA280" s="781">
        <v>101.88000000000001</v>
      </c>
      <c r="AB280" s="781">
        <v>67.92</v>
      </c>
      <c r="AC280" s="781">
        <v>0.33960000000000007</v>
      </c>
      <c r="AD280" s="781">
        <v>0.33960000000000007</v>
      </c>
      <c r="AE280" s="781">
        <v>0.33960000000000007</v>
      </c>
      <c r="AF280" s="781"/>
      <c r="AG280" s="781"/>
      <c r="AH280" s="781"/>
      <c r="AI280" s="784"/>
      <c r="AK280" s="783">
        <f>IFERROR(Tabela1[[#This Row],[EE(g)]]/Tabela1[[#This Row],[CMS(kg)]],0)</f>
        <v>0</v>
      </c>
    </row>
    <row r="281" spans="2:37" hidden="1">
      <c r="B281" s="774">
        <f>ROW()^2+(Tabela1[[#This Row],[ID2]])+ROW()</f>
        <v>79492</v>
      </c>
      <c r="C281" s="774">
        <v>250</v>
      </c>
      <c r="D281" s="774" t="s">
        <v>1256</v>
      </c>
      <c r="E281" s="775" t="s">
        <v>1276</v>
      </c>
      <c r="F281" s="775" t="s">
        <v>1270</v>
      </c>
      <c r="G281" s="775">
        <v>140</v>
      </c>
      <c r="H281" s="775" t="s">
        <v>0</v>
      </c>
      <c r="I281" s="779" t="s">
        <v>1266</v>
      </c>
      <c r="J281" s="774" t="s">
        <v>42</v>
      </c>
      <c r="K281" s="786">
        <v>0.89</v>
      </c>
      <c r="L281" s="777">
        <v>0</v>
      </c>
      <c r="M281" s="778">
        <v>0</v>
      </c>
      <c r="N281" s="779">
        <v>281</v>
      </c>
      <c r="O281" s="780">
        <v>0</v>
      </c>
      <c r="P281" s="781">
        <v>1.48</v>
      </c>
      <c r="Q281" s="781">
        <v>0.84</v>
      </c>
      <c r="R281" s="782">
        <v>0</v>
      </c>
      <c r="S281" s="781">
        <v>6.8</v>
      </c>
      <c r="T281" s="781">
        <v>6.9</v>
      </c>
      <c r="U281" s="781">
        <v>3.3600000000000003</v>
      </c>
      <c r="V281" s="781">
        <v>2.52</v>
      </c>
      <c r="W281" s="781">
        <v>14.000000000000002</v>
      </c>
      <c r="X281" s="781">
        <v>3.9200000000000008</v>
      </c>
      <c r="Y281" s="781">
        <v>19.600000000000001</v>
      </c>
      <c r="Z281" s="781">
        <v>56.000000000000007</v>
      </c>
      <c r="AA281" s="781">
        <v>84.000000000000014</v>
      </c>
      <c r="AB281" s="781">
        <v>56.000000000000007</v>
      </c>
      <c r="AC281" s="781">
        <v>0.28000000000000003</v>
      </c>
      <c r="AD281" s="781">
        <v>0.28000000000000003</v>
      </c>
      <c r="AE281" s="781">
        <v>0.28000000000000003</v>
      </c>
      <c r="AF281" s="781"/>
      <c r="AG281" s="781"/>
      <c r="AH281" s="781"/>
      <c r="AI281" s="784"/>
      <c r="AK281" s="783">
        <f>IFERROR(Tabela1[[#This Row],[EE(g)]]/Tabela1[[#This Row],[CMS(kg)]],0)</f>
        <v>0</v>
      </c>
    </row>
    <row r="282" spans="2:37" hidden="1">
      <c r="B282" s="774">
        <f>ROW()^2+(Tabela1[[#This Row],[ID2]])+ROW()</f>
        <v>80065</v>
      </c>
      <c r="C282" s="774">
        <v>259</v>
      </c>
      <c r="D282" s="774" t="s">
        <v>1256</v>
      </c>
      <c r="E282" s="775" t="s">
        <v>1276</v>
      </c>
      <c r="F282" s="775" t="s">
        <v>1270</v>
      </c>
      <c r="G282" s="775">
        <v>140</v>
      </c>
      <c r="H282" s="775" t="s">
        <v>0</v>
      </c>
      <c r="I282" s="779" t="s">
        <v>1285</v>
      </c>
      <c r="J282" s="774" t="s">
        <v>42</v>
      </c>
      <c r="K282" s="786">
        <v>1.48</v>
      </c>
      <c r="L282" s="777">
        <v>0</v>
      </c>
      <c r="M282" s="778">
        <v>0</v>
      </c>
      <c r="N282" s="779">
        <v>371</v>
      </c>
      <c r="O282" s="780">
        <v>0</v>
      </c>
      <c r="P282" s="781">
        <v>1.77</v>
      </c>
      <c r="Q282" s="781">
        <v>0.99960000000000004</v>
      </c>
      <c r="R282" s="782">
        <v>0</v>
      </c>
      <c r="S282" s="781">
        <v>9.3000000000000007</v>
      </c>
      <c r="T282" s="781">
        <v>9.1999999999999993</v>
      </c>
      <c r="U282" s="781">
        <v>3.9983999999999997</v>
      </c>
      <c r="V282" s="781">
        <v>2.9987999999999997</v>
      </c>
      <c r="W282" s="781">
        <v>16.66</v>
      </c>
      <c r="X282" s="781">
        <v>4.6648000000000005</v>
      </c>
      <c r="Y282" s="781">
        <v>23.323999999999998</v>
      </c>
      <c r="Z282" s="781">
        <v>66.64</v>
      </c>
      <c r="AA282" s="781">
        <v>99.96</v>
      </c>
      <c r="AB282" s="781">
        <v>66.64</v>
      </c>
      <c r="AC282" s="781">
        <v>0.3332</v>
      </c>
      <c r="AD282" s="781">
        <v>0.3332</v>
      </c>
      <c r="AE282" s="781">
        <v>0.3332</v>
      </c>
      <c r="AF282" s="781"/>
      <c r="AG282" s="781"/>
      <c r="AH282" s="781"/>
      <c r="AI282" s="784"/>
      <c r="AK282" s="783">
        <f>IFERROR(Tabela1[[#This Row],[EE(g)]]/Tabela1[[#This Row],[CMS(kg)]],0)</f>
        <v>0</v>
      </c>
    </row>
    <row r="283" spans="2:37" hidden="1">
      <c r="B283" s="774">
        <f>ROW()^2+(Tabela1[[#This Row],[ID2]])+ROW()</f>
        <v>80640</v>
      </c>
      <c r="C283" s="774">
        <v>268</v>
      </c>
      <c r="D283" s="774" t="s">
        <v>1256</v>
      </c>
      <c r="E283" s="775" t="s">
        <v>1276</v>
      </c>
      <c r="F283" s="775" t="s">
        <v>1270</v>
      </c>
      <c r="G283" s="775">
        <v>140</v>
      </c>
      <c r="H283" s="775" t="s">
        <v>0</v>
      </c>
      <c r="I283" s="779" t="s">
        <v>1286</v>
      </c>
      <c r="J283" s="774" t="s">
        <v>42</v>
      </c>
      <c r="K283" s="786">
        <v>1.92</v>
      </c>
      <c r="L283" s="777">
        <v>0</v>
      </c>
      <c r="M283" s="778">
        <v>0</v>
      </c>
      <c r="N283" s="779">
        <v>439</v>
      </c>
      <c r="O283" s="780">
        <v>0</v>
      </c>
      <c r="P283" s="781">
        <v>1.98</v>
      </c>
      <c r="Q283" s="781">
        <v>1.1214</v>
      </c>
      <c r="R283" s="782">
        <v>0</v>
      </c>
      <c r="S283" s="781">
        <v>11.3</v>
      </c>
      <c r="T283" s="781">
        <v>10.9</v>
      </c>
      <c r="U283" s="781">
        <v>4.4855999999999989</v>
      </c>
      <c r="V283" s="781">
        <v>3.3641999999999994</v>
      </c>
      <c r="W283" s="781">
        <v>18.689999999999998</v>
      </c>
      <c r="X283" s="781">
        <v>5.2332000000000001</v>
      </c>
      <c r="Y283" s="781">
        <v>26.165999999999997</v>
      </c>
      <c r="Z283" s="781">
        <v>74.759999999999991</v>
      </c>
      <c r="AA283" s="781">
        <v>112.13999999999999</v>
      </c>
      <c r="AB283" s="781">
        <v>74.759999999999991</v>
      </c>
      <c r="AC283" s="781">
        <v>0.37379999999999997</v>
      </c>
      <c r="AD283" s="781">
        <v>0.37379999999999997</v>
      </c>
      <c r="AE283" s="781">
        <v>0.37379999999999997</v>
      </c>
      <c r="AF283" s="781"/>
      <c r="AG283" s="781"/>
      <c r="AH283" s="781"/>
      <c r="AI283" s="784"/>
      <c r="AK283" s="783">
        <f>IFERROR(Tabela1[[#This Row],[EE(g)]]/Tabela1[[#This Row],[CMS(kg)]],0)</f>
        <v>0</v>
      </c>
    </row>
    <row r="284" spans="2:37" hidden="1">
      <c r="B284" s="774">
        <f>ROW()^2+(Tabela1[[#This Row],[ID2]])+ROW()</f>
        <v>81092</v>
      </c>
      <c r="C284" s="774">
        <v>152</v>
      </c>
      <c r="D284" s="774" t="s">
        <v>1256</v>
      </c>
      <c r="E284" s="775" t="s">
        <v>1276</v>
      </c>
      <c r="F284" s="775" t="s">
        <v>1271</v>
      </c>
      <c r="G284" s="775">
        <v>40</v>
      </c>
      <c r="H284" s="775" t="s">
        <v>0</v>
      </c>
      <c r="I284" s="776" t="s">
        <v>42</v>
      </c>
      <c r="J284" s="774" t="s">
        <v>42</v>
      </c>
      <c r="K284" s="774" t="s">
        <v>42</v>
      </c>
      <c r="L284" s="777">
        <v>20</v>
      </c>
      <c r="M284" s="778">
        <v>0</v>
      </c>
      <c r="N284" s="779">
        <v>66</v>
      </c>
      <c r="O284" s="780">
        <v>0</v>
      </c>
      <c r="P284" s="781">
        <v>0.45</v>
      </c>
      <c r="Q284" s="781">
        <v>0.25559999999999999</v>
      </c>
      <c r="R284" s="782">
        <v>0</v>
      </c>
      <c r="S284" s="781">
        <v>2.1</v>
      </c>
      <c r="T284" s="781">
        <v>1.5</v>
      </c>
      <c r="U284" s="781">
        <v>1.0224</v>
      </c>
      <c r="V284" s="781">
        <v>0.76679999999999993</v>
      </c>
      <c r="W284" s="781">
        <v>4.26</v>
      </c>
      <c r="X284" s="781">
        <v>1.1928000000000001</v>
      </c>
      <c r="Y284" s="781">
        <v>5.9639999999999995</v>
      </c>
      <c r="Z284" s="781">
        <v>17.04</v>
      </c>
      <c r="AA284" s="781">
        <v>25.56</v>
      </c>
      <c r="AB284" s="781">
        <v>17.04</v>
      </c>
      <c r="AC284" s="781">
        <v>8.5199999999999998E-2</v>
      </c>
      <c r="AD284" s="781">
        <v>8.5199999999999998E-2</v>
      </c>
      <c r="AE284" s="781">
        <v>8.5199999999999998E-2</v>
      </c>
      <c r="AF284" s="781"/>
      <c r="AG284" s="781"/>
      <c r="AH284" s="781"/>
      <c r="AI284" s="784"/>
      <c r="AK284" s="783">
        <f>IFERROR(Tabela1[[#This Row],[EE(g)]]/Tabela1[[#This Row],[CMS(kg)]],0)</f>
        <v>0</v>
      </c>
    </row>
    <row r="285" spans="2:37" hidden="1">
      <c r="B285" s="774">
        <f>ROW()^2+(Tabela1[[#This Row],[ID2]])+ROW()</f>
        <v>81663</v>
      </c>
      <c r="C285" s="774">
        <v>153</v>
      </c>
      <c r="D285" s="774" t="s">
        <v>1256</v>
      </c>
      <c r="E285" s="775" t="s">
        <v>1276</v>
      </c>
      <c r="F285" s="775" t="s">
        <v>1271</v>
      </c>
      <c r="G285" s="775">
        <v>50</v>
      </c>
      <c r="H285" s="775" t="s">
        <v>0</v>
      </c>
      <c r="I285" s="776" t="s">
        <v>42</v>
      </c>
      <c r="J285" s="774" t="s">
        <v>42</v>
      </c>
      <c r="K285" s="774" t="s">
        <v>42</v>
      </c>
      <c r="L285" s="777">
        <v>23</v>
      </c>
      <c r="M285" s="778">
        <v>0</v>
      </c>
      <c r="N285" s="779">
        <v>77</v>
      </c>
      <c r="O285" s="780">
        <v>0</v>
      </c>
      <c r="P285" s="781">
        <v>0.53</v>
      </c>
      <c r="Q285" s="781">
        <v>0.30149999999999999</v>
      </c>
      <c r="R285" s="782">
        <v>0</v>
      </c>
      <c r="S285" s="781">
        <v>2.4</v>
      </c>
      <c r="T285" s="781">
        <v>1.8</v>
      </c>
      <c r="U285" s="781">
        <v>1.2059999999999997</v>
      </c>
      <c r="V285" s="781">
        <v>0.90449999999999986</v>
      </c>
      <c r="W285" s="781">
        <v>5.0249999999999995</v>
      </c>
      <c r="X285" s="781">
        <v>1.407</v>
      </c>
      <c r="Y285" s="781">
        <v>7.0349999999999993</v>
      </c>
      <c r="Z285" s="781">
        <v>20.099999999999998</v>
      </c>
      <c r="AA285" s="781">
        <v>30.15</v>
      </c>
      <c r="AB285" s="781">
        <v>20.099999999999998</v>
      </c>
      <c r="AC285" s="781">
        <v>0.10049999999999999</v>
      </c>
      <c r="AD285" s="781">
        <v>0.10049999999999999</v>
      </c>
      <c r="AE285" s="781">
        <v>0.10049999999999999</v>
      </c>
      <c r="AF285" s="781"/>
      <c r="AG285" s="781"/>
      <c r="AH285" s="781"/>
      <c r="AI285" s="784"/>
      <c r="AK285" s="783">
        <f>IFERROR(Tabela1[[#This Row],[EE(g)]]/Tabela1[[#This Row],[CMS(kg)]],0)</f>
        <v>0</v>
      </c>
    </row>
    <row r="286" spans="2:37" hidden="1">
      <c r="B286" s="774">
        <f>ROW()^2+(Tabela1[[#This Row],[ID2]])+ROW()</f>
        <v>82236</v>
      </c>
      <c r="C286" s="774">
        <v>154</v>
      </c>
      <c r="D286" s="774" t="s">
        <v>1256</v>
      </c>
      <c r="E286" s="775" t="s">
        <v>1276</v>
      </c>
      <c r="F286" s="775" t="s">
        <v>1271</v>
      </c>
      <c r="G286" s="775">
        <v>60</v>
      </c>
      <c r="H286" s="775" t="s">
        <v>0</v>
      </c>
      <c r="I286" s="776" t="s">
        <v>42</v>
      </c>
      <c r="J286" s="774" t="s">
        <v>42</v>
      </c>
      <c r="K286" s="774" t="s">
        <v>42</v>
      </c>
      <c r="L286" s="777">
        <v>26</v>
      </c>
      <c r="M286" s="778">
        <v>0</v>
      </c>
      <c r="N286" s="779">
        <v>89</v>
      </c>
      <c r="O286" s="780">
        <v>0</v>
      </c>
      <c r="P286" s="781">
        <v>0.61</v>
      </c>
      <c r="Q286" s="781">
        <v>0.34560000000000002</v>
      </c>
      <c r="R286" s="782">
        <v>0</v>
      </c>
      <c r="S286" s="781">
        <v>2.6</v>
      </c>
      <c r="T286" s="781">
        <v>2.1</v>
      </c>
      <c r="U286" s="781">
        <v>1.3823999999999999</v>
      </c>
      <c r="V286" s="781">
        <v>1.0367999999999997</v>
      </c>
      <c r="W286" s="781">
        <v>5.76</v>
      </c>
      <c r="X286" s="781">
        <v>1.6128</v>
      </c>
      <c r="Y286" s="781">
        <v>8.0640000000000001</v>
      </c>
      <c r="Z286" s="781">
        <v>23.04</v>
      </c>
      <c r="AA286" s="781">
        <v>34.559999999999995</v>
      </c>
      <c r="AB286" s="781">
        <v>23.04</v>
      </c>
      <c r="AC286" s="781">
        <v>0.1152</v>
      </c>
      <c r="AD286" s="781">
        <v>0.1152</v>
      </c>
      <c r="AE286" s="781">
        <v>0.1152</v>
      </c>
      <c r="AF286" s="781"/>
      <c r="AG286" s="781"/>
      <c r="AH286" s="781"/>
      <c r="AI286" s="784"/>
      <c r="AK286" s="783">
        <f>IFERROR(Tabela1[[#This Row],[EE(g)]]/Tabela1[[#This Row],[CMS(kg)]],0)</f>
        <v>0</v>
      </c>
    </row>
    <row r="287" spans="2:37" hidden="1">
      <c r="B287" s="774">
        <f>ROW()^2+(Tabela1[[#This Row],[ID2]])+ROW()</f>
        <v>82811</v>
      </c>
      <c r="C287" s="774">
        <v>155</v>
      </c>
      <c r="D287" s="774" t="s">
        <v>1256</v>
      </c>
      <c r="E287" s="775" t="s">
        <v>1276</v>
      </c>
      <c r="F287" s="775" t="s">
        <v>1271</v>
      </c>
      <c r="G287" s="775">
        <v>70</v>
      </c>
      <c r="H287" s="775" t="s">
        <v>0</v>
      </c>
      <c r="I287" s="776" t="s">
        <v>42</v>
      </c>
      <c r="J287" s="774" t="s">
        <v>42</v>
      </c>
      <c r="K287" s="774" t="s">
        <v>42</v>
      </c>
      <c r="L287" s="777">
        <v>29</v>
      </c>
      <c r="M287" s="778">
        <v>0</v>
      </c>
      <c r="N287" s="779">
        <v>99</v>
      </c>
      <c r="O287" s="780">
        <v>0</v>
      </c>
      <c r="P287" s="781">
        <v>0.69</v>
      </c>
      <c r="Q287" s="781">
        <v>0.38850000000000001</v>
      </c>
      <c r="R287" s="782">
        <v>0</v>
      </c>
      <c r="S287" s="781">
        <v>2.9</v>
      </c>
      <c r="T287" s="781">
        <v>2.4</v>
      </c>
      <c r="U287" s="781">
        <v>1.554</v>
      </c>
      <c r="V287" s="781">
        <v>1.1655</v>
      </c>
      <c r="W287" s="781">
        <v>6.4750000000000005</v>
      </c>
      <c r="X287" s="781">
        <v>1.8130000000000004</v>
      </c>
      <c r="Y287" s="781">
        <v>9.0650000000000013</v>
      </c>
      <c r="Z287" s="781">
        <v>25.900000000000002</v>
      </c>
      <c r="AA287" s="781">
        <v>38.85</v>
      </c>
      <c r="AB287" s="781">
        <v>25.900000000000002</v>
      </c>
      <c r="AC287" s="781">
        <v>0.12950000000000003</v>
      </c>
      <c r="AD287" s="781">
        <v>0.12950000000000003</v>
      </c>
      <c r="AE287" s="781">
        <v>0.12950000000000003</v>
      </c>
      <c r="AF287" s="781"/>
      <c r="AG287" s="781"/>
      <c r="AH287" s="781"/>
      <c r="AI287" s="784"/>
      <c r="AK287" s="783">
        <f>IFERROR(Tabela1[[#This Row],[EE(g)]]/Tabela1[[#This Row],[CMS(kg)]],0)</f>
        <v>0</v>
      </c>
    </row>
    <row r="288" spans="2:37" hidden="1">
      <c r="B288" s="774">
        <f>ROW()^2+(Tabela1[[#This Row],[ID2]])+ROW()</f>
        <v>83388</v>
      </c>
      <c r="C288" s="774">
        <v>156</v>
      </c>
      <c r="D288" s="774" t="s">
        <v>1256</v>
      </c>
      <c r="E288" s="775" t="s">
        <v>1276</v>
      </c>
      <c r="F288" s="775" t="s">
        <v>1271</v>
      </c>
      <c r="G288" s="775">
        <v>80</v>
      </c>
      <c r="H288" s="775" t="s">
        <v>0</v>
      </c>
      <c r="I288" s="776" t="s">
        <v>42</v>
      </c>
      <c r="J288" s="774" t="s">
        <v>42</v>
      </c>
      <c r="K288" s="774" t="s">
        <v>42</v>
      </c>
      <c r="L288" s="777">
        <v>32</v>
      </c>
      <c r="M288" s="778">
        <v>0</v>
      </c>
      <c r="N288" s="779">
        <v>110</v>
      </c>
      <c r="O288" s="780">
        <v>0</v>
      </c>
      <c r="P288" s="781">
        <v>0.76</v>
      </c>
      <c r="Q288" s="781">
        <v>0.42959999999999998</v>
      </c>
      <c r="R288" s="782">
        <v>0</v>
      </c>
      <c r="S288" s="781">
        <v>3.1</v>
      </c>
      <c r="T288" s="781">
        <v>2.7</v>
      </c>
      <c r="U288" s="781">
        <v>1.7183999999999999</v>
      </c>
      <c r="V288" s="781">
        <v>1.2887999999999997</v>
      </c>
      <c r="W288" s="781">
        <v>7.16</v>
      </c>
      <c r="X288" s="781">
        <v>2.0047999999999999</v>
      </c>
      <c r="Y288" s="781">
        <v>10.023999999999999</v>
      </c>
      <c r="Z288" s="781">
        <v>28.64</v>
      </c>
      <c r="AA288" s="781">
        <v>42.96</v>
      </c>
      <c r="AB288" s="781">
        <v>28.64</v>
      </c>
      <c r="AC288" s="781">
        <v>0.14319999999999999</v>
      </c>
      <c r="AD288" s="781">
        <v>0.14319999999999999</v>
      </c>
      <c r="AE288" s="781">
        <v>0.14319999999999999</v>
      </c>
      <c r="AF288" s="781"/>
      <c r="AG288" s="781"/>
      <c r="AH288" s="781"/>
      <c r="AI288" s="784"/>
      <c r="AK288" s="783">
        <f>IFERROR(Tabela1[[#This Row],[EE(g)]]/Tabela1[[#This Row],[CMS(kg)]],0)</f>
        <v>0</v>
      </c>
    </row>
    <row r="289" spans="2:37" hidden="1">
      <c r="B289" s="774">
        <f>ROW()^2+(Tabela1[[#This Row],[ID2]])+ROW()</f>
        <v>83967</v>
      </c>
      <c r="C289" s="774">
        <v>157</v>
      </c>
      <c r="D289" s="774" t="s">
        <v>1256</v>
      </c>
      <c r="E289" s="775" t="s">
        <v>1276</v>
      </c>
      <c r="F289" s="775" t="s">
        <v>1271</v>
      </c>
      <c r="G289" s="775">
        <v>90</v>
      </c>
      <c r="H289" s="775" t="s">
        <v>0</v>
      </c>
      <c r="I289" s="776" t="s">
        <v>42</v>
      </c>
      <c r="J289" s="774" t="s">
        <v>42</v>
      </c>
      <c r="K289" s="774" t="s">
        <v>42</v>
      </c>
      <c r="L289" s="777">
        <v>35</v>
      </c>
      <c r="M289" s="778">
        <v>0</v>
      </c>
      <c r="N289" s="779">
        <v>120</v>
      </c>
      <c r="O289" s="780">
        <v>0</v>
      </c>
      <c r="P289" s="781">
        <v>0.83</v>
      </c>
      <c r="Q289" s="781">
        <v>0.4698</v>
      </c>
      <c r="R289" s="782">
        <v>0</v>
      </c>
      <c r="S289" s="781">
        <v>3.4</v>
      </c>
      <c r="T289" s="781">
        <v>2.9</v>
      </c>
      <c r="U289" s="781">
        <v>1.8791999999999998</v>
      </c>
      <c r="V289" s="781">
        <v>1.4093999999999998</v>
      </c>
      <c r="W289" s="781">
        <v>7.8299999999999992</v>
      </c>
      <c r="X289" s="781">
        <v>2.1924000000000001</v>
      </c>
      <c r="Y289" s="781">
        <v>10.962</v>
      </c>
      <c r="Z289" s="781">
        <v>31.319999999999997</v>
      </c>
      <c r="AA289" s="781">
        <v>46.98</v>
      </c>
      <c r="AB289" s="781">
        <v>31.319999999999997</v>
      </c>
      <c r="AC289" s="781">
        <v>0.15659999999999999</v>
      </c>
      <c r="AD289" s="781">
        <v>0.15659999999999999</v>
      </c>
      <c r="AE289" s="781">
        <v>0.15659999999999999</v>
      </c>
      <c r="AF289" s="781"/>
      <c r="AG289" s="781"/>
      <c r="AH289" s="781"/>
      <c r="AI289" s="784"/>
      <c r="AK289" s="783">
        <f>IFERROR(Tabela1[[#This Row],[EE(g)]]/Tabela1[[#This Row],[CMS(kg)]],0)</f>
        <v>0</v>
      </c>
    </row>
    <row r="290" spans="2:37" hidden="1">
      <c r="B290" s="774">
        <f>ROW()^2+(Tabela1[[#This Row],[ID2]])+ROW()</f>
        <v>84548</v>
      </c>
      <c r="C290" s="774">
        <v>158</v>
      </c>
      <c r="D290" s="774" t="s">
        <v>1256</v>
      </c>
      <c r="E290" s="775" t="s">
        <v>1276</v>
      </c>
      <c r="F290" s="775" t="s">
        <v>1271</v>
      </c>
      <c r="G290" s="775">
        <v>100</v>
      </c>
      <c r="H290" s="775" t="s">
        <v>0</v>
      </c>
      <c r="I290" s="776" t="s">
        <v>42</v>
      </c>
      <c r="J290" s="774" t="s">
        <v>42</v>
      </c>
      <c r="K290" s="774" t="s">
        <v>42</v>
      </c>
      <c r="L290" s="777">
        <v>38</v>
      </c>
      <c r="M290" s="778">
        <v>0</v>
      </c>
      <c r="N290" s="779">
        <v>130</v>
      </c>
      <c r="O290" s="780">
        <v>0</v>
      </c>
      <c r="P290" s="781">
        <v>0.9</v>
      </c>
      <c r="Q290" s="781">
        <v>0.50700000000000001</v>
      </c>
      <c r="R290" s="782">
        <v>0</v>
      </c>
      <c r="S290" s="781">
        <v>3.6</v>
      </c>
      <c r="T290" s="781">
        <v>3.2</v>
      </c>
      <c r="U290" s="781">
        <v>2.028</v>
      </c>
      <c r="V290" s="781">
        <v>1.5209999999999999</v>
      </c>
      <c r="W290" s="781">
        <v>8.4499999999999993</v>
      </c>
      <c r="X290" s="781">
        <v>2.3660000000000001</v>
      </c>
      <c r="Y290" s="781">
        <v>11.83</v>
      </c>
      <c r="Z290" s="781">
        <v>33.799999999999997</v>
      </c>
      <c r="AA290" s="781">
        <v>50.699999999999996</v>
      </c>
      <c r="AB290" s="781">
        <v>33.799999999999997</v>
      </c>
      <c r="AC290" s="781">
        <v>0.16900000000000001</v>
      </c>
      <c r="AD290" s="781">
        <v>0.16900000000000001</v>
      </c>
      <c r="AE290" s="781">
        <v>0.16900000000000001</v>
      </c>
      <c r="AF290" s="781"/>
      <c r="AG290" s="781"/>
      <c r="AH290" s="781"/>
      <c r="AI290" s="784"/>
      <c r="AK290" s="783">
        <f>IFERROR(Tabela1[[#This Row],[EE(g)]]/Tabela1[[#This Row],[CMS(kg)]],0)</f>
        <v>0</v>
      </c>
    </row>
    <row r="291" spans="2:37" hidden="1">
      <c r="B291" s="774">
        <f>ROW()^2+(Tabela1[[#This Row],[ID2]])+ROW()</f>
        <v>85131</v>
      </c>
      <c r="C291" s="774">
        <v>159</v>
      </c>
      <c r="D291" s="774" t="s">
        <v>1256</v>
      </c>
      <c r="E291" s="775" t="s">
        <v>1276</v>
      </c>
      <c r="F291" s="775" t="s">
        <v>1271</v>
      </c>
      <c r="G291" s="775">
        <v>120</v>
      </c>
      <c r="H291" s="775" t="s">
        <v>0</v>
      </c>
      <c r="I291" s="776" t="s">
        <v>42</v>
      </c>
      <c r="J291" s="774" t="s">
        <v>42</v>
      </c>
      <c r="K291" s="774" t="s">
        <v>42</v>
      </c>
      <c r="L291" s="777">
        <v>44</v>
      </c>
      <c r="M291" s="778">
        <v>0</v>
      </c>
      <c r="N291" s="779">
        <v>150</v>
      </c>
      <c r="O291" s="780">
        <v>0</v>
      </c>
      <c r="P291" s="781">
        <v>1.03</v>
      </c>
      <c r="Q291" s="781">
        <v>0.58320000000000005</v>
      </c>
      <c r="R291" s="782">
        <v>0</v>
      </c>
      <c r="S291" s="781">
        <v>4</v>
      </c>
      <c r="T291" s="781">
        <v>3.7</v>
      </c>
      <c r="U291" s="781">
        <v>2.3328000000000002</v>
      </c>
      <c r="V291" s="781">
        <v>1.7496000000000003</v>
      </c>
      <c r="W291" s="781">
        <v>9.7200000000000024</v>
      </c>
      <c r="X291" s="781">
        <v>2.7216000000000009</v>
      </c>
      <c r="Y291" s="781">
        <v>13.608000000000002</v>
      </c>
      <c r="Z291" s="781">
        <v>38.88000000000001</v>
      </c>
      <c r="AA291" s="781">
        <v>58.320000000000014</v>
      </c>
      <c r="AB291" s="781">
        <v>38.88000000000001</v>
      </c>
      <c r="AC291" s="781">
        <v>0.19440000000000004</v>
      </c>
      <c r="AD291" s="781">
        <v>0.19440000000000004</v>
      </c>
      <c r="AE291" s="781">
        <v>0.19440000000000004</v>
      </c>
      <c r="AF291" s="781"/>
      <c r="AG291" s="781"/>
      <c r="AH291" s="781"/>
      <c r="AI291" s="784"/>
      <c r="AK291" s="783">
        <f>IFERROR(Tabela1[[#This Row],[EE(g)]]/Tabela1[[#This Row],[CMS(kg)]],0)</f>
        <v>0</v>
      </c>
    </row>
    <row r="292" spans="2:37" hidden="1">
      <c r="B292" s="774">
        <f>ROW()^2+(Tabela1[[#This Row],[ID2]])+ROW()</f>
        <v>85716</v>
      </c>
      <c r="C292" s="774">
        <v>160</v>
      </c>
      <c r="D292" s="774" t="s">
        <v>1256</v>
      </c>
      <c r="E292" s="775" t="s">
        <v>1276</v>
      </c>
      <c r="F292" s="775" t="s">
        <v>1271</v>
      </c>
      <c r="G292" s="775">
        <v>140</v>
      </c>
      <c r="H292" s="775" t="s">
        <v>0</v>
      </c>
      <c r="I292" s="776" t="s">
        <v>42</v>
      </c>
      <c r="J292" s="774" t="s">
        <v>42</v>
      </c>
      <c r="K292" s="774" t="s">
        <v>42</v>
      </c>
      <c r="L292" s="777">
        <v>50</v>
      </c>
      <c r="M292" s="778">
        <v>0</v>
      </c>
      <c r="N292" s="779">
        <v>169</v>
      </c>
      <c r="O292" s="780">
        <v>0</v>
      </c>
      <c r="P292" s="781">
        <v>1.1499999999999999</v>
      </c>
      <c r="Q292" s="781">
        <v>0.6552</v>
      </c>
      <c r="R292" s="782">
        <v>0</v>
      </c>
      <c r="S292" s="781">
        <v>4.5</v>
      </c>
      <c r="T292" s="781">
        <v>4.2</v>
      </c>
      <c r="U292" s="781">
        <v>2.6208</v>
      </c>
      <c r="V292" s="781">
        <v>1.9656</v>
      </c>
      <c r="W292" s="781">
        <v>10.920000000000002</v>
      </c>
      <c r="X292" s="781">
        <v>3.0576000000000003</v>
      </c>
      <c r="Y292" s="781">
        <v>15.288</v>
      </c>
      <c r="Z292" s="781">
        <v>43.680000000000007</v>
      </c>
      <c r="AA292" s="781">
        <v>65.52000000000001</v>
      </c>
      <c r="AB292" s="781">
        <v>43.680000000000007</v>
      </c>
      <c r="AC292" s="781">
        <v>0.21840000000000004</v>
      </c>
      <c r="AD292" s="781">
        <v>0.21840000000000004</v>
      </c>
      <c r="AE292" s="781">
        <v>0.21840000000000004</v>
      </c>
      <c r="AF292" s="781"/>
      <c r="AG292" s="781"/>
      <c r="AH292" s="781"/>
      <c r="AI292" s="784"/>
      <c r="AK292" s="783">
        <f>IFERROR(Tabela1[[#This Row],[EE(g)]]/Tabela1[[#This Row],[CMS(kg)]],0)</f>
        <v>0</v>
      </c>
    </row>
    <row r="293" spans="2:37" hidden="1">
      <c r="B293" s="774">
        <f>ROW()^2+(Tabela1[[#This Row],[ID2]])+ROW()</f>
        <v>86145</v>
      </c>
      <c r="C293" s="774">
        <v>3</v>
      </c>
      <c r="D293" s="774" t="s">
        <v>1256</v>
      </c>
      <c r="E293" s="775" t="s">
        <v>1272</v>
      </c>
      <c r="F293" s="775" t="s">
        <v>1261</v>
      </c>
      <c r="G293" s="775">
        <v>20</v>
      </c>
      <c r="H293" s="775" t="s">
        <v>0</v>
      </c>
      <c r="I293" s="776" t="s">
        <v>42</v>
      </c>
      <c r="J293" s="774" t="s">
        <v>42</v>
      </c>
      <c r="K293" s="774" t="s">
        <v>42</v>
      </c>
      <c r="L293" s="777">
        <v>150</v>
      </c>
      <c r="M293" s="778">
        <v>0</v>
      </c>
      <c r="N293" s="779">
        <v>99.9</v>
      </c>
      <c r="O293" s="780">
        <v>0</v>
      </c>
      <c r="P293" s="781">
        <v>0.51</v>
      </c>
      <c r="Q293" s="781">
        <v>0.2424</v>
      </c>
      <c r="R293" s="782">
        <v>0</v>
      </c>
      <c r="S293" s="781">
        <v>3.1</v>
      </c>
      <c r="T293" s="781">
        <v>2.2000000000000002</v>
      </c>
      <c r="U293" s="781">
        <v>0.96959999999999991</v>
      </c>
      <c r="V293" s="781">
        <v>0.72719999999999985</v>
      </c>
      <c r="W293" s="781">
        <v>4.04</v>
      </c>
      <c r="X293" s="781">
        <v>1.1312</v>
      </c>
      <c r="Y293" s="781">
        <v>5.6559999999999997</v>
      </c>
      <c r="Z293" s="781">
        <v>16.16</v>
      </c>
      <c r="AA293" s="781">
        <v>24.24</v>
      </c>
      <c r="AB293" s="781">
        <v>16.16</v>
      </c>
      <c r="AC293" s="781">
        <v>8.0799999999999997E-2</v>
      </c>
      <c r="AD293" s="781">
        <v>8.0799999999999997E-2</v>
      </c>
      <c r="AE293" s="781">
        <v>8.0799999999999997E-2</v>
      </c>
      <c r="AF293" s="781"/>
      <c r="AG293" s="781"/>
      <c r="AH293" s="781"/>
      <c r="AI293" s="784"/>
      <c r="AK293" s="783">
        <f>IFERROR(Tabela1[[#This Row],[EE(g)]]/Tabela1[[#This Row],[CMS(kg)]],0)</f>
        <v>0</v>
      </c>
    </row>
    <row r="294" spans="2:37" hidden="1">
      <c r="B294" s="774">
        <f>ROW()^2+(Tabela1[[#This Row],[ID2]])+ROW()</f>
        <v>86735</v>
      </c>
      <c r="C294" s="774">
        <v>5</v>
      </c>
      <c r="D294" s="774" t="s">
        <v>1256</v>
      </c>
      <c r="E294" s="775" t="s">
        <v>1272</v>
      </c>
      <c r="F294" s="775" t="s">
        <v>1261</v>
      </c>
      <c r="G294" s="775">
        <v>20</v>
      </c>
      <c r="H294" s="775" t="s">
        <v>0</v>
      </c>
      <c r="I294" s="776" t="s">
        <v>42</v>
      </c>
      <c r="J294" s="774" t="s">
        <v>42</v>
      </c>
      <c r="K294" s="774" t="s">
        <v>42</v>
      </c>
      <c r="L294" s="777">
        <v>200</v>
      </c>
      <c r="M294" s="778">
        <v>0</v>
      </c>
      <c r="N294" s="779">
        <v>118.3</v>
      </c>
      <c r="O294" s="780">
        <v>0</v>
      </c>
      <c r="P294" s="781">
        <v>0.61</v>
      </c>
      <c r="Q294" s="781">
        <v>0.25259999999999999</v>
      </c>
      <c r="R294" s="782">
        <v>0</v>
      </c>
      <c r="S294" s="781">
        <v>3.7</v>
      </c>
      <c r="T294" s="781">
        <v>2.5</v>
      </c>
      <c r="U294" s="781">
        <v>1.0104</v>
      </c>
      <c r="V294" s="781">
        <v>0.75779999999999992</v>
      </c>
      <c r="W294" s="781">
        <v>4.21</v>
      </c>
      <c r="X294" s="781">
        <v>1.1788000000000001</v>
      </c>
      <c r="Y294" s="781">
        <v>5.8940000000000001</v>
      </c>
      <c r="Z294" s="781">
        <v>16.84</v>
      </c>
      <c r="AA294" s="781">
        <v>25.259999999999998</v>
      </c>
      <c r="AB294" s="781">
        <v>16.84</v>
      </c>
      <c r="AC294" s="781">
        <v>8.4199999999999997E-2</v>
      </c>
      <c r="AD294" s="781">
        <v>8.4199999999999997E-2</v>
      </c>
      <c r="AE294" s="781">
        <v>8.4199999999999997E-2</v>
      </c>
      <c r="AF294" s="781"/>
      <c r="AG294" s="781"/>
      <c r="AH294" s="781"/>
      <c r="AI294" s="784"/>
      <c r="AK294" s="783">
        <f>IFERROR(Tabela1[[#This Row],[EE(g)]]/Tabela1[[#This Row],[CMS(kg)]],0)</f>
        <v>0</v>
      </c>
    </row>
    <row r="295" spans="2:37" hidden="1">
      <c r="B295" s="774">
        <f>ROW()^2+(Tabela1[[#This Row],[ID2]])+ROW()</f>
        <v>87327</v>
      </c>
      <c r="C295" s="774">
        <v>7</v>
      </c>
      <c r="D295" s="774" t="s">
        <v>1256</v>
      </c>
      <c r="E295" s="775" t="s">
        <v>1272</v>
      </c>
      <c r="F295" s="775" t="s">
        <v>1261</v>
      </c>
      <c r="G295" s="775">
        <v>20</v>
      </c>
      <c r="H295" s="775" t="s">
        <v>0</v>
      </c>
      <c r="I295" s="776" t="s">
        <v>42</v>
      </c>
      <c r="J295" s="774" t="s">
        <v>42</v>
      </c>
      <c r="K295" s="774" t="s">
        <v>42</v>
      </c>
      <c r="L295" s="777">
        <v>300</v>
      </c>
      <c r="M295" s="778">
        <v>0</v>
      </c>
      <c r="N295" s="779">
        <v>155.9</v>
      </c>
      <c r="O295" s="780">
        <v>0</v>
      </c>
      <c r="P295" s="781">
        <v>0.8</v>
      </c>
      <c r="Q295" s="781">
        <v>0.27300000000000002</v>
      </c>
      <c r="R295" s="782">
        <v>0</v>
      </c>
      <c r="S295" s="781">
        <v>5.0999999999999996</v>
      </c>
      <c r="T295" s="781">
        <v>3.5</v>
      </c>
      <c r="U295" s="781">
        <v>1.0919999999999999</v>
      </c>
      <c r="V295" s="781">
        <v>0.81899999999999984</v>
      </c>
      <c r="W295" s="781">
        <v>4.55</v>
      </c>
      <c r="X295" s="781">
        <v>1.274</v>
      </c>
      <c r="Y295" s="781">
        <v>6.3699999999999992</v>
      </c>
      <c r="Z295" s="781">
        <v>18.2</v>
      </c>
      <c r="AA295" s="781">
        <v>27.299999999999997</v>
      </c>
      <c r="AB295" s="781">
        <v>18.2</v>
      </c>
      <c r="AC295" s="781">
        <v>9.0999999999999998E-2</v>
      </c>
      <c r="AD295" s="781">
        <v>9.0999999999999998E-2</v>
      </c>
      <c r="AE295" s="781">
        <v>9.0999999999999998E-2</v>
      </c>
      <c r="AF295" s="781"/>
      <c r="AG295" s="781"/>
      <c r="AH295" s="781"/>
      <c r="AI295" s="784"/>
      <c r="AK295" s="783">
        <f>IFERROR(Tabela1[[#This Row],[EE(g)]]/Tabela1[[#This Row],[CMS(kg)]],0)</f>
        <v>0</v>
      </c>
    </row>
    <row r="296" spans="2:37" hidden="1">
      <c r="B296" s="774">
        <f>ROW()^2+(Tabela1[[#This Row],[ID2]])+ROW()</f>
        <v>87921</v>
      </c>
      <c r="C296" s="774">
        <v>9</v>
      </c>
      <c r="D296" s="774" t="s">
        <v>1256</v>
      </c>
      <c r="E296" s="775" t="s">
        <v>1272</v>
      </c>
      <c r="F296" s="775" t="s">
        <v>1261</v>
      </c>
      <c r="G296" s="775">
        <v>30</v>
      </c>
      <c r="H296" s="775" t="s">
        <v>0</v>
      </c>
      <c r="I296" s="776" t="s">
        <v>42</v>
      </c>
      <c r="J296" s="774" t="s">
        <v>42</v>
      </c>
      <c r="K296" s="774" t="s">
        <v>42</v>
      </c>
      <c r="L296" s="777">
        <v>200</v>
      </c>
      <c r="M296" s="778">
        <v>0</v>
      </c>
      <c r="N296" s="779">
        <v>132.6</v>
      </c>
      <c r="O296" s="780">
        <v>0</v>
      </c>
      <c r="P296" s="781">
        <v>0.74</v>
      </c>
      <c r="Q296" s="781">
        <v>0.31140000000000001</v>
      </c>
      <c r="R296" s="782">
        <v>0</v>
      </c>
      <c r="S296" s="781">
        <v>4.0999999999999996</v>
      </c>
      <c r="T296" s="781">
        <v>2.9</v>
      </c>
      <c r="U296" s="781">
        <v>1.2456</v>
      </c>
      <c r="V296" s="781">
        <v>0.93419999999999992</v>
      </c>
      <c r="W296" s="781">
        <v>5.19</v>
      </c>
      <c r="X296" s="781">
        <v>1.4532000000000003</v>
      </c>
      <c r="Y296" s="781">
        <v>7.266</v>
      </c>
      <c r="Z296" s="781">
        <v>20.76</v>
      </c>
      <c r="AA296" s="781">
        <v>31.14</v>
      </c>
      <c r="AB296" s="781">
        <v>20.76</v>
      </c>
      <c r="AC296" s="781">
        <v>0.1038</v>
      </c>
      <c r="AD296" s="781">
        <v>0.1038</v>
      </c>
      <c r="AE296" s="781">
        <v>0.1038</v>
      </c>
      <c r="AF296" s="781"/>
      <c r="AG296" s="781"/>
      <c r="AH296" s="781"/>
      <c r="AI296" s="784"/>
      <c r="AK296" s="783">
        <f>IFERROR(Tabela1[[#This Row],[EE(g)]]/Tabela1[[#This Row],[CMS(kg)]],0)</f>
        <v>0</v>
      </c>
    </row>
    <row r="297" spans="2:37" hidden="1">
      <c r="B297" s="774">
        <f>ROW()^2+(Tabela1[[#This Row],[ID2]])+ROW()</f>
        <v>88517</v>
      </c>
      <c r="C297" s="774">
        <v>11</v>
      </c>
      <c r="D297" s="774" t="s">
        <v>1256</v>
      </c>
      <c r="E297" s="775" t="s">
        <v>1272</v>
      </c>
      <c r="F297" s="775" t="s">
        <v>1261</v>
      </c>
      <c r="G297" s="775">
        <v>30</v>
      </c>
      <c r="H297" s="775" t="s">
        <v>0</v>
      </c>
      <c r="I297" s="776" t="s">
        <v>42</v>
      </c>
      <c r="J297" s="774" t="s">
        <v>42</v>
      </c>
      <c r="K297" s="774" t="s">
        <v>42</v>
      </c>
      <c r="L297" s="777">
        <v>250</v>
      </c>
      <c r="M297" s="778">
        <v>0</v>
      </c>
      <c r="N297" s="779">
        <v>150.6</v>
      </c>
      <c r="O297" s="780">
        <v>0</v>
      </c>
      <c r="P297" s="781">
        <v>0.85</v>
      </c>
      <c r="Q297" s="781">
        <v>0.32219999999999999</v>
      </c>
      <c r="R297" s="782">
        <v>0</v>
      </c>
      <c r="S297" s="781">
        <v>4.5</v>
      </c>
      <c r="T297" s="781">
        <v>3.2</v>
      </c>
      <c r="U297" s="781">
        <v>1.2887999999999997</v>
      </c>
      <c r="V297" s="781">
        <v>0.96659999999999979</v>
      </c>
      <c r="W297" s="781">
        <v>5.3699999999999992</v>
      </c>
      <c r="X297" s="781">
        <v>1.5035999999999998</v>
      </c>
      <c r="Y297" s="781">
        <v>7.5179999999999989</v>
      </c>
      <c r="Z297" s="781">
        <v>21.479999999999997</v>
      </c>
      <c r="AA297" s="781">
        <v>32.22</v>
      </c>
      <c r="AB297" s="781">
        <v>21.479999999999997</v>
      </c>
      <c r="AC297" s="781">
        <v>0.1074</v>
      </c>
      <c r="AD297" s="781">
        <v>0.1074</v>
      </c>
      <c r="AE297" s="781">
        <v>0.1074</v>
      </c>
      <c r="AF297" s="781"/>
      <c r="AG297" s="781"/>
      <c r="AH297" s="781"/>
      <c r="AI297" s="784"/>
      <c r="AK297" s="783">
        <f>IFERROR(Tabela1[[#This Row],[EE(g)]]/Tabela1[[#This Row],[CMS(kg)]],0)</f>
        <v>0</v>
      </c>
    </row>
    <row r="298" spans="2:37" hidden="1">
      <c r="B298" s="774">
        <f>ROW()^2+(Tabela1[[#This Row],[ID2]])+ROW()</f>
        <v>89115</v>
      </c>
      <c r="C298" s="774">
        <v>13</v>
      </c>
      <c r="D298" s="774" t="s">
        <v>1256</v>
      </c>
      <c r="E298" s="775" t="s">
        <v>1272</v>
      </c>
      <c r="F298" s="775" t="s">
        <v>1261</v>
      </c>
      <c r="G298" s="775">
        <v>30</v>
      </c>
      <c r="H298" s="775" t="s">
        <v>0</v>
      </c>
      <c r="I298" s="776" t="s">
        <v>42</v>
      </c>
      <c r="J298" s="774" t="s">
        <v>42</v>
      </c>
      <c r="K298" s="774" t="s">
        <v>42</v>
      </c>
      <c r="L298" s="777">
        <v>300</v>
      </c>
      <c r="M298" s="778">
        <v>0</v>
      </c>
      <c r="N298" s="779">
        <v>168.5</v>
      </c>
      <c r="O298" s="780">
        <v>0</v>
      </c>
      <c r="P298" s="781">
        <v>0.96</v>
      </c>
      <c r="Q298" s="781">
        <v>0.33210000000000001</v>
      </c>
      <c r="R298" s="782">
        <v>0</v>
      </c>
      <c r="S298" s="781">
        <v>5.3</v>
      </c>
      <c r="T298" s="781">
        <v>3.8</v>
      </c>
      <c r="U298" s="781">
        <v>1.3284</v>
      </c>
      <c r="V298" s="781">
        <v>0.99629999999999985</v>
      </c>
      <c r="W298" s="781">
        <v>5.5350000000000001</v>
      </c>
      <c r="X298" s="781">
        <v>1.5498000000000001</v>
      </c>
      <c r="Y298" s="781">
        <v>7.7489999999999997</v>
      </c>
      <c r="Z298" s="781">
        <v>22.14</v>
      </c>
      <c r="AA298" s="781">
        <v>33.21</v>
      </c>
      <c r="AB298" s="781">
        <v>22.14</v>
      </c>
      <c r="AC298" s="781">
        <v>0.11070000000000001</v>
      </c>
      <c r="AD298" s="781">
        <v>0.11070000000000001</v>
      </c>
      <c r="AE298" s="781">
        <v>0.11070000000000001</v>
      </c>
      <c r="AF298" s="781"/>
      <c r="AG298" s="781"/>
      <c r="AH298" s="781"/>
      <c r="AI298" s="784"/>
      <c r="AK298" s="783">
        <f>IFERROR(Tabela1[[#This Row],[EE(g)]]/Tabela1[[#This Row],[CMS(kg)]],0)</f>
        <v>0</v>
      </c>
    </row>
    <row r="299" spans="2:37" hidden="1">
      <c r="B299" s="774">
        <f>ROW()^2+(Tabela1[[#This Row],[ID2]])+ROW()</f>
        <v>89835</v>
      </c>
      <c r="C299" s="787">
        <v>135</v>
      </c>
      <c r="D299" s="774" t="s">
        <v>1256</v>
      </c>
      <c r="E299" s="788" t="s">
        <v>1257</v>
      </c>
      <c r="F299" s="788" t="s">
        <v>1258</v>
      </c>
      <c r="G299" s="788">
        <v>100</v>
      </c>
      <c r="H299" s="788" t="s">
        <v>1</v>
      </c>
      <c r="I299" s="789" t="s">
        <v>42</v>
      </c>
      <c r="J299" s="787" t="s">
        <v>42</v>
      </c>
      <c r="K299" s="787" t="s">
        <v>42</v>
      </c>
      <c r="L299" s="790">
        <v>0</v>
      </c>
      <c r="M299" s="778">
        <v>1.77</v>
      </c>
      <c r="N299" s="780">
        <v>1000</v>
      </c>
      <c r="O299" s="780">
        <v>1000</v>
      </c>
      <c r="P299" s="791">
        <v>100</v>
      </c>
      <c r="Q299" s="791">
        <v>100</v>
      </c>
      <c r="R299" s="792">
        <v>123.89999999999999</v>
      </c>
      <c r="S299" s="791">
        <v>100</v>
      </c>
      <c r="T299" s="791">
        <v>100</v>
      </c>
      <c r="U299" s="791">
        <v>1770</v>
      </c>
      <c r="V299" s="791">
        <v>31.86</v>
      </c>
      <c r="W299" s="791">
        <v>53.1</v>
      </c>
      <c r="X299" s="791">
        <v>7.08</v>
      </c>
      <c r="Y299" s="791">
        <v>44.25</v>
      </c>
      <c r="Z299" s="791">
        <v>1327.5</v>
      </c>
      <c r="AA299" s="791">
        <v>885</v>
      </c>
      <c r="AB299" s="791">
        <v>1770</v>
      </c>
      <c r="AC299" s="791">
        <v>88.5</v>
      </c>
      <c r="AD299" s="791">
        <v>17.7</v>
      </c>
      <c r="AE299" s="791">
        <v>3.54</v>
      </c>
      <c r="AF299" s="791"/>
      <c r="AG299" s="791"/>
      <c r="AH299" s="791"/>
      <c r="AI299" s="784"/>
      <c r="AK299" s="783">
        <f>IFERROR(Tabela1[[#This Row],[EE(g)]]/Tabela1[[#This Row],[CMS(kg)]],0)</f>
        <v>70</v>
      </c>
    </row>
    <row r="300" spans="2:37" hidden="1">
      <c r="B300" s="774">
        <f>ROW()^2+(Tabela1[[#This Row],[ID2]])+ROW()</f>
        <v>90436</v>
      </c>
      <c r="C300" s="787">
        <v>136</v>
      </c>
      <c r="D300" s="774" t="s">
        <v>1256</v>
      </c>
      <c r="E300" s="788" t="s">
        <v>1257</v>
      </c>
      <c r="F300" s="788" t="s">
        <v>1258</v>
      </c>
      <c r="G300" s="788">
        <v>125</v>
      </c>
      <c r="H300" s="788" t="s">
        <v>1</v>
      </c>
      <c r="I300" s="789" t="s">
        <v>42</v>
      </c>
      <c r="J300" s="787" t="s">
        <v>42</v>
      </c>
      <c r="K300" s="787" t="s">
        <v>42</v>
      </c>
      <c r="L300" s="790">
        <v>0</v>
      </c>
      <c r="M300" s="778">
        <v>2.0874999999999999</v>
      </c>
      <c r="N300" s="780">
        <v>1000</v>
      </c>
      <c r="O300" s="780">
        <v>1000</v>
      </c>
      <c r="P300" s="791">
        <v>100</v>
      </c>
      <c r="Q300" s="791">
        <v>100</v>
      </c>
      <c r="R300" s="792">
        <v>146.1</v>
      </c>
      <c r="S300" s="791">
        <v>100</v>
      </c>
      <c r="T300" s="791">
        <v>100</v>
      </c>
      <c r="U300" s="791">
        <v>2087.5</v>
      </c>
      <c r="V300" s="791">
        <v>37.574999999999996</v>
      </c>
      <c r="W300" s="791">
        <v>62.625</v>
      </c>
      <c r="X300" s="791">
        <v>8.35</v>
      </c>
      <c r="Y300" s="791">
        <v>52.1875</v>
      </c>
      <c r="Z300" s="791">
        <v>1565.625</v>
      </c>
      <c r="AA300" s="791">
        <v>1043.75</v>
      </c>
      <c r="AB300" s="791">
        <v>2087.5</v>
      </c>
      <c r="AC300" s="791">
        <v>104.375</v>
      </c>
      <c r="AD300" s="791">
        <v>20.875</v>
      </c>
      <c r="AE300" s="791">
        <v>4.1749999999999998</v>
      </c>
      <c r="AF300" s="791"/>
      <c r="AG300" s="791"/>
      <c r="AH300" s="791"/>
      <c r="AI300" s="784"/>
      <c r="AK300" s="783">
        <f>IFERROR(Tabela1[[#This Row],[EE(g)]]/Tabela1[[#This Row],[CMS(kg)]],0)</f>
        <v>69.988023952095816</v>
      </c>
    </row>
    <row r="301" spans="2:37" hidden="1">
      <c r="B301" s="774">
        <f>ROW()^2+(Tabela1[[#This Row],[ID2]])+ROW()</f>
        <v>91039</v>
      </c>
      <c r="C301" s="787">
        <v>137</v>
      </c>
      <c r="D301" s="774" t="s">
        <v>1256</v>
      </c>
      <c r="E301" s="788" t="s">
        <v>1257</v>
      </c>
      <c r="F301" s="788" t="s">
        <v>1258</v>
      </c>
      <c r="G301" s="788">
        <v>150</v>
      </c>
      <c r="H301" s="788" t="s">
        <v>1</v>
      </c>
      <c r="I301" s="789" t="s">
        <v>42</v>
      </c>
      <c r="J301" s="787" t="s">
        <v>42</v>
      </c>
      <c r="K301" s="787" t="s">
        <v>42</v>
      </c>
      <c r="L301" s="790">
        <v>0</v>
      </c>
      <c r="M301" s="778">
        <v>2.4</v>
      </c>
      <c r="N301" s="780">
        <v>1000</v>
      </c>
      <c r="O301" s="780">
        <v>1000</v>
      </c>
      <c r="P301" s="791">
        <v>100</v>
      </c>
      <c r="Q301" s="791">
        <v>100</v>
      </c>
      <c r="R301" s="792">
        <v>168</v>
      </c>
      <c r="S301" s="791">
        <v>100</v>
      </c>
      <c r="T301" s="791">
        <v>100</v>
      </c>
      <c r="U301" s="791">
        <v>2400</v>
      </c>
      <c r="V301" s="791">
        <v>43.199999999999996</v>
      </c>
      <c r="W301" s="791">
        <v>72</v>
      </c>
      <c r="X301" s="791">
        <v>9.6</v>
      </c>
      <c r="Y301" s="791">
        <v>60</v>
      </c>
      <c r="Z301" s="791">
        <v>1800</v>
      </c>
      <c r="AA301" s="791">
        <v>1200</v>
      </c>
      <c r="AB301" s="791">
        <v>2400</v>
      </c>
      <c r="AC301" s="791">
        <v>120</v>
      </c>
      <c r="AD301" s="791">
        <v>24</v>
      </c>
      <c r="AE301" s="791">
        <v>4.8</v>
      </c>
      <c r="AF301" s="791"/>
      <c r="AG301" s="791"/>
      <c r="AH301" s="791"/>
      <c r="AI301" s="784"/>
      <c r="AK301" s="783">
        <f>IFERROR(Tabela1[[#This Row],[EE(g)]]/Tabela1[[#This Row],[CMS(kg)]],0)</f>
        <v>70</v>
      </c>
    </row>
    <row r="302" spans="2:37" hidden="1">
      <c r="B302" s="774">
        <f>ROW()^2+(Tabela1[[#This Row],[ID2]])+ROW()</f>
        <v>91644</v>
      </c>
      <c r="C302" s="787">
        <v>138</v>
      </c>
      <c r="D302" s="774" t="s">
        <v>1256</v>
      </c>
      <c r="E302" s="788" t="s">
        <v>1257</v>
      </c>
      <c r="F302" s="788" t="s">
        <v>1258</v>
      </c>
      <c r="G302" s="788">
        <v>200</v>
      </c>
      <c r="H302" s="788" t="s">
        <v>1</v>
      </c>
      <c r="I302" s="789" t="s">
        <v>42</v>
      </c>
      <c r="J302" s="787" t="s">
        <v>42</v>
      </c>
      <c r="K302" s="787" t="s">
        <v>42</v>
      </c>
      <c r="L302" s="790">
        <v>0</v>
      </c>
      <c r="M302" s="778">
        <v>2.98</v>
      </c>
      <c r="N302" s="780">
        <v>1000</v>
      </c>
      <c r="O302" s="780">
        <v>1000</v>
      </c>
      <c r="P302" s="791">
        <v>100</v>
      </c>
      <c r="Q302" s="791">
        <v>100</v>
      </c>
      <c r="R302" s="792">
        <v>208.6</v>
      </c>
      <c r="S302" s="791">
        <v>100</v>
      </c>
      <c r="T302" s="791">
        <v>100</v>
      </c>
      <c r="U302" s="791">
        <v>2980</v>
      </c>
      <c r="V302" s="791">
        <v>53.64</v>
      </c>
      <c r="W302" s="791">
        <v>89.4</v>
      </c>
      <c r="X302" s="791">
        <v>11.92</v>
      </c>
      <c r="Y302" s="791">
        <v>74.5</v>
      </c>
      <c r="Z302" s="791">
        <v>2235</v>
      </c>
      <c r="AA302" s="791">
        <v>1490</v>
      </c>
      <c r="AB302" s="791">
        <v>2980</v>
      </c>
      <c r="AC302" s="791">
        <v>149</v>
      </c>
      <c r="AD302" s="791">
        <v>29.8</v>
      </c>
      <c r="AE302" s="791">
        <v>5.96</v>
      </c>
      <c r="AF302" s="791"/>
      <c r="AG302" s="791"/>
      <c r="AH302" s="791"/>
      <c r="AI302" s="784"/>
      <c r="AK302" s="783">
        <f>IFERROR(Tabela1[[#This Row],[EE(g)]]/Tabela1[[#This Row],[CMS(kg)]],0)</f>
        <v>70</v>
      </c>
    </row>
    <row r="303" spans="2:37" hidden="1">
      <c r="B303" s="774">
        <f>ROW()^2+(Tabela1[[#This Row],[ID2]])+ROW()</f>
        <v>92251</v>
      </c>
      <c r="C303" s="787">
        <v>139</v>
      </c>
      <c r="D303" s="774" t="s">
        <v>1256</v>
      </c>
      <c r="E303" s="788" t="s">
        <v>1257</v>
      </c>
      <c r="F303" s="788" t="s">
        <v>1259</v>
      </c>
      <c r="G303" s="788">
        <v>100</v>
      </c>
      <c r="H303" s="788" t="s">
        <v>1</v>
      </c>
      <c r="I303" s="789" t="s">
        <v>42</v>
      </c>
      <c r="J303" s="787" t="s">
        <v>42</v>
      </c>
      <c r="K303" s="787" t="s">
        <v>42</v>
      </c>
      <c r="L303" s="790">
        <v>0</v>
      </c>
      <c r="M303" s="778">
        <v>1.95</v>
      </c>
      <c r="N303" s="780">
        <v>1000</v>
      </c>
      <c r="O303" s="780">
        <v>1000</v>
      </c>
      <c r="P303" s="791">
        <v>100</v>
      </c>
      <c r="Q303" s="791">
        <v>100</v>
      </c>
      <c r="R303" s="792">
        <v>136.5</v>
      </c>
      <c r="S303" s="791">
        <v>100</v>
      </c>
      <c r="T303" s="791">
        <v>100</v>
      </c>
      <c r="U303" s="791">
        <v>1950</v>
      </c>
      <c r="V303" s="791">
        <v>35.1</v>
      </c>
      <c r="W303" s="791">
        <v>58.5</v>
      </c>
      <c r="X303" s="791">
        <v>7.8</v>
      </c>
      <c r="Y303" s="791">
        <v>48.75</v>
      </c>
      <c r="Z303" s="791">
        <v>1462.5</v>
      </c>
      <c r="AA303" s="791">
        <v>975</v>
      </c>
      <c r="AB303" s="791">
        <v>1950</v>
      </c>
      <c r="AC303" s="791">
        <v>97.5</v>
      </c>
      <c r="AD303" s="791">
        <v>19.5</v>
      </c>
      <c r="AE303" s="791">
        <v>3.9</v>
      </c>
      <c r="AF303" s="791"/>
      <c r="AG303" s="791"/>
      <c r="AH303" s="791"/>
      <c r="AI303" s="784"/>
      <c r="AK303" s="783">
        <f>IFERROR(Tabela1[[#This Row],[EE(g)]]/Tabela1[[#This Row],[CMS(kg)]],0)</f>
        <v>70</v>
      </c>
    </row>
    <row r="304" spans="2:37" hidden="1">
      <c r="B304" s="774">
        <f>ROW()^2+(Tabela1[[#This Row],[ID2]])+ROW()</f>
        <v>92860</v>
      </c>
      <c r="C304" s="787">
        <v>140</v>
      </c>
      <c r="D304" s="774" t="s">
        <v>1256</v>
      </c>
      <c r="E304" s="788" t="s">
        <v>1257</v>
      </c>
      <c r="F304" s="788" t="s">
        <v>1259</v>
      </c>
      <c r="G304" s="788">
        <v>125</v>
      </c>
      <c r="H304" s="788" t="s">
        <v>1</v>
      </c>
      <c r="I304" s="789" t="s">
        <v>42</v>
      </c>
      <c r="J304" s="787" t="s">
        <v>42</v>
      </c>
      <c r="K304" s="787" t="s">
        <v>42</v>
      </c>
      <c r="L304" s="790">
        <v>0</v>
      </c>
      <c r="M304" s="778">
        <v>2.2999999999999998</v>
      </c>
      <c r="N304" s="780">
        <v>1000</v>
      </c>
      <c r="O304" s="780">
        <v>1000</v>
      </c>
      <c r="P304" s="791">
        <v>100</v>
      </c>
      <c r="Q304" s="791">
        <v>100</v>
      </c>
      <c r="R304" s="792">
        <v>161</v>
      </c>
      <c r="S304" s="791">
        <v>100</v>
      </c>
      <c r="T304" s="791">
        <v>100</v>
      </c>
      <c r="U304" s="791">
        <v>2300</v>
      </c>
      <c r="V304" s="791">
        <v>41.4</v>
      </c>
      <c r="W304" s="791">
        <v>69</v>
      </c>
      <c r="X304" s="791">
        <v>9.1999999999999993</v>
      </c>
      <c r="Y304" s="791">
        <v>57.499999999999993</v>
      </c>
      <c r="Z304" s="791">
        <v>1724.9999999999998</v>
      </c>
      <c r="AA304" s="791">
        <v>1150</v>
      </c>
      <c r="AB304" s="791">
        <v>2300</v>
      </c>
      <c r="AC304" s="791">
        <v>114.99999999999999</v>
      </c>
      <c r="AD304" s="791">
        <v>23</v>
      </c>
      <c r="AE304" s="791">
        <v>4.5999999999999996</v>
      </c>
      <c r="AF304" s="791"/>
      <c r="AG304" s="791"/>
      <c r="AH304" s="791"/>
      <c r="AI304" s="784"/>
      <c r="AK304" s="783">
        <f>IFERROR(Tabela1[[#This Row],[EE(g)]]/Tabela1[[#This Row],[CMS(kg)]],0)</f>
        <v>70</v>
      </c>
    </row>
    <row r="305" spans="2:37" hidden="1">
      <c r="B305" s="774">
        <f>ROW()^2+(Tabela1[[#This Row],[ID2]])+ROW()</f>
        <v>93471</v>
      </c>
      <c r="C305" s="787">
        <v>141</v>
      </c>
      <c r="D305" s="774" t="s">
        <v>1256</v>
      </c>
      <c r="E305" s="788" t="s">
        <v>1257</v>
      </c>
      <c r="F305" s="788" t="s">
        <v>1259</v>
      </c>
      <c r="G305" s="788">
        <v>150</v>
      </c>
      <c r="H305" s="788" t="s">
        <v>1</v>
      </c>
      <c r="I305" s="789" t="s">
        <v>42</v>
      </c>
      <c r="J305" s="787" t="s">
        <v>42</v>
      </c>
      <c r="K305" s="787" t="s">
        <v>42</v>
      </c>
      <c r="L305" s="790">
        <v>0</v>
      </c>
      <c r="M305" s="778">
        <v>2.64</v>
      </c>
      <c r="N305" s="780">
        <v>1000</v>
      </c>
      <c r="O305" s="780">
        <v>1000</v>
      </c>
      <c r="P305" s="791">
        <v>100</v>
      </c>
      <c r="Q305" s="791">
        <v>100</v>
      </c>
      <c r="R305" s="792">
        <v>184.79999999999998</v>
      </c>
      <c r="S305" s="791">
        <v>100</v>
      </c>
      <c r="T305" s="791">
        <v>100</v>
      </c>
      <c r="U305" s="791">
        <v>2640</v>
      </c>
      <c r="V305" s="791">
        <v>47.52</v>
      </c>
      <c r="W305" s="791">
        <v>79.2</v>
      </c>
      <c r="X305" s="791">
        <v>10.56</v>
      </c>
      <c r="Y305" s="791">
        <v>66</v>
      </c>
      <c r="Z305" s="791">
        <v>1980</v>
      </c>
      <c r="AA305" s="791">
        <v>1320</v>
      </c>
      <c r="AB305" s="791">
        <v>2640</v>
      </c>
      <c r="AC305" s="791">
        <v>132</v>
      </c>
      <c r="AD305" s="791">
        <v>26.400000000000002</v>
      </c>
      <c r="AE305" s="791">
        <v>5.28</v>
      </c>
      <c r="AF305" s="791"/>
      <c r="AG305" s="791"/>
      <c r="AH305" s="791"/>
      <c r="AI305" s="784"/>
      <c r="AK305" s="783">
        <f>IFERROR(Tabela1[[#This Row],[EE(g)]]/Tabela1[[#This Row],[CMS(kg)]],0)</f>
        <v>69.999999999999986</v>
      </c>
    </row>
    <row r="306" spans="2:37" hidden="1">
      <c r="B306" s="774">
        <f>ROW()^2+(Tabela1[[#This Row],[ID2]])+ROW()</f>
        <v>94084</v>
      </c>
      <c r="C306" s="787">
        <v>142</v>
      </c>
      <c r="D306" s="774" t="s">
        <v>1256</v>
      </c>
      <c r="E306" s="788" t="s">
        <v>1257</v>
      </c>
      <c r="F306" s="788" t="s">
        <v>1259</v>
      </c>
      <c r="G306" s="788">
        <v>200</v>
      </c>
      <c r="H306" s="788" t="s">
        <v>1</v>
      </c>
      <c r="I306" s="789" t="s">
        <v>42</v>
      </c>
      <c r="J306" s="787" t="s">
        <v>42</v>
      </c>
      <c r="K306" s="787" t="s">
        <v>42</v>
      </c>
      <c r="L306" s="790">
        <v>0</v>
      </c>
      <c r="M306" s="778">
        <v>3.2799999999999994</v>
      </c>
      <c r="N306" s="780">
        <v>1000</v>
      </c>
      <c r="O306" s="780">
        <v>1000</v>
      </c>
      <c r="P306" s="791">
        <v>100</v>
      </c>
      <c r="Q306" s="791">
        <v>100</v>
      </c>
      <c r="R306" s="792">
        <v>229.6</v>
      </c>
      <c r="S306" s="791">
        <v>100</v>
      </c>
      <c r="T306" s="791">
        <v>100</v>
      </c>
      <c r="U306" s="791">
        <v>3279.9999999999995</v>
      </c>
      <c r="V306" s="791">
        <v>59.039999999999992</v>
      </c>
      <c r="W306" s="791">
        <v>98.399999999999977</v>
      </c>
      <c r="X306" s="791">
        <v>13.119999999999997</v>
      </c>
      <c r="Y306" s="791">
        <v>81.999999999999986</v>
      </c>
      <c r="Z306" s="791">
        <v>2459.9999999999995</v>
      </c>
      <c r="AA306" s="791">
        <v>1639.9999999999998</v>
      </c>
      <c r="AB306" s="791">
        <v>3279.9999999999995</v>
      </c>
      <c r="AC306" s="791">
        <v>163.99999999999997</v>
      </c>
      <c r="AD306" s="791">
        <v>32.799999999999997</v>
      </c>
      <c r="AE306" s="791">
        <v>6.5599999999999987</v>
      </c>
      <c r="AF306" s="791"/>
      <c r="AG306" s="791"/>
      <c r="AH306" s="791"/>
      <c r="AI306" s="784"/>
      <c r="AK306" s="783">
        <f>IFERROR(Tabela1[[#This Row],[EE(g)]]/Tabela1[[#This Row],[CMS(kg)]],0)</f>
        <v>70.000000000000014</v>
      </c>
    </row>
    <row r="307" spans="2:37" hidden="1">
      <c r="B307" s="774">
        <f>ROW()^2+(Tabela1[[#This Row],[ID2]])+ROW()</f>
        <v>94627</v>
      </c>
      <c r="C307" s="787">
        <v>71</v>
      </c>
      <c r="D307" s="774" t="s">
        <v>1256</v>
      </c>
      <c r="E307" s="788" t="s">
        <v>1260</v>
      </c>
      <c r="F307" s="788" t="s">
        <v>1261</v>
      </c>
      <c r="G307" s="788">
        <v>20</v>
      </c>
      <c r="H307" s="788" t="s">
        <v>1</v>
      </c>
      <c r="I307" s="789" t="s">
        <v>42</v>
      </c>
      <c r="J307" s="787" t="s">
        <v>42</v>
      </c>
      <c r="K307" s="787" t="s">
        <v>42</v>
      </c>
      <c r="L307" s="790">
        <v>100</v>
      </c>
      <c r="M307" s="778">
        <v>0.59599999999999997</v>
      </c>
      <c r="N307" s="780">
        <v>1000</v>
      </c>
      <c r="O307" s="780">
        <v>1000</v>
      </c>
      <c r="P307" s="791">
        <v>100</v>
      </c>
      <c r="Q307" s="791">
        <v>100</v>
      </c>
      <c r="R307" s="792">
        <v>41.7</v>
      </c>
      <c r="S307" s="791">
        <v>100</v>
      </c>
      <c r="T307" s="791">
        <v>100</v>
      </c>
      <c r="U307" s="791">
        <v>596</v>
      </c>
      <c r="V307" s="791">
        <v>10.728</v>
      </c>
      <c r="W307" s="791">
        <v>17.88</v>
      </c>
      <c r="X307" s="791">
        <v>2.3839999999999999</v>
      </c>
      <c r="Y307" s="791">
        <v>14.899999999999999</v>
      </c>
      <c r="Z307" s="791">
        <v>447</v>
      </c>
      <c r="AA307" s="791">
        <v>298</v>
      </c>
      <c r="AB307" s="791">
        <v>596</v>
      </c>
      <c r="AC307" s="791">
        <v>29.799999999999997</v>
      </c>
      <c r="AD307" s="791">
        <v>5.96</v>
      </c>
      <c r="AE307" s="791">
        <v>1.1919999999999999</v>
      </c>
      <c r="AF307" s="791"/>
      <c r="AG307" s="791"/>
      <c r="AH307" s="791"/>
      <c r="AI307" s="784"/>
      <c r="AK307" s="783">
        <f>IFERROR(Tabela1[[#This Row],[EE(g)]]/Tabela1[[#This Row],[CMS(kg)]],0)</f>
        <v>69.966442953020149</v>
      </c>
    </row>
    <row r="308" spans="2:37" hidden="1">
      <c r="B308" s="774">
        <f>ROW()^2+(Tabela1[[#This Row],[ID2]])+ROW()</f>
        <v>95244</v>
      </c>
      <c r="C308" s="787">
        <v>72</v>
      </c>
      <c r="D308" s="774" t="s">
        <v>1256</v>
      </c>
      <c r="E308" s="788" t="s">
        <v>1260</v>
      </c>
      <c r="F308" s="788" t="s">
        <v>1261</v>
      </c>
      <c r="G308" s="788">
        <v>20</v>
      </c>
      <c r="H308" s="788" t="s">
        <v>1</v>
      </c>
      <c r="I308" s="789" t="s">
        <v>42</v>
      </c>
      <c r="J308" s="787" t="s">
        <v>42</v>
      </c>
      <c r="K308" s="787" t="s">
        <v>42</v>
      </c>
      <c r="L308" s="790">
        <v>150</v>
      </c>
      <c r="M308" s="778">
        <v>0.49400000000000005</v>
      </c>
      <c r="N308" s="780">
        <v>1000</v>
      </c>
      <c r="O308" s="780">
        <v>1000</v>
      </c>
      <c r="P308" s="791">
        <v>100</v>
      </c>
      <c r="Q308" s="791">
        <v>100</v>
      </c>
      <c r="R308" s="792">
        <v>34.6</v>
      </c>
      <c r="S308" s="791">
        <v>100</v>
      </c>
      <c r="T308" s="791">
        <v>100</v>
      </c>
      <c r="U308" s="791">
        <v>494.00000000000006</v>
      </c>
      <c r="V308" s="791">
        <v>8.8920000000000012</v>
      </c>
      <c r="W308" s="791">
        <v>14.820000000000002</v>
      </c>
      <c r="X308" s="791">
        <v>1.9760000000000002</v>
      </c>
      <c r="Y308" s="791">
        <v>12.350000000000001</v>
      </c>
      <c r="Z308" s="791">
        <v>370.50000000000006</v>
      </c>
      <c r="AA308" s="791">
        <v>247.00000000000003</v>
      </c>
      <c r="AB308" s="791">
        <v>494.00000000000006</v>
      </c>
      <c r="AC308" s="791">
        <v>24.700000000000003</v>
      </c>
      <c r="AD308" s="791">
        <v>4.9400000000000004</v>
      </c>
      <c r="AE308" s="791">
        <v>0.9880000000000001</v>
      </c>
      <c r="AF308" s="791"/>
      <c r="AG308" s="791"/>
      <c r="AH308" s="791"/>
      <c r="AI308" s="784"/>
      <c r="AK308" s="783">
        <f>IFERROR(Tabela1[[#This Row],[EE(g)]]/Tabela1[[#This Row],[CMS(kg)]],0)</f>
        <v>70.040485829959508</v>
      </c>
    </row>
    <row r="309" spans="2:37" hidden="1">
      <c r="B309" s="774">
        <f>ROW()^2+(Tabela1[[#This Row],[ID2]])+ROW()</f>
        <v>95863</v>
      </c>
      <c r="C309" s="787">
        <v>73</v>
      </c>
      <c r="D309" s="774" t="s">
        <v>1256</v>
      </c>
      <c r="E309" s="788" t="s">
        <v>1260</v>
      </c>
      <c r="F309" s="788" t="s">
        <v>1261</v>
      </c>
      <c r="G309" s="788">
        <v>20</v>
      </c>
      <c r="H309" s="788" t="s">
        <v>1</v>
      </c>
      <c r="I309" s="789" t="s">
        <v>42</v>
      </c>
      <c r="J309" s="787" t="s">
        <v>42</v>
      </c>
      <c r="K309" s="787" t="s">
        <v>42</v>
      </c>
      <c r="L309" s="790">
        <v>200</v>
      </c>
      <c r="M309" s="778">
        <v>0.61399999999999999</v>
      </c>
      <c r="N309" s="780">
        <v>1000</v>
      </c>
      <c r="O309" s="780">
        <v>1000</v>
      </c>
      <c r="P309" s="791">
        <v>100</v>
      </c>
      <c r="Q309" s="791">
        <v>100</v>
      </c>
      <c r="R309" s="792">
        <v>43</v>
      </c>
      <c r="S309" s="791">
        <v>100</v>
      </c>
      <c r="T309" s="791">
        <v>100</v>
      </c>
      <c r="U309" s="791">
        <v>614</v>
      </c>
      <c r="V309" s="791">
        <v>11.052</v>
      </c>
      <c r="W309" s="791">
        <v>18.419999999999998</v>
      </c>
      <c r="X309" s="791">
        <v>2.456</v>
      </c>
      <c r="Y309" s="791">
        <v>15.35</v>
      </c>
      <c r="Z309" s="791">
        <v>460.5</v>
      </c>
      <c r="AA309" s="791">
        <v>307</v>
      </c>
      <c r="AB309" s="791">
        <v>614</v>
      </c>
      <c r="AC309" s="791">
        <v>30.7</v>
      </c>
      <c r="AD309" s="791">
        <v>6.14</v>
      </c>
      <c r="AE309" s="791">
        <v>1.228</v>
      </c>
      <c r="AF309" s="791"/>
      <c r="AG309" s="791"/>
      <c r="AH309" s="791"/>
      <c r="AI309" s="784"/>
      <c r="AK309" s="783">
        <f>IFERROR(Tabela1[[#This Row],[EE(g)]]/Tabela1[[#This Row],[CMS(kg)]],0)</f>
        <v>70.032573289902288</v>
      </c>
    </row>
    <row r="310" spans="2:37" hidden="1">
      <c r="B310" s="774">
        <f>ROW()^2+(Tabela1[[#This Row],[ID2]])+ROW()</f>
        <v>96484</v>
      </c>
      <c r="C310" s="787">
        <v>74</v>
      </c>
      <c r="D310" s="774" t="s">
        <v>1256</v>
      </c>
      <c r="E310" s="788" t="s">
        <v>1260</v>
      </c>
      <c r="F310" s="788" t="s">
        <v>1261</v>
      </c>
      <c r="G310" s="788">
        <v>20</v>
      </c>
      <c r="H310" s="788" t="s">
        <v>1</v>
      </c>
      <c r="I310" s="789" t="s">
        <v>42</v>
      </c>
      <c r="J310" s="787" t="s">
        <v>42</v>
      </c>
      <c r="K310" s="787" t="s">
        <v>42</v>
      </c>
      <c r="L310" s="790">
        <v>300</v>
      </c>
      <c r="M310" s="778">
        <v>0.626</v>
      </c>
      <c r="N310" s="780">
        <v>1000</v>
      </c>
      <c r="O310" s="780">
        <v>1000</v>
      </c>
      <c r="P310" s="791">
        <v>100</v>
      </c>
      <c r="Q310" s="791">
        <v>100</v>
      </c>
      <c r="R310" s="792">
        <v>43.8</v>
      </c>
      <c r="S310" s="791">
        <v>100</v>
      </c>
      <c r="T310" s="791">
        <v>100</v>
      </c>
      <c r="U310" s="791">
        <v>626</v>
      </c>
      <c r="V310" s="791">
        <v>11.268000000000001</v>
      </c>
      <c r="W310" s="791">
        <v>18.78</v>
      </c>
      <c r="X310" s="791">
        <v>2.504</v>
      </c>
      <c r="Y310" s="791">
        <v>15.65</v>
      </c>
      <c r="Z310" s="791">
        <v>469.5</v>
      </c>
      <c r="AA310" s="791">
        <v>313</v>
      </c>
      <c r="AB310" s="791">
        <v>626</v>
      </c>
      <c r="AC310" s="791">
        <v>31.3</v>
      </c>
      <c r="AD310" s="791">
        <v>6.26</v>
      </c>
      <c r="AE310" s="791">
        <v>1.252</v>
      </c>
      <c r="AF310" s="791"/>
      <c r="AG310" s="791"/>
      <c r="AH310" s="791"/>
      <c r="AI310" s="784"/>
      <c r="AK310" s="783">
        <f>IFERROR(Tabela1[[#This Row],[EE(g)]]/Tabela1[[#This Row],[CMS(kg)]],0)</f>
        <v>69.968051118210852</v>
      </c>
    </row>
    <row r="311" spans="2:37" hidden="1">
      <c r="B311" s="774">
        <f>ROW()^2+(Tabela1[[#This Row],[ID2]])+ROW()</f>
        <v>97107</v>
      </c>
      <c r="C311" s="787">
        <v>75</v>
      </c>
      <c r="D311" s="774" t="s">
        <v>1256</v>
      </c>
      <c r="E311" s="788" t="s">
        <v>1260</v>
      </c>
      <c r="F311" s="788" t="s">
        <v>1261</v>
      </c>
      <c r="G311" s="788">
        <v>30</v>
      </c>
      <c r="H311" s="788" t="s">
        <v>1</v>
      </c>
      <c r="I311" s="789" t="s">
        <v>42</v>
      </c>
      <c r="J311" s="787" t="s">
        <v>42</v>
      </c>
      <c r="K311" s="787" t="s">
        <v>42</v>
      </c>
      <c r="L311" s="790">
        <v>200</v>
      </c>
      <c r="M311" s="778">
        <v>1.089</v>
      </c>
      <c r="N311" s="780">
        <v>1000</v>
      </c>
      <c r="O311" s="780">
        <v>1000</v>
      </c>
      <c r="P311" s="791">
        <v>100</v>
      </c>
      <c r="Q311" s="791">
        <v>100</v>
      </c>
      <c r="R311" s="792">
        <v>76.2</v>
      </c>
      <c r="S311" s="791">
        <v>100</v>
      </c>
      <c r="T311" s="791">
        <v>100</v>
      </c>
      <c r="U311" s="791">
        <v>1089</v>
      </c>
      <c r="V311" s="791">
        <v>19.602</v>
      </c>
      <c r="W311" s="791">
        <v>32.67</v>
      </c>
      <c r="X311" s="791">
        <v>4.3559999999999999</v>
      </c>
      <c r="Y311" s="791">
        <v>27.224999999999998</v>
      </c>
      <c r="Z311" s="791">
        <v>816.75</v>
      </c>
      <c r="AA311" s="791">
        <v>544.5</v>
      </c>
      <c r="AB311" s="791">
        <v>1089</v>
      </c>
      <c r="AC311" s="791">
        <v>54.449999999999996</v>
      </c>
      <c r="AD311" s="791">
        <v>10.89</v>
      </c>
      <c r="AE311" s="791">
        <v>2.1779999999999999</v>
      </c>
      <c r="AF311" s="791"/>
      <c r="AG311" s="791"/>
      <c r="AH311" s="791"/>
      <c r="AI311" s="784"/>
      <c r="AK311" s="783">
        <f>IFERROR(Tabela1[[#This Row],[EE(g)]]/Tabela1[[#This Row],[CMS(kg)]],0)</f>
        <v>69.972451790633613</v>
      </c>
    </row>
    <row r="312" spans="2:37" hidden="1">
      <c r="B312" s="774">
        <f>ROW()^2+(Tabela1[[#This Row],[ID2]])+ROW()</f>
        <v>97732</v>
      </c>
      <c r="C312" s="787">
        <v>76</v>
      </c>
      <c r="D312" s="774" t="s">
        <v>1256</v>
      </c>
      <c r="E312" s="788" t="s">
        <v>1260</v>
      </c>
      <c r="F312" s="788" t="s">
        <v>1261</v>
      </c>
      <c r="G312" s="788">
        <v>30</v>
      </c>
      <c r="H312" s="788" t="s">
        <v>1</v>
      </c>
      <c r="I312" s="789" t="s">
        <v>42</v>
      </c>
      <c r="J312" s="787" t="s">
        <v>42</v>
      </c>
      <c r="K312" s="787" t="s">
        <v>42</v>
      </c>
      <c r="L312" s="790">
        <v>250</v>
      </c>
      <c r="M312" s="778">
        <v>0.78600000000000003</v>
      </c>
      <c r="N312" s="780">
        <v>1000</v>
      </c>
      <c r="O312" s="780">
        <v>1000</v>
      </c>
      <c r="P312" s="791">
        <v>100</v>
      </c>
      <c r="Q312" s="791">
        <v>100</v>
      </c>
      <c r="R312" s="792">
        <v>55</v>
      </c>
      <c r="S312" s="791">
        <v>100</v>
      </c>
      <c r="T312" s="791">
        <v>100</v>
      </c>
      <c r="U312" s="791">
        <v>786</v>
      </c>
      <c r="V312" s="791">
        <v>14.148</v>
      </c>
      <c r="W312" s="791">
        <v>23.580000000000002</v>
      </c>
      <c r="X312" s="791">
        <v>3.1440000000000001</v>
      </c>
      <c r="Y312" s="791">
        <v>19.650000000000002</v>
      </c>
      <c r="Z312" s="791">
        <v>589.5</v>
      </c>
      <c r="AA312" s="791">
        <v>393</v>
      </c>
      <c r="AB312" s="791">
        <v>786</v>
      </c>
      <c r="AC312" s="791">
        <v>39.300000000000004</v>
      </c>
      <c r="AD312" s="791">
        <v>7.86</v>
      </c>
      <c r="AE312" s="791">
        <v>1.5720000000000001</v>
      </c>
      <c r="AF312" s="791"/>
      <c r="AG312" s="791"/>
      <c r="AH312" s="791"/>
      <c r="AI312" s="784"/>
      <c r="AK312" s="783">
        <f>IFERROR(Tabela1[[#This Row],[EE(g)]]/Tabela1[[#This Row],[CMS(kg)]],0)</f>
        <v>69.974554707379127</v>
      </c>
    </row>
    <row r="313" spans="2:37" hidden="1">
      <c r="B313" s="774">
        <f>ROW()^2+(Tabela1[[#This Row],[ID2]])+ROW()</f>
        <v>98359</v>
      </c>
      <c r="C313" s="787">
        <v>77</v>
      </c>
      <c r="D313" s="774" t="s">
        <v>1256</v>
      </c>
      <c r="E313" s="788" t="s">
        <v>1260</v>
      </c>
      <c r="F313" s="788" t="s">
        <v>1261</v>
      </c>
      <c r="G313" s="788">
        <v>30</v>
      </c>
      <c r="H313" s="788" t="s">
        <v>1</v>
      </c>
      <c r="I313" s="789" t="s">
        <v>42</v>
      </c>
      <c r="J313" s="787" t="s">
        <v>42</v>
      </c>
      <c r="K313" s="787" t="s">
        <v>42</v>
      </c>
      <c r="L313" s="790">
        <v>300</v>
      </c>
      <c r="M313" s="778">
        <v>0.90600000000000003</v>
      </c>
      <c r="N313" s="780">
        <v>1000</v>
      </c>
      <c r="O313" s="780">
        <v>1000</v>
      </c>
      <c r="P313" s="791">
        <v>100</v>
      </c>
      <c r="Q313" s="791">
        <v>100</v>
      </c>
      <c r="R313" s="792">
        <v>63.4</v>
      </c>
      <c r="S313" s="791">
        <v>100</v>
      </c>
      <c r="T313" s="791">
        <v>100</v>
      </c>
      <c r="U313" s="791">
        <v>906</v>
      </c>
      <c r="V313" s="791">
        <v>16.308</v>
      </c>
      <c r="W313" s="791">
        <v>27.18</v>
      </c>
      <c r="X313" s="791">
        <v>3.6240000000000001</v>
      </c>
      <c r="Y313" s="791">
        <v>22.650000000000002</v>
      </c>
      <c r="Z313" s="791">
        <v>679.5</v>
      </c>
      <c r="AA313" s="791">
        <v>453</v>
      </c>
      <c r="AB313" s="791">
        <v>906</v>
      </c>
      <c r="AC313" s="791">
        <v>45.300000000000004</v>
      </c>
      <c r="AD313" s="791">
        <v>9.06</v>
      </c>
      <c r="AE313" s="791">
        <v>1.8120000000000001</v>
      </c>
      <c r="AF313" s="791"/>
      <c r="AG313" s="791"/>
      <c r="AH313" s="791"/>
      <c r="AI313" s="784"/>
      <c r="AK313" s="783">
        <f>IFERROR(Tabela1[[#This Row],[EE(g)]]/Tabela1[[#This Row],[CMS(kg)]],0)</f>
        <v>69.977924944812358</v>
      </c>
    </row>
    <row r="314" spans="2:37" hidden="1">
      <c r="B314" s="774">
        <f>ROW()^2+(Tabela1[[#This Row],[ID2]])+ROW()</f>
        <v>98988</v>
      </c>
      <c r="C314" s="787">
        <v>78</v>
      </c>
      <c r="D314" s="774" t="s">
        <v>1256</v>
      </c>
      <c r="E314" s="788" t="s">
        <v>1260</v>
      </c>
      <c r="F314" s="788" t="s">
        <v>1261</v>
      </c>
      <c r="G314" s="788">
        <v>30</v>
      </c>
      <c r="H314" s="788" t="s">
        <v>1</v>
      </c>
      <c r="I314" s="789" t="s">
        <v>42</v>
      </c>
      <c r="J314" s="787" t="s">
        <v>42</v>
      </c>
      <c r="K314" s="787" t="s">
        <v>42</v>
      </c>
      <c r="L314" s="790">
        <v>400</v>
      </c>
      <c r="M314" s="778">
        <v>1.1459999999999999</v>
      </c>
      <c r="N314" s="780">
        <v>1000</v>
      </c>
      <c r="O314" s="780">
        <v>1000</v>
      </c>
      <c r="P314" s="791">
        <v>100</v>
      </c>
      <c r="Q314" s="791">
        <v>100</v>
      </c>
      <c r="R314" s="792">
        <v>80.199999999999989</v>
      </c>
      <c r="S314" s="791">
        <v>100</v>
      </c>
      <c r="T314" s="791">
        <v>100</v>
      </c>
      <c r="U314" s="791">
        <v>1146</v>
      </c>
      <c r="V314" s="791">
        <v>20.628</v>
      </c>
      <c r="W314" s="791">
        <v>34.379999999999995</v>
      </c>
      <c r="X314" s="791">
        <v>4.5839999999999996</v>
      </c>
      <c r="Y314" s="791">
        <v>28.65</v>
      </c>
      <c r="Z314" s="791">
        <v>859.49999999999989</v>
      </c>
      <c r="AA314" s="791">
        <v>573</v>
      </c>
      <c r="AB314" s="791">
        <v>1146</v>
      </c>
      <c r="AC314" s="791">
        <v>57.3</v>
      </c>
      <c r="AD314" s="791">
        <v>11.459999999999999</v>
      </c>
      <c r="AE314" s="791">
        <v>2.2919999999999998</v>
      </c>
      <c r="AF314" s="791"/>
      <c r="AG314" s="791"/>
      <c r="AH314" s="791"/>
      <c r="AI314" s="784"/>
      <c r="AK314" s="783">
        <f>IFERROR(Tabela1[[#This Row],[EE(g)]]/Tabela1[[#This Row],[CMS(kg)]],0)</f>
        <v>69.982547993019196</v>
      </c>
    </row>
    <row r="315" spans="2:37" hidden="1">
      <c r="B315" s="774">
        <f>ROW()^2+(Tabela1[[#This Row],[ID2]])+ROW()</f>
        <v>99619</v>
      </c>
      <c r="C315" s="787">
        <v>79</v>
      </c>
      <c r="D315" s="774" t="s">
        <v>1256</v>
      </c>
      <c r="E315" s="788" t="s">
        <v>1260</v>
      </c>
      <c r="F315" s="788" t="s">
        <v>1261</v>
      </c>
      <c r="G315" s="788">
        <v>40</v>
      </c>
      <c r="H315" s="788" t="s">
        <v>1</v>
      </c>
      <c r="I315" s="789" t="s">
        <v>42</v>
      </c>
      <c r="J315" s="787" t="s">
        <v>42</v>
      </c>
      <c r="K315" s="787" t="s">
        <v>42</v>
      </c>
      <c r="L315" s="790">
        <v>250</v>
      </c>
      <c r="M315" s="778">
        <v>1.3680000000000001</v>
      </c>
      <c r="N315" s="780">
        <v>1000</v>
      </c>
      <c r="O315" s="780">
        <v>1000</v>
      </c>
      <c r="P315" s="791">
        <v>100</v>
      </c>
      <c r="Q315" s="791">
        <v>100</v>
      </c>
      <c r="R315" s="792">
        <v>95.8</v>
      </c>
      <c r="S315" s="791">
        <v>100</v>
      </c>
      <c r="T315" s="791">
        <v>100</v>
      </c>
      <c r="U315" s="791">
        <v>1368</v>
      </c>
      <c r="V315" s="791">
        <v>24.624000000000002</v>
      </c>
      <c r="W315" s="791">
        <v>41.040000000000006</v>
      </c>
      <c r="X315" s="791">
        <v>5.4720000000000004</v>
      </c>
      <c r="Y315" s="791">
        <v>34.200000000000003</v>
      </c>
      <c r="Z315" s="791">
        <v>1026</v>
      </c>
      <c r="AA315" s="791">
        <v>684</v>
      </c>
      <c r="AB315" s="791">
        <v>1368</v>
      </c>
      <c r="AC315" s="791">
        <v>68.400000000000006</v>
      </c>
      <c r="AD315" s="791">
        <v>13.680000000000001</v>
      </c>
      <c r="AE315" s="791">
        <v>2.7360000000000002</v>
      </c>
      <c r="AF315" s="791"/>
      <c r="AG315" s="791"/>
      <c r="AH315" s="791"/>
      <c r="AI315" s="784"/>
      <c r="AK315" s="783">
        <f>IFERROR(Tabela1[[#This Row],[EE(g)]]/Tabela1[[#This Row],[CMS(kg)]],0)</f>
        <v>70.029239766081858</v>
      </c>
    </row>
    <row r="316" spans="2:37" hidden="1">
      <c r="B316" s="774">
        <f>ROW()^2+(Tabela1[[#This Row],[ID2]])+ROW()</f>
        <v>100252</v>
      </c>
      <c r="C316" s="787">
        <v>80</v>
      </c>
      <c r="D316" s="774" t="s">
        <v>1256</v>
      </c>
      <c r="E316" s="788" t="s">
        <v>1260</v>
      </c>
      <c r="F316" s="788" t="s">
        <v>1261</v>
      </c>
      <c r="G316" s="788">
        <v>40</v>
      </c>
      <c r="H316" s="788" t="s">
        <v>1</v>
      </c>
      <c r="I316" s="789" t="s">
        <v>42</v>
      </c>
      <c r="J316" s="787" t="s">
        <v>42</v>
      </c>
      <c r="K316" s="787" t="s">
        <v>42</v>
      </c>
      <c r="L316" s="790">
        <v>300</v>
      </c>
      <c r="M316" s="778">
        <v>1.5839999999999999</v>
      </c>
      <c r="N316" s="780">
        <v>1000</v>
      </c>
      <c r="O316" s="780">
        <v>1000</v>
      </c>
      <c r="P316" s="791">
        <v>100</v>
      </c>
      <c r="Q316" s="791">
        <v>100</v>
      </c>
      <c r="R316" s="792">
        <v>110.9</v>
      </c>
      <c r="S316" s="791">
        <v>100</v>
      </c>
      <c r="T316" s="791">
        <v>100</v>
      </c>
      <c r="U316" s="791">
        <v>1583.9999999999998</v>
      </c>
      <c r="V316" s="791">
        <v>28.511999999999997</v>
      </c>
      <c r="W316" s="791">
        <v>47.519999999999996</v>
      </c>
      <c r="X316" s="791">
        <v>6.3359999999999994</v>
      </c>
      <c r="Y316" s="791">
        <v>39.599999999999994</v>
      </c>
      <c r="Z316" s="791">
        <v>1188</v>
      </c>
      <c r="AA316" s="791">
        <v>791.99999999999989</v>
      </c>
      <c r="AB316" s="791">
        <v>1583.9999999999998</v>
      </c>
      <c r="AC316" s="791">
        <v>79.199999999999989</v>
      </c>
      <c r="AD316" s="791">
        <v>15.839999999999998</v>
      </c>
      <c r="AE316" s="791">
        <v>3.1679999999999997</v>
      </c>
      <c r="AF316" s="791"/>
      <c r="AG316" s="791"/>
      <c r="AH316" s="791"/>
      <c r="AI316" s="784"/>
      <c r="AK316" s="783">
        <f>IFERROR(Tabela1[[#This Row],[EE(g)]]/Tabela1[[#This Row],[CMS(kg)]],0)</f>
        <v>70.01262626262627</v>
      </c>
    </row>
    <row r="317" spans="2:37" hidden="1">
      <c r="B317" s="774">
        <f>ROW()^2+(Tabela1[[#This Row],[ID2]])+ROW()</f>
        <v>100887</v>
      </c>
      <c r="C317" s="787">
        <v>81</v>
      </c>
      <c r="D317" s="774" t="s">
        <v>1256</v>
      </c>
      <c r="E317" s="788" t="s">
        <v>1260</v>
      </c>
      <c r="F317" s="788" t="s">
        <v>1261</v>
      </c>
      <c r="G317" s="788">
        <v>40</v>
      </c>
      <c r="H317" s="788" t="s">
        <v>1</v>
      </c>
      <c r="I317" s="789" t="s">
        <v>42</v>
      </c>
      <c r="J317" s="787" t="s">
        <v>42</v>
      </c>
      <c r="K317" s="787" t="s">
        <v>42</v>
      </c>
      <c r="L317" s="790">
        <v>400</v>
      </c>
      <c r="M317" s="778">
        <v>1.2</v>
      </c>
      <c r="N317" s="780">
        <v>1000</v>
      </c>
      <c r="O317" s="780">
        <v>1000</v>
      </c>
      <c r="P317" s="791">
        <v>100</v>
      </c>
      <c r="Q317" s="791">
        <v>100</v>
      </c>
      <c r="R317" s="792">
        <v>84</v>
      </c>
      <c r="S317" s="791">
        <v>100</v>
      </c>
      <c r="T317" s="791">
        <v>100</v>
      </c>
      <c r="U317" s="791">
        <v>1200</v>
      </c>
      <c r="V317" s="791">
        <v>21.599999999999998</v>
      </c>
      <c r="W317" s="791">
        <v>36</v>
      </c>
      <c r="X317" s="791">
        <v>4.8</v>
      </c>
      <c r="Y317" s="791">
        <v>30</v>
      </c>
      <c r="Z317" s="791">
        <v>900</v>
      </c>
      <c r="AA317" s="791">
        <v>600</v>
      </c>
      <c r="AB317" s="791">
        <v>1200</v>
      </c>
      <c r="AC317" s="791">
        <v>60</v>
      </c>
      <c r="AD317" s="791">
        <v>12</v>
      </c>
      <c r="AE317" s="791">
        <v>2.4</v>
      </c>
      <c r="AF317" s="791"/>
      <c r="AG317" s="791"/>
      <c r="AH317" s="791"/>
      <c r="AI317" s="784"/>
      <c r="AK317" s="783">
        <f>IFERROR(Tabela1[[#This Row],[EE(g)]]/Tabela1[[#This Row],[CMS(kg)]],0)</f>
        <v>70</v>
      </c>
    </row>
    <row r="318" spans="2:37" hidden="1">
      <c r="B318" s="774">
        <f>ROW()^2+(Tabela1[[#This Row],[ID2]])+ROW()</f>
        <v>101524</v>
      </c>
      <c r="C318" s="787">
        <v>82</v>
      </c>
      <c r="D318" s="774" t="s">
        <v>1256</v>
      </c>
      <c r="E318" s="788" t="s">
        <v>1260</v>
      </c>
      <c r="F318" s="788" t="s">
        <v>1261</v>
      </c>
      <c r="G318" s="788">
        <v>40</v>
      </c>
      <c r="H318" s="788" t="s">
        <v>1</v>
      </c>
      <c r="I318" s="789" t="s">
        <v>42</v>
      </c>
      <c r="J318" s="787" t="s">
        <v>42</v>
      </c>
      <c r="K318" s="787" t="s">
        <v>42</v>
      </c>
      <c r="L318" s="790">
        <v>500</v>
      </c>
      <c r="M318" s="778">
        <v>1.4400000000000002</v>
      </c>
      <c r="N318" s="780">
        <v>1000</v>
      </c>
      <c r="O318" s="780">
        <v>1000</v>
      </c>
      <c r="P318" s="791">
        <v>100</v>
      </c>
      <c r="Q318" s="791">
        <v>100</v>
      </c>
      <c r="R318" s="792">
        <v>100.8</v>
      </c>
      <c r="S318" s="791">
        <v>100</v>
      </c>
      <c r="T318" s="791">
        <v>100</v>
      </c>
      <c r="U318" s="791">
        <v>1440.0000000000002</v>
      </c>
      <c r="V318" s="791">
        <v>25.92</v>
      </c>
      <c r="W318" s="791">
        <v>43.2</v>
      </c>
      <c r="X318" s="791">
        <v>5.7600000000000007</v>
      </c>
      <c r="Y318" s="791">
        <v>36.000000000000007</v>
      </c>
      <c r="Z318" s="791">
        <v>1080.0000000000002</v>
      </c>
      <c r="AA318" s="791">
        <v>720.00000000000011</v>
      </c>
      <c r="AB318" s="791">
        <v>1440.0000000000002</v>
      </c>
      <c r="AC318" s="791">
        <v>72.000000000000014</v>
      </c>
      <c r="AD318" s="791">
        <v>14.400000000000002</v>
      </c>
      <c r="AE318" s="791">
        <v>2.8800000000000003</v>
      </c>
      <c r="AF318" s="791"/>
      <c r="AG318" s="791"/>
      <c r="AH318" s="791"/>
      <c r="AI318" s="784"/>
      <c r="AK318" s="783">
        <f>IFERROR(Tabela1[[#This Row],[EE(g)]]/Tabela1[[#This Row],[CMS(kg)]],0)</f>
        <v>69.999999999999986</v>
      </c>
    </row>
    <row r="319" spans="2:37" hidden="1">
      <c r="B319" s="774">
        <f>ROW()^2+(Tabela1[[#This Row],[ID2]])+ROW()</f>
        <v>102163</v>
      </c>
      <c r="C319" s="787">
        <v>83</v>
      </c>
      <c r="D319" s="774" t="s">
        <v>1256</v>
      </c>
      <c r="E319" s="788" t="s">
        <v>1260</v>
      </c>
      <c r="F319" s="788" t="s">
        <v>1261</v>
      </c>
      <c r="G319" s="788">
        <v>50</v>
      </c>
      <c r="H319" s="788" t="s">
        <v>1</v>
      </c>
      <c r="I319" s="789" t="s">
        <v>42</v>
      </c>
      <c r="J319" s="787" t="s">
        <v>42</v>
      </c>
      <c r="K319" s="787" t="s">
        <v>42</v>
      </c>
      <c r="L319" s="790">
        <v>250</v>
      </c>
      <c r="M319" s="778">
        <v>1.4350000000000001</v>
      </c>
      <c r="N319" s="780">
        <v>1000</v>
      </c>
      <c r="O319" s="780">
        <v>1000</v>
      </c>
      <c r="P319" s="791">
        <v>100</v>
      </c>
      <c r="Q319" s="791">
        <v>100</v>
      </c>
      <c r="R319" s="792">
        <v>100.4</v>
      </c>
      <c r="S319" s="791">
        <v>100</v>
      </c>
      <c r="T319" s="791">
        <v>100</v>
      </c>
      <c r="U319" s="791">
        <v>1435</v>
      </c>
      <c r="V319" s="791">
        <v>25.830000000000002</v>
      </c>
      <c r="W319" s="791">
        <v>43.050000000000004</v>
      </c>
      <c r="X319" s="791">
        <v>5.74</v>
      </c>
      <c r="Y319" s="791">
        <v>35.875</v>
      </c>
      <c r="Z319" s="791">
        <v>1076.25</v>
      </c>
      <c r="AA319" s="791">
        <v>717.5</v>
      </c>
      <c r="AB319" s="791">
        <v>1435</v>
      </c>
      <c r="AC319" s="791">
        <v>71.75</v>
      </c>
      <c r="AD319" s="791">
        <v>14.350000000000001</v>
      </c>
      <c r="AE319" s="791">
        <v>2.87</v>
      </c>
      <c r="AF319" s="791"/>
      <c r="AG319" s="791"/>
      <c r="AH319" s="791"/>
      <c r="AI319" s="784"/>
      <c r="AK319" s="783">
        <f>IFERROR(Tabela1[[#This Row],[EE(g)]]/Tabela1[[#This Row],[CMS(kg)]],0)</f>
        <v>69.965156794425084</v>
      </c>
    </row>
    <row r="320" spans="2:37" hidden="1">
      <c r="B320" s="774">
        <f>ROW()^2+(Tabela1[[#This Row],[ID2]])+ROW()</f>
        <v>102804</v>
      </c>
      <c r="C320" s="787">
        <v>84</v>
      </c>
      <c r="D320" s="774" t="s">
        <v>1256</v>
      </c>
      <c r="E320" s="788" t="s">
        <v>1260</v>
      </c>
      <c r="F320" s="788" t="s">
        <v>1261</v>
      </c>
      <c r="G320" s="788">
        <v>50</v>
      </c>
      <c r="H320" s="788" t="s">
        <v>1</v>
      </c>
      <c r="I320" s="789" t="s">
        <v>42</v>
      </c>
      <c r="J320" s="787" t="s">
        <v>42</v>
      </c>
      <c r="K320" s="787" t="s">
        <v>42</v>
      </c>
      <c r="L320" s="790">
        <v>300</v>
      </c>
      <c r="M320" s="778">
        <v>1.6500000000000001</v>
      </c>
      <c r="N320" s="780">
        <v>1000</v>
      </c>
      <c r="O320" s="780">
        <v>1000</v>
      </c>
      <c r="P320" s="791">
        <v>100</v>
      </c>
      <c r="Q320" s="791">
        <v>100</v>
      </c>
      <c r="R320" s="792">
        <v>115.5</v>
      </c>
      <c r="S320" s="791">
        <v>100</v>
      </c>
      <c r="T320" s="791">
        <v>100</v>
      </c>
      <c r="U320" s="791">
        <v>1650.0000000000002</v>
      </c>
      <c r="V320" s="791">
        <v>29.700000000000003</v>
      </c>
      <c r="W320" s="791">
        <v>49.500000000000007</v>
      </c>
      <c r="X320" s="791">
        <v>6.6000000000000005</v>
      </c>
      <c r="Y320" s="791">
        <v>41.25</v>
      </c>
      <c r="Z320" s="791">
        <v>1237.5</v>
      </c>
      <c r="AA320" s="791">
        <v>825.00000000000011</v>
      </c>
      <c r="AB320" s="791">
        <v>1650.0000000000002</v>
      </c>
      <c r="AC320" s="791">
        <v>82.5</v>
      </c>
      <c r="AD320" s="791">
        <v>16.5</v>
      </c>
      <c r="AE320" s="791">
        <v>3.3000000000000003</v>
      </c>
      <c r="AF320" s="791"/>
      <c r="AG320" s="791"/>
      <c r="AH320" s="791"/>
      <c r="AI320" s="784"/>
      <c r="AK320" s="783">
        <f>IFERROR(Tabela1[[#This Row],[EE(g)]]/Tabela1[[#This Row],[CMS(kg)]],0)</f>
        <v>70</v>
      </c>
    </row>
    <row r="321" spans="2:37" hidden="1">
      <c r="B321" s="774">
        <f>ROW()^2+(Tabela1[[#This Row],[ID2]])+ROW()</f>
        <v>103447</v>
      </c>
      <c r="C321" s="787">
        <v>85</v>
      </c>
      <c r="D321" s="774" t="s">
        <v>1256</v>
      </c>
      <c r="E321" s="788" t="s">
        <v>1260</v>
      </c>
      <c r="F321" s="788" t="s">
        <v>1261</v>
      </c>
      <c r="G321" s="788">
        <v>50</v>
      </c>
      <c r="H321" s="788" t="s">
        <v>1</v>
      </c>
      <c r="I321" s="789" t="s">
        <v>42</v>
      </c>
      <c r="J321" s="787" t="s">
        <v>42</v>
      </c>
      <c r="K321" s="787" t="s">
        <v>42</v>
      </c>
      <c r="L321" s="790">
        <v>400</v>
      </c>
      <c r="M321" s="778">
        <v>1.25</v>
      </c>
      <c r="N321" s="780">
        <v>1000</v>
      </c>
      <c r="O321" s="780">
        <v>1000</v>
      </c>
      <c r="P321" s="791">
        <v>100</v>
      </c>
      <c r="Q321" s="791">
        <v>100</v>
      </c>
      <c r="R321" s="792">
        <v>87.5</v>
      </c>
      <c r="S321" s="791">
        <v>100</v>
      </c>
      <c r="T321" s="791">
        <v>100</v>
      </c>
      <c r="U321" s="791">
        <v>1250</v>
      </c>
      <c r="V321" s="791">
        <v>22.5</v>
      </c>
      <c r="W321" s="791">
        <v>37.5</v>
      </c>
      <c r="X321" s="791">
        <v>5</v>
      </c>
      <c r="Y321" s="791">
        <v>31.25</v>
      </c>
      <c r="Z321" s="791">
        <v>937.5</v>
      </c>
      <c r="AA321" s="791">
        <v>625</v>
      </c>
      <c r="AB321" s="791">
        <v>1250</v>
      </c>
      <c r="AC321" s="791">
        <v>62.5</v>
      </c>
      <c r="AD321" s="791">
        <v>12.5</v>
      </c>
      <c r="AE321" s="791">
        <v>2.5</v>
      </c>
      <c r="AF321" s="791"/>
      <c r="AG321" s="791"/>
      <c r="AH321" s="791"/>
      <c r="AI321" s="784"/>
      <c r="AK321" s="783">
        <f>IFERROR(Tabela1[[#This Row],[EE(g)]]/Tabela1[[#This Row],[CMS(kg)]],0)</f>
        <v>70</v>
      </c>
    </row>
    <row r="322" spans="2:37" hidden="1">
      <c r="B322" s="774">
        <f>ROW()^2+(Tabela1[[#This Row],[ID2]])+ROW()</f>
        <v>104092</v>
      </c>
      <c r="C322" s="787">
        <v>86</v>
      </c>
      <c r="D322" s="774" t="s">
        <v>1256</v>
      </c>
      <c r="E322" s="788" t="s">
        <v>1260</v>
      </c>
      <c r="F322" s="788" t="s">
        <v>1261</v>
      </c>
      <c r="G322" s="788">
        <v>50</v>
      </c>
      <c r="H322" s="788" t="s">
        <v>1</v>
      </c>
      <c r="I322" s="789" t="s">
        <v>42</v>
      </c>
      <c r="J322" s="787" t="s">
        <v>42</v>
      </c>
      <c r="K322" s="787" t="s">
        <v>42</v>
      </c>
      <c r="L322" s="790">
        <v>500</v>
      </c>
      <c r="M322" s="778">
        <v>1.4950000000000001</v>
      </c>
      <c r="N322" s="780">
        <v>1000</v>
      </c>
      <c r="O322" s="780">
        <v>1000</v>
      </c>
      <c r="P322" s="791">
        <v>100</v>
      </c>
      <c r="Q322" s="791">
        <v>100</v>
      </c>
      <c r="R322" s="792">
        <v>104.6</v>
      </c>
      <c r="S322" s="791">
        <v>100</v>
      </c>
      <c r="T322" s="791">
        <v>100</v>
      </c>
      <c r="U322" s="791">
        <v>1495</v>
      </c>
      <c r="V322" s="791">
        <v>26.910000000000004</v>
      </c>
      <c r="W322" s="791">
        <v>44.85</v>
      </c>
      <c r="X322" s="791">
        <v>5.98</v>
      </c>
      <c r="Y322" s="791">
        <v>37.375</v>
      </c>
      <c r="Z322" s="791">
        <v>1121.25</v>
      </c>
      <c r="AA322" s="791">
        <v>747.5</v>
      </c>
      <c r="AB322" s="791">
        <v>1495</v>
      </c>
      <c r="AC322" s="791">
        <v>74.75</v>
      </c>
      <c r="AD322" s="791">
        <v>14.950000000000001</v>
      </c>
      <c r="AE322" s="791">
        <v>2.99</v>
      </c>
      <c r="AF322" s="791"/>
      <c r="AG322" s="791"/>
      <c r="AH322" s="791"/>
      <c r="AI322" s="784"/>
      <c r="AK322" s="783">
        <f>IFERROR(Tabela1[[#This Row],[EE(g)]]/Tabela1[[#This Row],[CMS(kg)]],0)</f>
        <v>69.966555183946483</v>
      </c>
    </row>
    <row r="323" spans="2:37" hidden="1">
      <c r="B323" s="774">
        <f>ROW()^2+(Tabela1[[#This Row],[ID2]])+ROW()</f>
        <v>104739</v>
      </c>
      <c r="C323" s="787">
        <v>87</v>
      </c>
      <c r="D323" s="774" t="s">
        <v>1256</v>
      </c>
      <c r="E323" s="788" t="s">
        <v>1260</v>
      </c>
      <c r="F323" s="788" t="s">
        <v>1261</v>
      </c>
      <c r="G323" s="788">
        <v>50</v>
      </c>
      <c r="H323" s="788" t="s">
        <v>1</v>
      </c>
      <c r="I323" s="789" t="s">
        <v>42</v>
      </c>
      <c r="J323" s="787" t="s">
        <v>42</v>
      </c>
      <c r="K323" s="787" t="s">
        <v>42</v>
      </c>
      <c r="L323" s="790">
        <v>600</v>
      </c>
      <c r="M323" s="778">
        <v>1.7399999999999998</v>
      </c>
      <c r="N323" s="780">
        <v>1000</v>
      </c>
      <c r="O323" s="780">
        <v>1000</v>
      </c>
      <c r="P323" s="791">
        <v>100</v>
      </c>
      <c r="Q323" s="791">
        <v>100</v>
      </c>
      <c r="R323" s="792">
        <v>121.80000000000001</v>
      </c>
      <c r="S323" s="791">
        <v>100</v>
      </c>
      <c r="T323" s="791">
        <v>100</v>
      </c>
      <c r="U323" s="791">
        <v>1739.9999999999998</v>
      </c>
      <c r="V323" s="791">
        <v>31.319999999999997</v>
      </c>
      <c r="W323" s="791">
        <v>52.199999999999996</v>
      </c>
      <c r="X323" s="791">
        <v>6.9599999999999991</v>
      </c>
      <c r="Y323" s="791">
        <v>43.499999999999993</v>
      </c>
      <c r="Z323" s="791">
        <v>1304.9999999999998</v>
      </c>
      <c r="AA323" s="791">
        <v>869.99999999999989</v>
      </c>
      <c r="AB323" s="791">
        <v>1739.9999999999998</v>
      </c>
      <c r="AC323" s="791">
        <v>86.999999999999986</v>
      </c>
      <c r="AD323" s="791">
        <v>17.399999999999999</v>
      </c>
      <c r="AE323" s="791">
        <v>3.4799999999999995</v>
      </c>
      <c r="AF323" s="791"/>
      <c r="AG323" s="791"/>
      <c r="AH323" s="791"/>
      <c r="AI323" s="784"/>
      <c r="AK323" s="783">
        <f>IFERROR(Tabela1[[#This Row],[EE(g)]]/Tabela1[[#This Row],[CMS(kg)]],0)</f>
        <v>70.000000000000014</v>
      </c>
    </row>
    <row r="324" spans="2:37" hidden="1">
      <c r="B324" s="774">
        <f>ROW()^2+(Tabela1[[#This Row],[ID2]])+ROW()</f>
        <v>105388</v>
      </c>
      <c r="C324" s="787">
        <v>88</v>
      </c>
      <c r="D324" s="774" t="s">
        <v>1256</v>
      </c>
      <c r="E324" s="788" t="s">
        <v>1260</v>
      </c>
      <c r="F324" s="788" t="s">
        <v>1261</v>
      </c>
      <c r="G324" s="788">
        <v>60</v>
      </c>
      <c r="H324" s="788" t="s">
        <v>1</v>
      </c>
      <c r="I324" s="789" t="s">
        <v>42</v>
      </c>
      <c r="J324" s="787" t="s">
        <v>42</v>
      </c>
      <c r="K324" s="787" t="s">
        <v>42</v>
      </c>
      <c r="L324" s="790">
        <v>250</v>
      </c>
      <c r="M324" s="778">
        <v>1.4940000000000002</v>
      </c>
      <c r="N324" s="780">
        <v>1000</v>
      </c>
      <c r="O324" s="780">
        <v>1000</v>
      </c>
      <c r="P324" s="791">
        <v>100</v>
      </c>
      <c r="Q324" s="791">
        <v>100</v>
      </c>
      <c r="R324" s="792">
        <v>104.6</v>
      </c>
      <c r="S324" s="791">
        <v>100</v>
      </c>
      <c r="T324" s="791">
        <v>100</v>
      </c>
      <c r="U324" s="791">
        <v>1494.0000000000002</v>
      </c>
      <c r="V324" s="791">
        <v>26.892000000000003</v>
      </c>
      <c r="W324" s="791">
        <v>44.820000000000007</v>
      </c>
      <c r="X324" s="791">
        <v>5.9760000000000009</v>
      </c>
      <c r="Y324" s="791">
        <v>37.350000000000009</v>
      </c>
      <c r="Z324" s="791">
        <v>1120.5000000000002</v>
      </c>
      <c r="AA324" s="791">
        <v>747.00000000000011</v>
      </c>
      <c r="AB324" s="791">
        <v>1494.0000000000002</v>
      </c>
      <c r="AC324" s="791">
        <v>74.700000000000017</v>
      </c>
      <c r="AD324" s="791">
        <v>14.940000000000001</v>
      </c>
      <c r="AE324" s="791">
        <v>2.9880000000000004</v>
      </c>
      <c r="AF324" s="791"/>
      <c r="AG324" s="791"/>
      <c r="AH324" s="791"/>
      <c r="AI324" s="784"/>
      <c r="AK324" s="783">
        <f>IFERROR(Tabela1[[#This Row],[EE(g)]]/Tabela1[[#This Row],[CMS(kg)]],0)</f>
        <v>70.013386880856743</v>
      </c>
    </row>
    <row r="325" spans="2:37" hidden="1">
      <c r="B325" s="774">
        <f>ROW()^2+(Tabela1[[#This Row],[ID2]])+ROW()</f>
        <v>106039</v>
      </c>
      <c r="C325" s="787">
        <v>89</v>
      </c>
      <c r="D325" s="774" t="s">
        <v>1256</v>
      </c>
      <c r="E325" s="788" t="s">
        <v>1260</v>
      </c>
      <c r="F325" s="788" t="s">
        <v>1261</v>
      </c>
      <c r="G325" s="788">
        <v>60</v>
      </c>
      <c r="H325" s="788" t="s">
        <v>1</v>
      </c>
      <c r="I325" s="789" t="s">
        <v>42</v>
      </c>
      <c r="J325" s="787" t="s">
        <v>42</v>
      </c>
      <c r="K325" s="787" t="s">
        <v>42</v>
      </c>
      <c r="L325" s="790">
        <v>300</v>
      </c>
      <c r="M325" s="778">
        <v>1.71</v>
      </c>
      <c r="N325" s="780">
        <v>1000</v>
      </c>
      <c r="O325" s="780">
        <v>1000</v>
      </c>
      <c r="P325" s="791">
        <v>100</v>
      </c>
      <c r="Q325" s="791">
        <v>100</v>
      </c>
      <c r="R325" s="792">
        <v>119.7</v>
      </c>
      <c r="S325" s="791">
        <v>100</v>
      </c>
      <c r="T325" s="791">
        <v>100</v>
      </c>
      <c r="U325" s="791">
        <v>1710</v>
      </c>
      <c r="V325" s="791">
        <v>30.78</v>
      </c>
      <c r="W325" s="791">
        <v>51.3</v>
      </c>
      <c r="X325" s="791">
        <v>6.84</v>
      </c>
      <c r="Y325" s="791">
        <v>42.75</v>
      </c>
      <c r="Z325" s="791">
        <v>1282.5</v>
      </c>
      <c r="AA325" s="791">
        <v>855</v>
      </c>
      <c r="AB325" s="791">
        <v>1710</v>
      </c>
      <c r="AC325" s="791">
        <v>85.5</v>
      </c>
      <c r="AD325" s="791">
        <v>17.100000000000001</v>
      </c>
      <c r="AE325" s="791">
        <v>3.42</v>
      </c>
      <c r="AF325" s="791"/>
      <c r="AG325" s="791"/>
      <c r="AH325" s="791"/>
      <c r="AI325" s="784"/>
      <c r="AK325" s="783">
        <f>IFERROR(Tabela1[[#This Row],[EE(g)]]/Tabela1[[#This Row],[CMS(kg)]],0)</f>
        <v>70</v>
      </c>
    </row>
    <row r="326" spans="2:37" hidden="1">
      <c r="B326" s="774">
        <f>ROW()^2+(Tabela1[[#This Row],[ID2]])+ROW()</f>
        <v>106692</v>
      </c>
      <c r="C326" s="787">
        <v>90</v>
      </c>
      <c r="D326" s="774" t="s">
        <v>1256</v>
      </c>
      <c r="E326" s="788" t="s">
        <v>1260</v>
      </c>
      <c r="F326" s="788" t="s">
        <v>1261</v>
      </c>
      <c r="G326" s="788">
        <v>60</v>
      </c>
      <c r="H326" s="788" t="s">
        <v>1</v>
      </c>
      <c r="I326" s="789" t="s">
        <v>42</v>
      </c>
      <c r="J326" s="787" t="s">
        <v>42</v>
      </c>
      <c r="K326" s="787" t="s">
        <v>42</v>
      </c>
      <c r="L326" s="790">
        <v>400</v>
      </c>
      <c r="M326" s="778">
        <v>2.1479999999999997</v>
      </c>
      <c r="N326" s="780">
        <v>1000</v>
      </c>
      <c r="O326" s="780">
        <v>1000</v>
      </c>
      <c r="P326" s="791">
        <v>100</v>
      </c>
      <c r="Q326" s="791">
        <v>100</v>
      </c>
      <c r="R326" s="792">
        <v>150.4</v>
      </c>
      <c r="S326" s="791">
        <v>100</v>
      </c>
      <c r="T326" s="791">
        <v>100</v>
      </c>
      <c r="U326" s="791">
        <v>2147.9999999999995</v>
      </c>
      <c r="V326" s="791">
        <v>38.663999999999994</v>
      </c>
      <c r="W326" s="791">
        <v>64.44</v>
      </c>
      <c r="X326" s="791">
        <v>8.5919999999999987</v>
      </c>
      <c r="Y326" s="791">
        <v>53.699999999999989</v>
      </c>
      <c r="Z326" s="791">
        <v>1610.9999999999998</v>
      </c>
      <c r="AA326" s="791">
        <v>1073.9999999999998</v>
      </c>
      <c r="AB326" s="791">
        <v>2147.9999999999995</v>
      </c>
      <c r="AC326" s="791">
        <v>107.39999999999998</v>
      </c>
      <c r="AD326" s="791">
        <v>21.479999999999997</v>
      </c>
      <c r="AE326" s="791">
        <v>4.2959999999999994</v>
      </c>
      <c r="AF326" s="791"/>
      <c r="AG326" s="791"/>
      <c r="AH326" s="791"/>
      <c r="AI326" s="784"/>
      <c r="AK326" s="783">
        <f>IFERROR(Tabela1[[#This Row],[EE(g)]]/Tabela1[[#This Row],[CMS(kg)]],0)</f>
        <v>70.018621973929243</v>
      </c>
    </row>
    <row r="327" spans="2:37" hidden="1">
      <c r="B327" s="774">
        <f>ROW()^2+(Tabela1[[#This Row],[ID2]])+ROW()</f>
        <v>107347</v>
      </c>
      <c r="C327" s="787">
        <v>91</v>
      </c>
      <c r="D327" s="774" t="s">
        <v>1256</v>
      </c>
      <c r="E327" s="788" t="s">
        <v>1260</v>
      </c>
      <c r="F327" s="788" t="s">
        <v>1261</v>
      </c>
      <c r="G327" s="788">
        <v>60</v>
      </c>
      <c r="H327" s="788" t="s">
        <v>1</v>
      </c>
      <c r="I327" s="789" t="s">
        <v>42</v>
      </c>
      <c r="J327" s="787" t="s">
        <v>42</v>
      </c>
      <c r="K327" s="787" t="s">
        <v>42</v>
      </c>
      <c r="L327" s="790">
        <v>500</v>
      </c>
      <c r="M327" s="778">
        <v>1.548</v>
      </c>
      <c r="N327" s="780">
        <v>1000</v>
      </c>
      <c r="O327" s="780">
        <v>1000</v>
      </c>
      <c r="P327" s="791">
        <v>100</v>
      </c>
      <c r="Q327" s="791">
        <v>100</v>
      </c>
      <c r="R327" s="792">
        <v>108.39999999999999</v>
      </c>
      <c r="S327" s="791">
        <v>100</v>
      </c>
      <c r="T327" s="791">
        <v>100</v>
      </c>
      <c r="U327" s="791">
        <v>1548</v>
      </c>
      <c r="V327" s="791">
        <v>27.864000000000001</v>
      </c>
      <c r="W327" s="791">
        <v>46.44</v>
      </c>
      <c r="X327" s="791">
        <v>6.1920000000000002</v>
      </c>
      <c r="Y327" s="791">
        <v>38.700000000000003</v>
      </c>
      <c r="Z327" s="791">
        <v>1161</v>
      </c>
      <c r="AA327" s="791">
        <v>774</v>
      </c>
      <c r="AB327" s="791">
        <v>1548</v>
      </c>
      <c r="AC327" s="791">
        <v>77.400000000000006</v>
      </c>
      <c r="AD327" s="791">
        <v>15.48</v>
      </c>
      <c r="AE327" s="791">
        <v>3.0960000000000001</v>
      </c>
      <c r="AF327" s="791"/>
      <c r="AG327" s="791"/>
      <c r="AH327" s="791"/>
      <c r="AI327" s="784"/>
      <c r="AK327" s="783">
        <f>IFERROR(Tabela1[[#This Row],[EE(g)]]/Tabela1[[#This Row],[CMS(kg)]],0)</f>
        <v>70.025839793281648</v>
      </c>
    </row>
    <row r="328" spans="2:37" hidden="1">
      <c r="B328" s="774">
        <f>ROW()^2+(Tabela1[[#This Row],[ID2]])+ROW()</f>
        <v>108004</v>
      </c>
      <c r="C328" s="787">
        <v>92</v>
      </c>
      <c r="D328" s="774" t="s">
        <v>1256</v>
      </c>
      <c r="E328" s="788" t="s">
        <v>1260</v>
      </c>
      <c r="F328" s="788" t="s">
        <v>1261</v>
      </c>
      <c r="G328" s="788">
        <v>60</v>
      </c>
      <c r="H328" s="788" t="s">
        <v>1</v>
      </c>
      <c r="I328" s="789" t="s">
        <v>42</v>
      </c>
      <c r="J328" s="787" t="s">
        <v>42</v>
      </c>
      <c r="K328" s="787" t="s">
        <v>42</v>
      </c>
      <c r="L328" s="790">
        <v>600</v>
      </c>
      <c r="M328" s="778">
        <v>1.7940000000000003</v>
      </c>
      <c r="N328" s="780">
        <v>1000</v>
      </c>
      <c r="O328" s="780">
        <v>1000</v>
      </c>
      <c r="P328" s="791">
        <v>100</v>
      </c>
      <c r="Q328" s="791">
        <v>100</v>
      </c>
      <c r="R328" s="792">
        <v>125.6</v>
      </c>
      <c r="S328" s="791">
        <v>100</v>
      </c>
      <c r="T328" s="791">
        <v>100</v>
      </c>
      <c r="U328" s="791">
        <v>1794.0000000000002</v>
      </c>
      <c r="V328" s="791">
        <v>32.292000000000002</v>
      </c>
      <c r="W328" s="791">
        <v>53.820000000000007</v>
      </c>
      <c r="X328" s="791">
        <v>7.176000000000001</v>
      </c>
      <c r="Y328" s="791">
        <v>44.850000000000009</v>
      </c>
      <c r="Z328" s="791">
        <v>1345.5000000000002</v>
      </c>
      <c r="AA328" s="791">
        <v>897.00000000000011</v>
      </c>
      <c r="AB328" s="791">
        <v>1794.0000000000002</v>
      </c>
      <c r="AC328" s="791">
        <v>89.700000000000017</v>
      </c>
      <c r="AD328" s="791">
        <v>17.940000000000001</v>
      </c>
      <c r="AE328" s="791">
        <v>3.5880000000000005</v>
      </c>
      <c r="AF328" s="791"/>
      <c r="AG328" s="791"/>
      <c r="AH328" s="791"/>
      <c r="AI328" s="784"/>
      <c r="AK328" s="783">
        <f>IFERROR(Tabela1[[#This Row],[EE(g)]]/Tabela1[[#This Row],[CMS(kg)]],0)</f>
        <v>70.01114827201782</v>
      </c>
    </row>
    <row r="329" spans="2:37" hidden="1">
      <c r="B329" s="774">
        <f>ROW()^2+(Tabela1[[#This Row],[ID2]])+ROW()</f>
        <v>108663</v>
      </c>
      <c r="C329" s="787">
        <v>93</v>
      </c>
      <c r="D329" s="774" t="s">
        <v>1256</v>
      </c>
      <c r="E329" s="788" t="s">
        <v>1260</v>
      </c>
      <c r="F329" s="788" t="s">
        <v>1261</v>
      </c>
      <c r="G329" s="788">
        <v>70</v>
      </c>
      <c r="H329" s="788" t="s">
        <v>1</v>
      </c>
      <c r="I329" s="789" t="s">
        <v>42</v>
      </c>
      <c r="J329" s="787" t="s">
        <v>42</v>
      </c>
      <c r="K329" s="787" t="s">
        <v>42</v>
      </c>
      <c r="L329" s="790">
        <v>150</v>
      </c>
      <c r="M329" s="778">
        <v>1.113</v>
      </c>
      <c r="N329" s="780">
        <v>1000</v>
      </c>
      <c r="O329" s="780">
        <v>1000</v>
      </c>
      <c r="P329" s="791">
        <v>100</v>
      </c>
      <c r="Q329" s="791">
        <v>100</v>
      </c>
      <c r="R329" s="792">
        <v>77.899999999999991</v>
      </c>
      <c r="S329" s="791">
        <v>100</v>
      </c>
      <c r="T329" s="791">
        <v>100</v>
      </c>
      <c r="U329" s="791">
        <v>1113</v>
      </c>
      <c r="V329" s="791">
        <v>20.033999999999999</v>
      </c>
      <c r="W329" s="791">
        <v>33.39</v>
      </c>
      <c r="X329" s="791">
        <v>4.452</v>
      </c>
      <c r="Y329" s="791">
        <v>27.824999999999999</v>
      </c>
      <c r="Z329" s="791">
        <v>834.75</v>
      </c>
      <c r="AA329" s="791">
        <v>556.5</v>
      </c>
      <c r="AB329" s="791">
        <v>1113</v>
      </c>
      <c r="AC329" s="791">
        <v>55.65</v>
      </c>
      <c r="AD329" s="791">
        <v>11.129999999999999</v>
      </c>
      <c r="AE329" s="791">
        <v>2.226</v>
      </c>
      <c r="AF329" s="791"/>
      <c r="AG329" s="791"/>
      <c r="AH329" s="791"/>
      <c r="AI329" s="784"/>
      <c r="AK329" s="783">
        <f>IFERROR(Tabela1[[#This Row],[EE(g)]]/Tabela1[[#This Row],[CMS(kg)]],0)</f>
        <v>69.99101527403414</v>
      </c>
    </row>
    <row r="330" spans="2:37" hidden="1">
      <c r="B330" s="774">
        <f>ROW()^2+(Tabela1[[#This Row],[ID2]])+ROW()</f>
        <v>109324</v>
      </c>
      <c r="C330" s="787">
        <v>94</v>
      </c>
      <c r="D330" s="774" t="s">
        <v>1256</v>
      </c>
      <c r="E330" s="788" t="s">
        <v>1260</v>
      </c>
      <c r="F330" s="788" t="s">
        <v>1261</v>
      </c>
      <c r="G330" s="788">
        <v>70</v>
      </c>
      <c r="H330" s="788" t="s">
        <v>1</v>
      </c>
      <c r="I330" s="789" t="s">
        <v>42</v>
      </c>
      <c r="J330" s="787" t="s">
        <v>42</v>
      </c>
      <c r="K330" s="787" t="s">
        <v>42</v>
      </c>
      <c r="L330" s="790">
        <v>200</v>
      </c>
      <c r="M330" s="778">
        <v>1.33</v>
      </c>
      <c r="N330" s="780">
        <v>1000</v>
      </c>
      <c r="O330" s="780">
        <v>1000</v>
      </c>
      <c r="P330" s="791">
        <v>100</v>
      </c>
      <c r="Q330" s="791">
        <v>100</v>
      </c>
      <c r="R330" s="792">
        <v>93.100000000000009</v>
      </c>
      <c r="S330" s="791">
        <v>100</v>
      </c>
      <c r="T330" s="791">
        <v>100</v>
      </c>
      <c r="U330" s="791">
        <v>1330</v>
      </c>
      <c r="V330" s="791">
        <v>23.94</v>
      </c>
      <c r="W330" s="791">
        <v>39.900000000000006</v>
      </c>
      <c r="X330" s="791">
        <v>5.32</v>
      </c>
      <c r="Y330" s="791">
        <v>33.25</v>
      </c>
      <c r="Z330" s="791">
        <v>997.5</v>
      </c>
      <c r="AA330" s="791">
        <v>665</v>
      </c>
      <c r="AB330" s="791">
        <v>1330</v>
      </c>
      <c r="AC330" s="791">
        <v>66.5</v>
      </c>
      <c r="AD330" s="791">
        <v>13.3</v>
      </c>
      <c r="AE330" s="791">
        <v>2.66</v>
      </c>
      <c r="AF330" s="791"/>
      <c r="AG330" s="791"/>
      <c r="AH330" s="791"/>
      <c r="AI330" s="784"/>
      <c r="AK330" s="783">
        <f>IFERROR(Tabela1[[#This Row],[EE(g)]]/Tabela1[[#This Row],[CMS(kg)]],0)</f>
        <v>70</v>
      </c>
    </row>
    <row r="331" spans="2:37" hidden="1">
      <c r="B331" s="774">
        <f>ROW()^2+(Tabela1[[#This Row],[ID2]])+ROW()</f>
        <v>109987</v>
      </c>
      <c r="C331" s="787">
        <v>95</v>
      </c>
      <c r="D331" s="774" t="s">
        <v>1256</v>
      </c>
      <c r="E331" s="788" t="s">
        <v>1260</v>
      </c>
      <c r="F331" s="788" t="s">
        <v>1261</v>
      </c>
      <c r="G331" s="788">
        <v>70</v>
      </c>
      <c r="H331" s="788" t="s">
        <v>1</v>
      </c>
      <c r="I331" s="789" t="s">
        <v>42</v>
      </c>
      <c r="J331" s="787" t="s">
        <v>42</v>
      </c>
      <c r="K331" s="787" t="s">
        <v>42</v>
      </c>
      <c r="L331" s="790">
        <v>300</v>
      </c>
      <c r="M331" s="778">
        <v>1.7709999999999999</v>
      </c>
      <c r="N331" s="780">
        <v>1000</v>
      </c>
      <c r="O331" s="780">
        <v>1000</v>
      </c>
      <c r="P331" s="791">
        <v>100</v>
      </c>
      <c r="Q331" s="791">
        <v>100</v>
      </c>
      <c r="R331" s="792">
        <v>124</v>
      </c>
      <c r="S331" s="791">
        <v>100</v>
      </c>
      <c r="T331" s="791">
        <v>100</v>
      </c>
      <c r="U331" s="791">
        <v>1771</v>
      </c>
      <c r="V331" s="791">
        <v>31.878</v>
      </c>
      <c r="W331" s="791">
        <v>53.129999999999995</v>
      </c>
      <c r="X331" s="791">
        <v>7.0839999999999996</v>
      </c>
      <c r="Y331" s="791">
        <v>44.274999999999999</v>
      </c>
      <c r="Z331" s="791">
        <v>1328.25</v>
      </c>
      <c r="AA331" s="791">
        <v>885.5</v>
      </c>
      <c r="AB331" s="791">
        <v>1771</v>
      </c>
      <c r="AC331" s="791">
        <v>88.55</v>
      </c>
      <c r="AD331" s="791">
        <v>17.71</v>
      </c>
      <c r="AE331" s="791">
        <v>3.5419999999999998</v>
      </c>
      <c r="AF331" s="791"/>
      <c r="AG331" s="791"/>
      <c r="AH331" s="791"/>
      <c r="AI331" s="784"/>
      <c r="AK331" s="783">
        <f>IFERROR(Tabela1[[#This Row],[EE(g)]]/Tabela1[[#This Row],[CMS(kg)]],0)</f>
        <v>70.016939582156979</v>
      </c>
    </row>
    <row r="332" spans="2:37" hidden="1">
      <c r="B332" s="774">
        <f>ROW()^2+(Tabela1[[#This Row],[ID2]])+ROW()</f>
        <v>110652</v>
      </c>
      <c r="C332" s="787">
        <v>96</v>
      </c>
      <c r="D332" s="774" t="s">
        <v>1256</v>
      </c>
      <c r="E332" s="788" t="s">
        <v>1260</v>
      </c>
      <c r="F332" s="788" t="s">
        <v>1261</v>
      </c>
      <c r="G332" s="788">
        <v>70</v>
      </c>
      <c r="H332" s="788" t="s">
        <v>1</v>
      </c>
      <c r="I332" s="789" t="s">
        <v>42</v>
      </c>
      <c r="J332" s="787" t="s">
        <v>42</v>
      </c>
      <c r="K332" s="787" t="s">
        <v>42</v>
      </c>
      <c r="L332" s="790">
        <v>400</v>
      </c>
      <c r="M332" s="778">
        <v>2.2120000000000002</v>
      </c>
      <c r="N332" s="780">
        <v>1000</v>
      </c>
      <c r="O332" s="780">
        <v>1000</v>
      </c>
      <c r="P332" s="791">
        <v>100</v>
      </c>
      <c r="Q332" s="791">
        <v>100</v>
      </c>
      <c r="R332" s="792">
        <v>154.79999999999998</v>
      </c>
      <c r="S332" s="791">
        <v>100</v>
      </c>
      <c r="T332" s="791">
        <v>100</v>
      </c>
      <c r="U332" s="791">
        <v>2212</v>
      </c>
      <c r="V332" s="791">
        <v>39.816000000000003</v>
      </c>
      <c r="W332" s="791">
        <v>66.36</v>
      </c>
      <c r="X332" s="791">
        <v>8.8480000000000008</v>
      </c>
      <c r="Y332" s="791">
        <v>55.300000000000004</v>
      </c>
      <c r="Z332" s="791">
        <v>1659.0000000000002</v>
      </c>
      <c r="AA332" s="791">
        <v>1106</v>
      </c>
      <c r="AB332" s="791">
        <v>2212</v>
      </c>
      <c r="AC332" s="791">
        <v>110.60000000000001</v>
      </c>
      <c r="AD332" s="791">
        <v>22.12</v>
      </c>
      <c r="AE332" s="791">
        <v>4.4240000000000004</v>
      </c>
      <c r="AF332" s="791"/>
      <c r="AG332" s="791"/>
      <c r="AH332" s="791"/>
      <c r="AI332" s="784"/>
      <c r="AK332" s="783">
        <f>IFERROR(Tabela1[[#This Row],[EE(g)]]/Tabela1[[#This Row],[CMS(kg)]],0)</f>
        <v>69.981916817359846</v>
      </c>
    </row>
    <row r="333" spans="2:37" hidden="1">
      <c r="B333" s="774">
        <f>ROW()^2+(Tabela1[[#This Row],[ID2]])+ROW()</f>
        <v>111319</v>
      </c>
      <c r="C333" s="787">
        <v>97</v>
      </c>
      <c r="D333" s="774" t="s">
        <v>1256</v>
      </c>
      <c r="E333" s="788" t="s">
        <v>1260</v>
      </c>
      <c r="F333" s="788" t="s">
        <v>1261</v>
      </c>
      <c r="G333" s="788">
        <v>70</v>
      </c>
      <c r="H333" s="788" t="s">
        <v>1</v>
      </c>
      <c r="I333" s="789" t="s">
        <v>42</v>
      </c>
      <c r="J333" s="787" t="s">
        <v>42</v>
      </c>
      <c r="K333" s="787" t="s">
        <v>42</v>
      </c>
      <c r="L333" s="790">
        <v>500</v>
      </c>
      <c r="M333" s="778">
        <v>2.653</v>
      </c>
      <c r="N333" s="780">
        <v>1000</v>
      </c>
      <c r="O333" s="780">
        <v>1000</v>
      </c>
      <c r="P333" s="791">
        <v>100</v>
      </c>
      <c r="Q333" s="791">
        <v>100</v>
      </c>
      <c r="R333" s="792">
        <v>185.70000000000002</v>
      </c>
      <c r="S333" s="791">
        <v>100</v>
      </c>
      <c r="T333" s="791">
        <v>100</v>
      </c>
      <c r="U333" s="791">
        <v>2653</v>
      </c>
      <c r="V333" s="791">
        <v>47.753999999999998</v>
      </c>
      <c r="W333" s="791">
        <v>79.59</v>
      </c>
      <c r="X333" s="791">
        <v>10.612</v>
      </c>
      <c r="Y333" s="791">
        <v>66.325000000000003</v>
      </c>
      <c r="Z333" s="791">
        <v>1989.75</v>
      </c>
      <c r="AA333" s="791">
        <v>1326.5</v>
      </c>
      <c r="AB333" s="791">
        <v>2653</v>
      </c>
      <c r="AC333" s="791">
        <v>132.65</v>
      </c>
      <c r="AD333" s="791">
        <v>26.53</v>
      </c>
      <c r="AE333" s="791">
        <v>5.306</v>
      </c>
      <c r="AF333" s="791"/>
      <c r="AG333" s="791"/>
      <c r="AH333" s="791"/>
      <c r="AI333" s="784"/>
      <c r="AK333" s="783">
        <f>IFERROR(Tabela1[[#This Row],[EE(g)]]/Tabela1[[#This Row],[CMS(kg)]],0)</f>
        <v>69.996230682246519</v>
      </c>
    </row>
    <row r="334" spans="2:37" hidden="1">
      <c r="B334" s="774">
        <f>ROW()^2+(Tabela1[[#This Row],[ID2]])+ROW()</f>
        <v>111988</v>
      </c>
      <c r="C334" s="787">
        <v>98</v>
      </c>
      <c r="D334" s="774" t="s">
        <v>1256</v>
      </c>
      <c r="E334" s="788" t="s">
        <v>1260</v>
      </c>
      <c r="F334" s="788" t="s">
        <v>1261</v>
      </c>
      <c r="G334" s="788">
        <v>80</v>
      </c>
      <c r="H334" s="788" t="s">
        <v>1</v>
      </c>
      <c r="I334" s="789" t="s">
        <v>42</v>
      </c>
      <c r="J334" s="787" t="s">
        <v>42</v>
      </c>
      <c r="K334" s="787" t="s">
        <v>42</v>
      </c>
      <c r="L334" s="790">
        <v>150</v>
      </c>
      <c r="M334" s="778">
        <v>1.1599999999999999</v>
      </c>
      <c r="N334" s="780">
        <v>1000</v>
      </c>
      <c r="O334" s="780">
        <v>1000</v>
      </c>
      <c r="P334" s="791">
        <v>100</v>
      </c>
      <c r="Q334" s="791">
        <v>100</v>
      </c>
      <c r="R334" s="792">
        <v>81.199999999999989</v>
      </c>
      <c r="S334" s="791">
        <v>100</v>
      </c>
      <c r="T334" s="791">
        <v>100</v>
      </c>
      <c r="U334" s="791">
        <v>1160</v>
      </c>
      <c r="V334" s="791">
        <v>20.88</v>
      </c>
      <c r="W334" s="791">
        <v>34.799999999999997</v>
      </c>
      <c r="X334" s="791">
        <v>4.6399999999999997</v>
      </c>
      <c r="Y334" s="791">
        <v>28.999999999999996</v>
      </c>
      <c r="Z334" s="791">
        <v>869.99999999999989</v>
      </c>
      <c r="AA334" s="791">
        <v>580</v>
      </c>
      <c r="AB334" s="791">
        <v>1160</v>
      </c>
      <c r="AC334" s="791">
        <v>57.999999999999993</v>
      </c>
      <c r="AD334" s="791">
        <v>11.6</v>
      </c>
      <c r="AE334" s="791">
        <v>2.3199999999999998</v>
      </c>
      <c r="AF334" s="791"/>
      <c r="AG334" s="791"/>
      <c r="AH334" s="791"/>
      <c r="AI334" s="784"/>
      <c r="AK334" s="783">
        <f>IFERROR(Tabela1[[#This Row],[EE(g)]]/Tabela1[[#This Row],[CMS(kg)]],0)</f>
        <v>70</v>
      </c>
    </row>
    <row r="335" spans="2:37" hidden="1">
      <c r="B335" s="774">
        <f>ROW()^2+(Tabela1[[#This Row],[ID2]])+ROW()</f>
        <v>112659</v>
      </c>
      <c r="C335" s="787">
        <v>99</v>
      </c>
      <c r="D335" s="774" t="s">
        <v>1256</v>
      </c>
      <c r="E335" s="788" t="s">
        <v>1260</v>
      </c>
      <c r="F335" s="788" t="s">
        <v>1261</v>
      </c>
      <c r="G335" s="788">
        <v>80</v>
      </c>
      <c r="H335" s="788" t="s">
        <v>1</v>
      </c>
      <c r="I335" s="789" t="s">
        <v>42</v>
      </c>
      <c r="J335" s="787" t="s">
        <v>42</v>
      </c>
      <c r="K335" s="787" t="s">
        <v>42</v>
      </c>
      <c r="L335" s="790">
        <v>200</v>
      </c>
      <c r="M335" s="778">
        <v>1.3839999999999999</v>
      </c>
      <c r="N335" s="780">
        <v>1000</v>
      </c>
      <c r="O335" s="780">
        <v>1000</v>
      </c>
      <c r="P335" s="791">
        <v>100</v>
      </c>
      <c r="Q335" s="791">
        <v>100</v>
      </c>
      <c r="R335" s="792">
        <v>96.9</v>
      </c>
      <c r="S335" s="791">
        <v>100</v>
      </c>
      <c r="T335" s="791">
        <v>100</v>
      </c>
      <c r="U335" s="791">
        <v>1384</v>
      </c>
      <c r="V335" s="791">
        <v>24.911999999999999</v>
      </c>
      <c r="W335" s="791">
        <v>41.519999999999996</v>
      </c>
      <c r="X335" s="791">
        <v>5.5359999999999996</v>
      </c>
      <c r="Y335" s="791">
        <v>34.599999999999994</v>
      </c>
      <c r="Z335" s="791">
        <v>1038</v>
      </c>
      <c r="AA335" s="791">
        <v>692</v>
      </c>
      <c r="AB335" s="791">
        <v>1384</v>
      </c>
      <c r="AC335" s="791">
        <v>69.199999999999989</v>
      </c>
      <c r="AD335" s="791">
        <v>13.84</v>
      </c>
      <c r="AE335" s="791">
        <v>2.7679999999999998</v>
      </c>
      <c r="AF335" s="791"/>
      <c r="AG335" s="791"/>
      <c r="AH335" s="791"/>
      <c r="AI335" s="784"/>
      <c r="AK335" s="783">
        <f>IFERROR(Tabela1[[#This Row],[EE(g)]]/Tabela1[[#This Row],[CMS(kg)]],0)</f>
        <v>70.014450867052034</v>
      </c>
    </row>
    <row r="336" spans="2:37" hidden="1">
      <c r="B336" s="774">
        <f>ROW()^2+(Tabela1[[#This Row],[ID2]])+ROW()</f>
        <v>113332</v>
      </c>
      <c r="C336" s="787">
        <v>100</v>
      </c>
      <c r="D336" s="774" t="s">
        <v>1256</v>
      </c>
      <c r="E336" s="788" t="s">
        <v>1260</v>
      </c>
      <c r="F336" s="788" t="s">
        <v>1261</v>
      </c>
      <c r="G336" s="788">
        <v>80</v>
      </c>
      <c r="H336" s="788" t="s">
        <v>1</v>
      </c>
      <c r="I336" s="789" t="s">
        <v>42</v>
      </c>
      <c r="J336" s="787" t="s">
        <v>42</v>
      </c>
      <c r="K336" s="787" t="s">
        <v>42</v>
      </c>
      <c r="L336" s="790">
        <v>300</v>
      </c>
      <c r="M336" s="778">
        <v>1.8239999999999998</v>
      </c>
      <c r="N336" s="780">
        <v>1000</v>
      </c>
      <c r="O336" s="780">
        <v>1000</v>
      </c>
      <c r="P336" s="791">
        <v>100</v>
      </c>
      <c r="Q336" s="791">
        <v>100</v>
      </c>
      <c r="R336" s="792">
        <v>127.67999999999999</v>
      </c>
      <c r="S336" s="791">
        <v>100</v>
      </c>
      <c r="T336" s="791">
        <v>100</v>
      </c>
      <c r="U336" s="791">
        <v>1823.9999999999998</v>
      </c>
      <c r="V336" s="791">
        <v>32.831999999999994</v>
      </c>
      <c r="W336" s="791">
        <v>54.72</v>
      </c>
      <c r="X336" s="791">
        <v>7.2959999999999994</v>
      </c>
      <c r="Y336" s="791">
        <v>45.599999999999994</v>
      </c>
      <c r="Z336" s="791">
        <v>1367.9999999999998</v>
      </c>
      <c r="AA336" s="791">
        <v>911.99999999999989</v>
      </c>
      <c r="AB336" s="791">
        <v>1823.9999999999998</v>
      </c>
      <c r="AC336" s="791">
        <v>91.199999999999989</v>
      </c>
      <c r="AD336" s="791">
        <v>18.239999999999998</v>
      </c>
      <c r="AE336" s="791">
        <v>3.6479999999999997</v>
      </c>
      <c r="AF336" s="791"/>
      <c r="AG336" s="791"/>
      <c r="AH336" s="791"/>
      <c r="AI336" s="784"/>
      <c r="AK336" s="783">
        <f>IFERROR(Tabela1[[#This Row],[EE(g)]]/Tabela1[[#This Row],[CMS(kg)]],0)</f>
        <v>70</v>
      </c>
    </row>
    <row r="337" spans="2:37" hidden="1">
      <c r="B337" s="774">
        <f>ROW()^2+(Tabela1[[#This Row],[ID2]])+ROW()</f>
        <v>114007</v>
      </c>
      <c r="C337" s="787">
        <v>101</v>
      </c>
      <c r="D337" s="774" t="s">
        <v>1256</v>
      </c>
      <c r="E337" s="788" t="s">
        <v>1260</v>
      </c>
      <c r="F337" s="788" t="s">
        <v>1261</v>
      </c>
      <c r="G337" s="788">
        <v>80</v>
      </c>
      <c r="H337" s="788" t="s">
        <v>1</v>
      </c>
      <c r="I337" s="789" t="s">
        <v>42</v>
      </c>
      <c r="J337" s="787" t="s">
        <v>42</v>
      </c>
      <c r="K337" s="787" t="s">
        <v>42</v>
      </c>
      <c r="L337" s="790">
        <v>400</v>
      </c>
      <c r="M337" s="778">
        <v>2.2719999999999998</v>
      </c>
      <c r="N337" s="780">
        <v>1000</v>
      </c>
      <c r="O337" s="780">
        <v>1000</v>
      </c>
      <c r="P337" s="791">
        <v>100</v>
      </c>
      <c r="Q337" s="791">
        <v>100</v>
      </c>
      <c r="R337" s="792">
        <v>159</v>
      </c>
      <c r="S337" s="791">
        <v>100</v>
      </c>
      <c r="T337" s="791">
        <v>100</v>
      </c>
      <c r="U337" s="791">
        <v>2272</v>
      </c>
      <c r="V337" s="791">
        <v>40.895999999999994</v>
      </c>
      <c r="W337" s="791">
        <v>68.16</v>
      </c>
      <c r="X337" s="791">
        <v>9.0879999999999992</v>
      </c>
      <c r="Y337" s="791">
        <v>56.8</v>
      </c>
      <c r="Z337" s="791">
        <v>1703.9999999999998</v>
      </c>
      <c r="AA337" s="791">
        <v>1136</v>
      </c>
      <c r="AB337" s="791">
        <v>2272</v>
      </c>
      <c r="AC337" s="791">
        <v>113.6</v>
      </c>
      <c r="AD337" s="791">
        <v>22.72</v>
      </c>
      <c r="AE337" s="791">
        <v>4.5439999999999996</v>
      </c>
      <c r="AF337" s="791"/>
      <c r="AG337" s="791"/>
      <c r="AH337" s="791"/>
      <c r="AI337" s="784"/>
      <c r="AK337" s="783">
        <f>IFERROR(Tabela1[[#This Row],[EE(g)]]/Tabela1[[#This Row],[CMS(kg)]],0)</f>
        <v>69.982394366197184</v>
      </c>
    </row>
    <row r="338" spans="2:37" hidden="1">
      <c r="B338" s="774">
        <f>ROW()^2+(Tabela1[[#This Row],[ID2]])+ROW()</f>
        <v>114684</v>
      </c>
      <c r="C338" s="787">
        <v>102</v>
      </c>
      <c r="D338" s="774" t="s">
        <v>1256</v>
      </c>
      <c r="E338" s="788" t="s">
        <v>1260</v>
      </c>
      <c r="F338" s="788" t="s">
        <v>1261</v>
      </c>
      <c r="G338" s="788">
        <v>80</v>
      </c>
      <c r="H338" s="788" t="s">
        <v>1</v>
      </c>
      <c r="I338" s="789" t="s">
        <v>42</v>
      </c>
      <c r="J338" s="787" t="s">
        <v>42</v>
      </c>
      <c r="K338" s="787" t="s">
        <v>42</v>
      </c>
      <c r="L338" s="790">
        <v>500</v>
      </c>
      <c r="M338" s="778">
        <v>2.7119999999999997</v>
      </c>
      <c r="N338" s="780">
        <v>1000</v>
      </c>
      <c r="O338" s="780">
        <v>1000</v>
      </c>
      <c r="P338" s="791">
        <v>100</v>
      </c>
      <c r="Q338" s="791">
        <v>100</v>
      </c>
      <c r="R338" s="792">
        <v>189.79999999999998</v>
      </c>
      <c r="S338" s="791">
        <v>100</v>
      </c>
      <c r="T338" s="791">
        <v>100</v>
      </c>
      <c r="U338" s="791">
        <v>2711.9999999999995</v>
      </c>
      <c r="V338" s="791">
        <v>48.815999999999995</v>
      </c>
      <c r="W338" s="791">
        <v>81.359999999999985</v>
      </c>
      <c r="X338" s="791">
        <v>10.847999999999999</v>
      </c>
      <c r="Y338" s="791">
        <v>67.8</v>
      </c>
      <c r="Z338" s="791">
        <v>2033.9999999999998</v>
      </c>
      <c r="AA338" s="791">
        <v>1355.9999999999998</v>
      </c>
      <c r="AB338" s="791">
        <v>2711.9999999999995</v>
      </c>
      <c r="AC338" s="791">
        <v>135.6</v>
      </c>
      <c r="AD338" s="791">
        <v>27.119999999999997</v>
      </c>
      <c r="AE338" s="791">
        <v>5.4239999999999995</v>
      </c>
      <c r="AF338" s="791"/>
      <c r="AG338" s="791"/>
      <c r="AH338" s="791"/>
      <c r="AI338" s="784"/>
      <c r="AK338" s="783">
        <f>IFERROR(Tabela1[[#This Row],[EE(g)]]/Tabela1[[#This Row],[CMS(kg)]],0)</f>
        <v>69.985250737463133</v>
      </c>
    </row>
    <row r="339" spans="2:37" hidden="1">
      <c r="B339" s="774">
        <f>ROW()^2+(Tabela1[[#This Row],[ID2]])+ROW()</f>
        <v>115363</v>
      </c>
      <c r="C339" s="787">
        <v>103</v>
      </c>
      <c r="D339" s="774" t="s">
        <v>1256</v>
      </c>
      <c r="E339" s="788" t="s">
        <v>1262</v>
      </c>
      <c r="F339" s="788" t="s">
        <v>1261</v>
      </c>
      <c r="G339" s="788">
        <v>20</v>
      </c>
      <c r="H339" s="788" t="s">
        <v>1</v>
      </c>
      <c r="I339" s="789" t="s">
        <v>42</v>
      </c>
      <c r="J339" s="787" t="s">
        <v>42</v>
      </c>
      <c r="K339" s="787" t="s">
        <v>42</v>
      </c>
      <c r="L339" s="790">
        <v>100</v>
      </c>
      <c r="M339" s="778">
        <v>0.62800000000000011</v>
      </c>
      <c r="N339" s="780">
        <v>1000</v>
      </c>
      <c r="O339" s="780">
        <v>1000</v>
      </c>
      <c r="P339" s="791">
        <v>100</v>
      </c>
      <c r="Q339" s="791">
        <v>100</v>
      </c>
      <c r="R339" s="792">
        <v>44</v>
      </c>
      <c r="S339" s="791">
        <v>100</v>
      </c>
      <c r="T339" s="791">
        <v>100</v>
      </c>
      <c r="U339" s="791">
        <v>628.00000000000011</v>
      </c>
      <c r="V339" s="791">
        <v>11.304000000000002</v>
      </c>
      <c r="W339" s="791">
        <v>18.840000000000003</v>
      </c>
      <c r="X339" s="791">
        <v>2.5120000000000005</v>
      </c>
      <c r="Y339" s="791">
        <v>15.700000000000003</v>
      </c>
      <c r="Z339" s="791">
        <v>471.00000000000011</v>
      </c>
      <c r="AA339" s="791">
        <v>314.00000000000006</v>
      </c>
      <c r="AB339" s="791">
        <v>628.00000000000011</v>
      </c>
      <c r="AC339" s="791">
        <v>31.400000000000006</v>
      </c>
      <c r="AD339" s="791">
        <v>6.2800000000000011</v>
      </c>
      <c r="AE339" s="791">
        <v>1.2560000000000002</v>
      </c>
      <c r="AF339" s="791"/>
      <c r="AG339" s="791"/>
      <c r="AH339" s="791"/>
      <c r="AI339" s="784"/>
      <c r="AK339" s="783">
        <f>IFERROR(Tabela1[[#This Row],[EE(g)]]/Tabela1[[#This Row],[CMS(kg)]],0)</f>
        <v>70.063694267515913</v>
      </c>
    </row>
    <row r="340" spans="2:37" hidden="1">
      <c r="B340" s="774">
        <f>ROW()^2+(Tabela1[[#This Row],[ID2]])+ROW()</f>
        <v>116044</v>
      </c>
      <c r="C340" s="787">
        <v>104</v>
      </c>
      <c r="D340" s="774" t="s">
        <v>1256</v>
      </c>
      <c r="E340" s="788" t="s">
        <v>1262</v>
      </c>
      <c r="F340" s="788" t="s">
        <v>1261</v>
      </c>
      <c r="G340" s="788">
        <v>20</v>
      </c>
      <c r="H340" s="788" t="s">
        <v>1</v>
      </c>
      <c r="I340" s="789" t="s">
        <v>42</v>
      </c>
      <c r="J340" s="787" t="s">
        <v>42</v>
      </c>
      <c r="K340" s="787" t="s">
        <v>42</v>
      </c>
      <c r="L340" s="790">
        <v>150</v>
      </c>
      <c r="M340" s="778">
        <v>0.8</v>
      </c>
      <c r="N340" s="780">
        <v>1000</v>
      </c>
      <c r="O340" s="780">
        <v>1000</v>
      </c>
      <c r="P340" s="791">
        <v>100</v>
      </c>
      <c r="Q340" s="791">
        <v>100</v>
      </c>
      <c r="R340" s="792">
        <v>56</v>
      </c>
      <c r="S340" s="791">
        <v>100</v>
      </c>
      <c r="T340" s="791">
        <v>100</v>
      </c>
      <c r="U340" s="791">
        <v>800</v>
      </c>
      <c r="V340" s="791">
        <v>14.4</v>
      </c>
      <c r="W340" s="791">
        <v>24</v>
      </c>
      <c r="X340" s="791">
        <v>3.2</v>
      </c>
      <c r="Y340" s="791">
        <v>20</v>
      </c>
      <c r="Z340" s="791">
        <v>600</v>
      </c>
      <c r="AA340" s="791">
        <v>400</v>
      </c>
      <c r="AB340" s="791">
        <v>800</v>
      </c>
      <c r="AC340" s="791">
        <v>40</v>
      </c>
      <c r="AD340" s="791">
        <v>8</v>
      </c>
      <c r="AE340" s="791">
        <v>1.6</v>
      </c>
      <c r="AF340" s="791"/>
      <c r="AG340" s="791"/>
      <c r="AH340" s="791"/>
      <c r="AI340" s="784"/>
      <c r="AK340" s="783">
        <f>IFERROR(Tabela1[[#This Row],[EE(g)]]/Tabela1[[#This Row],[CMS(kg)]],0)</f>
        <v>70</v>
      </c>
    </row>
    <row r="341" spans="2:37" hidden="1">
      <c r="B341" s="774">
        <f>ROW()^2+(Tabela1[[#This Row],[ID2]])+ROW()</f>
        <v>116727</v>
      </c>
      <c r="C341" s="787">
        <v>105</v>
      </c>
      <c r="D341" s="774" t="s">
        <v>1256</v>
      </c>
      <c r="E341" s="788" t="s">
        <v>1262</v>
      </c>
      <c r="F341" s="788" t="s">
        <v>1261</v>
      </c>
      <c r="G341" s="788">
        <v>20</v>
      </c>
      <c r="H341" s="788" t="s">
        <v>1</v>
      </c>
      <c r="I341" s="789" t="s">
        <v>42</v>
      </c>
      <c r="J341" s="787" t="s">
        <v>42</v>
      </c>
      <c r="K341" s="787" t="s">
        <v>42</v>
      </c>
      <c r="L341" s="790">
        <v>200</v>
      </c>
      <c r="M341" s="778">
        <v>0.73</v>
      </c>
      <c r="N341" s="780">
        <v>1000</v>
      </c>
      <c r="O341" s="780">
        <v>1000</v>
      </c>
      <c r="P341" s="791">
        <v>100</v>
      </c>
      <c r="Q341" s="791">
        <v>100</v>
      </c>
      <c r="R341" s="792">
        <v>51.1</v>
      </c>
      <c r="S341" s="791">
        <v>100</v>
      </c>
      <c r="T341" s="791">
        <v>100</v>
      </c>
      <c r="U341" s="791">
        <v>730</v>
      </c>
      <c r="V341" s="791">
        <v>13.14</v>
      </c>
      <c r="W341" s="791">
        <v>21.9</v>
      </c>
      <c r="X341" s="791">
        <v>2.92</v>
      </c>
      <c r="Y341" s="791">
        <v>18.25</v>
      </c>
      <c r="Z341" s="791">
        <v>547.5</v>
      </c>
      <c r="AA341" s="791">
        <v>365</v>
      </c>
      <c r="AB341" s="791">
        <v>730</v>
      </c>
      <c r="AC341" s="791">
        <v>36.5</v>
      </c>
      <c r="AD341" s="791">
        <v>7.3</v>
      </c>
      <c r="AE341" s="791">
        <v>1.46</v>
      </c>
      <c r="AF341" s="791"/>
      <c r="AG341" s="791"/>
      <c r="AH341" s="791"/>
      <c r="AI341" s="784"/>
      <c r="AK341" s="783">
        <f>IFERROR(Tabela1[[#This Row],[EE(g)]]/Tabela1[[#This Row],[CMS(kg)]],0)</f>
        <v>70</v>
      </c>
    </row>
    <row r="342" spans="2:37" hidden="1">
      <c r="B342" s="774">
        <f>ROW()^2+(Tabela1[[#This Row],[ID2]])+ROW()</f>
        <v>117412</v>
      </c>
      <c r="C342" s="787">
        <v>106</v>
      </c>
      <c r="D342" s="774" t="s">
        <v>1256</v>
      </c>
      <c r="E342" s="788" t="s">
        <v>1262</v>
      </c>
      <c r="F342" s="788" t="s">
        <v>1261</v>
      </c>
      <c r="G342" s="788">
        <v>20</v>
      </c>
      <c r="H342" s="788" t="s">
        <v>1</v>
      </c>
      <c r="I342" s="789" t="s">
        <v>42</v>
      </c>
      <c r="J342" s="787" t="s">
        <v>42</v>
      </c>
      <c r="K342" s="787" t="s">
        <v>42</v>
      </c>
      <c r="L342" s="790">
        <v>300</v>
      </c>
      <c r="M342" s="778">
        <v>0.97599999999999998</v>
      </c>
      <c r="N342" s="780">
        <v>1000</v>
      </c>
      <c r="O342" s="780">
        <v>1000</v>
      </c>
      <c r="P342" s="791">
        <v>100</v>
      </c>
      <c r="Q342" s="791">
        <v>100</v>
      </c>
      <c r="R342" s="792">
        <v>68.3</v>
      </c>
      <c r="S342" s="791">
        <v>100</v>
      </c>
      <c r="T342" s="791">
        <v>100</v>
      </c>
      <c r="U342" s="791">
        <v>976</v>
      </c>
      <c r="V342" s="791">
        <v>17.567999999999998</v>
      </c>
      <c r="W342" s="791">
        <v>29.28</v>
      </c>
      <c r="X342" s="791">
        <v>3.9039999999999999</v>
      </c>
      <c r="Y342" s="791">
        <v>24.4</v>
      </c>
      <c r="Z342" s="791">
        <v>732</v>
      </c>
      <c r="AA342" s="791">
        <v>488</v>
      </c>
      <c r="AB342" s="791">
        <v>976</v>
      </c>
      <c r="AC342" s="791">
        <v>48.8</v>
      </c>
      <c r="AD342" s="791">
        <v>9.76</v>
      </c>
      <c r="AE342" s="791">
        <v>1.952</v>
      </c>
      <c r="AF342" s="791"/>
      <c r="AG342" s="791"/>
      <c r="AH342" s="791"/>
      <c r="AI342" s="784"/>
      <c r="AK342" s="783">
        <f>IFERROR(Tabela1[[#This Row],[EE(g)]]/Tabela1[[#This Row],[CMS(kg)]],0)</f>
        <v>69.979508196721312</v>
      </c>
    </row>
    <row r="343" spans="2:37" hidden="1">
      <c r="B343" s="774">
        <f>ROW()^2+(Tabela1[[#This Row],[ID2]])+ROW()</f>
        <v>118099</v>
      </c>
      <c r="C343" s="787">
        <v>107</v>
      </c>
      <c r="D343" s="774" t="s">
        <v>1256</v>
      </c>
      <c r="E343" s="788" t="s">
        <v>1262</v>
      </c>
      <c r="F343" s="788" t="s">
        <v>1261</v>
      </c>
      <c r="G343" s="788">
        <v>30</v>
      </c>
      <c r="H343" s="788" t="s">
        <v>1</v>
      </c>
      <c r="I343" s="789" t="s">
        <v>42</v>
      </c>
      <c r="J343" s="787" t="s">
        <v>42</v>
      </c>
      <c r="K343" s="787" t="s">
        <v>42</v>
      </c>
      <c r="L343" s="790">
        <v>200</v>
      </c>
      <c r="M343" s="778">
        <v>1.0860000000000001</v>
      </c>
      <c r="N343" s="780">
        <v>1000</v>
      </c>
      <c r="O343" s="780">
        <v>1000</v>
      </c>
      <c r="P343" s="791">
        <v>100</v>
      </c>
      <c r="Q343" s="791">
        <v>100</v>
      </c>
      <c r="R343" s="792">
        <v>76</v>
      </c>
      <c r="S343" s="791">
        <v>100</v>
      </c>
      <c r="T343" s="791">
        <v>100</v>
      </c>
      <c r="U343" s="791">
        <v>1086</v>
      </c>
      <c r="V343" s="791">
        <v>19.548000000000002</v>
      </c>
      <c r="W343" s="791">
        <v>32.580000000000005</v>
      </c>
      <c r="X343" s="791">
        <v>4.3440000000000003</v>
      </c>
      <c r="Y343" s="791">
        <v>27.150000000000002</v>
      </c>
      <c r="Z343" s="791">
        <v>814.50000000000011</v>
      </c>
      <c r="AA343" s="791">
        <v>543</v>
      </c>
      <c r="AB343" s="791">
        <v>1086</v>
      </c>
      <c r="AC343" s="791">
        <v>54.300000000000004</v>
      </c>
      <c r="AD343" s="791">
        <v>10.860000000000001</v>
      </c>
      <c r="AE343" s="791">
        <v>2.1720000000000002</v>
      </c>
      <c r="AF343" s="791"/>
      <c r="AG343" s="791"/>
      <c r="AH343" s="791"/>
      <c r="AI343" s="784"/>
      <c r="AK343" s="783">
        <f>IFERROR(Tabela1[[#This Row],[EE(g)]]/Tabela1[[#This Row],[CMS(kg)]],0)</f>
        <v>69.98158379373848</v>
      </c>
    </row>
    <row r="344" spans="2:37" hidden="1">
      <c r="B344" s="774">
        <f>ROW()^2+(Tabela1[[#This Row],[ID2]])+ROW()</f>
        <v>118788</v>
      </c>
      <c r="C344" s="787">
        <v>108</v>
      </c>
      <c r="D344" s="774" t="s">
        <v>1256</v>
      </c>
      <c r="E344" s="788" t="s">
        <v>1262</v>
      </c>
      <c r="F344" s="788" t="s">
        <v>1261</v>
      </c>
      <c r="G344" s="788">
        <v>30</v>
      </c>
      <c r="H344" s="788" t="s">
        <v>1</v>
      </c>
      <c r="I344" s="789" t="s">
        <v>42</v>
      </c>
      <c r="J344" s="787" t="s">
        <v>42</v>
      </c>
      <c r="K344" s="787" t="s">
        <v>42</v>
      </c>
      <c r="L344" s="790">
        <v>250</v>
      </c>
      <c r="M344" s="778">
        <v>0.95099999999999996</v>
      </c>
      <c r="N344" s="780">
        <v>1000</v>
      </c>
      <c r="O344" s="780">
        <v>1000</v>
      </c>
      <c r="P344" s="791">
        <v>100</v>
      </c>
      <c r="Q344" s="791">
        <v>100</v>
      </c>
      <c r="R344" s="792">
        <v>66.600000000000009</v>
      </c>
      <c r="S344" s="791">
        <v>100</v>
      </c>
      <c r="T344" s="791">
        <v>100</v>
      </c>
      <c r="U344" s="791">
        <v>951</v>
      </c>
      <c r="V344" s="791">
        <v>17.117999999999999</v>
      </c>
      <c r="W344" s="791">
        <v>28.529999999999998</v>
      </c>
      <c r="X344" s="791">
        <v>3.8039999999999998</v>
      </c>
      <c r="Y344" s="791">
        <v>23.774999999999999</v>
      </c>
      <c r="Z344" s="791">
        <v>713.25</v>
      </c>
      <c r="AA344" s="791">
        <v>475.5</v>
      </c>
      <c r="AB344" s="791">
        <v>951</v>
      </c>
      <c r="AC344" s="791">
        <v>47.55</v>
      </c>
      <c r="AD344" s="791">
        <v>9.51</v>
      </c>
      <c r="AE344" s="791">
        <v>1.9019999999999999</v>
      </c>
      <c r="AF344" s="791"/>
      <c r="AG344" s="791"/>
      <c r="AH344" s="791"/>
      <c r="AI344" s="784"/>
      <c r="AK344" s="783">
        <f>IFERROR(Tabela1[[#This Row],[EE(g)]]/Tabela1[[#This Row],[CMS(kg)]],0)</f>
        <v>70.031545741324933</v>
      </c>
    </row>
    <row r="345" spans="2:37" hidden="1">
      <c r="B345" s="774">
        <f>ROW()^2+(Tabela1[[#This Row],[ID2]])+ROW()</f>
        <v>119479</v>
      </c>
      <c r="C345" s="787">
        <v>109</v>
      </c>
      <c r="D345" s="774" t="s">
        <v>1256</v>
      </c>
      <c r="E345" s="788" t="s">
        <v>1262</v>
      </c>
      <c r="F345" s="788" t="s">
        <v>1261</v>
      </c>
      <c r="G345" s="788">
        <v>30</v>
      </c>
      <c r="H345" s="788" t="s">
        <v>1</v>
      </c>
      <c r="I345" s="789" t="s">
        <v>42</v>
      </c>
      <c r="J345" s="787" t="s">
        <v>42</v>
      </c>
      <c r="K345" s="787" t="s">
        <v>42</v>
      </c>
      <c r="L345" s="790">
        <v>300</v>
      </c>
      <c r="M345" s="778">
        <v>1.077</v>
      </c>
      <c r="N345" s="780">
        <v>1000</v>
      </c>
      <c r="O345" s="780">
        <v>1000</v>
      </c>
      <c r="P345" s="791">
        <v>100</v>
      </c>
      <c r="Q345" s="791">
        <v>100</v>
      </c>
      <c r="R345" s="792">
        <v>75.399999999999991</v>
      </c>
      <c r="S345" s="791">
        <v>100</v>
      </c>
      <c r="T345" s="791">
        <v>100</v>
      </c>
      <c r="U345" s="791">
        <v>1077</v>
      </c>
      <c r="V345" s="791">
        <v>19.385999999999999</v>
      </c>
      <c r="W345" s="791">
        <v>32.31</v>
      </c>
      <c r="X345" s="791">
        <v>4.3079999999999998</v>
      </c>
      <c r="Y345" s="791">
        <v>26.924999999999997</v>
      </c>
      <c r="Z345" s="791">
        <v>807.75</v>
      </c>
      <c r="AA345" s="791">
        <v>538.5</v>
      </c>
      <c r="AB345" s="791">
        <v>1077</v>
      </c>
      <c r="AC345" s="791">
        <v>53.849999999999994</v>
      </c>
      <c r="AD345" s="791">
        <v>10.77</v>
      </c>
      <c r="AE345" s="791">
        <v>2.1539999999999999</v>
      </c>
      <c r="AF345" s="791"/>
      <c r="AG345" s="791"/>
      <c r="AH345" s="791"/>
      <c r="AI345" s="784"/>
      <c r="AK345" s="783">
        <f>IFERROR(Tabela1[[#This Row],[EE(g)]]/Tabela1[[#This Row],[CMS(kg)]],0)</f>
        <v>70.009285051067778</v>
      </c>
    </row>
    <row r="346" spans="2:37" hidden="1">
      <c r="B346" s="774">
        <f>ROW()^2+(Tabela1[[#This Row],[ID2]])+ROW()</f>
        <v>120172</v>
      </c>
      <c r="C346" s="787">
        <v>110</v>
      </c>
      <c r="D346" s="774" t="s">
        <v>1256</v>
      </c>
      <c r="E346" s="788" t="s">
        <v>1262</v>
      </c>
      <c r="F346" s="788" t="s">
        <v>1261</v>
      </c>
      <c r="G346" s="788">
        <v>30</v>
      </c>
      <c r="H346" s="788" t="s">
        <v>1</v>
      </c>
      <c r="I346" s="789" t="s">
        <v>42</v>
      </c>
      <c r="J346" s="787" t="s">
        <v>42</v>
      </c>
      <c r="K346" s="787" t="s">
        <v>42</v>
      </c>
      <c r="L346" s="790">
        <v>400</v>
      </c>
      <c r="M346" s="778">
        <v>1.3259999999999998</v>
      </c>
      <c r="N346" s="780">
        <v>1000</v>
      </c>
      <c r="O346" s="780">
        <v>1000</v>
      </c>
      <c r="P346" s="791">
        <v>100</v>
      </c>
      <c r="Q346" s="791">
        <v>100</v>
      </c>
      <c r="R346" s="792">
        <v>92.8</v>
      </c>
      <c r="S346" s="791">
        <v>100</v>
      </c>
      <c r="T346" s="791">
        <v>100</v>
      </c>
      <c r="U346" s="791">
        <v>1325.9999999999998</v>
      </c>
      <c r="V346" s="791">
        <v>23.867999999999999</v>
      </c>
      <c r="W346" s="791">
        <v>39.779999999999994</v>
      </c>
      <c r="X346" s="791">
        <v>5.3039999999999994</v>
      </c>
      <c r="Y346" s="791">
        <v>33.15</v>
      </c>
      <c r="Z346" s="791">
        <v>994.49999999999989</v>
      </c>
      <c r="AA346" s="791">
        <v>662.99999999999989</v>
      </c>
      <c r="AB346" s="791">
        <v>1325.9999999999998</v>
      </c>
      <c r="AC346" s="791">
        <v>66.3</v>
      </c>
      <c r="AD346" s="791">
        <v>13.259999999999998</v>
      </c>
      <c r="AE346" s="791">
        <v>2.6519999999999997</v>
      </c>
      <c r="AF346" s="791"/>
      <c r="AG346" s="791"/>
      <c r="AH346" s="791"/>
      <c r="AI346" s="784"/>
      <c r="AK346" s="783">
        <f>IFERROR(Tabela1[[#This Row],[EE(g)]]/Tabela1[[#This Row],[CMS(kg)]],0)</f>
        <v>69.98491704374058</v>
      </c>
    </row>
    <row r="347" spans="2:37" hidden="1">
      <c r="B347" s="774">
        <f>ROW()^2+(Tabela1[[#This Row],[ID2]])+ROW()</f>
        <v>120867</v>
      </c>
      <c r="C347" s="787">
        <v>111</v>
      </c>
      <c r="D347" s="774" t="s">
        <v>1256</v>
      </c>
      <c r="E347" s="788" t="s">
        <v>1262</v>
      </c>
      <c r="F347" s="788" t="s">
        <v>1261</v>
      </c>
      <c r="G347" s="788">
        <v>40</v>
      </c>
      <c r="H347" s="788" t="s">
        <v>1</v>
      </c>
      <c r="I347" s="789" t="s">
        <v>42</v>
      </c>
      <c r="J347" s="787" t="s">
        <v>42</v>
      </c>
      <c r="K347" s="787" t="s">
        <v>42</v>
      </c>
      <c r="L347" s="790">
        <v>250</v>
      </c>
      <c r="M347" s="778">
        <v>1.3720000000000001</v>
      </c>
      <c r="N347" s="780">
        <v>1000</v>
      </c>
      <c r="O347" s="780">
        <v>1000</v>
      </c>
      <c r="P347" s="791">
        <v>100</v>
      </c>
      <c r="Q347" s="791">
        <v>100</v>
      </c>
      <c r="R347" s="792">
        <v>96</v>
      </c>
      <c r="S347" s="791">
        <v>100</v>
      </c>
      <c r="T347" s="791">
        <v>100</v>
      </c>
      <c r="U347" s="791">
        <v>1372</v>
      </c>
      <c r="V347" s="791">
        <v>24.696000000000002</v>
      </c>
      <c r="W347" s="791">
        <v>41.160000000000004</v>
      </c>
      <c r="X347" s="791">
        <v>5.4880000000000004</v>
      </c>
      <c r="Y347" s="791">
        <v>34.300000000000004</v>
      </c>
      <c r="Z347" s="791">
        <v>1029</v>
      </c>
      <c r="AA347" s="791">
        <v>686</v>
      </c>
      <c r="AB347" s="791">
        <v>1372</v>
      </c>
      <c r="AC347" s="791">
        <v>68.600000000000009</v>
      </c>
      <c r="AD347" s="791">
        <v>13.72</v>
      </c>
      <c r="AE347" s="791">
        <v>2.7440000000000002</v>
      </c>
      <c r="AF347" s="791"/>
      <c r="AG347" s="791"/>
      <c r="AH347" s="791"/>
      <c r="AI347" s="784"/>
      <c r="AK347" s="783">
        <f>IFERROR(Tabela1[[#This Row],[EE(g)]]/Tabela1[[#This Row],[CMS(kg)]],0)</f>
        <v>69.970845481049551</v>
      </c>
    </row>
    <row r="348" spans="2:37" hidden="1">
      <c r="B348" s="774">
        <f>ROW()^2+(Tabela1[[#This Row],[ID2]])+ROW()</f>
        <v>121564</v>
      </c>
      <c r="C348" s="787">
        <v>112</v>
      </c>
      <c r="D348" s="774" t="s">
        <v>1256</v>
      </c>
      <c r="E348" s="788" t="s">
        <v>1262</v>
      </c>
      <c r="F348" s="788" t="s">
        <v>1261</v>
      </c>
      <c r="G348" s="788">
        <v>40</v>
      </c>
      <c r="H348" s="788" t="s">
        <v>1</v>
      </c>
      <c r="I348" s="789" t="s">
        <v>42</v>
      </c>
      <c r="J348" s="787" t="s">
        <v>42</v>
      </c>
      <c r="K348" s="787" t="s">
        <v>42</v>
      </c>
      <c r="L348" s="790">
        <v>300</v>
      </c>
      <c r="M348" s="778">
        <v>1.552</v>
      </c>
      <c r="N348" s="780">
        <v>1000</v>
      </c>
      <c r="O348" s="780">
        <v>1000</v>
      </c>
      <c r="P348" s="791">
        <v>100</v>
      </c>
      <c r="Q348" s="791">
        <v>100</v>
      </c>
      <c r="R348" s="792">
        <v>108.60000000000001</v>
      </c>
      <c r="S348" s="791">
        <v>100</v>
      </c>
      <c r="T348" s="791">
        <v>100</v>
      </c>
      <c r="U348" s="791">
        <v>1552</v>
      </c>
      <c r="V348" s="791">
        <v>27.936</v>
      </c>
      <c r="W348" s="791">
        <v>46.56</v>
      </c>
      <c r="X348" s="791">
        <v>6.2080000000000002</v>
      </c>
      <c r="Y348" s="791">
        <v>38.800000000000004</v>
      </c>
      <c r="Z348" s="791">
        <v>1164</v>
      </c>
      <c r="AA348" s="791">
        <v>776</v>
      </c>
      <c r="AB348" s="791">
        <v>1552</v>
      </c>
      <c r="AC348" s="791">
        <v>77.600000000000009</v>
      </c>
      <c r="AD348" s="791">
        <v>15.52</v>
      </c>
      <c r="AE348" s="791">
        <v>3.1040000000000001</v>
      </c>
      <c r="AF348" s="791"/>
      <c r="AG348" s="791"/>
      <c r="AH348" s="791"/>
      <c r="AI348" s="784"/>
      <c r="AK348" s="783">
        <f>IFERROR(Tabela1[[#This Row],[EE(g)]]/Tabela1[[#This Row],[CMS(kg)]],0)</f>
        <v>69.974226804123717</v>
      </c>
    </row>
    <row r="349" spans="2:37" hidden="1">
      <c r="B349" s="774">
        <f>ROW()^2+(Tabela1[[#This Row],[ID2]])+ROW()</f>
        <v>122263</v>
      </c>
      <c r="C349" s="787">
        <v>113</v>
      </c>
      <c r="D349" s="774" t="s">
        <v>1256</v>
      </c>
      <c r="E349" s="788" t="s">
        <v>1262</v>
      </c>
      <c r="F349" s="788" t="s">
        <v>1261</v>
      </c>
      <c r="G349" s="788">
        <v>40</v>
      </c>
      <c r="H349" s="788" t="s">
        <v>1</v>
      </c>
      <c r="I349" s="789" t="s">
        <v>42</v>
      </c>
      <c r="J349" s="787" t="s">
        <v>42</v>
      </c>
      <c r="K349" s="787" t="s">
        <v>42</v>
      </c>
      <c r="L349" s="790">
        <v>400</v>
      </c>
      <c r="M349" s="778">
        <v>1.4239999999999999</v>
      </c>
      <c r="N349" s="780">
        <v>1000</v>
      </c>
      <c r="O349" s="780">
        <v>1000</v>
      </c>
      <c r="P349" s="791">
        <v>100</v>
      </c>
      <c r="Q349" s="791">
        <v>100</v>
      </c>
      <c r="R349" s="792">
        <v>99.7</v>
      </c>
      <c r="S349" s="791">
        <v>100</v>
      </c>
      <c r="T349" s="791">
        <v>100</v>
      </c>
      <c r="U349" s="791">
        <v>1424</v>
      </c>
      <c r="V349" s="791">
        <v>25.631999999999998</v>
      </c>
      <c r="W349" s="791">
        <v>42.72</v>
      </c>
      <c r="X349" s="791">
        <v>5.6959999999999997</v>
      </c>
      <c r="Y349" s="791">
        <v>35.6</v>
      </c>
      <c r="Z349" s="791">
        <v>1068</v>
      </c>
      <c r="AA349" s="791">
        <v>712</v>
      </c>
      <c r="AB349" s="791">
        <v>1424</v>
      </c>
      <c r="AC349" s="791">
        <v>71.2</v>
      </c>
      <c r="AD349" s="791">
        <v>14.239999999999998</v>
      </c>
      <c r="AE349" s="791">
        <v>2.8479999999999999</v>
      </c>
      <c r="AF349" s="791"/>
      <c r="AG349" s="791"/>
      <c r="AH349" s="791"/>
      <c r="AI349" s="784"/>
      <c r="AK349" s="783">
        <f>IFERROR(Tabela1[[#This Row],[EE(g)]]/Tabela1[[#This Row],[CMS(kg)]],0)</f>
        <v>70.014044943820224</v>
      </c>
    </row>
    <row r="350" spans="2:37" hidden="1">
      <c r="B350" s="774">
        <f>ROW()^2+(Tabela1[[#This Row],[ID2]])+ROW()</f>
        <v>122964</v>
      </c>
      <c r="C350" s="787">
        <v>114</v>
      </c>
      <c r="D350" s="774" t="s">
        <v>1256</v>
      </c>
      <c r="E350" s="788" t="s">
        <v>1262</v>
      </c>
      <c r="F350" s="788" t="s">
        <v>1261</v>
      </c>
      <c r="G350" s="788">
        <v>40</v>
      </c>
      <c r="H350" s="788" t="s">
        <v>1</v>
      </c>
      <c r="I350" s="789" t="s">
        <v>42</v>
      </c>
      <c r="J350" s="787" t="s">
        <v>42</v>
      </c>
      <c r="K350" s="787" t="s">
        <v>42</v>
      </c>
      <c r="L350" s="790">
        <v>500</v>
      </c>
      <c r="M350" s="778">
        <v>1.6800000000000002</v>
      </c>
      <c r="N350" s="780">
        <v>1000</v>
      </c>
      <c r="O350" s="780">
        <v>1000</v>
      </c>
      <c r="P350" s="791">
        <v>100</v>
      </c>
      <c r="Q350" s="791">
        <v>100</v>
      </c>
      <c r="R350" s="792">
        <v>117.6</v>
      </c>
      <c r="S350" s="791">
        <v>100</v>
      </c>
      <c r="T350" s="791">
        <v>100</v>
      </c>
      <c r="U350" s="791">
        <v>1680.0000000000002</v>
      </c>
      <c r="V350" s="791">
        <v>30.240000000000002</v>
      </c>
      <c r="W350" s="791">
        <v>50.400000000000006</v>
      </c>
      <c r="X350" s="791">
        <v>6.7200000000000006</v>
      </c>
      <c r="Y350" s="791">
        <v>42.000000000000007</v>
      </c>
      <c r="Z350" s="791">
        <v>1260.0000000000002</v>
      </c>
      <c r="AA350" s="791">
        <v>840.00000000000011</v>
      </c>
      <c r="AB350" s="791">
        <v>1680.0000000000002</v>
      </c>
      <c r="AC350" s="791">
        <v>84.000000000000014</v>
      </c>
      <c r="AD350" s="791">
        <v>16.8</v>
      </c>
      <c r="AE350" s="791">
        <v>3.3600000000000003</v>
      </c>
      <c r="AF350" s="791"/>
      <c r="AG350" s="791"/>
      <c r="AH350" s="791"/>
      <c r="AI350" s="784"/>
      <c r="AK350" s="783">
        <f>IFERROR(Tabela1[[#This Row],[EE(g)]]/Tabela1[[#This Row],[CMS(kg)]],0)</f>
        <v>69.999999999999986</v>
      </c>
    </row>
    <row r="351" spans="2:37" hidden="1">
      <c r="B351" s="774">
        <f>ROW()^2+(Tabela1[[#This Row],[ID2]])+ROW()</f>
        <v>123667</v>
      </c>
      <c r="C351" s="787">
        <v>115</v>
      </c>
      <c r="D351" s="774" t="s">
        <v>1256</v>
      </c>
      <c r="E351" s="788" t="s">
        <v>1262</v>
      </c>
      <c r="F351" s="788" t="s">
        <v>1261</v>
      </c>
      <c r="G351" s="788">
        <v>50</v>
      </c>
      <c r="H351" s="788" t="s">
        <v>1</v>
      </c>
      <c r="I351" s="789" t="s">
        <v>42</v>
      </c>
      <c r="J351" s="787" t="s">
        <v>42</v>
      </c>
      <c r="K351" s="787" t="s">
        <v>42</v>
      </c>
      <c r="L351" s="790">
        <v>250</v>
      </c>
      <c r="M351" s="778">
        <v>1.4750000000000001</v>
      </c>
      <c r="N351" s="780">
        <v>1000</v>
      </c>
      <c r="O351" s="780">
        <v>1000</v>
      </c>
      <c r="P351" s="791">
        <v>100</v>
      </c>
      <c r="Q351" s="791">
        <v>100</v>
      </c>
      <c r="R351" s="792">
        <v>103.2</v>
      </c>
      <c r="S351" s="791">
        <v>100</v>
      </c>
      <c r="T351" s="791">
        <v>100</v>
      </c>
      <c r="U351" s="791">
        <v>1475</v>
      </c>
      <c r="V351" s="791">
        <v>26.55</v>
      </c>
      <c r="W351" s="791">
        <v>44.25</v>
      </c>
      <c r="X351" s="791">
        <v>5.9</v>
      </c>
      <c r="Y351" s="791">
        <v>36.875</v>
      </c>
      <c r="Z351" s="791">
        <v>1106.25</v>
      </c>
      <c r="AA351" s="791">
        <v>737.5</v>
      </c>
      <c r="AB351" s="791">
        <v>1475</v>
      </c>
      <c r="AC351" s="791">
        <v>73.75</v>
      </c>
      <c r="AD351" s="791">
        <v>14.75</v>
      </c>
      <c r="AE351" s="791">
        <v>2.95</v>
      </c>
      <c r="AF351" s="791"/>
      <c r="AG351" s="791"/>
      <c r="AH351" s="791"/>
      <c r="AI351" s="784"/>
      <c r="AK351" s="783">
        <f>IFERROR(Tabela1[[#This Row],[EE(g)]]/Tabela1[[#This Row],[CMS(kg)]],0)</f>
        <v>69.966101694915253</v>
      </c>
    </row>
    <row r="352" spans="2:37" hidden="1">
      <c r="B352" s="774">
        <f>ROW()^2+(Tabela1[[#This Row],[ID2]])+ROW()</f>
        <v>124372</v>
      </c>
      <c r="C352" s="787">
        <v>116</v>
      </c>
      <c r="D352" s="774" t="s">
        <v>1256</v>
      </c>
      <c r="E352" s="788" t="s">
        <v>1262</v>
      </c>
      <c r="F352" s="788" t="s">
        <v>1261</v>
      </c>
      <c r="G352" s="788">
        <v>50</v>
      </c>
      <c r="H352" s="788" t="s">
        <v>1</v>
      </c>
      <c r="I352" s="789" t="s">
        <v>42</v>
      </c>
      <c r="J352" s="787" t="s">
        <v>42</v>
      </c>
      <c r="K352" s="787" t="s">
        <v>42</v>
      </c>
      <c r="L352" s="790">
        <v>300</v>
      </c>
      <c r="M352" s="778">
        <v>1.6549999999999998</v>
      </c>
      <c r="N352" s="780">
        <v>1000</v>
      </c>
      <c r="O352" s="780">
        <v>1000</v>
      </c>
      <c r="P352" s="791">
        <v>100</v>
      </c>
      <c r="Q352" s="791">
        <v>100</v>
      </c>
      <c r="R352" s="792">
        <v>115.8</v>
      </c>
      <c r="S352" s="791">
        <v>100</v>
      </c>
      <c r="T352" s="791">
        <v>100</v>
      </c>
      <c r="U352" s="791">
        <v>1654.9999999999998</v>
      </c>
      <c r="V352" s="791">
        <v>29.789999999999996</v>
      </c>
      <c r="W352" s="791">
        <v>49.649999999999991</v>
      </c>
      <c r="X352" s="791">
        <v>6.6199999999999992</v>
      </c>
      <c r="Y352" s="791">
        <v>41.374999999999993</v>
      </c>
      <c r="Z352" s="791">
        <v>1241.2499999999998</v>
      </c>
      <c r="AA352" s="791">
        <v>827.49999999999989</v>
      </c>
      <c r="AB352" s="791">
        <v>1654.9999999999998</v>
      </c>
      <c r="AC352" s="791">
        <v>82.749999999999986</v>
      </c>
      <c r="AD352" s="791">
        <v>16.549999999999997</v>
      </c>
      <c r="AE352" s="791">
        <v>3.3099999999999996</v>
      </c>
      <c r="AF352" s="791"/>
      <c r="AG352" s="791"/>
      <c r="AH352" s="791"/>
      <c r="AI352" s="784"/>
      <c r="AK352" s="783">
        <f>IFERROR(Tabela1[[#This Row],[EE(g)]]/Tabela1[[#This Row],[CMS(kg)]],0)</f>
        <v>69.969788519637476</v>
      </c>
    </row>
    <row r="353" spans="2:37" hidden="1">
      <c r="B353" s="774">
        <f>ROW()^2+(Tabela1[[#This Row],[ID2]])+ROW()</f>
        <v>125079</v>
      </c>
      <c r="C353" s="787">
        <v>117</v>
      </c>
      <c r="D353" s="774" t="s">
        <v>1256</v>
      </c>
      <c r="E353" s="788" t="s">
        <v>1262</v>
      </c>
      <c r="F353" s="788" t="s">
        <v>1261</v>
      </c>
      <c r="G353" s="788">
        <v>50</v>
      </c>
      <c r="H353" s="788" t="s">
        <v>1</v>
      </c>
      <c r="I353" s="789" t="s">
        <v>42</v>
      </c>
      <c r="J353" s="787" t="s">
        <v>42</v>
      </c>
      <c r="K353" s="787" t="s">
        <v>42</v>
      </c>
      <c r="L353" s="790">
        <v>400</v>
      </c>
      <c r="M353" s="778">
        <v>1.5149999999999999</v>
      </c>
      <c r="N353" s="780">
        <v>1000</v>
      </c>
      <c r="O353" s="780">
        <v>1000</v>
      </c>
      <c r="P353" s="791">
        <v>100</v>
      </c>
      <c r="Q353" s="791">
        <v>100</v>
      </c>
      <c r="R353" s="792">
        <v>106</v>
      </c>
      <c r="S353" s="791">
        <v>100</v>
      </c>
      <c r="T353" s="791">
        <v>100</v>
      </c>
      <c r="U353" s="791">
        <v>1515</v>
      </c>
      <c r="V353" s="791">
        <v>27.27</v>
      </c>
      <c r="W353" s="791">
        <v>45.449999999999996</v>
      </c>
      <c r="X353" s="791">
        <v>6.06</v>
      </c>
      <c r="Y353" s="791">
        <v>37.875</v>
      </c>
      <c r="Z353" s="791">
        <v>1136.25</v>
      </c>
      <c r="AA353" s="791">
        <v>757.5</v>
      </c>
      <c r="AB353" s="791">
        <v>1515</v>
      </c>
      <c r="AC353" s="791">
        <v>75.75</v>
      </c>
      <c r="AD353" s="791">
        <v>15.149999999999999</v>
      </c>
      <c r="AE353" s="791">
        <v>3.03</v>
      </c>
      <c r="AF353" s="791"/>
      <c r="AG353" s="791"/>
      <c r="AH353" s="791"/>
      <c r="AI353" s="784"/>
      <c r="AK353" s="783">
        <f>IFERROR(Tabela1[[#This Row],[EE(g)]]/Tabela1[[#This Row],[CMS(kg)]],0)</f>
        <v>69.966996699669977</v>
      </c>
    </row>
    <row r="354" spans="2:37" hidden="1">
      <c r="B354" s="774">
        <f>ROW()^2+(Tabela1[[#This Row],[ID2]])+ROW()</f>
        <v>125788</v>
      </c>
      <c r="C354" s="787">
        <v>118</v>
      </c>
      <c r="D354" s="774" t="s">
        <v>1256</v>
      </c>
      <c r="E354" s="788" t="s">
        <v>1262</v>
      </c>
      <c r="F354" s="788" t="s">
        <v>1261</v>
      </c>
      <c r="G354" s="788">
        <v>50</v>
      </c>
      <c r="H354" s="788" t="s">
        <v>1</v>
      </c>
      <c r="I354" s="789" t="s">
        <v>42</v>
      </c>
      <c r="J354" s="787" t="s">
        <v>42</v>
      </c>
      <c r="K354" s="787" t="s">
        <v>42</v>
      </c>
      <c r="L354" s="790">
        <v>500</v>
      </c>
      <c r="M354" s="778">
        <v>1.7749999999999999</v>
      </c>
      <c r="N354" s="780">
        <v>1000</v>
      </c>
      <c r="O354" s="780">
        <v>1000</v>
      </c>
      <c r="P354" s="791">
        <v>100</v>
      </c>
      <c r="Q354" s="791">
        <v>100</v>
      </c>
      <c r="R354" s="792">
        <v>124.2</v>
      </c>
      <c r="S354" s="791">
        <v>100</v>
      </c>
      <c r="T354" s="791">
        <v>100</v>
      </c>
      <c r="U354" s="791">
        <v>1775</v>
      </c>
      <c r="V354" s="791">
        <v>31.95</v>
      </c>
      <c r="W354" s="791">
        <v>53.25</v>
      </c>
      <c r="X354" s="791">
        <v>7.1</v>
      </c>
      <c r="Y354" s="791">
        <v>44.375</v>
      </c>
      <c r="Z354" s="791">
        <v>1331.25</v>
      </c>
      <c r="AA354" s="791">
        <v>887.5</v>
      </c>
      <c r="AB354" s="791">
        <v>1775</v>
      </c>
      <c r="AC354" s="791">
        <v>88.75</v>
      </c>
      <c r="AD354" s="791">
        <v>17.75</v>
      </c>
      <c r="AE354" s="791">
        <v>3.55</v>
      </c>
      <c r="AF354" s="791"/>
      <c r="AG354" s="791"/>
      <c r="AH354" s="791"/>
      <c r="AI354" s="784"/>
      <c r="AK354" s="783">
        <f>IFERROR(Tabela1[[#This Row],[EE(g)]]/Tabela1[[#This Row],[CMS(kg)]],0)</f>
        <v>69.971830985915503</v>
      </c>
    </row>
    <row r="355" spans="2:37" hidden="1">
      <c r="B355" s="774">
        <f>ROW()^2+(Tabela1[[#This Row],[ID2]])+ROW()</f>
        <v>126499</v>
      </c>
      <c r="C355" s="787">
        <v>119</v>
      </c>
      <c r="D355" s="774" t="s">
        <v>1256</v>
      </c>
      <c r="E355" s="788" t="s">
        <v>1262</v>
      </c>
      <c r="F355" s="788" t="s">
        <v>1261</v>
      </c>
      <c r="G355" s="788">
        <v>50</v>
      </c>
      <c r="H355" s="788" t="s">
        <v>1</v>
      </c>
      <c r="I355" s="789" t="s">
        <v>42</v>
      </c>
      <c r="J355" s="787" t="s">
        <v>42</v>
      </c>
      <c r="K355" s="787" t="s">
        <v>42</v>
      </c>
      <c r="L355" s="790">
        <v>600</v>
      </c>
      <c r="M355" s="778">
        <v>2.0350000000000001</v>
      </c>
      <c r="N355" s="780">
        <v>1000</v>
      </c>
      <c r="O355" s="780">
        <v>1000</v>
      </c>
      <c r="P355" s="791">
        <v>100</v>
      </c>
      <c r="Q355" s="791">
        <v>100</v>
      </c>
      <c r="R355" s="792">
        <v>142.4</v>
      </c>
      <c r="S355" s="791">
        <v>100</v>
      </c>
      <c r="T355" s="791">
        <v>100</v>
      </c>
      <c r="U355" s="791">
        <v>2035.0000000000002</v>
      </c>
      <c r="V355" s="791">
        <v>36.630000000000003</v>
      </c>
      <c r="W355" s="791">
        <v>61.050000000000004</v>
      </c>
      <c r="X355" s="791">
        <v>8.14</v>
      </c>
      <c r="Y355" s="791">
        <v>50.875</v>
      </c>
      <c r="Z355" s="791">
        <v>1526.25</v>
      </c>
      <c r="AA355" s="791">
        <v>1017.5000000000001</v>
      </c>
      <c r="AB355" s="791">
        <v>2035.0000000000002</v>
      </c>
      <c r="AC355" s="791">
        <v>101.75</v>
      </c>
      <c r="AD355" s="791">
        <v>20.350000000000001</v>
      </c>
      <c r="AE355" s="791">
        <v>4.07</v>
      </c>
      <c r="AF355" s="791"/>
      <c r="AG355" s="791"/>
      <c r="AH355" s="791"/>
      <c r="AI355" s="784"/>
      <c r="AK355" s="783">
        <f>IFERROR(Tabela1[[#This Row],[EE(g)]]/Tabela1[[#This Row],[CMS(kg)]],0)</f>
        <v>69.975429975429975</v>
      </c>
    </row>
    <row r="356" spans="2:37" hidden="1">
      <c r="B356" s="774">
        <f>ROW()^2+(Tabela1[[#This Row],[ID2]])+ROW()</f>
        <v>127212</v>
      </c>
      <c r="C356" s="787">
        <v>120</v>
      </c>
      <c r="D356" s="774" t="s">
        <v>1256</v>
      </c>
      <c r="E356" s="788" t="s">
        <v>1262</v>
      </c>
      <c r="F356" s="788" t="s">
        <v>1261</v>
      </c>
      <c r="G356" s="788">
        <v>60</v>
      </c>
      <c r="H356" s="788" t="s">
        <v>1</v>
      </c>
      <c r="I356" s="789" t="s">
        <v>42</v>
      </c>
      <c r="J356" s="787" t="s">
        <v>42</v>
      </c>
      <c r="K356" s="787" t="s">
        <v>42</v>
      </c>
      <c r="L356" s="790">
        <v>250</v>
      </c>
      <c r="M356" s="778">
        <v>1.5720000000000001</v>
      </c>
      <c r="N356" s="780">
        <v>1000</v>
      </c>
      <c r="O356" s="780">
        <v>1000</v>
      </c>
      <c r="P356" s="791">
        <v>100</v>
      </c>
      <c r="Q356" s="791">
        <v>100</v>
      </c>
      <c r="R356" s="792">
        <v>110</v>
      </c>
      <c r="S356" s="791">
        <v>100</v>
      </c>
      <c r="T356" s="791">
        <v>100</v>
      </c>
      <c r="U356" s="791">
        <v>1572</v>
      </c>
      <c r="V356" s="791">
        <v>28.295999999999999</v>
      </c>
      <c r="W356" s="791">
        <v>47.160000000000004</v>
      </c>
      <c r="X356" s="791">
        <v>6.2880000000000003</v>
      </c>
      <c r="Y356" s="791">
        <v>39.300000000000004</v>
      </c>
      <c r="Z356" s="791">
        <v>1179</v>
      </c>
      <c r="AA356" s="791">
        <v>786</v>
      </c>
      <c r="AB356" s="791">
        <v>1572</v>
      </c>
      <c r="AC356" s="791">
        <v>78.600000000000009</v>
      </c>
      <c r="AD356" s="791">
        <v>15.72</v>
      </c>
      <c r="AE356" s="791">
        <v>3.1440000000000001</v>
      </c>
      <c r="AF356" s="791"/>
      <c r="AG356" s="791"/>
      <c r="AH356" s="791"/>
      <c r="AI356" s="784"/>
      <c r="AK356" s="783">
        <f>IFERROR(Tabela1[[#This Row],[EE(g)]]/Tabela1[[#This Row],[CMS(kg)]],0)</f>
        <v>69.974554707379127</v>
      </c>
    </row>
    <row r="357" spans="2:37" hidden="1">
      <c r="B357" s="774">
        <f>ROW()^2+(Tabela1[[#This Row],[ID2]])+ROW()</f>
        <v>127927</v>
      </c>
      <c r="C357" s="787">
        <v>121</v>
      </c>
      <c r="D357" s="774" t="s">
        <v>1256</v>
      </c>
      <c r="E357" s="788" t="s">
        <v>1262</v>
      </c>
      <c r="F357" s="788" t="s">
        <v>1261</v>
      </c>
      <c r="G357" s="788">
        <v>60</v>
      </c>
      <c r="H357" s="788" t="s">
        <v>1</v>
      </c>
      <c r="I357" s="789" t="s">
        <v>42</v>
      </c>
      <c r="J357" s="787" t="s">
        <v>42</v>
      </c>
      <c r="K357" s="787" t="s">
        <v>42</v>
      </c>
      <c r="L357" s="790">
        <v>300</v>
      </c>
      <c r="M357" s="778">
        <v>1.7580000000000002</v>
      </c>
      <c r="N357" s="780">
        <v>1000</v>
      </c>
      <c r="O357" s="780">
        <v>1000</v>
      </c>
      <c r="P357" s="791">
        <v>100</v>
      </c>
      <c r="Q357" s="791">
        <v>100</v>
      </c>
      <c r="R357" s="792">
        <v>123.1</v>
      </c>
      <c r="S357" s="791">
        <v>100</v>
      </c>
      <c r="T357" s="791">
        <v>100</v>
      </c>
      <c r="U357" s="791">
        <v>1758.0000000000002</v>
      </c>
      <c r="V357" s="791">
        <v>31.644000000000005</v>
      </c>
      <c r="W357" s="791">
        <v>52.740000000000009</v>
      </c>
      <c r="X357" s="791">
        <v>7.0320000000000009</v>
      </c>
      <c r="Y357" s="791">
        <v>43.95</v>
      </c>
      <c r="Z357" s="791">
        <v>1318.5000000000002</v>
      </c>
      <c r="AA357" s="791">
        <v>879.00000000000011</v>
      </c>
      <c r="AB357" s="791">
        <v>1758.0000000000002</v>
      </c>
      <c r="AC357" s="791">
        <v>87.9</v>
      </c>
      <c r="AD357" s="791">
        <v>17.580000000000002</v>
      </c>
      <c r="AE357" s="791">
        <v>3.5160000000000005</v>
      </c>
      <c r="AF357" s="791"/>
      <c r="AG357" s="791"/>
      <c r="AH357" s="791"/>
      <c r="AI357" s="784"/>
      <c r="AK357" s="783">
        <f>IFERROR(Tabela1[[#This Row],[EE(g)]]/Tabela1[[#This Row],[CMS(kg)]],0)</f>
        <v>70.022753128555166</v>
      </c>
    </row>
    <row r="358" spans="2:37" hidden="1">
      <c r="B358" s="774">
        <f>ROW()^2+(Tabela1[[#This Row],[ID2]])+ROW()</f>
        <v>128644</v>
      </c>
      <c r="C358" s="787">
        <v>122</v>
      </c>
      <c r="D358" s="774" t="s">
        <v>1256</v>
      </c>
      <c r="E358" s="788" t="s">
        <v>1262</v>
      </c>
      <c r="F358" s="788" t="s">
        <v>1261</v>
      </c>
      <c r="G358" s="788">
        <v>60</v>
      </c>
      <c r="H358" s="788" t="s">
        <v>1</v>
      </c>
      <c r="I358" s="789" t="s">
        <v>42</v>
      </c>
      <c r="J358" s="787" t="s">
        <v>42</v>
      </c>
      <c r="K358" s="787" t="s">
        <v>42</v>
      </c>
      <c r="L358" s="790">
        <v>400</v>
      </c>
      <c r="M358" s="778">
        <v>2.1240000000000001</v>
      </c>
      <c r="N358" s="780">
        <v>1000</v>
      </c>
      <c r="O358" s="780">
        <v>1000</v>
      </c>
      <c r="P358" s="791">
        <v>100</v>
      </c>
      <c r="Q358" s="791">
        <v>100</v>
      </c>
      <c r="R358" s="792">
        <v>148.69999999999999</v>
      </c>
      <c r="S358" s="791">
        <v>100</v>
      </c>
      <c r="T358" s="791">
        <v>100</v>
      </c>
      <c r="U358" s="791">
        <v>2124</v>
      </c>
      <c r="V358" s="791">
        <v>38.231999999999999</v>
      </c>
      <c r="W358" s="791">
        <v>63.720000000000006</v>
      </c>
      <c r="X358" s="791">
        <v>8.4960000000000004</v>
      </c>
      <c r="Y358" s="791">
        <v>53.1</v>
      </c>
      <c r="Z358" s="791">
        <v>1593</v>
      </c>
      <c r="AA358" s="791">
        <v>1062</v>
      </c>
      <c r="AB358" s="791">
        <v>2124</v>
      </c>
      <c r="AC358" s="791">
        <v>106.2</v>
      </c>
      <c r="AD358" s="791">
        <v>21.240000000000002</v>
      </c>
      <c r="AE358" s="791">
        <v>4.2480000000000002</v>
      </c>
      <c r="AF358" s="791"/>
      <c r="AG358" s="791"/>
      <c r="AH358" s="791"/>
      <c r="AI358" s="784"/>
      <c r="AK358" s="783">
        <f>IFERROR(Tabela1[[#This Row],[EE(g)]]/Tabela1[[#This Row],[CMS(kg)]],0)</f>
        <v>70.009416195856872</v>
      </c>
    </row>
    <row r="359" spans="2:37" hidden="1">
      <c r="B359" s="774">
        <f>ROW()^2+(Tabela1[[#This Row],[ID2]])+ROW()</f>
        <v>129363</v>
      </c>
      <c r="C359" s="787">
        <v>123</v>
      </c>
      <c r="D359" s="774" t="s">
        <v>1256</v>
      </c>
      <c r="E359" s="788" t="s">
        <v>1262</v>
      </c>
      <c r="F359" s="788" t="s">
        <v>1261</v>
      </c>
      <c r="G359" s="788">
        <v>60</v>
      </c>
      <c r="H359" s="788" t="s">
        <v>1</v>
      </c>
      <c r="I359" s="789" t="s">
        <v>42</v>
      </c>
      <c r="J359" s="787" t="s">
        <v>42</v>
      </c>
      <c r="K359" s="787" t="s">
        <v>42</v>
      </c>
      <c r="L359" s="790">
        <v>500</v>
      </c>
      <c r="M359" s="778">
        <v>1.8659999999999999</v>
      </c>
      <c r="N359" s="780">
        <v>1000</v>
      </c>
      <c r="O359" s="780">
        <v>1000</v>
      </c>
      <c r="P359" s="791">
        <v>100</v>
      </c>
      <c r="Q359" s="791">
        <v>100</v>
      </c>
      <c r="R359" s="792">
        <v>130.6</v>
      </c>
      <c r="S359" s="791">
        <v>100</v>
      </c>
      <c r="T359" s="791">
        <v>100</v>
      </c>
      <c r="U359" s="791">
        <v>1865.9999999999998</v>
      </c>
      <c r="V359" s="791">
        <v>33.588000000000001</v>
      </c>
      <c r="W359" s="791">
        <v>55.98</v>
      </c>
      <c r="X359" s="791">
        <v>7.4639999999999995</v>
      </c>
      <c r="Y359" s="791">
        <v>46.65</v>
      </c>
      <c r="Z359" s="791">
        <v>1399.5</v>
      </c>
      <c r="AA359" s="791">
        <v>932.99999999999989</v>
      </c>
      <c r="AB359" s="791">
        <v>1865.9999999999998</v>
      </c>
      <c r="AC359" s="791">
        <v>93.3</v>
      </c>
      <c r="AD359" s="791">
        <v>18.66</v>
      </c>
      <c r="AE359" s="791">
        <v>3.7319999999999998</v>
      </c>
      <c r="AF359" s="791"/>
      <c r="AG359" s="791"/>
      <c r="AH359" s="791"/>
      <c r="AI359" s="784"/>
      <c r="AK359" s="783">
        <f>IFERROR(Tabela1[[#This Row],[EE(g)]]/Tabela1[[#This Row],[CMS(kg)]],0)</f>
        <v>69.989281886388</v>
      </c>
    </row>
    <row r="360" spans="2:37" hidden="1">
      <c r="B360" s="774">
        <f>ROW()^2+(Tabela1[[#This Row],[ID2]])+ROW()</f>
        <v>130084</v>
      </c>
      <c r="C360" s="787">
        <v>124</v>
      </c>
      <c r="D360" s="774" t="s">
        <v>1256</v>
      </c>
      <c r="E360" s="788" t="s">
        <v>1262</v>
      </c>
      <c r="F360" s="788" t="s">
        <v>1261</v>
      </c>
      <c r="G360" s="788">
        <v>60</v>
      </c>
      <c r="H360" s="788" t="s">
        <v>1</v>
      </c>
      <c r="I360" s="789" t="s">
        <v>42</v>
      </c>
      <c r="J360" s="787" t="s">
        <v>42</v>
      </c>
      <c r="K360" s="787" t="s">
        <v>42</v>
      </c>
      <c r="L360" s="790">
        <v>600</v>
      </c>
      <c r="M360" s="778">
        <v>2.13</v>
      </c>
      <c r="N360" s="780">
        <v>1000</v>
      </c>
      <c r="O360" s="780">
        <v>1000</v>
      </c>
      <c r="P360" s="791">
        <v>100</v>
      </c>
      <c r="Q360" s="791">
        <v>100</v>
      </c>
      <c r="R360" s="792">
        <v>149.10000000000002</v>
      </c>
      <c r="S360" s="791">
        <v>100</v>
      </c>
      <c r="T360" s="791">
        <v>100</v>
      </c>
      <c r="U360" s="791">
        <v>2130</v>
      </c>
      <c r="V360" s="791">
        <v>38.339999999999996</v>
      </c>
      <c r="W360" s="791">
        <v>63.9</v>
      </c>
      <c r="X360" s="791">
        <v>8.52</v>
      </c>
      <c r="Y360" s="791">
        <v>53.25</v>
      </c>
      <c r="Z360" s="791">
        <v>1597.5</v>
      </c>
      <c r="AA360" s="791">
        <v>1065</v>
      </c>
      <c r="AB360" s="791">
        <v>2130</v>
      </c>
      <c r="AC360" s="791">
        <v>106.5</v>
      </c>
      <c r="AD360" s="791">
        <v>21.299999999999997</v>
      </c>
      <c r="AE360" s="791">
        <v>4.26</v>
      </c>
      <c r="AF360" s="791"/>
      <c r="AG360" s="791"/>
      <c r="AH360" s="791"/>
      <c r="AI360" s="784"/>
      <c r="AK360" s="783">
        <f>IFERROR(Tabela1[[#This Row],[EE(g)]]/Tabela1[[#This Row],[CMS(kg)]],0)</f>
        <v>70.000000000000014</v>
      </c>
    </row>
    <row r="361" spans="2:37" hidden="1">
      <c r="B361" s="774">
        <f>ROW()^2+(Tabela1[[#This Row],[ID2]])+ROW()</f>
        <v>130807</v>
      </c>
      <c r="C361" s="787">
        <v>125</v>
      </c>
      <c r="D361" s="774" t="s">
        <v>1256</v>
      </c>
      <c r="E361" s="788" t="s">
        <v>1262</v>
      </c>
      <c r="F361" s="788" t="s">
        <v>1261</v>
      </c>
      <c r="G361" s="788">
        <v>70</v>
      </c>
      <c r="H361" s="788" t="s">
        <v>1</v>
      </c>
      <c r="I361" s="789" t="s">
        <v>42</v>
      </c>
      <c r="J361" s="787" t="s">
        <v>42</v>
      </c>
      <c r="K361" s="787" t="s">
        <v>42</v>
      </c>
      <c r="L361" s="790">
        <v>150</v>
      </c>
      <c r="M361" s="778">
        <v>1.911</v>
      </c>
      <c r="N361" s="780">
        <v>1000</v>
      </c>
      <c r="O361" s="780">
        <v>1000</v>
      </c>
      <c r="P361" s="791">
        <v>100</v>
      </c>
      <c r="Q361" s="791">
        <v>100</v>
      </c>
      <c r="R361" s="792">
        <v>133.80000000000001</v>
      </c>
      <c r="S361" s="791">
        <v>100</v>
      </c>
      <c r="T361" s="791">
        <v>100</v>
      </c>
      <c r="U361" s="791">
        <v>1911</v>
      </c>
      <c r="V361" s="791">
        <v>34.398000000000003</v>
      </c>
      <c r="W361" s="791">
        <v>57.33</v>
      </c>
      <c r="X361" s="791">
        <v>7.6440000000000001</v>
      </c>
      <c r="Y361" s="791">
        <v>47.774999999999999</v>
      </c>
      <c r="Z361" s="791">
        <v>1433.25</v>
      </c>
      <c r="AA361" s="791">
        <v>955.5</v>
      </c>
      <c r="AB361" s="791">
        <v>1911</v>
      </c>
      <c r="AC361" s="791">
        <v>95.55</v>
      </c>
      <c r="AD361" s="791">
        <v>19.11</v>
      </c>
      <c r="AE361" s="791">
        <v>3.8220000000000001</v>
      </c>
      <c r="AF361" s="791"/>
      <c r="AG361" s="791"/>
      <c r="AH361" s="791"/>
      <c r="AI361" s="784"/>
      <c r="AK361" s="783">
        <f>IFERROR(Tabela1[[#This Row],[EE(g)]]/Tabela1[[#This Row],[CMS(kg)]],0)</f>
        <v>70.015698587127162</v>
      </c>
    </row>
    <row r="362" spans="2:37" hidden="1">
      <c r="B362" s="774">
        <f>ROW()^2+(Tabela1[[#This Row],[ID2]])+ROW()</f>
        <v>131532</v>
      </c>
      <c r="C362" s="787">
        <v>126</v>
      </c>
      <c r="D362" s="774" t="s">
        <v>1256</v>
      </c>
      <c r="E362" s="788" t="s">
        <v>1262</v>
      </c>
      <c r="F362" s="788" t="s">
        <v>1261</v>
      </c>
      <c r="G362" s="788">
        <v>70</v>
      </c>
      <c r="H362" s="788" t="s">
        <v>1</v>
      </c>
      <c r="I362" s="789" t="s">
        <v>42</v>
      </c>
      <c r="J362" s="787" t="s">
        <v>42</v>
      </c>
      <c r="K362" s="787" t="s">
        <v>42</v>
      </c>
      <c r="L362" s="790">
        <v>200</v>
      </c>
      <c r="M362" s="778">
        <v>2.2469999999999999</v>
      </c>
      <c r="N362" s="780">
        <v>1000</v>
      </c>
      <c r="O362" s="780">
        <v>1000</v>
      </c>
      <c r="P362" s="791">
        <v>100</v>
      </c>
      <c r="Q362" s="791">
        <v>100</v>
      </c>
      <c r="R362" s="792">
        <v>157.29999999999998</v>
      </c>
      <c r="S362" s="791">
        <v>100</v>
      </c>
      <c r="T362" s="791">
        <v>100</v>
      </c>
      <c r="U362" s="791">
        <v>2247</v>
      </c>
      <c r="V362" s="791">
        <v>40.445999999999998</v>
      </c>
      <c r="W362" s="791">
        <v>67.41</v>
      </c>
      <c r="X362" s="791">
        <v>8.9879999999999995</v>
      </c>
      <c r="Y362" s="791">
        <v>56.174999999999997</v>
      </c>
      <c r="Z362" s="791">
        <v>1685.25</v>
      </c>
      <c r="AA362" s="791">
        <v>1123.5</v>
      </c>
      <c r="AB362" s="791">
        <v>2247</v>
      </c>
      <c r="AC362" s="791">
        <v>112.35</v>
      </c>
      <c r="AD362" s="791">
        <v>22.47</v>
      </c>
      <c r="AE362" s="791">
        <v>4.4939999999999998</v>
      </c>
      <c r="AF362" s="791"/>
      <c r="AG362" s="791"/>
      <c r="AH362" s="791"/>
      <c r="AI362" s="784"/>
      <c r="AK362" s="783">
        <f>IFERROR(Tabela1[[#This Row],[EE(g)]]/Tabela1[[#This Row],[CMS(kg)]],0)</f>
        <v>70.004450378282144</v>
      </c>
    </row>
    <row r="363" spans="2:37" hidden="1">
      <c r="B363" s="774">
        <f>ROW()^2+(Tabela1[[#This Row],[ID2]])+ROW()</f>
        <v>132259</v>
      </c>
      <c r="C363" s="787">
        <v>127</v>
      </c>
      <c r="D363" s="774" t="s">
        <v>1256</v>
      </c>
      <c r="E363" s="788" t="s">
        <v>1262</v>
      </c>
      <c r="F363" s="788" t="s">
        <v>1261</v>
      </c>
      <c r="G363" s="788">
        <v>70</v>
      </c>
      <c r="H363" s="788" t="s">
        <v>1</v>
      </c>
      <c r="I363" s="789" t="s">
        <v>42</v>
      </c>
      <c r="J363" s="787" t="s">
        <v>42</v>
      </c>
      <c r="K363" s="787" t="s">
        <v>42</v>
      </c>
      <c r="L363" s="790">
        <v>300</v>
      </c>
      <c r="M363" s="778">
        <v>1.855</v>
      </c>
      <c r="N363" s="780">
        <v>1000</v>
      </c>
      <c r="O363" s="780">
        <v>1000</v>
      </c>
      <c r="P363" s="791">
        <v>100</v>
      </c>
      <c r="Q363" s="791">
        <v>100</v>
      </c>
      <c r="R363" s="792">
        <v>129.80000000000001</v>
      </c>
      <c r="S363" s="791">
        <v>100</v>
      </c>
      <c r="T363" s="791">
        <v>100</v>
      </c>
      <c r="U363" s="791">
        <v>1855</v>
      </c>
      <c r="V363" s="791">
        <v>33.39</v>
      </c>
      <c r="W363" s="791">
        <v>55.65</v>
      </c>
      <c r="X363" s="791">
        <v>7.42</v>
      </c>
      <c r="Y363" s="791">
        <v>46.375</v>
      </c>
      <c r="Z363" s="791">
        <v>1391.25</v>
      </c>
      <c r="AA363" s="791">
        <v>927.5</v>
      </c>
      <c r="AB363" s="791">
        <v>1855</v>
      </c>
      <c r="AC363" s="791">
        <v>92.75</v>
      </c>
      <c r="AD363" s="791">
        <v>18.55</v>
      </c>
      <c r="AE363" s="791">
        <v>3.71</v>
      </c>
      <c r="AF363" s="791"/>
      <c r="AG363" s="791"/>
      <c r="AH363" s="791"/>
      <c r="AI363" s="784"/>
      <c r="AK363" s="783">
        <f>IFERROR(Tabela1[[#This Row],[EE(g)]]/Tabela1[[#This Row],[CMS(kg)]],0)</f>
        <v>69.973045822102435</v>
      </c>
    </row>
    <row r="364" spans="2:37" hidden="1">
      <c r="B364" s="774">
        <f>ROW()^2+(Tabela1[[#This Row],[ID2]])+ROW()</f>
        <v>132988</v>
      </c>
      <c r="C364" s="787">
        <v>128</v>
      </c>
      <c r="D364" s="774" t="s">
        <v>1256</v>
      </c>
      <c r="E364" s="788" t="s">
        <v>1262</v>
      </c>
      <c r="F364" s="788" t="s">
        <v>1261</v>
      </c>
      <c r="G364" s="788">
        <v>70</v>
      </c>
      <c r="H364" s="788" t="s">
        <v>1</v>
      </c>
      <c r="I364" s="789" t="s">
        <v>42</v>
      </c>
      <c r="J364" s="787" t="s">
        <v>42</v>
      </c>
      <c r="K364" s="787" t="s">
        <v>42</v>
      </c>
      <c r="L364" s="790">
        <v>400</v>
      </c>
      <c r="M364" s="778">
        <v>2.226</v>
      </c>
      <c r="N364" s="780">
        <v>1000</v>
      </c>
      <c r="O364" s="780">
        <v>1000</v>
      </c>
      <c r="P364" s="791">
        <v>100</v>
      </c>
      <c r="Q364" s="791">
        <v>100</v>
      </c>
      <c r="R364" s="792">
        <v>155.79999999999998</v>
      </c>
      <c r="S364" s="791">
        <v>100</v>
      </c>
      <c r="T364" s="791">
        <v>100</v>
      </c>
      <c r="U364" s="791">
        <v>2226</v>
      </c>
      <c r="V364" s="791">
        <v>40.067999999999998</v>
      </c>
      <c r="W364" s="791">
        <v>66.78</v>
      </c>
      <c r="X364" s="791">
        <v>8.9039999999999999</v>
      </c>
      <c r="Y364" s="791">
        <v>55.65</v>
      </c>
      <c r="Z364" s="791">
        <v>1669.5</v>
      </c>
      <c r="AA364" s="791">
        <v>1113</v>
      </c>
      <c r="AB364" s="791">
        <v>2226</v>
      </c>
      <c r="AC364" s="791">
        <v>111.3</v>
      </c>
      <c r="AD364" s="791">
        <v>22.259999999999998</v>
      </c>
      <c r="AE364" s="791">
        <v>4.452</v>
      </c>
      <c r="AF364" s="791"/>
      <c r="AG364" s="791"/>
      <c r="AH364" s="791"/>
      <c r="AI364" s="784"/>
      <c r="AK364" s="783">
        <f>IFERROR(Tabela1[[#This Row],[EE(g)]]/Tabela1[[#This Row],[CMS(kg)]],0)</f>
        <v>69.99101527403414</v>
      </c>
    </row>
    <row r="365" spans="2:37" hidden="1">
      <c r="B365" s="774">
        <f>ROW()^2+(Tabela1[[#This Row],[ID2]])+ROW()</f>
        <v>133719</v>
      </c>
      <c r="C365" s="787">
        <v>129</v>
      </c>
      <c r="D365" s="774" t="s">
        <v>1256</v>
      </c>
      <c r="E365" s="788" t="s">
        <v>1262</v>
      </c>
      <c r="F365" s="788" t="s">
        <v>1261</v>
      </c>
      <c r="G365" s="788">
        <v>70</v>
      </c>
      <c r="H365" s="788" t="s">
        <v>1</v>
      </c>
      <c r="I365" s="789" t="s">
        <v>42</v>
      </c>
      <c r="J365" s="787" t="s">
        <v>42</v>
      </c>
      <c r="K365" s="787" t="s">
        <v>42</v>
      </c>
      <c r="L365" s="790">
        <v>500</v>
      </c>
      <c r="M365" s="778">
        <v>2.6040000000000001</v>
      </c>
      <c r="N365" s="780">
        <v>1000</v>
      </c>
      <c r="O365" s="780">
        <v>1000</v>
      </c>
      <c r="P365" s="791">
        <v>100</v>
      </c>
      <c r="Q365" s="791">
        <v>100</v>
      </c>
      <c r="R365" s="792">
        <v>182.29999999999998</v>
      </c>
      <c r="S365" s="791">
        <v>100</v>
      </c>
      <c r="T365" s="791">
        <v>100</v>
      </c>
      <c r="U365" s="791">
        <v>2604</v>
      </c>
      <c r="V365" s="791">
        <v>46.872</v>
      </c>
      <c r="W365" s="791">
        <v>78.12</v>
      </c>
      <c r="X365" s="791">
        <v>10.416</v>
      </c>
      <c r="Y365" s="791">
        <v>65.100000000000009</v>
      </c>
      <c r="Z365" s="791">
        <v>1953</v>
      </c>
      <c r="AA365" s="791">
        <v>1302</v>
      </c>
      <c r="AB365" s="791">
        <v>2604</v>
      </c>
      <c r="AC365" s="791">
        <v>130.20000000000002</v>
      </c>
      <c r="AD365" s="791">
        <v>26.04</v>
      </c>
      <c r="AE365" s="791">
        <v>5.2080000000000002</v>
      </c>
      <c r="AF365" s="791"/>
      <c r="AG365" s="791"/>
      <c r="AH365" s="791"/>
      <c r="AI365" s="784"/>
      <c r="AK365" s="783">
        <f>IFERROR(Tabela1[[#This Row],[EE(g)]]/Tabela1[[#This Row],[CMS(kg)]],0)</f>
        <v>70.007680491551454</v>
      </c>
    </row>
    <row r="366" spans="2:37" hidden="1">
      <c r="B366" s="774">
        <f>ROW()^2+(Tabela1[[#This Row],[ID2]])+ROW()</f>
        <v>134452</v>
      </c>
      <c r="C366" s="787">
        <v>130</v>
      </c>
      <c r="D366" s="774" t="s">
        <v>1256</v>
      </c>
      <c r="E366" s="788" t="s">
        <v>1262</v>
      </c>
      <c r="F366" s="788" t="s">
        <v>1261</v>
      </c>
      <c r="G366" s="788">
        <v>80</v>
      </c>
      <c r="H366" s="788" t="s">
        <v>1</v>
      </c>
      <c r="I366" s="789" t="s">
        <v>42</v>
      </c>
      <c r="J366" s="787" t="s">
        <v>42</v>
      </c>
      <c r="K366" s="787" t="s">
        <v>42</v>
      </c>
      <c r="L366" s="790">
        <v>150</v>
      </c>
      <c r="M366" s="778">
        <v>2.024</v>
      </c>
      <c r="N366" s="780">
        <v>1000</v>
      </c>
      <c r="O366" s="780">
        <v>1000</v>
      </c>
      <c r="P366" s="791">
        <v>100</v>
      </c>
      <c r="Q366" s="791">
        <v>100</v>
      </c>
      <c r="R366" s="792">
        <v>141.69999999999999</v>
      </c>
      <c r="S366" s="791">
        <v>100</v>
      </c>
      <c r="T366" s="791">
        <v>100</v>
      </c>
      <c r="U366" s="791">
        <v>2024</v>
      </c>
      <c r="V366" s="791">
        <v>36.432000000000002</v>
      </c>
      <c r="W366" s="791">
        <v>60.72</v>
      </c>
      <c r="X366" s="791">
        <v>8.0960000000000001</v>
      </c>
      <c r="Y366" s="791">
        <v>50.6</v>
      </c>
      <c r="Z366" s="791">
        <v>1518</v>
      </c>
      <c r="AA366" s="791">
        <v>1012</v>
      </c>
      <c r="AB366" s="791">
        <v>2024</v>
      </c>
      <c r="AC366" s="791">
        <v>101.2</v>
      </c>
      <c r="AD366" s="791">
        <v>20.240000000000002</v>
      </c>
      <c r="AE366" s="791">
        <v>4.048</v>
      </c>
      <c r="AF366" s="791"/>
      <c r="AG366" s="791"/>
      <c r="AH366" s="791"/>
      <c r="AI366" s="784"/>
      <c r="AK366" s="783">
        <f>IFERROR(Tabela1[[#This Row],[EE(g)]]/Tabela1[[#This Row],[CMS(kg)]],0)</f>
        <v>70.009881422924892</v>
      </c>
    </row>
    <row r="367" spans="2:37" hidden="1">
      <c r="B367" s="774">
        <f>ROW()^2+(Tabela1[[#This Row],[ID2]])+ROW()</f>
        <v>135187</v>
      </c>
      <c r="C367" s="787">
        <v>131</v>
      </c>
      <c r="D367" s="774" t="s">
        <v>1256</v>
      </c>
      <c r="E367" s="788" t="s">
        <v>1262</v>
      </c>
      <c r="F367" s="788" t="s">
        <v>1261</v>
      </c>
      <c r="G367" s="788">
        <v>80</v>
      </c>
      <c r="H367" s="788" t="s">
        <v>1</v>
      </c>
      <c r="I367" s="789" t="s">
        <v>42</v>
      </c>
      <c r="J367" s="787" t="s">
        <v>42</v>
      </c>
      <c r="K367" s="787" t="s">
        <v>42</v>
      </c>
      <c r="L367" s="790">
        <v>200</v>
      </c>
      <c r="M367" s="778">
        <v>2.3600000000000003</v>
      </c>
      <c r="N367" s="780">
        <v>1000</v>
      </c>
      <c r="O367" s="780">
        <v>1000</v>
      </c>
      <c r="P367" s="791">
        <v>100</v>
      </c>
      <c r="Q367" s="791">
        <v>100</v>
      </c>
      <c r="R367" s="792">
        <v>165.20000000000002</v>
      </c>
      <c r="S367" s="791">
        <v>100</v>
      </c>
      <c r="T367" s="791">
        <v>100</v>
      </c>
      <c r="U367" s="791">
        <v>2360.0000000000005</v>
      </c>
      <c r="V367" s="791">
        <v>42.480000000000004</v>
      </c>
      <c r="W367" s="791">
        <v>70.800000000000011</v>
      </c>
      <c r="X367" s="791">
        <v>9.4400000000000013</v>
      </c>
      <c r="Y367" s="791">
        <v>59.000000000000007</v>
      </c>
      <c r="Z367" s="791">
        <v>1770.0000000000002</v>
      </c>
      <c r="AA367" s="791">
        <v>1180.0000000000002</v>
      </c>
      <c r="AB367" s="791">
        <v>2360.0000000000005</v>
      </c>
      <c r="AC367" s="791">
        <v>118.00000000000001</v>
      </c>
      <c r="AD367" s="791">
        <v>23.6</v>
      </c>
      <c r="AE367" s="791">
        <v>4.7200000000000006</v>
      </c>
      <c r="AF367" s="791"/>
      <c r="AG367" s="791"/>
      <c r="AH367" s="791"/>
      <c r="AI367" s="784"/>
      <c r="AK367" s="783">
        <f>IFERROR(Tabela1[[#This Row],[EE(g)]]/Tabela1[[#This Row],[CMS(kg)]],0)</f>
        <v>70</v>
      </c>
    </row>
    <row r="368" spans="2:37" hidden="1">
      <c r="B368" s="774">
        <f>ROW()^2+(Tabela1[[#This Row],[ID2]])+ROW()</f>
        <v>135924</v>
      </c>
      <c r="C368" s="787">
        <v>132</v>
      </c>
      <c r="D368" s="774" t="s">
        <v>1256</v>
      </c>
      <c r="E368" s="788" t="s">
        <v>1262</v>
      </c>
      <c r="F368" s="788" t="s">
        <v>1261</v>
      </c>
      <c r="G368" s="788">
        <v>80</v>
      </c>
      <c r="H368" s="788" t="s">
        <v>1</v>
      </c>
      <c r="I368" s="789" t="s">
        <v>42</v>
      </c>
      <c r="J368" s="787" t="s">
        <v>42</v>
      </c>
      <c r="K368" s="787" t="s">
        <v>42</v>
      </c>
      <c r="L368" s="790">
        <v>300</v>
      </c>
      <c r="M368" s="778">
        <v>3.04</v>
      </c>
      <c r="N368" s="780">
        <v>1000</v>
      </c>
      <c r="O368" s="780">
        <v>1000</v>
      </c>
      <c r="P368" s="791">
        <v>100</v>
      </c>
      <c r="Q368" s="791">
        <v>100</v>
      </c>
      <c r="R368" s="792">
        <v>212.79999999999998</v>
      </c>
      <c r="S368" s="791">
        <v>100</v>
      </c>
      <c r="T368" s="791">
        <v>100</v>
      </c>
      <c r="U368" s="791">
        <v>3040</v>
      </c>
      <c r="V368" s="791">
        <v>54.72</v>
      </c>
      <c r="W368" s="791">
        <v>91.2</v>
      </c>
      <c r="X368" s="791">
        <v>12.16</v>
      </c>
      <c r="Y368" s="791">
        <v>76</v>
      </c>
      <c r="Z368" s="791">
        <v>2280</v>
      </c>
      <c r="AA368" s="791">
        <v>1520</v>
      </c>
      <c r="AB368" s="791">
        <v>3040</v>
      </c>
      <c r="AC368" s="791">
        <v>152</v>
      </c>
      <c r="AD368" s="791">
        <v>30.4</v>
      </c>
      <c r="AE368" s="791">
        <v>6.08</v>
      </c>
      <c r="AF368" s="791"/>
      <c r="AG368" s="791"/>
      <c r="AH368" s="791"/>
      <c r="AI368" s="784"/>
      <c r="AK368" s="783">
        <f>IFERROR(Tabela1[[#This Row],[EE(g)]]/Tabela1[[#This Row],[CMS(kg)]],0)</f>
        <v>70</v>
      </c>
    </row>
    <row r="369" spans="2:37" hidden="1">
      <c r="B369" s="774">
        <f>ROW()^2+(Tabela1[[#This Row],[ID2]])+ROW()</f>
        <v>136663</v>
      </c>
      <c r="C369" s="787">
        <v>133</v>
      </c>
      <c r="D369" s="774" t="s">
        <v>1256</v>
      </c>
      <c r="E369" s="788" t="s">
        <v>1262</v>
      </c>
      <c r="F369" s="788" t="s">
        <v>1261</v>
      </c>
      <c r="G369" s="788">
        <v>80</v>
      </c>
      <c r="H369" s="788" t="s">
        <v>1</v>
      </c>
      <c r="I369" s="789" t="s">
        <v>42</v>
      </c>
      <c r="J369" s="787" t="s">
        <v>42</v>
      </c>
      <c r="K369" s="787" t="s">
        <v>42</v>
      </c>
      <c r="L369" s="790">
        <v>400</v>
      </c>
      <c r="M369" s="778">
        <v>2.3280000000000003</v>
      </c>
      <c r="N369" s="780">
        <v>1000</v>
      </c>
      <c r="O369" s="780">
        <v>1000</v>
      </c>
      <c r="P369" s="791">
        <v>100</v>
      </c>
      <c r="Q369" s="791">
        <v>100</v>
      </c>
      <c r="R369" s="792">
        <v>163</v>
      </c>
      <c r="S369" s="791">
        <v>100</v>
      </c>
      <c r="T369" s="791">
        <v>100</v>
      </c>
      <c r="U369" s="791">
        <v>2328.0000000000005</v>
      </c>
      <c r="V369" s="791">
        <v>41.904000000000003</v>
      </c>
      <c r="W369" s="791">
        <v>69.84</v>
      </c>
      <c r="X369" s="791">
        <v>9.3120000000000012</v>
      </c>
      <c r="Y369" s="791">
        <v>58.20000000000001</v>
      </c>
      <c r="Z369" s="791">
        <v>1746.0000000000002</v>
      </c>
      <c r="AA369" s="791">
        <v>1164.0000000000002</v>
      </c>
      <c r="AB369" s="791">
        <v>2328.0000000000005</v>
      </c>
      <c r="AC369" s="791">
        <v>116.40000000000002</v>
      </c>
      <c r="AD369" s="791">
        <v>23.28</v>
      </c>
      <c r="AE369" s="791">
        <v>4.6560000000000006</v>
      </c>
      <c r="AF369" s="791"/>
      <c r="AG369" s="791"/>
      <c r="AH369" s="791"/>
      <c r="AI369" s="784"/>
      <c r="AK369" s="783">
        <f>IFERROR(Tabela1[[#This Row],[EE(g)]]/Tabela1[[#This Row],[CMS(kg)]],0)</f>
        <v>70.017182130584189</v>
      </c>
    </row>
    <row r="370" spans="2:37" hidden="1">
      <c r="B370" s="774">
        <f>ROW()^2+(Tabela1[[#This Row],[ID2]])+ROW()</f>
        <v>137404</v>
      </c>
      <c r="C370" s="787">
        <v>134</v>
      </c>
      <c r="D370" s="774" t="s">
        <v>1256</v>
      </c>
      <c r="E370" s="788" t="s">
        <v>1262</v>
      </c>
      <c r="F370" s="788" t="s">
        <v>1261</v>
      </c>
      <c r="G370" s="788">
        <v>80</v>
      </c>
      <c r="H370" s="788" t="s">
        <v>1</v>
      </c>
      <c r="I370" s="789" t="s">
        <v>42</v>
      </c>
      <c r="J370" s="787" t="s">
        <v>42</v>
      </c>
      <c r="K370" s="787" t="s">
        <v>42</v>
      </c>
      <c r="L370" s="790">
        <v>500</v>
      </c>
      <c r="M370" s="778">
        <v>2.7039999999999997</v>
      </c>
      <c r="N370" s="780">
        <v>1000</v>
      </c>
      <c r="O370" s="780">
        <v>1000</v>
      </c>
      <c r="P370" s="791">
        <v>100</v>
      </c>
      <c r="Q370" s="791">
        <v>100</v>
      </c>
      <c r="R370" s="792">
        <v>189.29999999999998</v>
      </c>
      <c r="S370" s="791">
        <v>100</v>
      </c>
      <c r="T370" s="791">
        <v>100</v>
      </c>
      <c r="U370" s="791">
        <v>2703.9999999999995</v>
      </c>
      <c r="V370" s="791">
        <v>48.671999999999997</v>
      </c>
      <c r="W370" s="791">
        <v>81.11999999999999</v>
      </c>
      <c r="X370" s="791">
        <v>10.815999999999999</v>
      </c>
      <c r="Y370" s="791">
        <v>67.599999999999994</v>
      </c>
      <c r="Z370" s="791">
        <v>2027.9999999999998</v>
      </c>
      <c r="AA370" s="791">
        <v>1351.9999999999998</v>
      </c>
      <c r="AB370" s="791">
        <v>2703.9999999999995</v>
      </c>
      <c r="AC370" s="791">
        <v>135.19999999999999</v>
      </c>
      <c r="AD370" s="791">
        <v>27.04</v>
      </c>
      <c r="AE370" s="791">
        <v>5.4079999999999995</v>
      </c>
      <c r="AF370" s="791"/>
      <c r="AG370" s="791"/>
      <c r="AH370" s="791"/>
      <c r="AI370" s="784"/>
      <c r="AK370" s="783">
        <f>IFERROR(Tabela1[[#This Row],[EE(g)]]/Tabela1[[#This Row],[CMS(kg)]],0)</f>
        <v>70.007396449704146</v>
      </c>
    </row>
    <row r="371" spans="2:37" hidden="1">
      <c r="B371" s="774">
        <f>ROW()^2+(Tabela1[[#This Row],[ID2]])+ROW()</f>
        <v>138013</v>
      </c>
      <c r="C371" s="787">
        <v>1</v>
      </c>
      <c r="D371" s="774" t="s">
        <v>1256</v>
      </c>
      <c r="E371" s="788" t="s">
        <v>1263</v>
      </c>
      <c r="F371" s="788" t="s">
        <v>1261</v>
      </c>
      <c r="G371" s="788">
        <v>20</v>
      </c>
      <c r="H371" s="788" t="s">
        <v>1</v>
      </c>
      <c r="I371" s="789" t="s">
        <v>42</v>
      </c>
      <c r="J371" s="787" t="s">
        <v>42</v>
      </c>
      <c r="K371" s="787" t="s">
        <v>42</v>
      </c>
      <c r="L371" s="790">
        <v>100</v>
      </c>
      <c r="M371" s="778">
        <v>0.57200000000000006</v>
      </c>
      <c r="N371" s="780">
        <v>1000</v>
      </c>
      <c r="O371" s="780">
        <v>1000</v>
      </c>
      <c r="P371" s="791">
        <v>100</v>
      </c>
      <c r="Q371" s="791">
        <v>100</v>
      </c>
      <c r="R371" s="792">
        <v>40</v>
      </c>
      <c r="S371" s="791">
        <v>100</v>
      </c>
      <c r="T371" s="791">
        <v>100</v>
      </c>
      <c r="U371" s="791">
        <v>572.00000000000011</v>
      </c>
      <c r="V371" s="791">
        <v>10.296000000000001</v>
      </c>
      <c r="W371" s="791">
        <v>17.160000000000004</v>
      </c>
      <c r="X371" s="791">
        <v>2.2880000000000003</v>
      </c>
      <c r="Y371" s="791">
        <v>14.3</v>
      </c>
      <c r="Z371" s="791">
        <v>429.00000000000006</v>
      </c>
      <c r="AA371" s="791">
        <v>286.00000000000006</v>
      </c>
      <c r="AB371" s="791">
        <v>572.00000000000011</v>
      </c>
      <c r="AC371" s="791">
        <v>28.6</v>
      </c>
      <c r="AD371" s="791">
        <v>5.7200000000000006</v>
      </c>
      <c r="AE371" s="791">
        <v>1.1440000000000001</v>
      </c>
      <c r="AF371" s="791"/>
      <c r="AG371" s="791"/>
      <c r="AH371" s="791"/>
      <c r="AI371" s="784"/>
      <c r="AK371" s="783">
        <f>IFERROR(Tabela1[[#This Row],[EE(g)]]/Tabela1[[#This Row],[CMS(kg)]],0)</f>
        <v>69.930069930069919</v>
      </c>
    </row>
    <row r="372" spans="2:37" hidden="1">
      <c r="B372" s="774">
        <f>ROW()^2+(Tabela1[[#This Row],[ID2]])+ROW()</f>
        <v>138758</v>
      </c>
      <c r="C372" s="787">
        <v>2</v>
      </c>
      <c r="D372" s="774" t="s">
        <v>1256</v>
      </c>
      <c r="E372" s="788" t="s">
        <v>1263</v>
      </c>
      <c r="F372" s="788" t="s">
        <v>1261</v>
      </c>
      <c r="G372" s="788">
        <v>20</v>
      </c>
      <c r="H372" s="788" t="s">
        <v>1</v>
      </c>
      <c r="I372" s="789" t="s">
        <v>42</v>
      </c>
      <c r="J372" s="787" t="s">
        <v>42</v>
      </c>
      <c r="K372" s="787" t="s">
        <v>42</v>
      </c>
      <c r="L372" s="790">
        <v>150</v>
      </c>
      <c r="M372" s="778">
        <v>0.78200000000000003</v>
      </c>
      <c r="N372" s="780">
        <v>1000</v>
      </c>
      <c r="O372" s="780">
        <v>1000</v>
      </c>
      <c r="P372" s="791">
        <v>100</v>
      </c>
      <c r="Q372" s="791">
        <v>100</v>
      </c>
      <c r="R372" s="792">
        <v>54.699999999999996</v>
      </c>
      <c r="S372" s="791">
        <v>100</v>
      </c>
      <c r="T372" s="791">
        <v>100</v>
      </c>
      <c r="U372" s="791">
        <v>782</v>
      </c>
      <c r="V372" s="791">
        <v>14.076000000000001</v>
      </c>
      <c r="W372" s="791">
        <v>23.46</v>
      </c>
      <c r="X372" s="791">
        <v>3.1280000000000001</v>
      </c>
      <c r="Y372" s="791">
        <v>19.55</v>
      </c>
      <c r="Z372" s="791">
        <v>586.5</v>
      </c>
      <c r="AA372" s="791">
        <v>391</v>
      </c>
      <c r="AB372" s="791">
        <v>782</v>
      </c>
      <c r="AC372" s="791">
        <v>39.1</v>
      </c>
      <c r="AD372" s="791">
        <v>7.82</v>
      </c>
      <c r="AE372" s="791">
        <v>1.5640000000000001</v>
      </c>
      <c r="AF372" s="791"/>
      <c r="AG372" s="791"/>
      <c r="AH372" s="791"/>
      <c r="AI372" s="784"/>
      <c r="AK372" s="783">
        <f>IFERROR(Tabela1[[#This Row],[EE(g)]]/Tabela1[[#This Row],[CMS(kg)]],0)</f>
        <v>69.94884910485932</v>
      </c>
    </row>
    <row r="373" spans="2:37" hidden="1">
      <c r="B373" s="774">
        <f>ROW()^2+(Tabela1[[#This Row],[ID2]])+ROW()</f>
        <v>139506</v>
      </c>
      <c r="C373" s="787">
        <v>4</v>
      </c>
      <c r="D373" s="774" t="s">
        <v>1256</v>
      </c>
      <c r="E373" s="788" t="s">
        <v>1263</v>
      </c>
      <c r="F373" s="788" t="s">
        <v>1261</v>
      </c>
      <c r="G373" s="788">
        <v>20</v>
      </c>
      <c r="H373" s="788" t="s">
        <v>1</v>
      </c>
      <c r="I373" s="789" t="s">
        <v>42</v>
      </c>
      <c r="J373" s="787" t="s">
        <v>42</v>
      </c>
      <c r="K373" s="787" t="s">
        <v>42</v>
      </c>
      <c r="L373" s="790">
        <v>200</v>
      </c>
      <c r="M373" s="778">
        <v>0.59399999999999997</v>
      </c>
      <c r="N373" s="780">
        <v>1000</v>
      </c>
      <c r="O373" s="780">
        <v>1000</v>
      </c>
      <c r="P373" s="791">
        <v>100</v>
      </c>
      <c r="Q373" s="791">
        <v>100</v>
      </c>
      <c r="R373" s="792">
        <v>41.6</v>
      </c>
      <c r="S373" s="791">
        <v>100</v>
      </c>
      <c r="T373" s="791">
        <v>100</v>
      </c>
      <c r="U373" s="791">
        <v>594</v>
      </c>
      <c r="V373" s="791">
        <v>10.692</v>
      </c>
      <c r="W373" s="791">
        <v>17.82</v>
      </c>
      <c r="X373" s="791">
        <v>2.3759999999999999</v>
      </c>
      <c r="Y373" s="791">
        <v>14.85</v>
      </c>
      <c r="Z373" s="791">
        <v>445.5</v>
      </c>
      <c r="AA373" s="791">
        <v>297</v>
      </c>
      <c r="AB373" s="791">
        <v>594</v>
      </c>
      <c r="AC373" s="791">
        <v>29.7</v>
      </c>
      <c r="AD373" s="791">
        <v>5.9399999999999995</v>
      </c>
      <c r="AE373" s="791">
        <v>1.1879999999999999</v>
      </c>
      <c r="AF373" s="791"/>
      <c r="AG373" s="791"/>
      <c r="AH373" s="791"/>
      <c r="AI373" s="784"/>
      <c r="AK373" s="783">
        <f>IFERROR(Tabela1[[#This Row],[EE(g)]]/Tabela1[[#This Row],[CMS(kg)]],0)</f>
        <v>70.033670033670035</v>
      </c>
    </row>
    <row r="374" spans="2:37" hidden="1">
      <c r="B374" s="774">
        <f>ROW()^2+(Tabela1[[#This Row],[ID2]])+ROW()</f>
        <v>140256</v>
      </c>
      <c r="C374" s="787">
        <v>6</v>
      </c>
      <c r="D374" s="774" t="s">
        <v>1256</v>
      </c>
      <c r="E374" s="788" t="s">
        <v>1263</v>
      </c>
      <c r="F374" s="788" t="s">
        <v>1261</v>
      </c>
      <c r="G374" s="788">
        <v>20</v>
      </c>
      <c r="H374" s="788" t="s">
        <v>1</v>
      </c>
      <c r="I374" s="789" t="s">
        <v>42</v>
      </c>
      <c r="J374" s="787" t="s">
        <v>42</v>
      </c>
      <c r="K374" s="787" t="s">
        <v>42</v>
      </c>
      <c r="L374" s="790">
        <v>300</v>
      </c>
      <c r="M374" s="778">
        <v>0.60799999999999998</v>
      </c>
      <c r="N374" s="780">
        <v>1000</v>
      </c>
      <c r="O374" s="780">
        <v>1000</v>
      </c>
      <c r="P374" s="791">
        <v>100</v>
      </c>
      <c r="Q374" s="791">
        <v>100</v>
      </c>
      <c r="R374" s="792">
        <v>42.6</v>
      </c>
      <c r="S374" s="791">
        <v>100</v>
      </c>
      <c r="T374" s="791">
        <v>100</v>
      </c>
      <c r="U374" s="791">
        <v>608</v>
      </c>
      <c r="V374" s="791">
        <v>10.943999999999999</v>
      </c>
      <c r="W374" s="791">
        <v>18.239999999999998</v>
      </c>
      <c r="X374" s="791">
        <v>2.4319999999999999</v>
      </c>
      <c r="Y374" s="791">
        <v>15.2</v>
      </c>
      <c r="Z374" s="791">
        <v>456</v>
      </c>
      <c r="AA374" s="791">
        <v>304</v>
      </c>
      <c r="AB374" s="791">
        <v>608</v>
      </c>
      <c r="AC374" s="791">
        <v>30.4</v>
      </c>
      <c r="AD374" s="791">
        <v>6.08</v>
      </c>
      <c r="AE374" s="791">
        <v>1.216</v>
      </c>
      <c r="AF374" s="791"/>
      <c r="AG374" s="791"/>
      <c r="AH374" s="791"/>
      <c r="AI374" s="784"/>
      <c r="AK374" s="783">
        <f>IFERROR(Tabela1[[#This Row],[EE(g)]]/Tabela1[[#This Row],[CMS(kg)]],0)</f>
        <v>70.06578947368422</v>
      </c>
    </row>
    <row r="375" spans="2:37" hidden="1">
      <c r="B375" s="774">
        <f>ROW()^2+(Tabela1[[#This Row],[ID2]])+ROW()</f>
        <v>141008</v>
      </c>
      <c r="C375" s="787">
        <v>8</v>
      </c>
      <c r="D375" s="774" t="s">
        <v>1256</v>
      </c>
      <c r="E375" s="788" t="s">
        <v>1263</v>
      </c>
      <c r="F375" s="788" t="s">
        <v>1261</v>
      </c>
      <c r="G375" s="788">
        <v>30</v>
      </c>
      <c r="H375" s="788" t="s">
        <v>1</v>
      </c>
      <c r="I375" s="789" t="s">
        <v>42</v>
      </c>
      <c r="J375" s="787" t="s">
        <v>42</v>
      </c>
      <c r="K375" s="787" t="s">
        <v>42</v>
      </c>
      <c r="L375" s="790">
        <v>200</v>
      </c>
      <c r="M375" s="778">
        <v>1.0529999999999999</v>
      </c>
      <c r="N375" s="780">
        <v>1000</v>
      </c>
      <c r="O375" s="780">
        <v>1000</v>
      </c>
      <c r="P375" s="791">
        <v>100</v>
      </c>
      <c r="Q375" s="791">
        <v>100</v>
      </c>
      <c r="R375" s="792">
        <v>73.7</v>
      </c>
      <c r="S375" s="791">
        <v>100</v>
      </c>
      <c r="T375" s="791">
        <v>100</v>
      </c>
      <c r="U375" s="791">
        <v>1053</v>
      </c>
      <c r="V375" s="791">
        <v>18.954000000000001</v>
      </c>
      <c r="W375" s="791">
        <v>31.589999999999996</v>
      </c>
      <c r="X375" s="791">
        <v>4.2119999999999997</v>
      </c>
      <c r="Y375" s="791">
        <v>26.324999999999999</v>
      </c>
      <c r="Z375" s="791">
        <v>789.75</v>
      </c>
      <c r="AA375" s="791">
        <v>526.5</v>
      </c>
      <c r="AB375" s="791">
        <v>1053</v>
      </c>
      <c r="AC375" s="791">
        <v>52.65</v>
      </c>
      <c r="AD375" s="791">
        <v>10.53</v>
      </c>
      <c r="AE375" s="791">
        <v>2.1059999999999999</v>
      </c>
      <c r="AF375" s="791"/>
      <c r="AG375" s="791"/>
      <c r="AH375" s="791"/>
      <c r="AI375" s="784"/>
      <c r="AK375" s="783">
        <f>IFERROR(Tabela1[[#This Row],[EE(g)]]/Tabela1[[#This Row],[CMS(kg)]],0)</f>
        <v>69.990503323836663</v>
      </c>
    </row>
    <row r="376" spans="2:37" hidden="1">
      <c r="B376" s="774">
        <f>ROW()^2+(Tabela1[[#This Row],[ID2]])+ROW()</f>
        <v>141762</v>
      </c>
      <c r="C376" s="787">
        <v>10</v>
      </c>
      <c r="D376" s="774" t="s">
        <v>1256</v>
      </c>
      <c r="E376" s="788" t="s">
        <v>1263</v>
      </c>
      <c r="F376" s="788" t="s">
        <v>1261</v>
      </c>
      <c r="G376" s="788">
        <v>30</v>
      </c>
      <c r="H376" s="788" t="s">
        <v>1</v>
      </c>
      <c r="I376" s="789" t="s">
        <v>42</v>
      </c>
      <c r="J376" s="787" t="s">
        <v>42</v>
      </c>
      <c r="K376" s="787" t="s">
        <v>42</v>
      </c>
      <c r="L376" s="790">
        <v>250</v>
      </c>
      <c r="M376" s="778">
        <v>0.75900000000000001</v>
      </c>
      <c r="N376" s="780">
        <v>1000</v>
      </c>
      <c r="O376" s="780">
        <v>1000</v>
      </c>
      <c r="P376" s="791">
        <v>100</v>
      </c>
      <c r="Q376" s="791">
        <v>100</v>
      </c>
      <c r="R376" s="792">
        <v>53.1</v>
      </c>
      <c r="S376" s="791">
        <v>100</v>
      </c>
      <c r="T376" s="791">
        <v>100</v>
      </c>
      <c r="U376" s="791">
        <v>759</v>
      </c>
      <c r="V376" s="791">
        <v>13.662000000000001</v>
      </c>
      <c r="W376" s="791">
        <v>22.77</v>
      </c>
      <c r="X376" s="791">
        <v>3.036</v>
      </c>
      <c r="Y376" s="791">
        <v>18.975000000000001</v>
      </c>
      <c r="Z376" s="791">
        <v>569.25</v>
      </c>
      <c r="AA376" s="791">
        <v>379.5</v>
      </c>
      <c r="AB376" s="791">
        <v>759</v>
      </c>
      <c r="AC376" s="791">
        <v>37.950000000000003</v>
      </c>
      <c r="AD376" s="791">
        <v>7.59</v>
      </c>
      <c r="AE376" s="791">
        <v>1.518</v>
      </c>
      <c r="AF376" s="791"/>
      <c r="AG376" s="791"/>
      <c r="AH376" s="791"/>
      <c r="AI376" s="784"/>
      <c r="AK376" s="783">
        <f>IFERROR(Tabela1[[#This Row],[EE(g)]]/Tabela1[[#This Row],[CMS(kg)]],0)</f>
        <v>69.960474308300391</v>
      </c>
    </row>
    <row r="377" spans="2:37" hidden="1">
      <c r="B377" s="774">
        <f>ROW()^2+(Tabela1[[#This Row],[ID2]])+ROW()</f>
        <v>142518</v>
      </c>
      <c r="C377" s="787">
        <v>12</v>
      </c>
      <c r="D377" s="774" t="s">
        <v>1256</v>
      </c>
      <c r="E377" s="788" t="s">
        <v>1263</v>
      </c>
      <c r="F377" s="788" t="s">
        <v>1261</v>
      </c>
      <c r="G377" s="788">
        <v>30</v>
      </c>
      <c r="H377" s="788" t="s">
        <v>1</v>
      </c>
      <c r="I377" s="789" t="s">
        <v>42</v>
      </c>
      <c r="J377" s="787" t="s">
        <v>42</v>
      </c>
      <c r="K377" s="787" t="s">
        <v>42</v>
      </c>
      <c r="L377" s="790">
        <v>300</v>
      </c>
      <c r="M377" s="778">
        <v>0.87900000000000011</v>
      </c>
      <c r="N377" s="780">
        <v>1000</v>
      </c>
      <c r="O377" s="780">
        <v>1000</v>
      </c>
      <c r="P377" s="791">
        <v>100</v>
      </c>
      <c r="Q377" s="791">
        <v>100</v>
      </c>
      <c r="R377" s="792">
        <v>61.5</v>
      </c>
      <c r="S377" s="791">
        <v>100</v>
      </c>
      <c r="T377" s="791">
        <v>100</v>
      </c>
      <c r="U377" s="791">
        <v>879.00000000000011</v>
      </c>
      <c r="V377" s="791">
        <v>15.822000000000003</v>
      </c>
      <c r="W377" s="791">
        <v>26.370000000000005</v>
      </c>
      <c r="X377" s="791">
        <v>3.5160000000000005</v>
      </c>
      <c r="Y377" s="791">
        <v>21.975000000000001</v>
      </c>
      <c r="Z377" s="791">
        <v>659.25000000000011</v>
      </c>
      <c r="AA377" s="791">
        <v>439.50000000000006</v>
      </c>
      <c r="AB377" s="791">
        <v>879.00000000000011</v>
      </c>
      <c r="AC377" s="791">
        <v>43.95</v>
      </c>
      <c r="AD377" s="791">
        <v>8.7900000000000009</v>
      </c>
      <c r="AE377" s="791">
        <v>1.7580000000000002</v>
      </c>
      <c r="AF377" s="791"/>
      <c r="AG377" s="791"/>
      <c r="AH377" s="791"/>
      <c r="AI377" s="784"/>
      <c r="AK377" s="783">
        <f>IFERROR(Tabela1[[#This Row],[EE(g)]]/Tabela1[[#This Row],[CMS(kg)]],0)</f>
        <v>69.965870307167222</v>
      </c>
    </row>
    <row r="378" spans="2:37" hidden="1">
      <c r="B378" s="774">
        <f>ROW()^2+(Tabela1[[#This Row],[ID2]])+ROW()</f>
        <v>143276</v>
      </c>
      <c r="C378" s="787">
        <v>14</v>
      </c>
      <c r="D378" s="774" t="s">
        <v>1256</v>
      </c>
      <c r="E378" s="788" t="s">
        <v>1263</v>
      </c>
      <c r="F378" s="788" t="s">
        <v>1261</v>
      </c>
      <c r="G378" s="788">
        <v>30</v>
      </c>
      <c r="H378" s="788" t="s">
        <v>1</v>
      </c>
      <c r="I378" s="789" t="s">
        <v>42</v>
      </c>
      <c r="J378" s="787" t="s">
        <v>42</v>
      </c>
      <c r="K378" s="787" t="s">
        <v>42</v>
      </c>
      <c r="L378" s="790">
        <v>400</v>
      </c>
      <c r="M378" s="778">
        <v>1.1160000000000001</v>
      </c>
      <c r="N378" s="780">
        <v>1000</v>
      </c>
      <c r="O378" s="780">
        <v>1000</v>
      </c>
      <c r="P378" s="791">
        <v>100</v>
      </c>
      <c r="Q378" s="791">
        <v>100</v>
      </c>
      <c r="R378" s="792">
        <v>78.100000000000009</v>
      </c>
      <c r="S378" s="791">
        <v>100</v>
      </c>
      <c r="T378" s="791">
        <v>100</v>
      </c>
      <c r="U378" s="791">
        <v>1116</v>
      </c>
      <c r="V378" s="791">
        <v>20.088000000000001</v>
      </c>
      <c r="W378" s="791">
        <v>33.480000000000004</v>
      </c>
      <c r="X378" s="791">
        <v>4.4640000000000004</v>
      </c>
      <c r="Y378" s="791">
        <v>27.900000000000002</v>
      </c>
      <c r="Z378" s="791">
        <v>837.00000000000011</v>
      </c>
      <c r="AA378" s="791">
        <v>558</v>
      </c>
      <c r="AB378" s="791">
        <v>1116</v>
      </c>
      <c r="AC378" s="791">
        <v>55.800000000000004</v>
      </c>
      <c r="AD378" s="791">
        <v>11.16</v>
      </c>
      <c r="AE378" s="791">
        <v>2.2320000000000002</v>
      </c>
      <c r="AF378" s="791"/>
      <c r="AG378" s="791"/>
      <c r="AH378" s="791"/>
      <c r="AI378" s="784"/>
      <c r="AK378" s="783">
        <f>IFERROR(Tabela1[[#This Row],[EE(g)]]/Tabela1[[#This Row],[CMS(kg)]],0)</f>
        <v>69.982078853046602</v>
      </c>
    </row>
    <row r="379" spans="2:37" hidden="1">
      <c r="B379" s="774">
        <f>ROW()^2+(Tabela1[[#This Row],[ID2]])+ROW()</f>
        <v>144035</v>
      </c>
      <c r="C379" s="787">
        <v>15</v>
      </c>
      <c r="D379" s="774" t="s">
        <v>1256</v>
      </c>
      <c r="E379" s="788" t="s">
        <v>1263</v>
      </c>
      <c r="F379" s="788" t="s">
        <v>1261</v>
      </c>
      <c r="G379" s="788">
        <v>40</v>
      </c>
      <c r="H379" s="788" t="s">
        <v>1</v>
      </c>
      <c r="I379" s="789" t="s">
        <v>42</v>
      </c>
      <c r="J379" s="787" t="s">
        <v>42</v>
      </c>
      <c r="K379" s="787" t="s">
        <v>42</v>
      </c>
      <c r="L379" s="790">
        <v>250</v>
      </c>
      <c r="M379" s="778">
        <v>1.3239999999999998</v>
      </c>
      <c r="N379" s="780">
        <v>1000</v>
      </c>
      <c r="O379" s="780">
        <v>1000</v>
      </c>
      <c r="P379" s="791">
        <v>100</v>
      </c>
      <c r="Q379" s="791">
        <v>100</v>
      </c>
      <c r="R379" s="792">
        <v>92.7</v>
      </c>
      <c r="S379" s="791">
        <v>100</v>
      </c>
      <c r="T379" s="791">
        <v>100</v>
      </c>
      <c r="U379" s="791">
        <v>1323.9999999999998</v>
      </c>
      <c r="V379" s="791">
        <v>23.831999999999997</v>
      </c>
      <c r="W379" s="791">
        <v>39.72</v>
      </c>
      <c r="X379" s="791">
        <v>5.2959999999999994</v>
      </c>
      <c r="Y379" s="791">
        <v>33.099999999999994</v>
      </c>
      <c r="Z379" s="791">
        <v>992.99999999999989</v>
      </c>
      <c r="AA379" s="791">
        <v>661.99999999999989</v>
      </c>
      <c r="AB379" s="791">
        <v>1323.9999999999998</v>
      </c>
      <c r="AC379" s="791">
        <v>66.199999999999989</v>
      </c>
      <c r="AD379" s="791">
        <v>13.239999999999998</v>
      </c>
      <c r="AE379" s="791">
        <v>2.6479999999999997</v>
      </c>
      <c r="AF379" s="791"/>
      <c r="AG379" s="791"/>
      <c r="AH379" s="791"/>
      <c r="AI379" s="784"/>
      <c r="AK379" s="783">
        <f>IFERROR(Tabela1[[#This Row],[EE(g)]]/Tabela1[[#This Row],[CMS(kg)]],0)</f>
        <v>70.015105740181284</v>
      </c>
    </row>
    <row r="380" spans="2:37" hidden="1">
      <c r="B380" s="774">
        <f>ROW()^2+(Tabela1[[#This Row],[ID2]])+ROW()</f>
        <v>144796</v>
      </c>
      <c r="C380" s="787">
        <v>16</v>
      </c>
      <c r="D380" s="774" t="s">
        <v>1256</v>
      </c>
      <c r="E380" s="788" t="s">
        <v>1263</v>
      </c>
      <c r="F380" s="788" t="s">
        <v>1261</v>
      </c>
      <c r="G380" s="788">
        <v>40</v>
      </c>
      <c r="H380" s="788" t="s">
        <v>1</v>
      </c>
      <c r="I380" s="789" t="s">
        <v>42</v>
      </c>
      <c r="J380" s="787" t="s">
        <v>42</v>
      </c>
      <c r="K380" s="787" t="s">
        <v>42</v>
      </c>
      <c r="L380" s="790">
        <v>300</v>
      </c>
      <c r="M380" s="778">
        <v>1.5359999999999998</v>
      </c>
      <c r="N380" s="780">
        <v>1000</v>
      </c>
      <c r="O380" s="780">
        <v>1000</v>
      </c>
      <c r="P380" s="791">
        <v>100</v>
      </c>
      <c r="Q380" s="791">
        <v>100</v>
      </c>
      <c r="R380" s="792">
        <v>107.5</v>
      </c>
      <c r="S380" s="791">
        <v>100</v>
      </c>
      <c r="T380" s="791">
        <v>100</v>
      </c>
      <c r="U380" s="791">
        <v>1535.9999999999998</v>
      </c>
      <c r="V380" s="791">
        <v>27.647999999999996</v>
      </c>
      <c r="W380" s="791">
        <v>46.079999999999991</v>
      </c>
      <c r="X380" s="791">
        <v>6.1439999999999992</v>
      </c>
      <c r="Y380" s="791">
        <v>38.4</v>
      </c>
      <c r="Z380" s="791">
        <v>1151.9999999999998</v>
      </c>
      <c r="AA380" s="791">
        <v>767.99999999999989</v>
      </c>
      <c r="AB380" s="791">
        <v>1535.9999999999998</v>
      </c>
      <c r="AC380" s="791">
        <v>76.8</v>
      </c>
      <c r="AD380" s="791">
        <v>15.359999999999998</v>
      </c>
      <c r="AE380" s="791">
        <v>3.0719999999999996</v>
      </c>
      <c r="AF380" s="791"/>
      <c r="AG380" s="791"/>
      <c r="AH380" s="791"/>
      <c r="AI380" s="784"/>
      <c r="AK380" s="783">
        <f>IFERROR(Tabela1[[#This Row],[EE(g)]]/Tabela1[[#This Row],[CMS(kg)]],0)</f>
        <v>69.986979166666671</v>
      </c>
    </row>
    <row r="381" spans="2:37" hidden="1">
      <c r="B381" s="774">
        <f>ROW()^2+(Tabela1[[#This Row],[ID2]])+ROW()</f>
        <v>145559</v>
      </c>
      <c r="C381" s="787">
        <v>17</v>
      </c>
      <c r="D381" s="774" t="s">
        <v>1256</v>
      </c>
      <c r="E381" s="788" t="s">
        <v>1263</v>
      </c>
      <c r="F381" s="788" t="s">
        <v>1261</v>
      </c>
      <c r="G381" s="788">
        <v>40</v>
      </c>
      <c r="H381" s="788" t="s">
        <v>1</v>
      </c>
      <c r="I381" s="789" t="s">
        <v>42</v>
      </c>
      <c r="J381" s="787" t="s">
        <v>42</v>
      </c>
      <c r="K381" s="787" t="s">
        <v>42</v>
      </c>
      <c r="L381" s="790">
        <v>400</v>
      </c>
      <c r="M381" s="778">
        <v>1.1640000000000001</v>
      </c>
      <c r="N381" s="780">
        <v>1000</v>
      </c>
      <c r="O381" s="780">
        <v>1000</v>
      </c>
      <c r="P381" s="791">
        <v>100</v>
      </c>
      <c r="Q381" s="791">
        <v>100</v>
      </c>
      <c r="R381" s="792">
        <v>81.5</v>
      </c>
      <c r="S381" s="791">
        <v>100</v>
      </c>
      <c r="T381" s="791">
        <v>100</v>
      </c>
      <c r="U381" s="791">
        <v>1164.0000000000002</v>
      </c>
      <c r="V381" s="791">
        <v>20.952000000000002</v>
      </c>
      <c r="W381" s="791">
        <v>34.92</v>
      </c>
      <c r="X381" s="791">
        <v>4.6560000000000006</v>
      </c>
      <c r="Y381" s="791">
        <v>29.100000000000005</v>
      </c>
      <c r="Z381" s="791">
        <v>873.00000000000011</v>
      </c>
      <c r="AA381" s="791">
        <v>582.00000000000011</v>
      </c>
      <c r="AB381" s="791">
        <v>1164.0000000000002</v>
      </c>
      <c r="AC381" s="791">
        <v>58.20000000000001</v>
      </c>
      <c r="AD381" s="791">
        <v>11.64</v>
      </c>
      <c r="AE381" s="791">
        <v>2.3280000000000003</v>
      </c>
      <c r="AF381" s="791"/>
      <c r="AG381" s="791"/>
      <c r="AH381" s="791"/>
      <c r="AI381" s="784"/>
      <c r="AK381" s="783">
        <f>IFERROR(Tabela1[[#This Row],[EE(g)]]/Tabela1[[#This Row],[CMS(kg)]],0)</f>
        <v>70.017182130584189</v>
      </c>
    </row>
    <row r="382" spans="2:37" hidden="1">
      <c r="B382" s="774">
        <f>ROW()^2+(Tabela1[[#This Row],[ID2]])+ROW()</f>
        <v>146324</v>
      </c>
      <c r="C382" s="787">
        <v>18</v>
      </c>
      <c r="D382" s="774" t="s">
        <v>1256</v>
      </c>
      <c r="E382" s="788" t="s">
        <v>1263</v>
      </c>
      <c r="F382" s="788" t="s">
        <v>1261</v>
      </c>
      <c r="G382" s="788">
        <v>40</v>
      </c>
      <c r="H382" s="788" t="s">
        <v>1</v>
      </c>
      <c r="I382" s="789" t="s">
        <v>42</v>
      </c>
      <c r="J382" s="787" t="s">
        <v>42</v>
      </c>
      <c r="K382" s="787" t="s">
        <v>42</v>
      </c>
      <c r="L382" s="790">
        <v>500</v>
      </c>
      <c r="M382" s="778">
        <v>1.4039999999999999</v>
      </c>
      <c r="N382" s="780">
        <v>1000</v>
      </c>
      <c r="O382" s="780">
        <v>1000</v>
      </c>
      <c r="P382" s="791">
        <v>100</v>
      </c>
      <c r="Q382" s="791">
        <v>100</v>
      </c>
      <c r="R382" s="792">
        <v>98.3</v>
      </c>
      <c r="S382" s="791">
        <v>100</v>
      </c>
      <c r="T382" s="791">
        <v>100</v>
      </c>
      <c r="U382" s="791">
        <v>1404</v>
      </c>
      <c r="V382" s="791">
        <v>25.271999999999998</v>
      </c>
      <c r="W382" s="791">
        <v>42.12</v>
      </c>
      <c r="X382" s="791">
        <v>5.6159999999999997</v>
      </c>
      <c r="Y382" s="791">
        <v>35.099999999999994</v>
      </c>
      <c r="Z382" s="791">
        <v>1053</v>
      </c>
      <c r="AA382" s="791">
        <v>702</v>
      </c>
      <c r="AB382" s="791">
        <v>1404</v>
      </c>
      <c r="AC382" s="791">
        <v>70.199999999999989</v>
      </c>
      <c r="AD382" s="791">
        <v>14.04</v>
      </c>
      <c r="AE382" s="791">
        <v>2.8079999999999998</v>
      </c>
      <c r="AF382" s="791"/>
      <c r="AG382" s="791"/>
      <c r="AH382" s="791"/>
      <c r="AI382" s="784"/>
      <c r="AK382" s="783">
        <f>IFERROR(Tabela1[[#This Row],[EE(g)]]/Tabela1[[#This Row],[CMS(kg)]],0)</f>
        <v>70.01424501424502</v>
      </c>
    </row>
    <row r="383" spans="2:37" hidden="1">
      <c r="B383" s="774">
        <f>ROW()^2+(Tabela1[[#This Row],[ID2]])+ROW()</f>
        <v>147091</v>
      </c>
      <c r="C383" s="787">
        <v>19</v>
      </c>
      <c r="D383" s="774" t="s">
        <v>1256</v>
      </c>
      <c r="E383" s="788" t="s">
        <v>1263</v>
      </c>
      <c r="F383" s="788" t="s">
        <v>1261</v>
      </c>
      <c r="G383" s="788">
        <v>50</v>
      </c>
      <c r="H383" s="788" t="s">
        <v>1</v>
      </c>
      <c r="I383" s="789" t="s">
        <v>42</v>
      </c>
      <c r="J383" s="787" t="s">
        <v>42</v>
      </c>
      <c r="K383" s="787" t="s">
        <v>42</v>
      </c>
      <c r="L383" s="790">
        <v>250</v>
      </c>
      <c r="M383" s="778">
        <v>1.38</v>
      </c>
      <c r="N383" s="780">
        <v>1000</v>
      </c>
      <c r="O383" s="780">
        <v>1000</v>
      </c>
      <c r="P383" s="791">
        <v>100</v>
      </c>
      <c r="Q383" s="791">
        <v>100</v>
      </c>
      <c r="R383" s="792">
        <v>96.600000000000009</v>
      </c>
      <c r="S383" s="791">
        <v>100</v>
      </c>
      <c r="T383" s="791">
        <v>100</v>
      </c>
      <c r="U383" s="791">
        <v>1380</v>
      </c>
      <c r="V383" s="791">
        <v>24.839999999999996</v>
      </c>
      <c r="W383" s="791">
        <v>41.4</v>
      </c>
      <c r="X383" s="791">
        <v>5.52</v>
      </c>
      <c r="Y383" s="791">
        <v>34.5</v>
      </c>
      <c r="Z383" s="791">
        <v>1035</v>
      </c>
      <c r="AA383" s="791">
        <v>690</v>
      </c>
      <c r="AB383" s="791">
        <v>1380</v>
      </c>
      <c r="AC383" s="791">
        <v>69</v>
      </c>
      <c r="AD383" s="791">
        <v>13.799999999999999</v>
      </c>
      <c r="AE383" s="791">
        <v>2.76</v>
      </c>
      <c r="AF383" s="791"/>
      <c r="AG383" s="791"/>
      <c r="AH383" s="791"/>
      <c r="AI383" s="784"/>
      <c r="AK383" s="783">
        <f>IFERROR(Tabela1[[#This Row],[EE(g)]]/Tabela1[[#This Row],[CMS(kg)]],0)</f>
        <v>70.000000000000014</v>
      </c>
    </row>
    <row r="384" spans="2:37" hidden="1">
      <c r="B384" s="774">
        <f>ROW()^2+(Tabela1[[#This Row],[ID2]])+ROW()</f>
        <v>147860</v>
      </c>
      <c r="C384" s="787">
        <v>20</v>
      </c>
      <c r="D384" s="774" t="s">
        <v>1256</v>
      </c>
      <c r="E384" s="788" t="s">
        <v>1263</v>
      </c>
      <c r="F384" s="788" t="s">
        <v>1261</v>
      </c>
      <c r="G384" s="788">
        <v>50</v>
      </c>
      <c r="H384" s="788" t="s">
        <v>1</v>
      </c>
      <c r="I384" s="789" t="s">
        <v>42</v>
      </c>
      <c r="J384" s="787" t="s">
        <v>42</v>
      </c>
      <c r="K384" s="787" t="s">
        <v>42</v>
      </c>
      <c r="L384" s="790">
        <v>300</v>
      </c>
      <c r="M384" s="778">
        <v>1.595</v>
      </c>
      <c r="N384" s="780">
        <v>1000</v>
      </c>
      <c r="O384" s="780">
        <v>1000</v>
      </c>
      <c r="P384" s="791">
        <v>100</v>
      </c>
      <c r="Q384" s="791">
        <v>100</v>
      </c>
      <c r="R384" s="792">
        <v>111.60000000000001</v>
      </c>
      <c r="S384" s="791">
        <v>100</v>
      </c>
      <c r="T384" s="791">
        <v>100</v>
      </c>
      <c r="U384" s="791">
        <v>1595</v>
      </c>
      <c r="V384" s="791">
        <v>28.71</v>
      </c>
      <c r="W384" s="791">
        <v>47.85</v>
      </c>
      <c r="X384" s="791">
        <v>6.38</v>
      </c>
      <c r="Y384" s="791">
        <v>39.875</v>
      </c>
      <c r="Z384" s="791">
        <v>1196.25</v>
      </c>
      <c r="AA384" s="791">
        <v>797.5</v>
      </c>
      <c r="AB384" s="791">
        <v>1595</v>
      </c>
      <c r="AC384" s="791">
        <v>79.75</v>
      </c>
      <c r="AD384" s="791">
        <v>15.95</v>
      </c>
      <c r="AE384" s="791">
        <v>3.19</v>
      </c>
      <c r="AF384" s="791"/>
      <c r="AG384" s="791"/>
      <c r="AH384" s="791"/>
      <c r="AI384" s="784"/>
      <c r="AK384" s="783">
        <f>IFERROR(Tabela1[[#This Row],[EE(g)]]/Tabela1[[#This Row],[CMS(kg)]],0)</f>
        <v>69.968652037617559</v>
      </c>
    </row>
    <row r="385" spans="2:37" hidden="1">
      <c r="B385" s="774">
        <f>ROW()^2+(Tabela1[[#This Row],[ID2]])+ROW()</f>
        <v>148631</v>
      </c>
      <c r="C385" s="787">
        <v>21</v>
      </c>
      <c r="D385" s="774" t="s">
        <v>1256</v>
      </c>
      <c r="E385" s="788" t="s">
        <v>1263</v>
      </c>
      <c r="F385" s="788" t="s">
        <v>1261</v>
      </c>
      <c r="G385" s="788">
        <v>50</v>
      </c>
      <c r="H385" s="788" t="s">
        <v>1</v>
      </c>
      <c r="I385" s="789" t="s">
        <v>42</v>
      </c>
      <c r="J385" s="787" t="s">
        <v>42</v>
      </c>
      <c r="K385" s="787" t="s">
        <v>42</v>
      </c>
      <c r="L385" s="790">
        <v>400</v>
      </c>
      <c r="M385" s="778">
        <v>1.21</v>
      </c>
      <c r="N385" s="780">
        <v>1000</v>
      </c>
      <c r="O385" s="780">
        <v>1000</v>
      </c>
      <c r="P385" s="791">
        <v>100</v>
      </c>
      <c r="Q385" s="791">
        <v>100</v>
      </c>
      <c r="R385" s="792">
        <v>84.7</v>
      </c>
      <c r="S385" s="791">
        <v>100</v>
      </c>
      <c r="T385" s="791">
        <v>100</v>
      </c>
      <c r="U385" s="791">
        <v>1210</v>
      </c>
      <c r="V385" s="791">
        <v>21.78</v>
      </c>
      <c r="W385" s="791">
        <v>36.299999999999997</v>
      </c>
      <c r="X385" s="791">
        <v>4.84</v>
      </c>
      <c r="Y385" s="791">
        <v>30.25</v>
      </c>
      <c r="Z385" s="791">
        <v>907.5</v>
      </c>
      <c r="AA385" s="791">
        <v>605</v>
      </c>
      <c r="AB385" s="791">
        <v>1210</v>
      </c>
      <c r="AC385" s="791">
        <v>60.5</v>
      </c>
      <c r="AD385" s="791">
        <v>12.1</v>
      </c>
      <c r="AE385" s="791">
        <v>2.42</v>
      </c>
      <c r="AF385" s="791"/>
      <c r="AG385" s="791"/>
      <c r="AH385" s="791"/>
      <c r="AI385" s="784"/>
      <c r="AK385" s="783">
        <f>IFERROR(Tabela1[[#This Row],[EE(g)]]/Tabela1[[#This Row],[CMS(kg)]],0)</f>
        <v>70</v>
      </c>
    </row>
    <row r="386" spans="2:37" hidden="1">
      <c r="B386" s="774">
        <f>ROW()^2+(Tabela1[[#This Row],[ID2]])+ROW()</f>
        <v>149404</v>
      </c>
      <c r="C386" s="787">
        <v>22</v>
      </c>
      <c r="D386" s="774" t="s">
        <v>1256</v>
      </c>
      <c r="E386" s="788" t="s">
        <v>1263</v>
      </c>
      <c r="F386" s="788" t="s">
        <v>1261</v>
      </c>
      <c r="G386" s="788">
        <v>50</v>
      </c>
      <c r="H386" s="788" t="s">
        <v>1</v>
      </c>
      <c r="I386" s="789" t="s">
        <v>42</v>
      </c>
      <c r="J386" s="787" t="s">
        <v>42</v>
      </c>
      <c r="K386" s="787" t="s">
        <v>42</v>
      </c>
      <c r="L386" s="790">
        <v>500</v>
      </c>
      <c r="M386" s="778">
        <v>1.45</v>
      </c>
      <c r="N386" s="780">
        <v>1000</v>
      </c>
      <c r="O386" s="780">
        <v>1000</v>
      </c>
      <c r="P386" s="791">
        <v>100</v>
      </c>
      <c r="Q386" s="791">
        <v>100</v>
      </c>
      <c r="R386" s="792">
        <v>101.5</v>
      </c>
      <c r="S386" s="791">
        <v>100</v>
      </c>
      <c r="T386" s="791">
        <v>100</v>
      </c>
      <c r="U386" s="791">
        <v>1450</v>
      </c>
      <c r="V386" s="791">
        <v>26.099999999999998</v>
      </c>
      <c r="W386" s="791">
        <v>43.5</v>
      </c>
      <c r="X386" s="791">
        <v>5.8</v>
      </c>
      <c r="Y386" s="791">
        <v>36.25</v>
      </c>
      <c r="Z386" s="791">
        <v>1087.5</v>
      </c>
      <c r="AA386" s="791">
        <v>725</v>
      </c>
      <c r="AB386" s="791">
        <v>1450</v>
      </c>
      <c r="AC386" s="791">
        <v>72.5</v>
      </c>
      <c r="AD386" s="791">
        <v>14.5</v>
      </c>
      <c r="AE386" s="791">
        <v>2.9</v>
      </c>
      <c r="AF386" s="791"/>
      <c r="AG386" s="791"/>
      <c r="AH386" s="791"/>
      <c r="AI386" s="784"/>
      <c r="AK386" s="783">
        <f>IFERROR(Tabela1[[#This Row],[EE(g)]]/Tabela1[[#This Row],[CMS(kg)]],0)</f>
        <v>70</v>
      </c>
    </row>
    <row r="387" spans="2:37" hidden="1">
      <c r="B387" s="774">
        <f>ROW()^2+(Tabela1[[#This Row],[ID2]])+ROW()</f>
        <v>150179</v>
      </c>
      <c r="C387" s="787">
        <v>23</v>
      </c>
      <c r="D387" s="774" t="s">
        <v>1256</v>
      </c>
      <c r="E387" s="788" t="s">
        <v>1263</v>
      </c>
      <c r="F387" s="788" t="s">
        <v>1261</v>
      </c>
      <c r="G387" s="788">
        <v>50</v>
      </c>
      <c r="H387" s="788" t="s">
        <v>1</v>
      </c>
      <c r="I387" s="789" t="s">
        <v>42</v>
      </c>
      <c r="J387" s="787" t="s">
        <v>42</v>
      </c>
      <c r="K387" s="787" t="s">
        <v>42</v>
      </c>
      <c r="L387" s="790">
        <v>600</v>
      </c>
      <c r="M387" s="778">
        <v>1.69</v>
      </c>
      <c r="N387" s="780">
        <v>1000</v>
      </c>
      <c r="O387" s="780">
        <v>1000</v>
      </c>
      <c r="P387" s="791">
        <v>100</v>
      </c>
      <c r="Q387" s="791">
        <v>100</v>
      </c>
      <c r="R387" s="792">
        <v>118.3</v>
      </c>
      <c r="S387" s="791">
        <v>100</v>
      </c>
      <c r="T387" s="791">
        <v>100</v>
      </c>
      <c r="U387" s="791">
        <v>1690</v>
      </c>
      <c r="V387" s="791">
        <v>30.419999999999998</v>
      </c>
      <c r="W387" s="791">
        <v>50.699999999999996</v>
      </c>
      <c r="X387" s="791">
        <v>6.76</v>
      </c>
      <c r="Y387" s="791">
        <v>42.25</v>
      </c>
      <c r="Z387" s="791">
        <v>1267.5</v>
      </c>
      <c r="AA387" s="791">
        <v>845</v>
      </c>
      <c r="AB387" s="791">
        <v>1690</v>
      </c>
      <c r="AC387" s="791">
        <v>84.5</v>
      </c>
      <c r="AD387" s="791">
        <v>16.899999999999999</v>
      </c>
      <c r="AE387" s="791">
        <v>3.38</v>
      </c>
      <c r="AF387" s="791"/>
      <c r="AG387" s="791"/>
      <c r="AH387" s="791"/>
      <c r="AI387" s="784"/>
      <c r="AK387" s="783">
        <f>IFERROR(Tabela1[[#This Row],[EE(g)]]/Tabela1[[#This Row],[CMS(kg)]],0)</f>
        <v>70</v>
      </c>
    </row>
    <row r="388" spans="2:37" hidden="1">
      <c r="B388" s="774">
        <f>ROW()^2+(Tabela1[[#This Row],[ID2]])+ROW()</f>
        <v>150956</v>
      </c>
      <c r="C388" s="787">
        <v>24</v>
      </c>
      <c r="D388" s="774" t="s">
        <v>1256</v>
      </c>
      <c r="E388" s="788" t="s">
        <v>1263</v>
      </c>
      <c r="F388" s="788" t="s">
        <v>1261</v>
      </c>
      <c r="G388" s="788">
        <v>60</v>
      </c>
      <c r="H388" s="788" t="s">
        <v>1</v>
      </c>
      <c r="I388" s="789" t="s">
        <v>42</v>
      </c>
      <c r="J388" s="787" t="s">
        <v>42</v>
      </c>
      <c r="K388" s="787" t="s">
        <v>42</v>
      </c>
      <c r="L388" s="790">
        <v>250</v>
      </c>
      <c r="M388" s="778">
        <v>1.4340000000000002</v>
      </c>
      <c r="N388" s="780">
        <v>1000</v>
      </c>
      <c r="O388" s="780">
        <v>1000</v>
      </c>
      <c r="P388" s="791">
        <v>100</v>
      </c>
      <c r="Q388" s="791">
        <v>100</v>
      </c>
      <c r="R388" s="792">
        <v>100.4</v>
      </c>
      <c r="S388" s="791">
        <v>100</v>
      </c>
      <c r="T388" s="791">
        <v>100</v>
      </c>
      <c r="U388" s="791">
        <v>1434.0000000000002</v>
      </c>
      <c r="V388" s="791">
        <v>25.812000000000005</v>
      </c>
      <c r="W388" s="791">
        <v>43.02</v>
      </c>
      <c r="X388" s="791">
        <v>5.7360000000000007</v>
      </c>
      <c r="Y388" s="791">
        <v>35.85</v>
      </c>
      <c r="Z388" s="791">
        <v>1075.5000000000002</v>
      </c>
      <c r="AA388" s="791">
        <v>717.00000000000011</v>
      </c>
      <c r="AB388" s="791">
        <v>1434.0000000000002</v>
      </c>
      <c r="AC388" s="791">
        <v>71.7</v>
      </c>
      <c r="AD388" s="791">
        <v>14.340000000000002</v>
      </c>
      <c r="AE388" s="791">
        <v>2.8680000000000003</v>
      </c>
      <c r="AF388" s="791"/>
      <c r="AG388" s="791"/>
      <c r="AH388" s="791"/>
      <c r="AI388" s="784"/>
      <c r="AK388" s="783">
        <f>IFERROR(Tabela1[[#This Row],[EE(g)]]/Tabela1[[#This Row],[CMS(kg)]],0)</f>
        <v>70.013947001394698</v>
      </c>
    </row>
    <row r="389" spans="2:37" hidden="1">
      <c r="B389" s="774">
        <f>ROW()^2+(Tabela1[[#This Row],[ID2]])+ROW()</f>
        <v>151735</v>
      </c>
      <c r="C389" s="787">
        <v>25</v>
      </c>
      <c r="D389" s="774" t="s">
        <v>1256</v>
      </c>
      <c r="E389" s="788" t="s">
        <v>1263</v>
      </c>
      <c r="F389" s="788" t="s">
        <v>1261</v>
      </c>
      <c r="G389" s="788">
        <v>60</v>
      </c>
      <c r="H389" s="788" t="s">
        <v>1</v>
      </c>
      <c r="I389" s="789" t="s">
        <v>42</v>
      </c>
      <c r="J389" s="787" t="s">
        <v>42</v>
      </c>
      <c r="K389" s="787" t="s">
        <v>42</v>
      </c>
      <c r="L389" s="790">
        <v>300</v>
      </c>
      <c r="M389" s="778">
        <v>1.65</v>
      </c>
      <c r="N389" s="780">
        <v>1000</v>
      </c>
      <c r="O389" s="780">
        <v>1000</v>
      </c>
      <c r="P389" s="791">
        <v>100</v>
      </c>
      <c r="Q389" s="791">
        <v>100</v>
      </c>
      <c r="R389" s="792">
        <v>115.5</v>
      </c>
      <c r="S389" s="791">
        <v>100</v>
      </c>
      <c r="T389" s="791">
        <v>100</v>
      </c>
      <c r="U389" s="791">
        <v>1650</v>
      </c>
      <c r="V389" s="791">
        <v>29.7</v>
      </c>
      <c r="W389" s="791">
        <v>49.5</v>
      </c>
      <c r="X389" s="791">
        <v>6.6</v>
      </c>
      <c r="Y389" s="791">
        <v>41.25</v>
      </c>
      <c r="Z389" s="791">
        <v>1237.5</v>
      </c>
      <c r="AA389" s="791">
        <v>825</v>
      </c>
      <c r="AB389" s="791">
        <v>1650</v>
      </c>
      <c r="AC389" s="791">
        <v>82.5</v>
      </c>
      <c r="AD389" s="791">
        <v>16.5</v>
      </c>
      <c r="AE389" s="791">
        <v>3.3</v>
      </c>
      <c r="AF389" s="791"/>
      <c r="AG389" s="791"/>
      <c r="AH389" s="791"/>
      <c r="AI389" s="784"/>
      <c r="AK389" s="783">
        <f>IFERROR(Tabela1[[#This Row],[EE(g)]]/Tabela1[[#This Row],[CMS(kg)]],0)</f>
        <v>70</v>
      </c>
    </row>
    <row r="390" spans="2:37" hidden="1">
      <c r="B390" s="774">
        <f>ROW()^2+(Tabela1[[#This Row],[ID2]])+ROW()</f>
        <v>152516</v>
      </c>
      <c r="C390" s="787">
        <v>26</v>
      </c>
      <c r="D390" s="774" t="s">
        <v>1256</v>
      </c>
      <c r="E390" s="788" t="s">
        <v>1263</v>
      </c>
      <c r="F390" s="788" t="s">
        <v>1261</v>
      </c>
      <c r="G390" s="788">
        <v>60</v>
      </c>
      <c r="H390" s="788" t="s">
        <v>1</v>
      </c>
      <c r="I390" s="789" t="s">
        <v>42</v>
      </c>
      <c r="J390" s="787" t="s">
        <v>42</v>
      </c>
      <c r="K390" s="787" t="s">
        <v>42</v>
      </c>
      <c r="L390" s="790">
        <v>400</v>
      </c>
      <c r="M390" s="778">
        <v>2.0820000000000003</v>
      </c>
      <c r="N390" s="780">
        <v>1000</v>
      </c>
      <c r="O390" s="780">
        <v>1000</v>
      </c>
      <c r="P390" s="791">
        <v>100</v>
      </c>
      <c r="Q390" s="791">
        <v>100</v>
      </c>
      <c r="R390" s="792">
        <v>145.69999999999999</v>
      </c>
      <c r="S390" s="791">
        <v>100</v>
      </c>
      <c r="T390" s="791">
        <v>100</v>
      </c>
      <c r="U390" s="791">
        <v>2082.0000000000005</v>
      </c>
      <c r="V390" s="791">
        <v>37.476000000000006</v>
      </c>
      <c r="W390" s="791">
        <v>62.460000000000008</v>
      </c>
      <c r="X390" s="791">
        <v>8.3280000000000012</v>
      </c>
      <c r="Y390" s="791">
        <v>52.050000000000004</v>
      </c>
      <c r="Z390" s="791">
        <v>1561.5000000000002</v>
      </c>
      <c r="AA390" s="791">
        <v>1041.0000000000002</v>
      </c>
      <c r="AB390" s="791">
        <v>2082.0000000000005</v>
      </c>
      <c r="AC390" s="791">
        <v>104.10000000000001</v>
      </c>
      <c r="AD390" s="791">
        <v>20.820000000000004</v>
      </c>
      <c r="AE390" s="791">
        <v>4.1640000000000006</v>
      </c>
      <c r="AF390" s="791"/>
      <c r="AG390" s="791"/>
      <c r="AH390" s="791"/>
      <c r="AI390" s="784"/>
      <c r="AK390" s="783">
        <f>IFERROR(Tabela1[[#This Row],[EE(g)]]/Tabela1[[#This Row],[CMS(kg)]],0)</f>
        <v>69.980787704130634</v>
      </c>
    </row>
    <row r="391" spans="2:37" hidden="1">
      <c r="B391" s="774">
        <f>ROW()^2+(Tabela1[[#This Row],[ID2]])+ROW()</f>
        <v>153299</v>
      </c>
      <c r="C391" s="787">
        <v>27</v>
      </c>
      <c r="D391" s="774" t="s">
        <v>1256</v>
      </c>
      <c r="E391" s="788" t="s">
        <v>1263</v>
      </c>
      <c r="F391" s="788" t="s">
        <v>1261</v>
      </c>
      <c r="G391" s="788">
        <v>60</v>
      </c>
      <c r="H391" s="788" t="s">
        <v>1</v>
      </c>
      <c r="I391" s="789" t="s">
        <v>42</v>
      </c>
      <c r="J391" s="787" t="s">
        <v>42</v>
      </c>
      <c r="K391" s="787" t="s">
        <v>42</v>
      </c>
      <c r="L391" s="790">
        <v>500</v>
      </c>
      <c r="M391" s="778">
        <v>1.4940000000000002</v>
      </c>
      <c r="N391" s="780">
        <v>1000</v>
      </c>
      <c r="O391" s="780">
        <v>1000</v>
      </c>
      <c r="P391" s="791">
        <v>100</v>
      </c>
      <c r="Q391" s="791">
        <v>100</v>
      </c>
      <c r="R391" s="792">
        <v>104.6</v>
      </c>
      <c r="S391" s="791">
        <v>100</v>
      </c>
      <c r="T391" s="791">
        <v>100</v>
      </c>
      <c r="U391" s="791">
        <v>1494.0000000000002</v>
      </c>
      <c r="V391" s="791">
        <v>26.892000000000003</v>
      </c>
      <c r="W391" s="791">
        <v>44.820000000000007</v>
      </c>
      <c r="X391" s="791">
        <v>5.9760000000000009</v>
      </c>
      <c r="Y391" s="791">
        <v>37.350000000000009</v>
      </c>
      <c r="Z391" s="791">
        <v>1120.5000000000002</v>
      </c>
      <c r="AA391" s="791">
        <v>747.00000000000011</v>
      </c>
      <c r="AB391" s="791">
        <v>1494.0000000000002</v>
      </c>
      <c r="AC391" s="791">
        <v>74.700000000000017</v>
      </c>
      <c r="AD391" s="791">
        <v>14.940000000000001</v>
      </c>
      <c r="AE391" s="791">
        <v>2.9880000000000004</v>
      </c>
      <c r="AF391" s="791"/>
      <c r="AG391" s="791"/>
      <c r="AH391" s="791"/>
      <c r="AI391" s="784"/>
      <c r="AK391" s="783">
        <f>IFERROR(Tabela1[[#This Row],[EE(g)]]/Tabela1[[#This Row],[CMS(kg)]],0)</f>
        <v>70.013386880856743</v>
      </c>
    </row>
    <row r="392" spans="2:37" hidden="1">
      <c r="B392" s="774">
        <f>ROW()^2+(Tabela1[[#This Row],[ID2]])+ROW()</f>
        <v>154084</v>
      </c>
      <c r="C392" s="787">
        <v>28</v>
      </c>
      <c r="D392" s="774" t="s">
        <v>1256</v>
      </c>
      <c r="E392" s="788" t="s">
        <v>1263</v>
      </c>
      <c r="F392" s="788" t="s">
        <v>1261</v>
      </c>
      <c r="G392" s="788">
        <v>60</v>
      </c>
      <c r="H392" s="788" t="s">
        <v>1</v>
      </c>
      <c r="I392" s="789" t="s">
        <v>42</v>
      </c>
      <c r="J392" s="787" t="s">
        <v>42</v>
      </c>
      <c r="K392" s="787" t="s">
        <v>42</v>
      </c>
      <c r="L392" s="790">
        <v>600</v>
      </c>
      <c r="M392" s="778">
        <v>1.7399999999999998</v>
      </c>
      <c r="N392" s="780">
        <v>1000</v>
      </c>
      <c r="O392" s="780">
        <v>1000</v>
      </c>
      <c r="P392" s="791">
        <v>100</v>
      </c>
      <c r="Q392" s="791">
        <v>100</v>
      </c>
      <c r="R392" s="792">
        <v>121.80000000000001</v>
      </c>
      <c r="S392" s="791">
        <v>100</v>
      </c>
      <c r="T392" s="791">
        <v>100</v>
      </c>
      <c r="U392" s="791">
        <v>1739.9999999999998</v>
      </c>
      <c r="V392" s="791">
        <v>31.319999999999997</v>
      </c>
      <c r="W392" s="791">
        <v>52.199999999999996</v>
      </c>
      <c r="X392" s="791">
        <v>6.9599999999999991</v>
      </c>
      <c r="Y392" s="791">
        <v>43.499999999999993</v>
      </c>
      <c r="Z392" s="791">
        <v>1304.9999999999998</v>
      </c>
      <c r="AA392" s="791">
        <v>869.99999999999989</v>
      </c>
      <c r="AB392" s="791">
        <v>1739.9999999999998</v>
      </c>
      <c r="AC392" s="791">
        <v>86.999999999999986</v>
      </c>
      <c r="AD392" s="791">
        <v>17.399999999999999</v>
      </c>
      <c r="AE392" s="791">
        <v>3.4799999999999995</v>
      </c>
      <c r="AF392" s="791"/>
      <c r="AG392" s="791"/>
      <c r="AH392" s="791"/>
      <c r="AI392" s="784"/>
      <c r="AK392" s="783">
        <f>IFERROR(Tabela1[[#This Row],[EE(g)]]/Tabela1[[#This Row],[CMS(kg)]],0)</f>
        <v>70.000000000000014</v>
      </c>
    </row>
    <row r="393" spans="2:37" hidden="1">
      <c r="B393" s="774">
        <f>ROW()^2+(Tabela1[[#This Row],[ID2]])+ROW()</f>
        <v>154871</v>
      </c>
      <c r="C393" s="787">
        <v>29</v>
      </c>
      <c r="D393" s="774" t="s">
        <v>1256</v>
      </c>
      <c r="E393" s="788" t="s">
        <v>1263</v>
      </c>
      <c r="F393" s="788" t="s">
        <v>1261</v>
      </c>
      <c r="G393" s="788">
        <v>70</v>
      </c>
      <c r="H393" s="788" t="s">
        <v>1</v>
      </c>
      <c r="I393" s="789" t="s">
        <v>42</v>
      </c>
      <c r="J393" s="787" t="s">
        <v>42</v>
      </c>
      <c r="K393" s="787" t="s">
        <v>42</v>
      </c>
      <c r="L393" s="790">
        <v>150</v>
      </c>
      <c r="M393" s="778">
        <v>1.0429999999999999</v>
      </c>
      <c r="N393" s="780">
        <v>1000</v>
      </c>
      <c r="O393" s="780">
        <v>1000</v>
      </c>
      <c r="P393" s="791">
        <v>100</v>
      </c>
      <c r="Q393" s="791">
        <v>100</v>
      </c>
      <c r="R393" s="792">
        <v>73</v>
      </c>
      <c r="S393" s="791">
        <v>100</v>
      </c>
      <c r="T393" s="791">
        <v>100</v>
      </c>
      <c r="U393" s="791">
        <v>1043</v>
      </c>
      <c r="V393" s="791">
        <v>18.773999999999997</v>
      </c>
      <c r="W393" s="791">
        <v>31.29</v>
      </c>
      <c r="X393" s="791">
        <v>4.1719999999999997</v>
      </c>
      <c r="Y393" s="791">
        <v>26.074999999999999</v>
      </c>
      <c r="Z393" s="791">
        <v>782.25</v>
      </c>
      <c r="AA393" s="791">
        <v>521.5</v>
      </c>
      <c r="AB393" s="791">
        <v>1043</v>
      </c>
      <c r="AC393" s="791">
        <v>52.15</v>
      </c>
      <c r="AD393" s="791">
        <v>10.43</v>
      </c>
      <c r="AE393" s="791">
        <v>2.0859999999999999</v>
      </c>
      <c r="AF393" s="791"/>
      <c r="AG393" s="791"/>
      <c r="AH393" s="791"/>
      <c r="AI393" s="784"/>
      <c r="AK393" s="783">
        <f>IFERROR(Tabela1[[#This Row],[EE(g)]]/Tabela1[[#This Row],[CMS(kg)]],0)</f>
        <v>69.990412272291465</v>
      </c>
    </row>
    <row r="394" spans="2:37" hidden="1">
      <c r="B394" s="774">
        <f>ROW()^2+(Tabela1[[#This Row],[ID2]])+ROW()</f>
        <v>155660</v>
      </c>
      <c r="C394" s="787">
        <v>30</v>
      </c>
      <c r="D394" s="774" t="s">
        <v>1256</v>
      </c>
      <c r="E394" s="788" t="s">
        <v>1263</v>
      </c>
      <c r="F394" s="788" t="s">
        <v>1261</v>
      </c>
      <c r="G394" s="788">
        <v>70</v>
      </c>
      <c r="H394" s="788" t="s">
        <v>1</v>
      </c>
      <c r="I394" s="789" t="s">
        <v>42</v>
      </c>
      <c r="J394" s="787" t="s">
        <v>42</v>
      </c>
      <c r="K394" s="787" t="s">
        <v>42</v>
      </c>
      <c r="L394" s="790">
        <v>200</v>
      </c>
      <c r="M394" s="778">
        <v>1.2600000000000002</v>
      </c>
      <c r="N394" s="780">
        <v>1000</v>
      </c>
      <c r="O394" s="780">
        <v>1000</v>
      </c>
      <c r="P394" s="791">
        <v>100</v>
      </c>
      <c r="Q394" s="791">
        <v>100</v>
      </c>
      <c r="R394" s="792">
        <v>88.2</v>
      </c>
      <c r="S394" s="791">
        <v>100</v>
      </c>
      <c r="T394" s="791">
        <v>100</v>
      </c>
      <c r="U394" s="791">
        <v>1260.0000000000002</v>
      </c>
      <c r="V394" s="791">
        <v>22.680000000000003</v>
      </c>
      <c r="W394" s="791">
        <v>37.800000000000004</v>
      </c>
      <c r="X394" s="791">
        <v>5.0400000000000009</v>
      </c>
      <c r="Y394" s="791">
        <v>31.500000000000007</v>
      </c>
      <c r="Z394" s="791">
        <v>945.00000000000023</v>
      </c>
      <c r="AA394" s="791">
        <v>630.00000000000011</v>
      </c>
      <c r="AB394" s="791">
        <v>1260.0000000000002</v>
      </c>
      <c r="AC394" s="791">
        <v>63.000000000000014</v>
      </c>
      <c r="AD394" s="791">
        <v>12.600000000000001</v>
      </c>
      <c r="AE394" s="791">
        <v>2.5200000000000005</v>
      </c>
      <c r="AF394" s="791"/>
      <c r="AG394" s="791"/>
      <c r="AH394" s="791"/>
      <c r="AI394" s="784"/>
      <c r="AK394" s="783">
        <f>IFERROR(Tabela1[[#This Row],[EE(g)]]/Tabela1[[#This Row],[CMS(kg)]],0)</f>
        <v>69.999999999999986</v>
      </c>
    </row>
    <row r="395" spans="2:37" hidden="1">
      <c r="B395" s="774">
        <f>ROW()^2+(Tabela1[[#This Row],[ID2]])+ROW()</f>
        <v>156451</v>
      </c>
      <c r="C395" s="787">
        <v>31</v>
      </c>
      <c r="D395" s="774" t="s">
        <v>1256</v>
      </c>
      <c r="E395" s="788" t="s">
        <v>1263</v>
      </c>
      <c r="F395" s="788" t="s">
        <v>1261</v>
      </c>
      <c r="G395" s="788">
        <v>70</v>
      </c>
      <c r="H395" s="788" t="s">
        <v>1</v>
      </c>
      <c r="I395" s="789" t="s">
        <v>42</v>
      </c>
      <c r="J395" s="787" t="s">
        <v>42</v>
      </c>
      <c r="K395" s="787" t="s">
        <v>42</v>
      </c>
      <c r="L395" s="790">
        <v>300</v>
      </c>
      <c r="M395" s="778">
        <v>1.7010000000000001</v>
      </c>
      <c r="N395" s="780">
        <v>1000</v>
      </c>
      <c r="O395" s="780">
        <v>1000</v>
      </c>
      <c r="P395" s="791">
        <v>100</v>
      </c>
      <c r="Q395" s="791">
        <v>100</v>
      </c>
      <c r="R395" s="792">
        <v>119.1</v>
      </c>
      <c r="S395" s="791">
        <v>100</v>
      </c>
      <c r="T395" s="791">
        <v>100</v>
      </c>
      <c r="U395" s="791">
        <v>1701</v>
      </c>
      <c r="V395" s="791">
        <v>30.618000000000002</v>
      </c>
      <c r="W395" s="791">
        <v>51.03</v>
      </c>
      <c r="X395" s="791">
        <v>6.8040000000000003</v>
      </c>
      <c r="Y395" s="791">
        <v>42.524999999999999</v>
      </c>
      <c r="Z395" s="791">
        <v>1275.75</v>
      </c>
      <c r="AA395" s="791">
        <v>850.5</v>
      </c>
      <c r="AB395" s="791">
        <v>1701</v>
      </c>
      <c r="AC395" s="791">
        <v>85.05</v>
      </c>
      <c r="AD395" s="791">
        <v>17.010000000000002</v>
      </c>
      <c r="AE395" s="791">
        <v>3.4020000000000001</v>
      </c>
      <c r="AF395" s="791"/>
      <c r="AG395" s="791"/>
      <c r="AH395" s="791"/>
      <c r="AI395" s="784"/>
      <c r="AK395" s="783">
        <f>IFERROR(Tabela1[[#This Row],[EE(g)]]/Tabela1[[#This Row],[CMS(kg)]],0)</f>
        <v>70.017636684303341</v>
      </c>
    </row>
    <row r="396" spans="2:37" hidden="1">
      <c r="B396" s="774">
        <f>ROW()^2+(Tabela1[[#This Row],[ID2]])+ROW()</f>
        <v>157244</v>
      </c>
      <c r="C396" s="787">
        <v>32</v>
      </c>
      <c r="D396" s="774" t="s">
        <v>1256</v>
      </c>
      <c r="E396" s="788" t="s">
        <v>1263</v>
      </c>
      <c r="F396" s="788" t="s">
        <v>1261</v>
      </c>
      <c r="G396" s="788">
        <v>70</v>
      </c>
      <c r="H396" s="788" t="s">
        <v>1</v>
      </c>
      <c r="I396" s="789" t="s">
        <v>42</v>
      </c>
      <c r="J396" s="787" t="s">
        <v>42</v>
      </c>
      <c r="K396" s="787" t="s">
        <v>42</v>
      </c>
      <c r="L396" s="790">
        <v>400</v>
      </c>
      <c r="M396" s="778">
        <v>2.1349999999999998</v>
      </c>
      <c r="N396" s="780">
        <v>1000</v>
      </c>
      <c r="O396" s="780">
        <v>1000</v>
      </c>
      <c r="P396" s="791">
        <v>100</v>
      </c>
      <c r="Q396" s="791">
        <v>100</v>
      </c>
      <c r="R396" s="792">
        <v>149.4</v>
      </c>
      <c r="S396" s="791">
        <v>100</v>
      </c>
      <c r="T396" s="791">
        <v>100</v>
      </c>
      <c r="U396" s="791">
        <v>2135</v>
      </c>
      <c r="V396" s="791">
        <v>38.429999999999993</v>
      </c>
      <c r="W396" s="791">
        <v>64.05</v>
      </c>
      <c r="X396" s="791">
        <v>8.5399999999999991</v>
      </c>
      <c r="Y396" s="791">
        <v>53.374999999999993</v>
      </c>
      <c r="Z396" s="791">
        <v>1601.2499999999998</v>
      </c>
      <c r="AA396" s="791">
        <v>1067.5</v>
      </c>
      <c r="AB396" s="791">
        <v>2135</v>
      </c>
      <c r="AC396" s="791">
        <v>106.74999999999999</v>
      </c>
      <c r="AD396" s="791">
        <v>21.349999999999998</v>
      </c>
      <c r="AE396" s="791">
        <v>4.2699999999999996</v>
      </c>
      <c r="AF396" s="791"/>
      <c r="AG396" s="791"/>
      <c r="AH396" s="791"/>
      <c r="AI396" s="784"/>
      <c r="AK396" s="783">
        <f>IFERROR(Tabela1[[#This Row],[EE(g)]]/Tabela1[[#This Row],[CMS(kg)]],0)</f>
        <v>69.976580796252932</v>
      </c>
    </row>
    <row r="397" spans="2:37" hidden="1">
      <c r="B397" s="774">
        <f>ROW()^2+(Tabela1[[#This Row],[ID2]])+ROW()</f>
        <v>158039</v>
      </c>
      <c r="C397" s="787">
        <v>33</v>
      </c>
      <c r="D397" s="774" t="s">
        <v>1256</v>
      </c>
      <c r="E397" s="788" t="s">
        <v>1263</v>
      </c>
      <c r="F397" s="788" t="s">
        <v>1261</v>
      </c>
      <c r="G397" s="788">
        <v>70</v>
      </c>
      <c r="H397" s="788" t="s">
        <v>1</v>
      </c>
      <c r="I397" s="789" t="s">
        <v>42</v>
      </c>
      <c r="J397" s="787" t="s">
        <v>42</v>
      </c>
      <c r="K397" s="787" t="s">
        <v>42</v>
      </c>
      <c r="L397" s="790">
        <v>500</v>
      </c>
      <c r="M397" s="778">
        <v>2.5760000000000001</v>
      </c>
      <c r="N397" s="780">
        <v>1000</v>
      </c>
      <c r="O397" s="780">
        <v>1000</v>
      </c>
      <c r="P397" s="791">
        <v>100</v>
      </c>
      <c r="Q397" s="791">
        <v>100</v>
      </c>
      <c r="R397" s="792">
        <v>180.29999999999998</v>
      </c>
      <c r="S397" s="791">
        <v>100</v>
      </c>
      <c r="T397" s="791">
        <v>100</v>
      </c>
      <c r="U397" s="791">
        <v>2576</v>
      </c>
      <c r="V397" s="791">
        <v>46.368000000000002</v>
      </c>
      <c r="W397" s="791">
        <v>77.28</v>
      </c>
      <c r="X397" s="791">
        <v>10.304</v>
      </c>
      <c r="Y397" s="791">
        <v>64.400000000000006</v>
      </c>
      <c r="Z397" s="791">
        <v>1932</v>
      </c>
      <c r="AA397" s="791">
        <v>1288</v>
      </c>
      <c r="AB397" s="791">
        <v>2576</v>
      </c>
      <c r="AC397" s="791">
        <v>128.80000000000001</v>
      </c>
      <c r="AD397" s="791">
        <v>25.76</v>
      </c>
      <c r="AE397" s="791">
        <v>5.1520000000000001</v>
      </c>
      <c r="AF397" s="791"/>
      <c r="AG397" s="791"/>
      <c r="AH397" s="791"/>
      <c r="AI397" s="784"/>
      <c r="AK397" s="783">
        <f>IFERROR(Tabela1[[#This Row],[EE(g)]]/Tabela1[[#This Row],[CMS(kg)]],0)</f>
        <v>69.992236024844715</v>
      </c>
    </row>
    <row r="398" spans="2:37" hidden="1">
      <c r="B398" s="774">
        <f>ROW()^2+(Tabela1[[#This Row],[ID2]])+ROW()</f>
        <v>158836</v>
      </c>
      <c r="C398" s="787">
        <v>34</v>
      </c>
      <c r="D398" s="774" t="s">
        <v>1256</v>
      </c>
      <c r="E398" s="788" t="s">
        <v>1263</v>
      </c>
      <c r="F398" s="788" t="s">
        <v>1261</v>
      </c>
      <c r="G398" s="788">
        <v>80</v>
      </c>
      <c r="H398" s="788" t="s">
        <v>1</v>
      </c>
      <c r="I398" s="789" t="s">
        <v>42</v>
      </c>
      <c r="J398" s="787" t="s">
        <v>42</v>
      </c>
      <c r="K398" s="787" t="s">
        <v>42</v>
      </c>
      <c r="L398" s="790">
        <v>150</v>
      </c>
      <c r="M398" s="778">
        <v>1.0880000000000001</v>
      </c>
      <c r="N398" s="780">
        <v>1000</v>
      </c>
      <c r="O398" s="780">
        <v>1000</v>
      </c>
      <c r="P398" s="791">
        <v>100</v>
      </c>
      <c r="Q398" s="791">
        <v>100</v>
      </c>
      <c r="R398" s="792">
        <v>76.2</v>
      </c>
      <c r="S398" s="791">
        <v>100</v>
      </c>
      <c r="T398" s="791">
        <v>100</v>
      </c>
      <c r="U398" s="791">
        <v>1088</v>
      </c>
      <c r="V398" s="791">
        <v>19.584000000000003</v>
      </c>
      <c r="W398" s="791">
        <v>32.64</v>
      </c>
      <c r="X398" s="791">
        <v>4.3520000000000003</v>
      </c>
      <c r="Y398" s="791">
        <v>27.200000000000003</v>
      </c>
      <c r="Z398" s="791">
        <v>816.00000000000011</v>
      </c>
      <c r="AA398" s="791">
        <v>544</v>
      </c>
      <c r="AB398" s="791">
        <v>1088</v>
      </c>
      <c r="AC398" s="791">
        <v>54.400000000000006</v>
      </c>
      <c r="AD398" s="791">
        <v>10.88</v>
      </c>
      <c r="AE398" s="791">
        <v>2.1760000000000002</v>
      </c>
      <c r="AF398" s="791"/>
      <c r="AG398" s="791"/>
      <c r="AH398" s="791"/>
      <c r="AI398" s="784"/>
      <c r="AK398" s="783">
        <f>IFERROR(Tabela1[[#This Row],[EE(g)]]/Tabela1[[#This Row],[CMS(kg)]],0)</f>
        <v>70.036764705882348</v>
      </c>
    </row>
    <row r="399" spans="2:37" hidden="1">
      <c r="B399" s="774">
        <f>ROW()^2+(Tabela1[[#This Row],[ID2]])+ROW()</f>
        <v>159635</v>
      </c>
      <c r="C399" s="787">
        <v>35</v>
      </c>
      <c r="D399" s="774" t="s">
        <v>1256</v>
      </c>
      <c r="E399" s="788" t="s">
        <v>1263</v>
      </c>
      <c r="F399" s="788" t="s">
        <v>1261</v>
      </c>
      <c r="G399" s="788">
        <v>80</v>
      </c>
      <c r="H399" s="788" t="s">
        <v>1</v>
      </c>
      <c r="I399" s="789" t="s">
        <v>42</v>
      </c>
      <c r="J399" s="787" t="s">
        <v>42</v>
      </c>
      <c r="K399" s="787" t="s">
        <v>42</v>
      </c>
      <c r="L399" s="790">
        <v>200</v>
      </c>
      <c r="M399" s="778">
        <v>1.3119999999999998</v>
      </c>
      <c r="N399" s="780">
        <v>1000</v>
      </c>
      <c r="O399" s="780">
        <v>1000</v>
      </c>
      <c r="P399" s="791">
        <v>100</v>
      </c>
      <c r="Q399" s="791">
        <v>100</v>
      </c>
      <c r="R399" s="792">
        <v>91.800000000000011</v>
      </c>
      <c r="S399" s="791">
        <v>100</v>
      </c>
      <c r="T399" s="791">
        <v>100</v>
      </c>
      <c r="U399" s="791">
        <v>1311.9999999999998</v>
      </c>
      <c r="V399" s="791">
        <v>23.615999999999996</v>
      </c>
      <c r="W399" s="791">
        <v>39.359999999999992</v>
      </c>
      <c r="X399" s="791">
        <v>5.2479999999999993</v>
      </c>
      <c r="Y399" s="791">
        <v>32.799999999999997</v>
      </c>
      <c r="Z399" s="791">
        <v>983.99999999999989</v>
      </c>
      <c r="AA399" s="791">
        <v>655.99999999999989</v>
      </c>
      <c r="AB399" s="791">
        <v>1311.9999999999998</v>
      </c>
      <c r="AC399" s="791">
        <v>65.599999999999994</v>
      </c>
      <c r="AD399" s="791">
        <v>13.119999999999997</v>
      </c>
      <c r="AE399" s="791">
        <v>2.6239999999999997</v>
      </c>
      <c r="AF399" s="791"/>
      <c r="AG399" s="791"/>
      <c r="AH399" s="791"/>
      <c r="AI399" s="784"/>
      <c r="AK399" s="783">
        <f>IFERROR(Tabela1[[#This Row],[EE(g)]]/Tabela1[[#This Row],[CMS(kg)]],0)</f>
        <v>69.969512195121965</v>
      </c>
    </row>
    <row r="400" spans="2:37" hidden="1">
      <c r="B400" s="774">
        <f>ROW()^2+(Tabela1[[#This Row],[ID2]])+ROW()</f>
        <v>160436</v>
      </c>
      <c r="C400" s="787">
        <v>36</v>
      </c>
      <c r="D400" s="774" t="s">
        <v>1256</v>
      </c>
      <c r="E400" s="788" t="s">
        <v>1263</v>
      </c>
      <c r="F400" s="788" t="s">
        <v>1261</v>
      </c>
      <c r="G400" s="788">
        <v>80</v>
      </c>
      <c r="H400" s="788" t="s">
        <v>1</v>
      </c>
      <c r="I400" s="789" t="s">
        <v>42</v>
      </c>
      <c r="J400" s="787" t="s">
        <v>42</v>
      </c>
      <c r="K400" s="787" t="s">
        <v>42</v>
      </c>
      <c r="L400" s="790">
        <v>300</v>
      </c>
      <c r="M400" s="778">
        <v>1.752</v>
      </c>
      <c r="N400" s="780">
        <v>1000</v>
      </c>
      <c r="O400" s="780">
        <v>1000</v>
      </c>
      <c r="P400" s="791">
        <v>100</v>
      </c>
      <c r="Q400" s="791">
        <v>100</v>
      </c>
      <c r="R400" s="792">
        <v>122.6</v>
      </c>
      <c r="S400" s="791">
        <v>100</v>
      </c>
      <c r="T400" s="791">
        <v>100</v>
      </c>
      <c r="U400" s="791">
        <v>1752</v>
      </c>
      <c r="V400" s="791">
        <v>31.536000000000001</v>
      </c>
      <c r="W400" s="791">
        <v>52.56</v>
      </c>
      <c r="X400" s="791">
        <v>7.008</v>
      </c>
      <c r="Y400" s="791">
        <v>43.8</v>
      </c>
      <c r="Z400" s="791">
        <v>1314</v>
      </c>
      <c r="AA400" s="791">
        <v>876</v>
      </c>
      <c r="AB400" s="791">
        <v>1752</v>
      </c>
      <c r="AC400" s="791">
        <v>87.6</v>
      </c>
      <c r="AD400" s="791">
        <v>17.52</v>
      </c>
      <c r="AE400" s="791">
        <v>3.504</v>
      </c>
      <c r="AF400" s="791"/>
      <c r="AG400" s="791"/>
      <c r="AH400" s="791"/>
      <c r="AI400" s="784"/>
      <c r="AK400" s="783">
        <f>IFERROR(Tabela1[[#This Row],[EE(g)]]/Tabela1[[#This Row],[CMS(kg)]],0)</f>
        <v>69.977168949771681</v>
      </c>
    </row>
    <row r="401" spans="2:37" hidden="1">
      <c r="B401" s="774">
        <f>ROW()^2+(Tabela1[[#This Row],[ID2]])+ROW()</f>
        <v>161239</v>
      </c>
      <c r="C401" s="787">
        <v>37</v>
      </c>
      <c r="D401" s="774" t="s">
        <v>1256</v>
      </c>
      <c r="E401" s="788" t="s">
        <v>1263</v>
      </c>
      <c r="F401" s="788" t="s">
        <v>1261</v>
      </c>
      <c r="G401" s="788">
        <v>80</v>
      </c>
      <c r="H401" s="788" t="s">
        <v>1</v>
      </c>
      <c r="I401" s="789" t="s">
        <v>42</v>
      </c>
      <c r="J401" s="787" t="s">
        <v>42</v>
      </c>
      <c r="K401" s="787" t="s">
        <v>42</v>
      </c>
      <c r="L401" s="790">
        <v>400</v>
      </c>
      <c r="M401" s="778">
        <v>2.1920000000000002</v>
      </c>
      <c r="N401" s="780">
        <v>1000</v>
      </c>
      <c r="O401" s="780">
        <v>1000</v>
      </c>
      <c r="P401" s="791">
        <v>100</v>
      </c>
      <c r="Q401" s="791">
        <v>100</v>
      </c>
      <c r="R401" s="792">
        <v>153.4</v>
      </c>
      <c r="S401" s="791">
        <v>100</v>
      </c>
      <c r="T401" s="791">
        <v>100</v>
      </c>
      <c r="U401" s="791">
        <v>2192</v>
      </c>
      <c r="V401" s="791">
        <v>39.456000000000003</v>
      </c>
      <c r="W401" s="791">
        <v>65.760000000000005</v>
      </c>
      <c r="X401" s="791">
        <v>8.7680000000000007</v>
      </c>
      <c r="Y401" s="791">
        <v>54.800000000000004</v>
      </c>
      <c r="Z401" s="791">
        <v>1644.0000000000002</v>
      </c>
      <c r="AA401" s="791">
        <v>1096</v>
      </c>
      <c r="AB401" s="791">
        <v>2192</v>
      </c>
      <c r="AC401" s="791">
        <v>109.60000000000001</v>
      </c>
      <c r="AD401" s="791">
        <v>21.92</v>
      </c>
      <c r="AE401" s="791">
        <v>4.3840000000000003</v>
      </c>
      <c r="AF401" s="791"/>
      <c r="AG401" s="791"/>
      <c r="AH401" s="791"/>
      <c r="AI401" s="784"/>
      <c r="AK401" s="783">
        <f>IFERROR(Tabela1[[#This Row],[EE(g)]]/Tabela1[[#This Row],[CMS(kg)]],0)</f>
        <v>69.981751824817522</v>
      </c>
    </row>
    <row r="402" spans="2:37" hidden="1">
      <c r="B402" s="774">
        <f>ROW()^2+(Tabela1[[#This Row],[ID2]])+ROW()</f>
        <v>162044</v>
      </c>
      <c r="C402" s="787">
        <v>38</v>
      </c>
      <c r="D402" s="774" t="s">
        <v>1256</v>
      </c>
      <c r="E402" s="788" t="s">
        <v>1263</v>
      </c>
      <c r="F402" s="788" t="s">
        <v>1261</v>
      </c>
      <c r="G402" s="788">
        <v>80</v>
      </c>
      <c r="H402" s="788" t="s">
        <v>1</v>
      </c>
      <c r="I402" s="789" t="s">
        <v>42</v>
      </c>
      <c r="J402" s="787" t="s">
        <v>42</v>
      </c>
      <c r="K402" s="787" t="s">
        <v>42</v>
      </c>
      <c r="L402" s="790">
        <v>500</v>
      </c>
      <c r="M402" s="778">
        <v>2.6319999999999997</v>
      </c>
      <c r="N402" s="780">
        <v>1000</v>
      </c>
      <c r="O402" s="780">
        <v>1000</v>
      </c>
      <c r="P402" s="791">
        <v>100</v>
      </c>
      <c r="Q402" s="791">
        <v>100</v>
      </c>
      <c r="R402" s="792">
        <v>184.2</v>
      </c>
      <c r="S402" s="791">
        <v>100</v>
      </c>
      <c r="T402" s="791">
        <v>100</v>
      </c>
      <c r="U402" s="791">
        <v>2631.9999999999995</v>
      </c>
      <c r="V402" s="791">
        <v>47.375999999999991</v>
      </c>
      <c r="W402" s="791">
        <v>78.959999999999994</v>
      </c>
      <c r="X402" s="791">
        <v>10.527999999999999</v>
      </c>
      <c r="Y402" s="791">
        <v>65.8</v>
      </c>
      <c r="Z402" s="791">
        <v>1973.9999999999998</v>
      </c>
      <c r="AA402" s="791">
        <v>1315.9999999999998</v>
      </c>
      <c r="AB402" s="791">
        <v>2631.9999999999995</v>
      </c>
      <c r="AC402" s="791">
        <v>131.6</v>
      </c>
      <c r="AD402" s="791">
        <v>26.319999999999997</v>
      </c>
      <c r="AE402" s="791">
        <v>5.2639999999999993</v>
      </c>
      <c r="AF402" s="791"/>
      <c r="AG402" s="791"/>
      <c r="AH402" s="791"/>
      <c r="AI402" s="784"/>
      <c r="AK402" s="783">
        <f>IFERROR(Tabela1[[#This Row],[EE(g)]]/Tabela1[[#This Row],[CMS(kg)]],0)</f>
        <v>69.984802431610944</v>
      </c>
    </row>
    <row r="403" spans="2:37" hidden="1">
      <c r="B403" s="774">
        <f>ROW()^2+(Tabela1[[#This Row],[ID2]])+ROW()</f>
        <v>162851</v>
      </c>
      <c r="C403" s="787">
        <v>39</v>
      </c>
      <c r="D403" s="774" t="s">
        <v>1256</v>
      </c>
      <c r="E403" s="788" t="s">
        <v>1264</v>
      </c>
      <c r="F403" s="788" t="s">
        <v>1261</v>
      </c>
      <c r="G403" s="788">
        <v>20</v>
      </c>
      <c r="H403" s="788" t="s">
        <v>1</v>
      </c>
      <c r="I403" s="789" t="s">
        <v>42</v>
      </c>
      <c r="J403" s="787" t="s">
        <v>42</v>
      </c>
      <c r="K403" s="787" t="s">
        <v>42</v>
      </c>
      <c r="L403" s="790">
        <v>100</v>
      </c>
      <c r="M403" s="778">
        <v>0.58799999999999997</v>
      </c>
      <c r="N403" s="780">
        <v>1000</v>
      </c>
      <c r="O403" s="780">
        <v>1000</v>
      </c>
      <c r="P403" s="791">
        <v>100</v>
      </c>
      <c r="Q403" s="791">
        <v>100</v>
      </c>
      <c r="R403" s="792">
        <v>41.2</v>
      </c>
      <c r="S403" s="791">
        <v>100</v>
      </c>
      <c r="T403" s="791">
        <v>100</v>
      </c>
      <c r="U403" s="791">
        <v>588</v>
      </c>
      <c r="V403" s="791">
        <v>10.584</v>
      </c>
      <c r="W403" s="791">
        <v>17.64</v>
      </c>
      <c r="X403" s="791">
        <v>2.3519999999999999</v>
      </c>
      <c r="Y403" s="791">
        <v>14.7</v>
      </c>
      <c r="Z403" s="791">
        <v>441</v>
      </c>
      <c r="AA403" s="791">
        <v>294</v>
      </c>
      <c r="AB403" s="791">
        <v>588</v>
      </c>
      <c r="AC403" s="791">
        <v>29.4</v>
      </c>
      <c r="AD403" s="791">
        <v>5.88</v>
      </c>
      <c r="AE403" s="791">
        <v>1.1759999999999999</v>
      </c>
      <c r="AF403" s="791"/>
      <c r="AG403" s="791"/>
      <c r="AH403" s="791"/>
      <c r="AI403" s="784"/>
      <c r="AK403" s="783">
        <f>IFERROR(Tabela1[[#This Row],[EE(g)]]/Tabela1[[#This Row],[CMS(kg)]],0)</f>
        <v>70.068027210884367</v>
      </c>
    </row>
    <row r="404" spans="2:37" hidden="1">
      <c r="B404" s="774">
        <f>ROW()^2+(Tabela1[[#This Row],[ID2]])+ROW()</f>
        <v>163660</v>
      </c>
      <c r="C404" s="787">
        <v>40</v>
      </c>
      <c r="D404" s="774" t="s">
        <v>1256</v>
      </c>
      <c r="E404" s="788" t="s">
        <v>1264</v>
      </c>
      <c r="F404" s="788" t="s">
        <v>1261</v>
      </c>
      <c r="G404" s="788">
        <v>20</v>
      </c>
      <c r="H404" s="788" t="s">
        <v>1</v>
      </c>
      <c r="I404" s="789" t="s">
        <v>42</v>
      </c>
      <c r="J404" s="787" t="s">
        <v>42</v>
      </c>
      <c r="K404" s="787" t="s">
        <v>42</v>
      </c>
      <c r="L404" s="790">
        <v>150</v>
      </c>
      <c r="M404" s="778">
        <v>0.76</v>
      </c>
      <c r="N404" s="780">
        <v>1000</v>
      </c>
      <c r="O404" s="780">
        <v>1000</v>
      </c>
      <c r="P404" s="791">
        <v>100</v>
      </c>
      <c r="Q404" s="791">
        <v>100</v>
      </c>
      <c r="R404" s="792">
        <v>53.199999999999996</v>
      </c>
      <c r="S404" s="791">
        <v>100</v>
      </c>
      <c r="T404" s="791">
        <v>100</v>
      </c>
      <c r="U404" s="791">
        <v>760</v>
      </c>
      <c r="V404" s="791">
        <v>13.68</v>
      </c>
      <c r="W404" s="791">
        <v>22.8</v>
      </c>
      <c r="X404" s="791">
        <v>3.04</v>
      </c>
      <c r="Y404" s="791">
        <v>19</v>
      </c>
      <c r="Z404" s="791">
        <v>570</v>
      </c>
      <c r="AA404" s="791">
        <v>380</v>
      </c>
      <c r="AB404" s="791">
        <v>760</v>
      </c>
      <c r="AC404" s="791">
        <v>38</v>
      </c>
      <c r="AD404" s="791">
        <v>7.6</v>
      </c>
      <c r="AE404" s="791">
        <v>1.52</v>
      </c>
      <c r="AF404" s="791"/>
      <c r="AG404" s="791"/>
      <c r="AH404" s="791"/>
      <c r="AI404" s="784"/>
      <c r="AK404" s="783">
        <f>IFERROR(Tabela1[[#This Row],[EE(g)]]/Tabela1[[#This Row],[CMS(kg)]],0)</f>
        <v>70</v>
      </c>
    </row>
    <row r="405" spans="2:37" hidden="1">
      <c r="B405" s="774">
        <f>ROW()^2+(Tabela1[[#This Row],[ID2]])+ROW()</f>
        <v>164471</v>
      </c>
      <c r="C405" s="787">
        <v>41</v>
      </c>
      <c r="D405" s="774" t="s">
        <v>1256</v>
      </c>
      <c r="E405" s="788" t="s">
        <v>1264</v>
      </c>
      <c r="F405" s="788" t="s">
        <v>1261</v>
      </c>
      <c r="G405" s="788">
        <v>20</v>
      </c>
      <c r="H405" s="788" t="s">
        <v>1</v>
      </c>
      <c r="I405" s="789" t="s">
        <v>42</v>
      </c>
      <c r="J405" s="787" t="s">
        <v>42</v>
      </c>
      <c r="K405" s="787" t="s">
        <v>42</v>
      </c>
      <c r="L405" s="790">
        <v>200</v>
      </c>
      <c r="M405" s="778">
        <v>0.69599999999999995</v>
      </c>
      <c r="N405" s="780">
        <v>1000</v>
      </c>
      <c r="O405" s="780">
        <v>1000</v>
      </c>
      <c r="P405" s="791">
        <v>100</v>
      </c>
      <c r="Q405" s="791">
        <v>100</v>
      </c>
      <c r="R405" s="792">
        <v>48.7</v>
      </c>
      <c r="S405" s="791">
        <v>100</v>
      </c>
      <c r="T405" s="791">
        <v>100</v>
      </c>
      <c r="U405" s="791">
        <v>696</v>
      </c>
      <c r="V405" s="791">
        <v>12.527999999999999</v>
      </c>
      <c r="W405" s="791">
        <v>20.88</v>
      </c>
      <c r="X405" s="791">
        <v>2.7839999999999998</v>
      </c>
      <c r="Y405" s="791">
        <v>17.399999999999999</v>
      </c>
      <c r="Z405" s="791">
        <v>522</v>
      </c>
      <c r="AA405" s="791">
        <v>348</v>
      </c>
      <c r="AB405" s="791">
        <v>696</v>
      </c>
      <c r="AC405" s="791">
        <v>34.799999999999997</v>
      </c>
      <c r="AD405" s="791">
        <v>6.9599999999999991</v>
      </c>
      <c r="AE405" s="791">
        <v>1.3919999999999999</v>
      </c>
      <c r="AF405" s="791"/>
      <c r="AG405" s="791"/>
      <c r="AH405" s="791"/>
      <c r="AI405" s="784"/>
      <c r="AK405" s="783">
        <f>IFERROR(Tabela1[[#This Row],[EE(g)]]/Tabela1[[#This Row],[CMS(kg)]],0)</f>
        <v>69.971264367816104</v>
      </c>
    </row>
    <row r="406" spans="2:37" hidden="1">
      <c r="B406" s="774">
        <f>ROW()^2+(Tabela1[[#This Row],[ID2]])+ROW()</f>
        <v>165284</v>
      </c>
      <c r="C406" s="787">
        <v>42</v>
      </c>
      <c r="D406" s="774" t="s">
        <v>1256</v>
      </c>
      <c r="E406" s="788" t="s">
        <v>1264</v>
      </c>
      <c r="F406" s="788" t="s">
        <v>1261</v>
      </c>
      <c r="G406" s="788">
        <v>20</v>
      </c>
      <c r="H406" s="788" t="s">
        <v>1</v>
      </c>
      <c r="I406" s="789" t="s">
        <v>42</v>
      </c>
      <c r="J406" s="787" t="s">
        <v>42</v>
      </c>
      <c r="K406" s="787" t="s">
        <v>42</v>
      </c>
      <c r="L406" s="790">
        <v>300</v>
      </c>
      <c r="M406" s="778">
        <v>0.94</v>
      </c>
      <c r="N406" s="780">
        <v>1000</v>
      </c>
      <c r="O406" s="780">
        <v>1000</v>
      </c>
      <c r="P406" s="791">
        <v>100</v>
      </c>
      <c r="Q406" s="791">
        <v>100</v>
      </c>
      <c r="R406" s="792">
        <v>65.8</v>
      </c>
      <c r="S406" s="791">
        <v>100</v>
      </c>
      <c r="T406" s="791">
        <v>100</v>
      </c>
      <c r="U406" s="791">
        <v>940</v>
      </c>
      <c r="V406" s="791">
        <v>16.919999999999998</v>
      </c>
      <c r="W406" s="791">
        <v>28.2</v>
      </c>
      <c r="X406" s="791">
        <v>3.76</v>
      </c>
      <c r="Y406" s="791">
        <v>23.5</v>
      </c>
      <c r="Z406" s="791">
        <v>705</v>
      </c>
      <c r="AA406" s="791">
        <v>470</v>
      </c>
      <c r="AB406" s="791">
        <v>940</v>
      </c>
      <c r="AC406" s="791">
        <v>47</v>
      </c>
      <c r="AD406" s="791">
        <v>9.3999999999999986</v>
      </c>
      <c r="AE406" s="791">
        <v>1.88</v>
      </c>
      <c r="AF406" s="791"/>
      <c r="AG406" s="791"/>
      <c r="AH406" s="791"/>
      <c r="AI406" s="784"/>
      <c r="AK406" s="783">
        <f>IFERROR(Tabela1[[#This Row],[EE(g)]]/Tabela1[[#This Row],[CMS(kg)]],0)</f>
        <v>70</v>
      </c>
    </row>
    <row r="407" spans="2:37" hidden="1">
      <c r="B407" s="774">
        <f>ROW()^2+(Tabela1[[#This Row],[ID2]])+ROW()</f>
        <v>166099</v>
      </c>
      <c r="C407" s="787">
        <v>43</v>
      </c>
      <c r="D407" s="774" t="s">
        <v>1256</v>
      </c>
      <c r="E407" s="788" t="s">
        <v>1264</v>
      </c>
      <c r="F407" s="788" t="s">
        <v>1261</v>
      </c>
      <c r="G407" s="788">
        <v>30</v>
      </c>
      <c r="H407" s="788" t="s">
        <v>1</v>
      </c>
      <c r="I407" s="789" t="s">
        <v>42</v>
      </c>
      <c r="J407" s="787" t="s">
        <v>42</v>
      </c>
      <c r="K407" s="787" t="s">
        <v>42</v>
      </c>
      <c r="L407" s="790">
        <v>200</v>
      </c>
      <c r="M407" s="778">
        <v>1.0290000000000001</v>
      </c>
      <c r="N407" s="780">
        <v>1000</v>
      </c>
      <c r="O407" s="780">
        <v>1000</v>
      </c>
      <c r="P407" s="791">
        <v>100</v>
      </c>
      <c r="Q407" s="791">
        <v>100</v>
      </c>
      <c r="R407" s="792">
        <v>72</v>
      </c>
      <c r="S407" s="791">
        <v>100</v>
      </c>
      <c r="T407" s="791">
        <v>100</v>
      </c>
      <c r="U407" s="791">
        <v>1029.0000000000002</v>
      </c>
      <c r="V407" s="791">
        <v>18.522000000000002</v>
      </c>
      <c r="W407" s="791">
        <v>30.870000000000005</v>
      </c>
      <c r="X407" s="791">
        <v>4.1160000000000005</v>
      </c>
      <c r="Y407" s="791">
        <v>25.725000000000005</v>
      </c>
      <c r="Z407" s="791">
        <v>771.75000000000011</v>
      </c>
      <c r="AA407" s="791">
        <v>514.50000000000011</v>
      </c>
      <c r="AB407" s="791">
        <v>1029.0000000000002</v>
      </c>
      <c r="AC407" s="791">
        <v>51.45000000000001</v>
      </c>
      <c r="AD407" s="791">
        <v>10.290000000000001</v>
      </c>
      <c r="AE407" s="791">
        <v>2.0580000000000003</v>
      </c>
      <c r="AF407" s="791"/>
      <c r="AG407" s="791"/>
      <c r="AH407" s="791"/>
      <c r="AI407" s="784"/>
      <c r="AK407" s="783">
        <f>IFERROR(Tabela1[[#This Row],[EE(g)]]/Tabela1[[#This Row],[CMS(kg)]],0)</f>
        <v>69.970845481049551</v>
      </c>
    </row>
    <row r="408" spans="2:37" hidden="1">
      <c r="B408" s="774">
        <f>ROW()^2+(Tabela1[[#This Row],[ID2]])+ROW()</f>
        <v>166916</v>
      </c>
      <c r="C408" s="787">
        <v>44</v>
      </c>
      <c r="D408" s="774" t="s">
        <v>1256</v>
      </c>
      <c r="E408" s="788" t="s">
        <v>1264</v>
      </c>
      <c r="F408" s="788" t="s">
        <v>1261</v>
      </c>
      <c r="G408" s="788">
        <v>30</v>
      </c>
      <c r="H408" s="788" t="s">
        <v>1</v>
      </c>
      <c r="I408" s="789" t="s">
        <v>42</v>
      </c>
      <c r="J408" s="787" t="s">
        <v>42</v>
      </c>
      <c r="K408" s="787" t="s">
        <v>42</v>
      </c>
      <c r="L408" s="790">
        <v>250</v>
      </c>
      <c r="M408" s="778">
        <v>0.90299999999999991</v>
      </c>
      <c r="N408" s="780">
        <v>1000</v>
      </c>
      <c r="O408" s="780">
        <v>1000</v>
      </c>
      <c r="P408" s="791">
        <v>100</v>
      </c>
      <c r="Q408" s="791">
        <v>100</v>
      </c>
      <c r="R408" s="792">
        <v>63.2</v>
      </c>
      <c r="S408" s="791">
        <v>100</v>
      </c>
      <c r="T408" s="791">
        <v>100</v>
      </c>
      <c r="U408" s="791">
        <v>902.99999999999989</v>
      </c>
      <c r="V408" s="791">
        <v>16.253999999999998</v>
      </c>
      <c r="W408" s="791">
        <v>27.089999999999996</v>
      </c>
      <c r="X408" s="791">
        <v>3.6119999999999997</v>
      </c>
      <c r="Y408" s="791">
        <v>22.574999999999999</v>
      </c>
      <c r="Z408" s="791">
        <v>677.24999999999989</v>
      </c>
      <c r="AA408" s="791">
        <v>451.49999999999994</v>
      </c>
      <c r="AB408" s="791">
        <v>902.99999999999989</v>
      </c>
      <c r="AC408" s="791">
        <v>45.15</v>
      </c>
      <c r="AD408" s="791">
        <v>9.0299999999999994</v>
      </c>
      <c r="AE408" s="791">
        <v>1.8059999999999998</v>
      </c>
      <c r="AF408" s="791"/>
      <c r="AG408" s="791"/>
      <c r="AH408" s="791"/>
      <c r="AI408" s="784"/>
      <c r="AK408" s="783">
        <f>IFERROR(Tabela1[[#This Row],[EE(g)]]/Tabela1[[#This Row],[CMS(kg)]],0)</f>
        <v>69.988925802879308</v>
      </c>
    </row>
    <row r="409" spans="2:37" hidden="1">
      <c r="B409" s="774">
        <f>ROW()^2+(Tabela1[[#This Row],[ID2]])+ROW()</f>
        <v>167735</v>
      </c>
      <c r="C409" s="787">
        <v>45</v>
      </c>
      <c r="D409" s="774" t="s">
        <v>1256</v>
      </c>
      <c r="E409" s="788" t="s">
        <v>1264</v>
      </c>
      <c r="F409" s="788" t="s">
        <v>1261</v>
      </c>
      <c r="G409" s="788">
        <v>30</v>
      </c>
      <c r="H409" s="788" t="s">
        <v>1</v>
      </c>
      <c r="I409" s="789" t="s">
        <v>42</v>
      </c>
      <c r="J409" s="787" t="s">
        <v>42</v>
      </c>
      <c r="K409" s="787" t="s">
        <v>42</v>
      </c>
      <c r="L409" s="790">
        <v>300</v>
      </c>
      <c r="M409" s="778">
        <v>1.026</v>
      </c>
      <c r="N409" s="780">
        <v>1000</v>
      </c>
      <c r="O409" s="780">
        <v>1000</v>
      </c>
      <c r="P409" s="791">
        <v>100</v>
      </c>
      <c r="Q409" s="791">
        <v>100</v>
      </c>
      <c r="R409" s="792">
        <v>71.8</v>
      </c>
      <c r="S409" s="791">
        <v>100</v>
      </c>
      <c r="T409" s="791">
        <v>100</v>
      </c>
      <c r="U409" s="791">
        <v>1026</v>
      </c>
      <c r="V409" s="791">
        <v>18.468</v>
      </c>
      <c r="W409" s="791">
        <v>30.78</v>
      </c>
      <c r="X409" s="791">
        <v>4.1040000000000001</v>
      </c>
      <c r="Y409" s="791">
        <v>25.650000000000002</v>
      </c>
      <c r="Z409" s="791">
        <v>769.5</v>
      </c>
      <c r="AA409" s="791">
        <v>513</v>
      </c>
      <c r="AB409" s="791">
        <v>1026</v>
      </c>
      <c r="AC409" s="791">
        <v>51.300000000000004</v>
      </c>
      <c r="AD409" s="791">
        <v>10.26</v>
      </c>
      <c r="AE409" s="791">
        <v>2.052</v>
      </c>
      <c r="AF409" s="791"/>
      <c r="AG409" s="791"/>
      <c r="AH409" s="791"/>
      <c r="AI409" s="784"/>
      <c r="AK409" s="783">
        <f>IFERROR(Tabela1[[#This Row],[EE(g)]]/Tabela1[[#This Row],[CMS(kg)]],0)</f>
        <v>69.980506822612085</v>
      </c>
    </row>
    <row r="410" spans="2:37" hidden="1">
      <c r="B410" s="774">
        <f>ROW()^2+(Tabela1[[#This Row],[ID2]])+ROW()</f>
        <v>168556</v>
      </c>
      <c r="C410" s="787">
        <v>46</v>
      </c>
      <c r="D410" s="774" t="s">
        <v>1256</v>
      </c>
      <c r="E410" s="788" t="s">
        <v>1264</v>
      </c>
      <c r="F410" s="788" t="s">
        <v>1261</v>
      </c>
      <c r="G410" s="788">
        <v>30</v>
      </c>
      <c r="H410" s="788" t="s">
        <v>1</v>
      </c>
      <c r="I410" s="789" t="s">
        <v>42</v>
      </c>
      <c r="J410" s="787" t="s">
        <v>42</v>
      </c>
      <c r="K410" s="787" t="s">
        <v>42</v>
      </c>
      <c r="L410" s="790">
        <v>400</v>
      </c>
      <c r="M410" s="778">
        <v>1.2750000000000001</v>
      </c>
      <c r="N410" s="780">
        <v>1000</v>
      </c>
      <c r="O410" s="780">
        <v>1000</v>
      </c>
      <c r="P410" s="791">
        <v>100</v>
      </c>
      <c r="Q410" s="791">
        <v>100</v>
      </c>
      <c r="R410" s="792">
        <v>89.2</v>
      </c>
      <c r="S410" s="791">
        <v>100</v>
      </c>
      <c r="T410" s="791">
        <v>100</v>
      </c>
      <c r="U410" s="791">
        <v>1275.0000000000002</v>
      </c>
      <c r="V410" s="791">
        <v>22.950000000000003</v>
      </c>
      <c r="W410" s="791">
        <v>38.250000000000007</v>
      </c>
      <c r="X410" s="791">
        <v>5.1000000000000005</v>
      </c>
      <c r="Y410" s="791">
        <v>31.875000000000004</v>
      </c>
      <c r="Z410" s="791">
        <v>956.25000000000011</v>
      </c>
      <c r="AA410" s="791">
        <v>637.50000000000011</v>
      </c>
      <c r="AB410" s="791">
        <v>1275.0000000000002</v>
      </c>
      <c r="AC410" s="791">
        <v>63.750000000000007</v>
      </c>
      <c r="AD410" s="791">
        <v>12.750000000000002</v>
      </c>
      <c r="AE410" s="791">
        <v>2.5500000000000003</v>
      </c>
      <c r="AF410" s="791"/>
      <c r="AG410" s="791"/>
      <c r="AH410" s="791"/>
      <c r="AI410" s="784"/>
      <c r="AK410" s="783">
        <f>IFERROR(Tabela1[[#This Row],[EE(g)]]/Tabela1[[#This Row],[CMS(kg)]],0)</f>
        <v>69.960784313725483</v>
      </c>
    </row>
    <row r="411" spans="2:37" hidden="1">
      <c r="B411" s="774">
        <f>ROW()^2+(Tabela1[[#This Row],[ID2]])+ROW()</f>
        <v>169379</v>
      </c>
      <c r="C411" s="787">
        <v>47</v>
      </c>
      <c r="D411" s="774" t="s">
        <v>1256</v>
      </c>
      <c r="E411" s="788" t="s">
        <v>1264</v>
      </c>
      <c r="F411" s="788" t="s">
        <v>1261</v>
      </c>
      <c r="G411" s="788">
        <v>40</v>
      </c>
      <c r="H411" s="788" t="s">
        <v>1</v>
      </c>
      <c r="I411" s="789" t="s">
        <v>42</v>
      </c>
      <c r="J411" s="787" t="s">
        <v>42</v>
      </c>
      <c r="K411" s="787" t="s">
        <v>42</v>
      </c>
      <c r="L411" s="790">
        <v>250</v>
      </c>
      <c r="M411" s="778">
        <v>1.3</v>
      </c>
      <c r="N411" s="780">
        <v>1000</v>
      </c>
      <c r="O411" s="780">
        <v>1000</v>
      </c>
      <c r="P411" s="791">
        <v>100</v>
      </c>
      <c r="Q411" s="791">
        <v>100</v>
      </c>
      <c r="R411" s="792">
        <v>91</v>
      </c>
      <c r="S411" s="791">
        <v>100</v>
      </c>
      <c r="T411" s="791">
        <v>100</v>
      </c>
      <c r="U411" s="791">
        <v>1300</v>
      </c>
      <c r="V411" s="791">
        <v>23.400000000000002</v>
      </c>
      <c r="W411" s="791">
        <v>39</v>
      </c>
      <c r="X411" s="791">
        <v>5.2</v>
      </c>
      <c r="Y411" s="791">
        <v>32.5</v>
      </c>
      <c r="Z411" s="791">
        <v>975</v>
      </c>
      <c r="AA411" s="791">
        <v>650</v>
      </c>
      <c r="AB411" s="791">
        <v>1300</v>
      </c>
      <c r="AC411" s="791">
        <v>65</v>
      </c>
      <c r="AD411" s="791">
        <v>13</v>
      </c>
      <c r="AE411" s="791">
        <v>2.6</v>
      </c>
      <c r="AF411" s="791"/>
      <c r="AG411" s="791"/>
      <c r="AH411" s="791"/>
      <c r="AI411" s="784"/>
      <c r="AK411" s="783">
        <f>IFERROR(Tabela1[[#This Row],[EE(g)]]/Tabela1[[#This Row],[CMS(kg)]],0)</f>
        <v>70</v>
      </c>
    </row>
    <row r="412" spans="2:37" hidden="1">
      <c r="B412" s="774">
        <f>ROW()^2+(Tabela1[[#This Row],[ID2]])+ROW()</f>
        <v>170204</v>
      </c>
      <c r="C412" s="787">
        <v>48</v>
      </c>
      <c r="D412" s="774" t="s">
        <v>1256</v>
      </c>
      <c r="E412" s="788" t="s">
        <v>1264</v>
      </c>
      <c r="F412" s="788" t="s">
        <v>1261</v>
      </c>
      <c r="G412" s="788">
        <v>40</v>
      </c>
      <c r="H412" s="788" t="s">
        <v>1</v>
      </c>
      <c r="I412" s="789" t="s">
        <v>42</v>
      </c>
      <c r="J412" s="787" t="s">
        <v>42</v>
      </c>
      <c r="K412" s="787" t="s">
        <v>42</v>
      </c>
      <c r="L412" s="790">
        <v>300</v>
      </c>
      <c r="M412" s="778">
        <v>1.476</v>
      </c>
      <c r="N412" s="780">
        <v>1000</v>
      </c>
      <c r="O412" s="780">
        <v>1000</v>
      </c>
      <c r="P412" s="791">
        <v>100</v>
      </c>
      <c r="Q412" s="791">
        <v>100</v>
      </c>
      <c r="R412" s="792">
        <v>103.3</v>
      </c>
      <c r="S412" s="791">
        <v>100</v>
      </c>
      <c r="T412" s="791">
        <v>100</v>
      </c>
      <c r="U412" s="791">
        <v>1476</v>
      </c>
      <c r="V412" s="791">
        <v>26.567999999999998</v>
      </c>
      <c r="W412" s="791">
        <v>44.28</v>
      </c>
      <c r="X412" s="791">
        <v>5.9039999999999999</v>
      </c>
      <c r="Y412" s="791">
        <v>36.9</v>
      </c>
      <c r="Z412" s="791">
        <v>1107</v>
      </c>
      <c r="AA412" s="791">
        <v>738</v>
      </c>
      <c r="AB412" s="791">
        <v>1476</v>
      </c>
      <c r="AC412" s="791">
        <v>73.8</v>
      </c>
      <c r="AD412" s="791">
        <v>14.76</v>
      </c>
      <c r="AE412" s="791">
        <v>2.952</v>
      </c>
      <c r="AF412" s="791"/>
      <c r="AG412" s="791"/>
      <c r="AH412" s="791"/>
      <c r="AI412" s="784"/>
      <c r="AK412" s="783">
        <f>IFERROR(Tabela1[[#This Row],[EE(g)]]/Tabela1[[#This Row],[CMS(kg)]],0)</f>
        <v>69.986449864498638</v>
      </c>
    </row>
    <row r="413" spans="2:37" hidden="1">
      <c r="B413" s="774">
        <f>ROW()^2+(Tabela1[[#This Row],[ID2]])+ROW()</f>
        <v>171031</v>
      </c>
      <c r="C413" s="787">
        <v>49</v>
      </c>
      <c r="D413" s="774" t="s">
        <v>1256</v>
      </c>
      <c r="E413" s="788" t="s">
        <v>1264</v>
      </c>
      <c r="F413" s="788" t="s">
        <v>1261</v>
      </c>
      <c r="G413" s="788">
        <v>40</v>
      </c>
      <c r="H413" s="788" t="s">
        <v>1</v>
      </c>
      <c r="I413" s="789" t="s">
        <v>42</v>
      </c>
      <c r="J413" s="787" t="s">
        <v>42</v>
      </c>
      <c r="K413" s="787" t="s">
        <v>42</v>
      </c>
      <c r="L413" s="790">
        <v>400</v>
      </c>
      <c r="M413" s="778">
        <v>1.36</v>
      </c>
      <c r="N413" s="780">
        <v>1000</v>
      </c>
      <c r="O413" s="780">
        <v>1000</v>
      </c>
      <c r="P413" s="791">
        <v>100</v>
      </c>
      <c r="Q413" s="791">
        <v>100</v>
      </c>
      <c r="R413" s="792">
        <v>95.2</v>
      </c>
      <c r="S413" s="791">
        <v>100</v>
      </c>
      <c r="T413" s="791">
        <v>100</v>
      </c>
      <c r="U413" s="791">
        <v>1360</v>
      </c>
      <c r="V413" s="791">
        <v>24.48</v>
      </c>
      <c r="W413" s="791">
        <v>40.800000000000004</v>
      </c>
      <c r="X413" s="791">
        <v>5.44</v>
      </c>
      <c r="Y413" s="791">
        <v>34</v>
      </c>
      <c r="Z413" s="791">
        <v>1020.0000000000001</v>
      </c>
      <c r="AA413" s="791">
        <v>680</v>
      </c>
      <c r="AB413" s="791">
        <v>1360</v>
      </c>
      <c r="AC413" s="791">
        <v>68</v>
      </c>
      <c r="AD413" s="791">
        <v>13.600000000000001</v>
      </c>
      <c r="AE413" s="791">
        <v>2.72</v>
      </c>
      <c r="AF413" s="791"/>
      <c r="AG413" s="791"/>
      <c r="AH413" s="791"/>
      <c r="AI413" s="784"/>
      <c r="AK413" s="783">
        <f>IFERROR(Tabela1[[#This Row],[EE(g)]]/Tabela1[[#This Row],[CMS(kg)]],0)</f>
        <v>70</v>
      </c>
    </row>
    <row r="414" spans="2:37" hidden="1">
      <c r="B414" s="774">
        <f>ROW()^2+(Tabela1[[#This Row],[ID2]])+ROW()</f>
        <v>171860</v>
      </c>
      <c r="C414" s="787">
        <v>50</v>
      </c>
      <c r="D414" s="774" t="s">
        <v>1256</v>
      </c>
      <c r="E414" s="788" t="s">
        <v>1264</v>
      </c>
      <c r="F414" s="788" t="s">
        <v>1261</v>
      </c>
      <c r="G414" s="788">
        <v>40</v>
      </c>
      <c r="H414" s="788" t="s">
        <v>1</v>
      </c>
      <c r="I414" s="789" t="s">
        <v>42</v>
      </c>
      <c r="J414" s="787" t="s">
        <v>42</v>
      </c>
      <c r="K414" s="787" t="s">
        <v>42</v>
      </c>
      <c r="L414" s="790">
        <v>500</v>
      </c>
      <c r="M414" s="778">
        <v>1.6120000000000001</v>
      </c>
      <c r="N414" s="780">
        <v>1000</v>
      </c>
      <c r="O414" s="780">
        <v>1000</v>
      </c>
      <c r="P414" s="791">
        <v>100</v>
      </c>
      <c r="Q414" s="791">
        <v>100</v>
      </c>
      <c r="R414" s="792">
        <v>112.8</v>
      </c>
      <c r="S414" s="791">
        <v>100</v>
      </c>
      <c r="T414" s="791">
        <v>100</v>
      </c>
      <c r="U414" s="791">
        <v>1612</v>
      </c>
      <c r="V414" s="791">
        <v>29.016000000000002</v>
      </c>
      <c r="W414" s="791">
        <v>48.36</v>
      </c>
      <c r="X414" s="791">
        <v>6.4480000000000004</v>
      </c>
      <c r="Y414" s="791">
        <v>40.300000000000004</v>
      </c>
      <c r="Z414" s="791">
        <v>1209</v>
      </c>
      <c r="AA414" s="791">
        <v>806</v>
      </c>
      <c r="AB414" s="791">
        <v>1612</v>
      </c>
      <c r="AC414" s="791">
        <v>80.600000000000009</v>
      </c>
      <c r="AD414" s="791">
        <v>16.12</v>
      </c>
      <c r="AE414" s="791">
        <v>3.2240000000000002</v>
      </c>
      <c r="AF414" s="791"/>
      <c r="AG414" s="791"/>
      <c r="AH414" s="791"/>
      <c r="AI414" s="784"/>
      <c r="AK414" s="783">
        <f>IFERROR(Tabela1[[#This Row],[EE(g)]]/Tabela1[[#This Row],[CMS(kg)]],0)</f>
        <v>69.975186104218352</v>
      </c>
    </row>
    <row r="415" spans="2:37" hidden="1">
      <c r="B415" s="774">
        <f>ROW()^2+(Tabela1[[#This Row],[ID2]])+ROW()</f>
        <v>172691</v>
      </c>
      <c r="C415" s="787">
        <v>51</v>
      </c>
      <c r="D415" s="774" t="s">
        <v>1256</v>
      </c>
      <c r="E415" s="788" t="s">
        <v>1264</v>
      </c>
      <c r="F415" s="788" t="s">
        <v>1261</v>
      </c>
      <c r="G415" s="788">
        <v>50</v>
      </c>
      <c r="H415" s="788" t="s">
        <v>1</v>
      </c>
      <c r="I415" s="789" t="s">
        <v>42</v>
      </c>
      <c r="J415" s="787" t="s">
        <v>42</v>
      </c>
      <c r="K415" s="787" t="s">
        <v>42</v>
      </c>
      <c r="L415" s="790">
        <v>250</v>
      </c>
      <c r="M415" s="778">
        <v>1.39</v>
      </c>
      <c r="N415" s="780">
        <v>1000</v>
      </c>
      <c r="O415" s="780">
        <v>1000</v>
      </c>
      <c r="P415" s="791">
        <v>100</v>
      </c>
      <c r="Q415" s="791">
        <v>100</v>
      </c>
      <c r="R415" s="792">
        <v>97.3</v>
      </c>
      <c r="S415" s="791">
        <v>100</v>
      </c>
      <c r="T415" s="791">
        <v>100</v>
      </c>
      <c r="U415" s="791">
        <v>1390</v>
      </c>
      <c r="V415" s="791">
        <v>25.02</v>
      </c>
      <c r="W415" s="791">
        <v>41.699999999999996</v>
      </c>
      <c r="X415" s="791">
        <v>5.56</v>
      </c>
      <c r="Y415" s="791">
        <v>34.75</v>
      </c>
      <c r="Z415" s="791">
        <v>1042.5</v>
      </c>
      <c r="AA415" s="791">
        <v>695</v>
      </c>
      <c r="AB415" s="791">
        <v>1390</v>
      </c>
      <c r="AC415" s="791">
        <v>69.5</v>
      </c>
      <c r="AD415" s="791">
        <v>13.899999999999999</v>
      </c>
      <c r="AE415" s="791">
        <v>2.78</v>
      </c>
      <c r="AF415" s="791"/>
      <c r="AG415" s="791"/>
      <c r="AH415" s="791"/>
      <c r="AI415" s="784"/>
      <c r="AK415" s="783">
        <f>IFERROR(Tabela1[[#This Row],[EE(g)]]/Tabela1[[#This Row],[CMS(kg)]],0)</f>
        <v>70</v>
      </c>
    </row>
    <row r="416" spans="2:37" hidden="1">
      <c r="B416" s="774">
        <f>ROW()^2+(Tabela1[[#This Row],[ID2]])+ROW()</f>
        <v>173524</v>
      </c>
      <c r="C416" s="787">
        <v>52</v>
      </c>
      <c r="D416" s="774" t="s">
        <v>1256</v>
      </c>
      <c r="E416" s="788" t="s">
        <v>1264</v>
      </c>
      <c r="F416" s="788" t="s">
        <v>1261</v>
      </c>
      <c r="G416" s="788">
        <v>50</v>
      </c>
      <c r="H416" s="788" t="s">
        <v>1</v>
      </c>
      <c r="I416" s="789" t="s">
        <v>42</v>
      </c>
      <c r="J416" s="787" t="s">
        <v>42</v>
      </c>
      <c r="K416" s="787" t="s">
        <v>42</v>
      </c>
      <c r="L416" s="790">
        <v>300</v>
      </c>
      <c r="M416" s="778">
        <v>1.5650000000000002</v>
      </c>
      <c r="N416" s="780">
        <v>1000</v>
      </c>
      <c r="O416" s="780">
        <v>1000</v>
      </c>
      <c r="P416" s="791">
        <v>100</v>
      </c>
      <c r="Q416" s="791">
        <v>100</v>
      </c>
      <c r="R416" s="792">
        <v>109.60000000000001</v>
      </c>
      <c r="S416" s="791">
        <v>100</v>
      </c>
      <c r="T416" s="791">
        <v>100</v>
      </c>
      <c r="U416" s="791">
        <v>1565.0000000000002</v>
      </c>
      <c r="V416" s="791">
        <v>28.17</v>
      </c>
      <c r="W416" s="791">
        <v>46.95</v>
      </c>
      <c r="X416" s="791">
        <v>6.2600000000000007</v>
      </c>
      <c r="Y416" s="791">
        <v>39.125000000000007</v>
      </c>
      <c r="Z416" s="791">
        <v>1173.7500000000002</v>
      </c>
      <c r="AA416" s="791">
        <v>782.50000000000011</v>
      </c>
      <c r="AB416" s="791">
        <v>1565.0000000000002</v>
      </c>
      <c r="AC416" s="791">
        <v>78.250000000000014</v>
      </c>
      <c r="AD416" s="791">
        <v>15.650000000000002</v>
      </c>
      <c r="AE416" s="791">
        <v>3.1300000000000003</v>
      </c>
      <c r="AF416" s="791"/>
      <c r="AG416" s="791"/>
      <c r="AH416" s="791"/>
      <c r="AI416" s="784"/>
      <c r="AK416" s="783">
        <f>IFERROR(Tabela1[[#This Row],[EE(g)]]/Tabela1[[#This Row],[CMS(kg)]],0)</f>
        <v>70.031948881789134</v>
      </c>
    </row>
    <row r="417" spans="2:37" hidden="1">
      <c r="B417" s="774">
        <f>ROW()^2+(Tabela1[[#This Row],[ID2]])+ROW()</f>
        <v>174359</v>
      </c>
      <c r="C417" s="787">
        <v>53</v>
      </c>
      <c r="D417" s="774" t="s">
        <v>1256</v>
      </c>
      <c r="E417" s="788" t="s">
        <v>1264</v>
      </c>
      <c r="F417" s="788" t="s">
        <v>1261</v>
      </c>
      <c r="G417" s="788">
        <v>50</v>
      </c>
      <c r="H417" s="788" t="s">
        <v>1</v>
      </c>
      <c r="I417" s="789" t="s">
        <v>42</v>
      </c>
      <c r="J417" s="787" t="s">
        <v>42</v>
      </c>
      <c r="K417" s="787" t="s">
        <v>42</v>
      </c>
      <c r="L417" s="790">
        <v>400</v>
      </c>
      <c r="M417" s="778">
        <v>1.925</v>
      </c>
      <c r="N417" s="780">
        <v>1000</v>
      </c>
      <c r="O417" s="780">
        <v>1000</v>
      </c>
      <c r="P417" s="791">
        <v>100</v>
      </c>
      <c r="Q417" s="791">
        <v>100</v>
      </c>
      <c r="R417" s="792">
        <v>134.80000000000001</v>
      </c>
      <c r="S417" s="791">
        <v>100</v>
      </c>
      <c r="T417" s="791">
        <v>100</v>
      </c>
      <c r="U417" s="791">
        <v>1925</v>
      </c>
      <c r="V417" s="791">
        <v>34.65</v>
      </c>
      <c r="W417" s="791">
        <v>57.75</v>
      </c>
      <c r="X417" s="791">
        <v>7.7</v>
      </c>
      <c r="Y417" s="791">
        <v>48.125</v>
      </c>
      <c r="Z417" s="791">
        <v>1443.75</v>
      </c>
      <c r="AA417" s="791">
        <v>962.5</v>
      </c>
      <c r="AB417" s="791">
        <v>1925</v>
      </c>
      <c r="AC417" s="791">
        <v>96.25</v>
      </c>
      <c r="AD417" s="791">
        <v>19.25</v>
      </c>
      <c r="AE417" s="791">
        <v>3.85</v>
      </c>
      <c r="AF417" s="791"/>
      <c r="AG417" s="791"/>
      <c r="AH417" s="791"/>
      <c r="AI417" s="784"/>
      <c r="AK417" s="783">
        <f>IFERROR(Tabela1[[#This Row],[EE(g)]]/Tabela1[[#This Row],[CMS(kg)]],0)</f>
        <v>70.025974025974037</v>
      </c>
    </row>
    <row r="418" spans="2:37" hidden="1">
      <c r="B418" s="774">
        <f>ROW()^2+(Tabela1[[#This Row],[ID2]])+ROW()</f>
        <v>175196</v>
      </c>
      <c r="C418" s="787">
        <v>54</v>
      </c>
      <c r="D418" s="774" t="s">
        <v>1256</v>
      </c>
      <c r="E418" s="788" t="s">
        <v>1264</v>
      </c>
      <c r="F418" s="788" t="s">
        <v>1261</v>
      </c>
      <c r="G418" s="788">
        <v>50</v>
      </c>
      <c r="H418" s="788" t="s">
        <v>1</v>
      </c>
      <c r="I418" s="789" t="s">
        <v>42</v>
      </c>
      <c r="J418" s="787" t="s">
        <v>42</v>
      </c>
      <c r="K418" s="787" t="s">
        <v>42</v>
      </c>
      <c r="L418" s="790">
        <v>500</v>
      </c>
      <c r="M418" s="778">
        <v>1.6950000000000001</v>
      </c>
      <c r="N418" s="780">
        <v>1000</v>
      </c>
      <c r="O418" s="780">
        <v>1000</v>
      </c>
      <c r="P418" s="791">
        <v>100</v>
      </c>
      <c r="Q418" s="791">
        <v>100</v>
      </c>
      <c r="R418" s="792">
        <v>118.6</v>
      </c>
      <c r="S418" s="791">
        <v>100</v>
      </c>
      <c r="T418" s="791">
        <v>100</v>
      </c>
      <c r="U418" s="791">
        <v>1695</v>
      </c>
      <c r="V418" s="791">
        <v>30.51</v>
      </c>
      <c r="W418" s="791">
        <v>50.85</v>
      </c>
      <c r="X418" s="791">
        <v>6.78</v>
      </c>
      <c r="Y418" s="791">
        <v>42.375</v>
      </c>
      <c r="Z418" s="791">
        <v>1271.25</v>
      </c>
      <c r="AA418" s="791">
        <v>847.5</v>
      </c>
      <c r="AB418" s="791">
        <v>1695</v>
      </c>
      <c r="AC418" s="791">
        <v>84.75</v>
      </c>
      <c r="AD418" s="791">
        <v>16.95</v>
      </c>
      <c r="AE418" s="791">
        <v>3.39</v>
      </c>
      <c r="AF418" s="791"/>
      <c r="AG418" s="791"/>
      <c r="AH418" s="791"/>
      <c r="AI418" s="784"/>
      <c r="AK418" s="783">
        <f>IFERROR(Tabela1[[#This Row],[EE(g)]]/Tabela1[[#This Row],[CMS(kg)]],0)</f>
        <v>69.970501474926252</v>
      </c>
    </row>
    <row r="419" spans="2:37" hidden="1">
      <c r="B419" s="774">
        <f>ROW()^2+(Tabela1[[#This Row],[ID2]])+ROW()</f>
        <v>176035</v>
      </c>
      <c r="C419" s="787">
        <v>55</v>
      </c>
      <c r="D419" s="774" t="s">
        <v>1256</v>
      </c>
      <c r="E419" s="788" t="s">
        <v>1264</v>
      </c>
      <c r="F419" s="788" t="s">
        <v>1261</v>
      </c>
      <c r="G419" s="788">
        <v>50</v>
      </c>
      <c r="H419" s="788" t="s">
        <v>1</v>
      </c>
      <c r="I419" s="789" t="s">
        <v>42</v>
      </c>
      <c r="J419" s="787" t="s">
        <v>42</v>
      </c>
      <c r="K419" s="787" t="s">
        <v>42</v>
      </c>
      <c r="L419" s="790">
        <v>600</v>
      </c>
      <c r="M419" s="778">
        <v>1.95</v>
      </c>
      <c r="N419" s="780">
        <v>1000</v>
      </c>
      <c r="O419" s="780">
        <v>1000</v>
      </c>
      <c r="P419" s="791">
        <v>100</v>
      </c>
      <c r="Q419" s="791">
        <v>100</v>
      </c>
      <c r="R419" s="792">
        <v>136.5</v>
      </c>
      <c r="S419" s="791">
        <v>100</v>
      </c>
      <c r="T419" s="791">
        <v>100</v>
      </c>
      <c r="U419" s="791">
        <v>1950</v>
      </c>
      <c r="V419" s="791">
        <v>35.1</v>
      </c>
      <c r="W419" s="791">
        <v>58.5</v>
      </c>
      <c r="X419" s="791">
        <v>7.8</v>
      </c>
      <c r="Y419" s="791">
        <v>48.75</v>
      </c>
      <c r="Z419" s="791">
        <v>1462.5</v>
      </c>
      <c r="AA419" s="791">
        <v>975</v>
      </c>
      <c r="AB419" s="791">
        <v>1950</v>
      </c>
      <c r="AC419" s="791">
        <v>97.5</v>
      </c>
      <c r="AD419" s="791">
        <v>19.5</v>
      </c>
      <c r="AE419" s="791">
        <v>3.9</v>
      </c>
      <c r="AF419" s="791"/>
      <c r="AG419" s="791"/>
      <c r="AH419" s="791"/>
      <c r="AI419" s="784"/>
      <c r="AK419" s="783">
        <f>IFERROR(Tabela1[[#This Row],[EE(g)]]/Tabela1[[#This Row],[CMS(kg)]],0)</f>
        <v>70</v>
      </c>
    </row>
    <row r="420" spans="2:37" hidden="1">
      <c r="B420" s="774">
        <f>ROW()^2+(Tabela1[[#This Row],[ID2]])+ROW()</f>
        <v>176876</v>
      </c>
      <c r="C420" s="787">
        <v>56</v>
      </c>
      <c r="D420" s="774" t="s">
        <v>1256</v>
      </c>
      <c r="E420" s="788" t="s">
        <v>1264</v>
      </c>
      <c r="F420" s="788" t="s">
        <v>1261</v>
      </c>
      <c r="G420" s="788">
        <v>60</v>
      </c>
      <c r="H420" s="788" t="s">
        <v>1</v>
      </c>
      <c r="I420" s="789" t="s">
        <v>42</v>
      </c>
      <c r="J420" s="787" t="s">
        <v>42</v>
      </c>
      <c r="K420" s="787" t="s">
        <v>42</v>
      </c>
      <c r="L420" s="790">
        <v>250</v>
      </c>
      <c r="M420" s="778">
        <v>2.3220000000000001</v>
      </c>
      <c r="N420" s="780">
        <v>1000</v>
      </c>
      <c r="O420" s="780">
        <v>1000</v>
      </c>
      <c r="P420" s="791">
        <v>100</v>
      </c>
      <c r="Q420" s="791">
        <v>100</v>
      </c>
      <c r="R420" s="792">
        <v>162.5</v>
      </c>
      <c r="S420" s="791">
        <v>100</v>
      </c>
      <c r="T420" s="791">
        <v>100</v>
      </c>
      <c r="U420" s="791">
        <v>2322</v>
      </c>
      <c r="V420" s="791">
        <v>41.795999999999999</v>
      </c>
      <c r="W420" s="791">
        <v>69.66</v>
      </c>
      <c r="X420" s="791">
        <v>9.2880000000000003</v>
      </c>
      <c r="Y420" s="791">
        <v>58.050000000000004</v>
      </c>
      <c r="Z420" s="791">
        <v>1741.5</v>
      </c>
      <c r="AA420" s="791">
        <v>1161</v>
      </c>
      <c r="AB420" s="791">
        <v>2322</v>
      </c>
      <c r="AC420" s="791">
        <v>116.10000000000001</v>
      </c>
      <c r="AD420" s="791">
        <v>23.22</v>
      </c>
      <c r="AE420" s="791">
        <v>4.6440000000000001</v>
      </c>
      <c r="AF420" s="791"/>
      <c r="AG420" s="791"/>
      <c r="AH420" s="791"/>
      <c r="AI420" s="784"/>
      <c r="AK420" s="783">
        <f>IFERROR(Tabela1[[#This Row],[EE(g)]]/Tabela1[[#This Row],[CMS(kg)]],0)</f>
        <v>69.982773471145563</v>
      </c>
    </row>
    <row r="421" spans="2:37" hidden="1">
      <c r="B421" s="774">
        <f>ROW()^2+(Tabela1[[#This Row],[ID2]])+ROW()</f>
        <v>177719</v>
      </c>
      <c r="C421" s="787">
        <v>57</v>
      </c>
      <c r="D421" s="774" t="s">
        <v>1256</v>
      </c>
      <c r="E421" s="788" t="s">
        <v>1264</v>
      </c>
      <c r="F421" s="788" t="s">
        <v>1261</v>
      </c>
      <c r="G421" s="788">
        <v>60</v>
      </c>
      <c r="H421" s="788" t="s">
        <v>1</v>
      </c>
      <c r="I421" s="789" t="s">
        <v>42</v>
      </c>
      <c r="J421" s="787" t="s">
        <v>42</v>
      </c>
      <c r="K421" s="787" t="s">
        <v>42</v>
      </c>
      <c r="L421" s="790">
        <v>300</v>
      </c>
      <c r="M421" s="778">
        <v>1.6559999999999999</v>
      </c>
      <c r="N421" s="780">
        <v>1000</v>
      </c>
      <c r="O421" s="780">
        <v>1000</v>
      </c>
      <c r="P421" s="791">
        <v>100</v>
      </c>
      <c r="Q421" s="791">
        <v>100</v>
      </c>
      <c r="R421" s="792">
        <v>115.9</v>
      </c>
      <c r="S421" s="791">
        <v>100</v>
      </c>
      <c r="T421" s="791">
        <v>100</v>
      </c>
      <c r="U421" s="791">
        <v>1656</v>
      </c>
      <c r="V421" s="791">
        <v>29.808</v>
      </c>
      <c r="W421" s="791">
        <v>49.68</v>
      </c>
      <c r="X421" s="791">
        <v>6.6239999999999997</v>
      </c>
      <c r="Y421" s="791">
        <v>41.4</v>
      </c>
      <c r="Z421" s="791">
        <v>1242</v>
      </c>
      <c r="AA421" s="791">
        <v>828</v>
      </c>
      <c r="AB421" s="791">
        <v>1656</v>
      </c>
      <c r="AC421" s="791">
        <v>82.8</v>
      </c>
      <c r="AD421" s="791">
        <v>16.559999999999999</v>
      </c>
      <c r="AE421" s="791">
        <v>3.3119999999999998</v>
      </c>
      <c r="AF421" s="791"/>
      <c r="AG421" s="791"/>
      <c r="AH421" s="791"/>
      <c r="AI421" s="784"/>
      <c r="AK421" s="783">
        <f>IFERROR(Tabela1[[#This Row],[EE(g)]]/Tabela1[[#This Row],[CMS(kg)]],0)</f>
        <v>69.98792270531402</v>
      </c>
    </row>
    <row r="422" spans="2:37" hidden="1">
      <c r="B422" s="774">
        <f>ROW()^2+(Tabela1[[#This Row],[ID2]])+ROW()</f>
        <v>178564</v>
      </c>
      <c r="C422" s="787">
        <v>58</v>
      </c>
      <c r="D422" s="774" t="s">
        <v>1256</v>
      </c>
      <c r="E422" s="788" t="s">
        <v>1264</v>
      </c>
      <c r="F422" s="788" t="s">
        <v>1261</v>
      </c>
      <c r="G422" s="788">
        <v>60</v>
      </c>
      <c r="H422" s="788" t="s">
        <v>1</v>
      </c>
      <c r="I422" s="789" t="s">
        <v>42</v>
      </c>
      <c r="J422" s="787" t="s">
        <v>42</v>
      </c>
      <c r="K422" s="787" t="s">
        <v>42</v>
      </c>
      <c r="L422" s="790">
        <v>400</v>
      </c>
      <c r="M422" s="778">
        <v>2.016</v>
      </c>
      <c r="N422" s="780">
        <v>1000</v>
      </c>
      <c r="O422" s="780">
        <v>1000</v>
      </c>
      <c r="P422" s="791">
        <v>100</v>
      </c>
      <c r="Q422" s="791">
        <v>100</v>
      </c>
      <c r="R422" s="792">
        <v>141.1</v>
      </c>
      <c r="S422" s="791">
        <v>100</v>
      </c>
      <c r="T422" s="791">
        <v>100</v>
      </c>
      <c r="U422" s="791">
        <v>2016</v>
      </c>
      <c r="V422" s="791">
        <v>36.287999999999997</v>
      </c>
      <c r="W422" s="791">
        <v>60.480000000000004</v>
      </c>
      <c r="X422" s="791">
        <v>8.0640000000000001</v>
      </c>
      <c r="Y422" s="791">
        <v>50.4</v>
      </c>
      <c r="Z422" s="791">
        <v>1512</v>
      </c>
      <c r="AA422" s="791">
        <v>1008</v>
      </c>
      <c r="AB422" s="791">
        <v>2016</v>
      </c>
      <c r="AC422" s="791">
        <v>100.8</v>
      </c>
      <c r="AD422" s="791">
        <v>20.16</v>
      </c>
      <c r="AE422" s="791">
        <v>4.032</v>
      </c>
      <c r="AF422" s="791"/>
      <c r="AG422" s="791"/>
      <c r="AH422" s="791"/>
      <c r="AI422" s="784"/>
      <c r="AK422" s="783">
        <f>IFERROR(Tabela1[[#This Row],[EE(g)]]/Tabela1[[#This Row],[CMS(kg)]],0)</f>
        <v>69.990079365079367</v>
      </c>
    </row>
    <row r="423" spans="2:37" hidden="1">
      <c r="B423" s="774">
        <f>ROW()^2+(Tabela1[[#This Row],[ID2]])+ROW()</f>
        <v>179411</v>
      </c>
      <c r="C423" s="787">
        <v>59</v>
      </c>
      <c r="D423" s="774" t="s">
        <v>1256</v>
      </c>
      <c r="E423" s="788" t="s">
        <v>1264</v>
      </c>
      <c r="F423" s="788" t="s">
        <v>1261</v>
      </c>
      <c r="G423" s="788">
        <v>60</v>
      </c>
      <c r="H423" s="788" t="s">
        <v>1</v>
      </c>
      <c r="I423" s="789" t="s">
        <v>42</v>
      </c>
      <c r="J423" s="787" t="s">
        <v>42</v>
      </c>
      <c r="K423" s="787" t="s">
        <v>42</v>
      </c>
      <c r="L423" s="790">
        <v>500</v>
      </c>
      <c r="M423" s="778">
        <v>2.3820000000000001</v>
      </c>
      <c r="N423" s="780">
        <v>1000</v>
      </c>
      <c r="O423" s="780">
        <v>1000</v>
      </c>
      <c r="P423" s="791">
        <v>100</v>
      </c>
      <c r="Q423" s="791">
        <v>100</v>
      </c>
      <c r="R423" s="792">
        <v>166.7</v>
      </c>
      <c r="S423" s="791">
        <v>100</v>
      </c>
      <c r="T423" s="791">
        <v>100</v>
      </c>
      <c r="U423" s="791">
        <v>2382</v>
      </c>
      <c r="V423" s="791">
        <v>42.876000000000005</v>
      </c>
      <c r="W423" s="791">
        <v>71.460000000000008</v>
      </c>
      <c r="X423" s="791">
        <v>9.5280000000000005</v>
      </c>
      <c r="Y423" s="791">
        <v>59.550000000000004</v>
      </c>
      <c r="Z423" s="791">
        <v>1786.5</v>
      </c>
      <c r="AA423" s="791">
        <v>1191</v>
      </c>
      <c r="AB423" s="791">
        <v>2382</v>
      </c>
      <c r="AC423" s="791">
        <v>119.10000000000001</v>
      </c>
      <c r="AD423" s="791">
        <v>23.82</v>
      </c>
      <c r="AE423" s="791">
        <v>4.7640000000000002</v>
      </c>
      <c r="AF423" s="791"/>
      <c r="AG423" s="791"/>
      <c r="AH423" s="791"/>
      <c r="AI423" s="784"/>
      <c r="AK423" s="783">
        <f>IFERROR(Tabela1[[#This Row],[EE(g)]]/Tabela1[[#This Row],[CMS(kg)]],0)</f>
        <v>69.983207388748937</v>
      </c>
    </row>
    <row r="424" spans="2:37" hidden="1">
      <c r="B424" s="774">
        <f>ROW()^2+(Tabela1[[#This Row],[ID2]])+ROW()</f>
        <v>180260</v>
      </c>
      <c r="C424" s="787">
        <v>60</v>
      </c>
      <c r="D424" s="774" t="s">
        <v>1256</v>
      </c>
      <c r="E424" s="788" t="s">
        <v>1264</v>
      </c>
      <c r="F424" s="788" t="s">
        <v>1261</v>
      </c>
      <c r="G424" s="788">
        <v>60</v>
      </c>
      <c r="H424" s="788" t="s">
        <v>1</v>
      </c>
      <c r="I424" s="789" t="s">
        <v>42</v>
      </c>
      <c r="J424" s="787" t="s">
        <v>42</v>
      </c>
      <c r="K424" s="787" t="s">
        <v>42</v>
      </c>
      <c r="L424" s="790">
        <v>600</v>
      </c>
      <c r="M424" s="778">
        <v>2.0339999999999998</v>
      </c>
      <c r="N424" s="780">
        <v>1000</v>
      </c>
      <c r="O424" s="780">
        <v>1000</v>
      </c>
      <c r="P424" s="791">
        <v>100</v>
      </c>
      <c r="Q424" s="791">
        <v>100</v>
      </c>
      <c r="R424" s="792">
        <v>142.4</v>
      </c>
      <c r="S424" s="791">
        <v>100</v>
      </c>
      <c r="T424" s="791">
        <v>100</v>
      </c>
      <c r="U424" s="791">
        <v>2033.9999999999998</v>
      </c>
      <c r="V424" s="791">
        <v>36.611999999999995</v>
      </c>
      <c r="W424" s="791">
        <v>61.019999999999996</v>
      </c>
      <c r="X424" s="791">
        <v>8.1359999999999992</v>
      </c>
      <c r="Y424" s="791">
        <v>50.849999999999994</v>
      </c>
      <c r="Z424" s="791">
        <v>1525.4999999999998</v>
      </c>
      <c r="AA424" s="791">
        <v>1016.9999999999999</v>
      </c>
      <c r="AB424" s="791">
        <v>2033.9999999999998</v>
      </c>
      <c r="AC424" s="791">
        <v>101.69999999999999</v>
      </c>
      <c r="AD424" s="791">
        <v>20.339999999999996</v>
      </c>
      <c r="AE424" s="791">
        <v>4.0679999999999996</v>
      </c>
      <c r="AF424" s="791"/>
      <c r="AG424" s="791"/>
      <c r="AH424" s="791"/>
      <c r="AI424" s="784"/>
      <c r="AK424" s="783">
        <f>IFERROR(Tabela1[[#This Row],[EE(g)]]/Tabela1[[#This Row],[CMS(kg)]],0)</f>
        <v>70.009832841691264</v>
      </c>
    </row>
    <row r="425" spans="2:37" hidden="1">
      <c r="B425" s="774">
        <f>ROW()^2+(Tabela1[[#This Row],[ID2]])+ROW()</f>
        <v>181111</v>
      </c>
      <c r="C425" s="787">
        <v>61</v>
      </c>
      <c r="D425" s="774" t="s">
        <v>1256</v>
      </c>
      <c r="E425" s="788" t="s">
        <v>1264</v>
      </c>
      <c r="F425" s="788" t="s">
        <v>1261</v>
      </c>
      <c r="G425" s="788">
        <v>70</v>
      </c>
      <c r="H425" s="788" t="s">
        <v>1</v>
      </c>
      <c r="I425" s="789" t="s">
        <v>42</v>
      </c>
      <c r="J425" s="787" t="s">
        <v>42</v>
      </c>
      <c r="K425" s="787" t="s">
        <v>42</v>
      </c>
      <c r="L425" s="790">
        <v>150</v>
      </c>
      <c r="M425" s="778">
        <v>1.778</v>
      </c>
      <c r="N425" s="780">
        <v>1000</v>
      </c>
      <c r="O425" s="780">
        <v>1000</v>
      </c>
      <c r="P425" s="791">
        <v>100</v>
      </c>
      <c r="Q425" s="791">
        <v>100</v>
      </c>
      <c r="R425" s="792">
        <v>124.5</v>
      </c>
      <c r="S425" s="791">
        <v>100</v>
      </c>
      <c r="T425" s="791">
        <v>100</v>
      </c>
      <c r="U425" s="791">
        <v>1778</v>
      </c>
      <c r="V425" s="791">
        <v>32.003999999999998</v>
      </c>
      <c r="W425" s="791">
        <v>53.34</v>
      </c>
      <c r="X425" s="791">
        <v>7.1120000000000001</v>
      </c>
      <c r="Y425" s="791">
        <v>44.45</v>
      </c>
      <c r="Z425" s="791">
        <v>1333.5</v>
      </c>
      <c r="AA425" s="791">
        <v>889</v>
      </c>
      <c r="AB425" s="791">
        <v>1778</v>
      </c>
      <c r="AC425" s="791">
        <v>88.9</v>
      </c>
      <c r="AD425" s="791">
        <v>17.78</v>
      </c>
      <c r="AE425" s="791">
        <v>3.556</v>
      </c>
      <c r="AF425" s="791"/>
      <c r="AG425" s="791"/>
      <c r="AH425" s="791"/>
      <c r="AI425" s="784"/>
      <c r="AK425" s="783">
        <f>IFERROR(Tabela1[[#This Row],[EE(g)]]/Tabela1[[#This Row],[CMS(kg)]],0)</f>
        <v>70.022497187851513</v>
      </c>
    </row>
    <row r="426" spans="2:37" hidden="1">
      <c r="B426" s="774">
        <f>ROW()^2+(Tabela1[[#This Row],[ID2]])+ROW()</f>
        <v>181964</v>
      </c>
      <c r="C426" s="787">
        <v>62</v>
      </c>
      <c r="D426" s="774" t="s">
        <v>1256</v>
      </c>
      <c r="E426" s="788" t="s">
        <v>1264</v>
      </c>
      <c r="F426" s="788" t="s">
        <v>1261</v>
      </c>
      <c r="G426" s="788">
        <v>70</v>
      </c>
      <c r="H426" s="788" t="s">
        <v>1</v>
      </c>
      <c r="I426" s="789" t="s">
        <v>42</v>
      </c>
      <c r="J426" s="787" t="s">
        <v>42</v>
      </c>
      <c r="K426" s="787" t="s">
        <v>42</v>
      </c>
      <c r="L426" s="790">
        <v>200</v>
      </c>
      <c r="M426" s="778">
        <v>2.1069999999999998</v>
      </c>
      <c r="N426" s="780">
        <v>1000</v>
      </c>
      <c r="O426" s="780">
        <v>1000</v>
      </c>
      <c r="P426" s="791">
        <v>100</v>
      </c>
      <c r="Q426" s="791">
        <v>100</v>
      </c>
      <c r="R426" s="792">
        <v>147.5</v>
      </c>
      <c r="S426" s="791">
        <v>100</v>
      </c>
      <c r="T426" s="791">
        <v>100</v>
      </c>
      <c r="U426" s="791">
        <v>2106.9999999999995</v>
      </c>
      <c r="V426" s="791">
        <v>37.925999999999995</v>
      </c>
      <c r="W426" s="791">
        <v>63.209999999999994</v>
      </c>
      <c r="X426" s="791">
        <v>8.427999999999999</v>
      </c>
      <c r="Y426" s="791">
        <v>52.674999999999997</v>
      </c>
      <c r="Z426" s="791">
        <v>1580.2499999999998</v>
      </c>
      <c r="AA426" s="791">
        <v>1053.4999999999998</v>
      </c>
      <c r="AB426" s="791">
        <v>2106.9999999999995</v>
      </c>
      <c r="AC426" s="791">
        <v>105.35</v>
      </c>
      <c r="AD426" s="791">
        <v>21.069999999999997</v>
      </c>
      <c r="AE426" s="791">
        <v>4.2139999999999995</v>
      </c>
      <c r="AF426" s="791"/>
      <c r="AG426" s="791"/>
      <c r="AH426" s="791"/>
      <c r="AI426" s="784"/>
      <c r="AK426" s="783">
        <f>IFERROR(Tabela1[[#This Row],[EE(g)]]/Tabela1[[#This Row],[CMS(kg)]],0)</f>
        <v>70.004746084480317</v>
      </c>
    </row>
    <row r="427" spans="2:37" hidden="1">
      <c r="B427" s="774">
        <f>ROW()^2+(Tabela1[[#This Row],[ID2]])+ROW()</f>
        <v>182819</v>
      </c>
      <c r="C427" s="787">
        <v>63</v>
      </c>
      <c r="D427" s="774" t="s">
        <v>1256</v>
      </c>
      <c r="E427" s="788" t="s">
        <v>1264</v>
      </c>
      <c r="F427" s="788" t="s">
        <v>1261</v>
      </c>
      <c r="G427" s="788">
        <v>70</v>
      </c>
      <c r="H427" s="788" t="s">
        <v>1</v>
      </c>
      <c r="I427" s="789" t="s">
        <v>42</v>
      </c>
      <c r="J427" s="787" t="s">
        <v>42</v>
      </c>
      <c r="K427" s="787" t="s">
        <v>42</v>
      </c>
      <c r="L427" s="790">
        <v>300</v>
      </c>
      <c r="M427" s="778">
        <v>2.758</v>
      </c>
      <c r="N427" s="780">
        <v>1000</v>
      </c>
      <c r="O427" s="780">
        <v>1000</v>
      </c>
      <c r="P427" s="791">
        <v>100</v>
      </c>
      <c r="Q427" s="791">
        <v>100</v>
      </c>
      <c r="R427" s="792">
        <v>193.1</v>
      </c>
      <c r="S427" s="791">
        <v>100</v>
      </c>
      <c r="T427" s="791">
        <v>100</v>
      </c>
      <c r="U427" s="791">
        <v>2758</v>
      </c>
      <c r="V427" s="791">
        <v>49.643999999999998</v>
      </c>
      <c r="W427" s="791">
        <v>82.74</v>
      </c>
      <c r="X427" s="791">
        <v>11.032</v>
      </c>
      <c r="Y427" s="791">
        <v>68.95</v>
      </c>
      <c r="Z427" s="791">
        <v>2068.5</v>
      </c>
      <c r="AA427" s="791">
        <v>1379</v>
      </c>
      <c r="AB427" s="791">
        <v>2758</v>
      </c>
      <c r="AC427" s="791">
        <v>137.9</v>
      </c>
      <c r="AD427" s="791">
        <v>27.58</v>
      </c>
      <c r="AE427" s="791">
        <v>5.516</v>
      </c>
      <c r="AF427" s="791"/>
      <c r="AG427" s="791"/>
      <c r="AH427" s="791"/>
      <c r="AI427" s="784"/>
      <c r="AK427" s="783">
        <f>IFERROR(Tabela1[[#This Row],[EE(g)]]/Tabela1[[#This Row],[CMS(kg)]],0)</f>
        <v>70.014503263234232</v>
      </c>
    </row>
    <row r="428" spans="2:37" hidden="1">
      <c r="B428" s="774">
        <f>ROW()^2+(Tabela1[[#This Row],[ID2]])+ROW()</f>
        <v>183676</v>
      </c>
      <c r="C428" s="787">
        <v>64</v>
      </c>
      <c r="D428" s="774" t="s">
        <v>1256</v>
      </c>
      <c r="E428" s="788" t="s">
        <v>1264</v>
      </c>
      <c r="F428" s="788" t="s">
        <v>1261</v>
      </c>
      <c r="G428" s="788">
        <v>70</v>
      </c>
      <c r="H428" s="788" t="s">
        <v>1</v>
      </c>
      <c r="I428" s="789" t="s">
        <v>42</v>
      </c>
      <c r="J428" s="787" t="s">
        <v>42</v>
      </c>
      <c r="K428" s="787" t="s">
        <v>42</v>
      </c>
      <c r="L428" s="790">
        <v>400</v>
      </c>
      <c r="M428" s="778">
        <v>2.1069999999999998</v>
      </c>
      <c r="N428" s="780">
        <v>1000</v>
      </c>
      <c r="O428" s="780">
        <v>1000</v>
      </c>
      <c r="P428" s="791">
        <v>100</v>
      </c>
      <c r="Q428" s="791">
        <v>100</v>
      </c>
      <c r="R428" s="792">
        <v>147.5</v>
      </c>
      <c r="S428" s="791">
        <v>100</v>
      </c>
      <c r="T428" s="791">
        <v>100</v>
      </c>
      <c r="U428" s="791">
        <v>2106.9999999999995</v>
      </c>
      <c r="V428" s="791">
        <v>37.925999999999995</v>
      </c>
      <c r="W428" s="791">
        <v>63.209999999999994</v>
      </c>
      <c r="X428" s="791">
        <v>8.427999999999999</v>
      </c>
      <c r="Y428" s="791">
        <v>52.674999999999997</v>
      </c>
      <c r="Z428" s="791">
        <v>1580.2499999999998</v>
      </c>
      <c r="AA428" s="791">
        <v>1053.4999999999998</v>
      </c>
      <c r="AB428" s="791">
        <v>2106.9999999999995</v>
      </c>
      <c r="AC428" s="791">
        <v>105.35</v>
      </c>
      <c r="AD428" s="791">
        <v>21.069999999999997</v>
      </c>
      <c r="AE428" s="791">
        <v>4.2139999999999995</v>
      </c>
      <c r="AF428" s="791"/>
      <c r="AG428" s="791"/>
      <c r="AH428" s="791"/>
      <c r="AI428" s="784"/>
      <c r="AK428" s="783">
        <f>IFERROR(Tabela1[[#This Row],[EE(g)]]/Tabela1[[#This Row],[CMS(kg)]],0)</f>
        <v>70.004746084480317</v>
      </c>
    </row>
    <row r="429" spans="2:37" hidden="1">
      <c r="B429" s="774">
        <f>ROW()^2+(Tabela1[[#This Row],[ID2]])+ROW()</f>
        <v>184535</v>
      </c>
      <c r="C429" s="787">
        <v>65</v>
      </c>
      <c r="D429" s="774" t="s">
        <v>1256</v>
      </c>
      <c r="E429" s="788" t="s">
        <v>1264</v>
      </c>
      <c r="F429" s="788" t="s">
        <v>1261</v>
      </c>
      <c r="G429" s="788">
        <v>70</v>
      </c>
      <c r="H429" s="788" t="s">
        <v>1</v>
      </c>
      <c r="I429" s="789" t="s">
        <v>42</v>
      </c>
      <c r="J429" s="787" t="s">
        <v>42</v>
      </c>
      <c r="K429" s="787" t="s">
        <v>42</v>
      </c>
      <c r="L429" s="790">
        <v>500</v>
      </c>
      <c r="M429" s="778">
        <v>2.4710000000000001</v>
      </c>
      <c r="N429" s="780">
        <v>1000</v>
      </c>
      <c r="O429" s="780">
        <v>1000</v>
      </c>
      <c r="P429" s="791">
        <v>100</v>
      </c>
      <c r="Q429" s="791">
        <v>100</v>
      </c>
      <c r="R429" s="792">
        <v>173</v>
      </c>
      <c r="S429" s="791">
        <v>100</v>
      </c>
      <c r="T429" s="791">
        <v>100</v>
      </c>
      <c r="U429" s="791">
        <v>2471</v>
      </c>
      <c r="V429" s="791">
        <v>44.478000000000002</v>
      </c>
      <c r="W429" s="791">
        <v>74.13</v>
      </c>
      <c r="X429" s="791">
        <v>9.8840000000000003</v>
      </c>
      <c r="Y429" s="791">
        <v>61.775000000000006</v>
      </c>
      <c r="Z429" s="791">
        <v>1853.25</v>
      </c>
      <c r="AA429" s="791">
        <v>1235.5</v>
      </c>
      <c r="AB429" s="791">
        <v>2471</v>
      </c>
      <c r="AC429" s="791">
        <v>123.55000000000001</v>
      </c>
      <c r="AD429" s="791">
        <v>24.71</v>
      </c>
      <c r="AE429" s="791">
        <v>4.9420000000000002</v>
      </c>
      <c r="AF429" s="791"/>
      <c r="AG429" s="791"/>
      <c r="AH429" s="791"/>
      <c r="AI429" s="784"/>
      <c r="AK429" s="783">
        <f>IFERROR(Tabela1[[#This Row],[EE(g)]]/Tabela1[[#This Row],[CMS(kg)]],0)</f>
        <v>70.012140833670571</v>
      </c>
    </row>
    <row r="430" spans="2:37" hidden="1">
      <c r="B430" s="774">
        <f>ROW()^2+(Tabela1[[#This Row],[ID2]])+ROW()</f>
        <v>185396</v>
      </c>
      <c r="C430" s="787">
        <v>66</v>
      </c>
      <c r="D430" s="774" t="s">
        <v>1256</v>
      </c>
      <c r="E430" s="788" t="s">
        <v>1264</v>
      </c>
      <c r="F430" s="788" t="s">
        <v>1261</v>
      </c>
      <c r="G430" s="788">
        <v>80</v>
      </c>
      <c r="H430" s="788" t="s">
        <v>1</v>
      </c>
      <c r="I430" s="789" t="s">
        <v>42</v>
      </c>
      <c r="J430" s="787" t="s">
        <v>42</v>
      </c>
      <c r="K430" s="787" t="s">
        <v>42</v>
      </c>
      <c r="L430" s="790">
        <v>150</v>
      </c>
      <c r="M430" s="778">
        <v>1.8719999999999999</v>
      </c>
      <c r="N430" s="780">
        <v>1000</v>
      </c>
      <c r="O430" s="780">
        <v>1000</v>
      </c>
      <c r="P430" s="791">
        <v>100</v>
      </c>
      <c r="Q430" s="791">
        <v>100</v>
      </c>
      <c r="R430" s="792">
        <v>131</v>
      </c>
      <c r="S430" s="791">
        <v>100</v>
      </c>
      <c r="T430" s="791">
        <v>100</v>
      </c>
      <c r="U430" s="791">
        <v>1872</v>
      </c>
      <c r="V430" s="791">
        <v>33.695999999999998</v>
      </c>
      <c r="W430" s="791">
        <v>56.16</v>
      </c>
      <c r="X430" s="791">
        <v>7.4879999999999995</v>
      </c>
      <c r="Y430" s="791">
        <v>46.8</v>
      </c>
      <c r="Z430" s="791">
        <v>1404</v>
      </c>
      <c r="AA430" s="791">
        <v>936</v>
      </c>
      <c r="AB430" s="791">
        <v>1872</v>
      </c>
      <c r="AC430" s="791">
        <v>93.6</v>
      </c>
      <c r="AD430" s="791">
        <v>18.72</v>
      </c>
      <c r="AE430" s="791">
        <v>3.7439999999999998</v>
      </c>
      <c r="AF430" s="791"/>
      <c r="AG430" s="791"/>
      <c r="AH430" s="791"/>
      <c r="AI430" s="784"/>
      <c r="AK430" s="783">
        <f>IFERROR(Tabela1[[#This Row],[EE(g)]]/Tabela1[[#This Row],[CMS(kg)]],0)</f>
        <v>69.978632478632477</v>
      </c>
    </row>
    <row r="431" spans="2:37" hidden="1">
      <c r="B431" s="774">
        <f>ROW()^2+(Tabela1[[#This Row],[ID2]])+ROW()</f>
        <v>186259</v>
      </c>
      <c r="C431" s="787">
        <v>67</v>
      </c>
      <c r="D431" s="774" t="s">
        <v>1256</v>
      </c>
      <c r="E431" s="788" t="s">
        <v>1264</v>
      </c>
      <c r="F431" s="788" t="s">
        <v>1261</v>
      </c>
      <c r="G431" s="788">
        <v>80</v>
      </c>
      <c r="H431" s="788" t="s">
        <v>1</v>
      </c>
      <c r="I431" s="789" t="s">
        <v>42</v>
      </c>
      <c r="J431" s="787" t="s">
        <v>42</v>
      </c>
      <c r="K431" s="787" t="s">
        <v>42</v>
      </c>
      <c r="L431" s="790">
        <v>200</v>
      </c>
      <c r="M431" s="778">
        <v>2.2000000000000002</v>
      </c>
      <c r="N431" s="780">
        <v>1000</v>
      </c>
      <c r="O431" s="780">
        <v>1000</v>
      </c>
      <c r="P431" s="791">
        <v>100</v>
      </c>
      <c r="Q431" s="791">
        <v>100</v>
      </c>
      <c r="R431" s="792">
        <v>154</v>
      </c>
      <c r="S431" s="791">
        <v>100</v>
      </c>
      <c r="T431" s="791">
        <v>100</v>
      </c>
      <c r="U431" s="791">
        <v>2200</v>
      </c>
      <c r="V431" s="791">
        <v>39.6</v>
      </c>
      <c r="W431" s="791">
        <v>66</v>
      </c>
      <c r="X431" s="791">
        <v>8.8000000000000007</v>
      </c>
      <c r="Y431" s="791">
        <v>55.000000000000007</v>
      </c>
      <c r="Z431" s="791">
        <v>1650.0000000000002</v>
      </c>
      <c r="AA431" s="791">
        <v>1100</v>
      </c>
      <c r="AB431" s="791">
        <v>2200</v>
      </c>
      <c r="AC431" s="791">
        <v>110.00000000000001</v>
      </c>
      <c r="AD431" s="791">
        <v>22</v>
      </c>
      <c r="AE431" s="791">
        <v>4.4000000000000004</v>
      </c>
      <c r="AF431" s="791"/>
      <c r="AG431" s="791"/>
      <c r="AH431" s="791"/>
      <c r="AI431" s="784"/>
      <c r="AK431" s="783">
        <f>IFERROR(Tabela1[[#This Row],[EE(g)]]/Tabela1[[#This Row],[CMS(kg)]],0)</f>
        <v>70</v>
      </c>
    </row>
    <row r="432" spans="2:37" hidden="1">
      <c r="B432" s="774">
        <f>ROW()^2+(Tabela1[[#This Row],[ID2]])+ROW()</f>
        <v>187124</v>
      </c>
      <c r="C432" s="787">
        <v>68</v>
      </c>
      <c r="D432" s="774" t="s">
        <v>1256</v>
      </c>
      <c r="E432" s="788" t="s">
        <v>1264</v>
      </c>
      <c r="F432" s="788" t="s">
        <v>1261</v>
      </c>
      <c r="G432" s="788">
        <v>80</v>
      </c>
      <c r="H432" s="788" t="s">
        <v>1</v>
      </c>
      <c r="I432" s="789" t="s">
        <v>42</v>
      </c>
      <c r="J432" s="787" t="s">
        <v>42</v>
      </c>
      <c r="K432" s="787" t="s">
        <v>42</v>
      </c>
      <c r="L432" s="790">
        <v>300</v>
      </c>
      <c r="M432" s="778">
        <v>2.8639999999999999</v>
      </c>
      <c r="N432" s="780">
        <v>1000</v>
      </c>
      <c r="O432" s="780">
        <v>1000</v>
      </c>
      <c r="P432" s="791">
        <v>100</v>
      </c>
      <c r="Q432" s="791">
        <v>100</v>
      </c>
      <c r="R432" s="792">
        <v>200.5</v>
      </c>
      <c r="S432" s="791">
        <v>100</v>
      </c>
      <c r="T432" s="791">
        <v>100</v>
      </c>
      <c r="U432" s="791">
        <v>2864</v>
      </c>
      <c r="V432" s="791">
        <v>51.552</v>
      </c>
      <c r="W432" s="791">
        <v>85.92</v>
      </c>
      <c r="X432" s="791">
        <v>11.456</v>
      </c>
      <c r="Y432" s="791">
        <v>71.599999999999994</v>
      </c>
      <c r="Z432" s="791">
        <v>2148</v>
      </c>
      <c r="AA432" s="791">
        <v>1432</v>
      </c>
      <c r="AB432" s="791">
        <v>2864</v>
      </c>
      <c r="AC432" s="791">
        <v>143.19999999999999</v>
      </c>
      <c r="AD432" s="791">
        <v>28.64</v>
      </c>
      <c r="AE432" s="791">
        <v>5.7279999999999998</v>
      </c>
      <c r="AF432" s="791"/>
      <c r="AG432" s="791"/>
      <c r="AH432" s="791"/>
      <c r="AI432" s="784"/>
      <c r="AK432" s="783">
        <f>IFERROR(Tabela1[[#This Row],[EE(g)]]/Tabela1[[#This Row],[CMS(kg)]],0)</f>
        <v>70.006983240223462</v>
      </c>
    </row>
    <row r="433" spans="2:37" hidden="1">
      <c r="B433" s="774">
        <f>ROW()^2+(Tabela1[[#This Row],[ID2]])+ROW()</f>
        <v>187991</v>
      </c>
      <c r="C433" s="787">
        <v>69</v>
      </c>
      <c r="D433" s="774" t="s">
        <v>1256</v>
      </c>
      <c r="E433" s="788" t="s">
        <v>1264</v>
      </c>
      <c r="F433" s="788" t="s">
        <v>1261</v>
      </c>
      <c r="G433" s="788">
        <v>80</v>
      </c>
      <c r="H433" s="788" t="s">
        <v>1</v>
      </c>
      <c r="I433" s="789" t="s">
        <v>42</v>
      </c>
      <c r="J433" s="787" t="s">
        <v>42</v>
      </c>
      <c r="K433" s="787" t="s">
        <v>42</v>
      </c>
      <c r="L433" s="790">
        <v>400</v>
      </c>
      <c r="M433" s="778">
        <v>2.1920000000000002</v>
      </c>
      <c r="N433" s="780">
        <v>1000</v>
      </c>
      <c r="O433" s="780">
        <v>1000</v>
      </c>
      <c r="P433" s="791">
        <v>100</v>
      </c>
      <c r="Q433" s="791">
        <v>100</v>
      </c>
      <c r="R433" s="792">
        <v>153.4</v>
      </c>
      <c r="S433" s="791">
        <v>100</v>
      </c>
      <c r="T433" s="791">
        <v>100</v>
      </c>
      <c r="U433" s="791">
        <v>2192</v>
      </c>
      <c r="V433" s="791">
        <v>39.456000000000003</v>
      </c>
      <c r="W433" s="791">
        <v>65.760000000000005</v>
      </c>
      <c r="X433" s="791">
        <v>8.7680000000000007</v>
      </c>
      <c r="Y433" s="791">
        <v>54.800000000000004</v>
      </c>
      <c r="Z433" s="791">
        <v>1644.0000000000002</v>
      </c>
      <c r="AA433" s="791">
        <v>1096</v>
      </c>
      <c r="AB433" s="791">
        <v>2192</v>
      </c>
      <c r="AC433" s="791">
        <v>109.60000000000001</v>
      </c>
      <c r="AD433" s="791">
        <v>21.92</v>
      </c>
      <c r="AE433" s="791">
        <v>4.3840000000000003</v>
      </c>
      <c r="AF433" s="791"/>
      <c r="AG433" s="791"/>
      <c r="AH433" s="791"/>
      <c r="AI433" s="784"/>
      <c r="AK433" s="783">
        <f>IFERROR(Tabela1[[#This Row],[EE(g)]]/Tabela1[[#This Row],[CMS(kg)]],0)</f>
        <v>69.981751824817522</v>
      </c>
    </row>
    <row r="434" spans="2:37" hidden="1">
      <c r="B434" s="774">
        <f>ROW()^2+(Tabela1[[#This Row],[ID2]])+ROW()</f>
        <v>188860</v>
      </c>
      <c r="C434" s="787">
        <v>70</v>
      </c>
      <c r="D434" s="774" t="s">
        <v>1256</v>
      </c>
      <c r="E434" s="788" t="s">
        <v>1264</v>
      </c>
      <c r="F434" s="788" t="s">
        <v>1261</v>
      </c>
      <c r="G434" s="788">
        <v>80</v>
      </c>
      <c r="H434" s="788" t="s">
        <v>1</v>
      </c>
      <c r="I434" s="789" t="s">
        <v>42</v>
      </c>
      <c r="J434" s="787" t="s">
        <v>42</v>
      </c>
      <c r="K434" s="787" t="s">
        <v>42</v>
      </c>
      <c r="L434" s="790">
        <v>500</v>
      </c>
      <c r="M434" s="778">
        <v>2.56</v>
      </c>
      <c r="N434" s="780">
        <v>1000</v>
      </c>
      <c r="O434" s="780">
        <v>1000</v>
      </c>
      <c r="P434" s="791">
        <v>100</v>
      </c>
      <c r="Q434" s="791">
        <v>100</v>
      </c>
      <c r="R434" s="792">
        <v>179.2</v>
      </c>
      <c r="S434" s="791">
        <v>100</v>
      </c>
      <c r="T434" s="791">
        <v>100</v>
      </c>
      <c r="U434" s="791">
        <v>2560</v>
      </c>
      <c r="V434" s="791">
        <v>46.08</v>
      </c>
      <c r="W434" s="791">
        <v>76.8</v>
      </c>
      <c r="X434" s="791">
        <v>10.24</v>
      </c>
      <c r="Y434" s="791">
        <v>64</v>
      </c>
      <c r="Z434" s="791">
        <v>1920</v>
      </c>
      <c r="AA434" s="791">
        <v>1280</v>
      </c>
      <c r="AB434" s="791">
        <v>2560</v>
      </c>
      <c r="AC434" s="791">
        <v>128</v>
      </c>
      <c r="AD434" s="791">
        <v>25.6</v>
      </c>
      <c r="AE434" s="791">
        <v>5.12</v>
      </c>
      <c r="AF434" s="791"/>
      <c r="AG434" s="791"/>
      <c r="AH434" s="791"/>
      <c r="AI434" s="784"/>
      <c r="AK434" s="783">
        <f>IFERROR(Tabela1[[#This Row],[EE(g)]]/Tabela1[[#This Row],[CMS(kg)]],0)</f>
        <v>70</v>
      </c>
    </row>
    <row r="435" spans="2:37" hidden="1">
      <c r="B435" s="774">
        <f>ROW()^2+(Tabela1[[#This Row],[ID2]])+ROW()</f>
        <v>189821</v>
      </c>
      <c r="C435" s="787">
        <v>161</v>
      </c>
      <c r="D435" s="774" t="s">
        <v>1256</v>
      </c>
      <c r="E435" s="788" t="s">
        <v>1276</v>
      </c>
      <c r="F435" s="788" t="s">
        <v>1265</v>
      </c>
      <c r="G435" s="788">
        <v>40</v>
      </c>
      <c r="H435" s="788" t="s">
        <v>1</v>
      </c>
      <c r="I435" s="780" t="s">
        <v>1266</v>
      </c>
      <c r="J435" s="788">
        <v>3.9</v>
      </c>
      <c r="K435" s="787" t="s">
        <v>42</v>
      </c>
      <c r="L435" s="790">
        <v>18</v>
      </c>
      <c r="M435" s="778">
        <v>0.9880000000000001</v>
      </c>
      <c r="N435" s="780">
        <v>1000</v>
      </c>
      <c r="O435" s="780">
        <v>1000</v>
      </c>
      <c r="P435" s="791">
        <v>100</v>
      </c>
      <c r="Q435" s="791">
        <v>100</v>
      </c>
      <c r="R435" s="792">
        <v>69.2</v>
      </c>
      <c r="S435" s="791">
        <v>100</v>
      </c>
      <c r="T435" s="791">
        <v>100</v>
      </c>
      <c r="U435" s="791">
        <v>988.00000000000011</v>
      </c>
      <c r="V435" s="791">
        <v>17.784000000000002</v>
      </c>
      <c r="W435" s="791">
        <v>29.640000000000004</v>
      </c>
      <c r="X435" s="791">
        <v>3.9520000000000004</v>
      </c>
      <c r="Y435" s="791">
        <v>24.700000000000003</v>
      </c>
      <c r="Z435" s="791">
        <v>741.00000000000011</v>
      </c>
      <c r="AA435" s="791">
        <v>494.00000000000006</v>
      </c>
      <c r="AB435" s="791">
        <v>988.00000000000011</v>
      </c>
      <c r="AC435" s="791">
        <v>49.400000000000006</v>
      </c>
      <c r="AD435" s="791">
        <v>9.8800000000000008</v>
      </c>
      <c r="AE435" s="791">
        <v>1.9760000000000002</v>
      </c>
      <c r="AF435" s="791"/>
      <c r="AG435" s="791"/>
      <c r="AH435" s="791"/>
      <c r="AI435" s="784"/>
      <c r="AK435" s="783">
        <f>IFERROR(Tabela1[[#This Row],[EE(g)]]/Tabela1[[#This Row],[CMS(kg)]],0)</f>
        <v>70.040485829959508</v>
      </c>
    </row>
    <row r="436" spans="2:37" hidden="1">
      <c r="B436" s="774">
        <f>ROW()^2+(Tabela1[[#This Row],[ID2]])+ROW()</f>
        <v>190702</v>
      </c>
      <c r="C436" s="787">
        <v>170</v>
      </c>
      <c r="D436" s="774" t="s">
        <v>1256</v>
      </c>
      <c r="E436" s="788" t="s">
        <v>1276</v>
      </c>
      <c r="F436" s="788" t="s">
        <v>1265</v>
      </c>
      <c r="G436" s="788">
        <v>40</v>
      </c>
      <c r="H436" s="788" t="s">
        <v>1</v>
      </c>
      <c r="I436" s="780" t="s">
        <v>1285</v>
      </c>
      <c r="J436" s="788">
        <v>3.4</v>
      </c>
      <c r="K436" s="787" t="s">
        <v>42</v>
      </c>
      <c r="L436" s="790">
        <v>30</v>
      </c>
      <c r="M436" s="778">
        <v>1.1479999999999999</v>
      </c>
      <c r="N436" s="780">
        <v>1000</v>
      </c>
      <c r="O436" s="780">
        <v>1000</v>
      </c>
      <c r="P436" s="791">
        <v>100</v>
      </c>
      <c r="Q436" s="791">
        <v>100</v>
      </c>
      <c r="R436" s="792">
        <v>80.400000000000006</v>
      </c>
      <c r="S436" s="791">
        <v>100</v>
      </c>
      <c r="T436" s="791">
        <v>100</v>
      </c>
      <c r="U436" s="791">
        <v>1148</v>
      </c>
      <c r="V436" s="791">
        <v>20.663999999999998</v>
      </c>
      <c r="W436" s="791">
        <v>34.44</v>
      </c>
      <c r="X436" s="791">
        <v>4.5919999999999996</v>
      </c>
      <c r="Y436" s="791">
        <v>28.7</v>
      </c>
      <c r="Z436" s="791">
        <v>860.99999999999989</v>
      </c>
      <c r="AA436" s="791">
        <v>574</v>
      </c>
      <c r="AB436" s="791">
        <v>1148</v>
      </c>
      <c r="AC436" s="791">
        <v>57.4</v>
      </c>
      <c r="AD436" s="791">
        <v>11.479999999999999</v>
      </c>
      <c r="AE436" s="791">
        <v>2.2959999999999998</v>
      </c>
      <c r="AF436" s="791"/>
      <c r="AG436" s="791"/>
      <c r="AH436" s="791"/>
      <c r="AI436" s="784"/>
      <c r="AK436" s="783">
        <f>IFERROR(Tabela1[[#This Row],[EE(g)]]/Tabela1[[#This Row],[CMS(kg)]],0)</f>
        <v>70.03484320557493</v>
      </c>
    </row>
    <row r="437" spans="2:37" hidden="1">
      <c r="B437" s="774">
        <f>ROW()^2+(Tabela1[[#This Row],[ID2]])+ROW()</f>
        <v>191585</v>
      </c>
      <c r="C437" s="787">
        <v>179</v>
      </c>
      <c r="D437" s="774" t="s">
        <v>1256</v>
      </c>
      <c r="E437" s="788" t="s">
        <v>1276</v>
      </c>
      <c r="F437" s="788" t="s">
        <v>1265</v>
      </c>
      <c r="G437" s="788">
        <v>40</v>
      </c>
      <c r="H437" s="788" t="s">
        <v>1</v>
      </c>
      <c r="I437" s="780" t="s">
        <v>1286</v>
      </c>
      <c r="J437" s="788">
        <v>2.9</v>
      </c>
      <c r="K437" s="787" t="s">
        <v>42</v>
      </c>
      <c r="L437" s="790">
        <v>39</v>
      </c>
      <c r="M437" s="778">
        <v>1.004</v>
      </c>
      <c r="N437" s="780">
        <v>1000</v>
      </c>
      <c r="O437" s="780">
        <v>1000</v>
      </c>
      <c r="P437" s="791">
        <v>100</v>
      </c>
      <c r="Q437" s="791">
        <v>100</v>
      </c>
      <c r="R437" s="792">
        <v>70.3</v>
      </c>
      <c r="S437" s="791">
        <v>100</v>
      </c>
      <c r="T437" s="791">
        <v>100</v>
      </c>
      <c r="U437" s="791">
        <v>1004</v>
      </c>
      <c r="V437" s="791">
        <v>18.071999999999999</v>
      </c>
      <c r="W437" s="791">
        <v>30.12</v>
      </c>
      <c r="X437" s="791">
        <v>4.016</v>
      </c>
      <c r="Y437" s="791">
        <v>25.1</v>
      </c>
      <c r="Z437" s="791">
        <v>753</v>
      </c>
      <c r="AA437" s="791">
        <v>502</v>
      </c>
      <c r="AB437" s="791">
        <v>1004</v>
      </c>
      <c r="AC437" s="791">
        <v>50.2</v>
      </c>
      <c r="AD437" s="791">
        <v>10.039999999999999</v>
      </c>
      <c r="AE437" s="791">
        <v>2.008</v>
      </c>
      <c r="AF437" s="791"/>
      <c r="AG437" s="791"/>
      <c r="AH437" s="791"/>
      <c r="AI437" s="784"/>
      <c r="AK437" s="783">
        <f>IFERROR(Tabela1[[#This Row],[EE(g)]]/Tabela1[[#This Row],[CMS(kg)]],0)</f>
        <v>70.019920318725099</v>
      </c>
    </row>
    <row r="438" spans="2:37" hidden="1">
      <c r="B438" s="774">
        <f>ROW()^2+(Tabela1[[#This Row],[ID2]])+ROW()</f>
        <v>192444</v>
      </c>
      <c r="C438" s="787">
        <v>162</v>
      </c>
      <c r="D438" s="774" t="s">
        <v>1256</v>
      </c>
      <c r="E438" s="788" t="s">
        <v>1276</v>
      </c>
      <c r="F438" s="788" t="s">
        <v>1265</v>
      </c>
      <c r="G438" s="788">
        <v>50</v>
      </c>
      <c r="H438" s="788" t="s">
        <v>1</v>
      </c>
      <c r="I438" s="780" t="s">
        <v>1266</v>
      </c>
      <c r="J438" s="788">
        <v>4.4000000000000004</v>
      </c>
      <c r="K438" s="787" t="s">
        <v>42</v>
      </c>
      <c r="L438" s="790">
        <v>21</v>
      </c>
      <c r="M438" s="778">
        <v>1.1599999999999999</v>
      </c>
      <c r="N438" s="780">
        <v>1000</v>
      </c>
      <c r="O438" s="780">
        <v>1000</v>
      </c>
      <c r="P438" s="791">
        <v>100</v>
      </c>
      <c r="Q438" s="791">
        <v>100</v>
      </c>
      <c r="R438" s="792">
        <v>81.199999999999989</v>
      </c>
      <c r="S438" s="791">
        <v>100</v>
      </c>
      <c r="T438" s="791">
        <v>100</v>
      </c>
      <c r="U438" s="791">
        <v>1160</v>
      </c>
      <c r="V438" s="791">
        <v>20.88</v>
      </c>
      <c r="W438" s="791">
        <v>34.799999999999997</v>
      </c>
      <c r="X438" s="791">
        <v>4.6399999999999997</v>
      </c>
      <c r="Y438" s="791">
        <v>28.999999999999996</v>
      </c>
      <c r="Z438" s="791">
        <v>869.99999999999989</v>
      </c>
      <c r="AA438" s="791">
        <v>580</v>
      </c>
      <c r="AB438" s="791">
        <v>1160</v>
      </c>
      <c r="AC438" s="791">
        <v>57.999999999999993</v>
      </c>
      <c r="AD438" s="791">
        <v>11.6</v>
      </c>
      <c r="AE438" s="791">
        <v>2.3199999999999998</v>
      </c>
      <c r="AF438" s="791"/>
      <c r="AG438" s="791"/>
      <c r="AH438" s="791"/>
      <c r="AI438" s="784"/>
      <c r="AK438" s="783">
        <f>IFERROR(Tabela1[[#This Row],[EE(g)]]/Tabela1[[#This Row],[CMS(kg)]],0)</f>
        <v>70</v>
      </c>
    </row>
    <row r="439" spans="2:37" hidden="1">
      <c r="B439" s="774">
        <f>ROW()^2+(Tabela1[[#This Row],[ID2]])+ROW()</f>
        <v>193331</v>
      </c>
      <c r="C439" s="787">
        <v>171</v>
      </c>
      <c r="D439" s="774" t="s">
        <v>1256</v>
      </c>
      <c r="E439" s="788" t="s">
        <v>1276</v>
      </c>
      <c r="F439" s="788" t="s">
        <v>1265</v>
      </c>
      <c r="G439" s="788">
        <v>50</v>
      </c>
      <c r="H439" s="788" t="s">
        <v>1</v>
      </c>
      <c r="I439" s="780" t="s">
        <v>1285</v>
      </c>
      <c r="J439" s="788">
        <v>3.8</v>
      </c>
      <c r="K439" s="787" t="s">
        <v>42</v>
      </c>
      <c r="L439" s="790">
        <v>35</v>
      </c>
      <c r="M439" s="778">
        <v>1.31</v>
      </c>
      <c r="N439" s="780">
        <v>1000</v>
      </c>
      <c r="O439" s="780">
        <v>1000</v>
      </c>
      <c r="P439" s="791">
        <v>100</v>
      </c>
      <c r="Q439" s="791">
        <v>100</v>
      </c>
      <c r="R439" s="792">
        <v>91.7</v>
      </c>
      <c r="S439" s="791">
        <v>100</v>
      </c>
      <c r="T439" s="791">
        <v>100</v>
      </c>
      <c r="U439" s="791">
        <v>1310</v>
      </c>
      <c r="V439" s="791">
        <v>23.580000000000002</v>
      </c>
      <c r="W439" s="791">
        <v>39.300000000000004</v>
      </c>
      <c r="X439" s="791">
        <v>5.24</v>
      </c>
      <c r="Y439" s="791">
        <v>32.75</v>
      </c>
      <c r="Z439" s="791">
        <v>982.5</v>
      </c>
      <c r="AA439" s="791">
        <v>655</v>
      </c>
      <c r="AB439" s="791">
        <v>1310</v>
      </c>
      <c r="AC439" s="791">
        <v>65.5</v>
      </c>
      <c r="AD439" s="791">
        <v>13.100000000000001</v>
      </c>
      <c r="AE439" s="791">
        <v>2.62</v>
      </c>
      <c r="AF439" s="791"/>
      <c r="AG439" s="791"/>
      <c r="AH439" s="791"/>
      <c r="AI439" s="784"/>
      <c r="AK439" s="783">
        <f>IFERROR(Tabela1[[#This Row],[EE(g)]]/Tabela1[[#This Row],[CMS(kg)]],0)</f>
        <v>70</v>
      </c>
    </row>
    <row r="440" spans="2:37" hidden="1">
      <c r="B440" s="774">
        <f>ROW()^2+(Tabela1[[#This Row],[ID2]])+ROW()</f>
        <v>194220</v>
      </c>
      <c r="C440" s="787">
        <v>180</v>
      </c>
      <c r="D440" s="774" t="s">
        <v>1256</v>
      </c>
      <c r="E440" s="788" t="s">
        <v>1276</v>
      </c>
      <c r="F440" s="788" t="s">
        <v>1265</v>
      </c>
      <c r="G440" s="788">
        <v>50</v>
      </c>
      <c r="H440" s="788" t="s">
        <v>1</v>
      </c>
      <c r="I440" s="780" t="s">
        <v>1286</v>
      </c>
      <c r="J440" s="788">
        <v>3.3</v>
      </c>
      <c r="K440" s="787" t="s">
        <v>42</v>
      </c>
      <c r="L440" s="790">
        <v>46</v>
      </c>
      <c r="M440" s="778">
        <v>1.46</v>
      </c>
      <c r="N440" s="780">
        <v>1000</v>
      </c>
      <c r="O440" s="780">
        <v>1000</v>
      </c>
      <c r="P440" s="791">
        <v>100</v>
      </c>
      <c r="Q440" s="791">
        <v>100</v>
      </c>
      <c r="R440" s="792">
        <v>102.2</v>
      </c>
      <c r="S440" s="791">
        <v>100</v>
      </c>
      <c r="T440" s="791">
        <v>100</v>
      </c>
      <c r="U440" s="791">
        <v>1460</v>
      </c>
      <c r="V440" s="791">
        <v>26.28</v>
      </c>
      <c r="W440" s="791">
        <v>43.8</v>
      </c>
      <c r="X440" s="791">
        <v>5.84</v>
      </c>
      <c r="Y440" s="791">
        <v>36.5</v>
      </c>
      <c r="Z440" s="791">
        <v>1095</v>
      </c>
      <c r="AA440" s="791">
        <v>730</v>
      </c>
      <c r="AB440" s="791">
        <v>1460</v>
      </c>
      <c r="AC440" s="791">
        <v>73</v>
      </c>
      <c r="AD440" s="791">
        <v>14.6</v>
      </c>
      <c r="AE440" s="791">
        <v>2.92</v>
      </c>
      <c r="AF440" s="791"/>
      <c r="AG440" s="791"/>
      <c r="AH440" s="791"/>
      <c r="AI440" s="784"/>
      <c r="AK440" s="783">
        <f>IFERROR(Tabela1[[#This Row],[EE(g)]]/Tabela1[[#This Row],[CMS(kg)]],0)</f>
        <v>70</v>
      </c>
    </row>
    <row r="441" spans="2:37" hidden="1">
      <c r="B441" s="774">
        <f>ROW()^2+(Tabela1[[#This Row],[ID2]])+ROW()</f>
        <v>195085</v>
      </c>
      <c r="C441" s="787">
        <v>163</v>
      </c>
      <c r="D441" s="774" t="s">
        <v>1256</v>
      </c>
      <c r="E441" s="788" t="s">
        <v>1276</v>
      </c>
      <c r="F441" s="788" t="s">
        <v>1265</v>
      </c>
      <c r="G441" s="788">
        <v>60</v>
      </c>
      <c r="H441" s="788" t="s">
        <v>1</v>
      </c>
      <c r="I441" s="780" t="s">
        <v>1266</v>
      </c>
      <c r="J441" s="788">
        <v>4.8</v>
      </c>
      <c r="K441" s="787" t="s">
        <v>42</v>
      </c>
      <c r="L441" s="790">
        <v>24</v>
      </c>
      <c r="M441" s="778">
        <v>1.3140000000000001</v>
      </c>
      <c r="N441" s="780">
        <v>1000</v>
      </c>
      <c r="O441" s="780">
        <v>1000</v>
      </c>
      <c r="P441" s="791">
        <v>100</v>
      </c>
      <c r="Q441" s="791">
        <v>100</v>
      </c>
      <c r="R441" s="792">
        <v>92</v>
      </c>
      <c r="S441" s="791">
        <v>100</v>
      </c>
      <c r="T441" s="791">
        <v>100</v>
      </c>
      <c r="U441" s="791">
        <v>1314</v>
      </c>
      <c r="V441" s="791">
        <v>23.652000000000001</v>
      </c>
      <c r="W441" s="791">
        <v>39.42</v>
      </c>
      <c r="X441" s="791">
        <v>5.2560000000000002</v>
      </c>
      <c r="Y441" s="791">
        <v>32.85</v>
      </c>
      <c r="Z441" s="791">
        <v>985.5</v>
      </c>
      <c r="AA441" s="791">
        <v>657</v>
      </c>
      <c r="AB441" s="791">
        <v>1314</v>
      </c>
      <c r="AC441" s="791">
        <v>65.7</v>
      </c>
      <c r="AD441" s="791">
        <v>13.14</v>
      </c>
      <c r="AE441" s="791">
        <v>2.6280000000000001</v>
      </c>
      <c r="AF441" s="791"/>
      <c r="AG441" s="791"/>
      <c r="AH441" s="791"/>
      <c r="AI441" s="784"/>
      <c r="AK441" s="783">
        <f>IFERROR(Tabela1[[#This Row],[EE(g)]]/Tabela1[[#This Row],[CMS(kg)]],0)</f>
        <v>70.015220700152199</v>
      </c>
    </row>
    <row r="442" spans="2:37" hidden="1">
      <c r="B442" s="774">
        <f>ROW()^2+(Tabela1[[#This Row],[ID2]])+ROW()</f>
        <v>195978</v>
      </c>
      <c r="C442" s="787">
        <v>172</v>
      </c>
      <c r="D442" s="774" t="s">
        <v>1256</v>
      </c>
      <c r="E442" s="788" t="s">
        <v>1276</v>
      </c>
      <c r="F442" s="788" t="s">
        <v>1265</v>
      </c>
      <c r="G442" s="788">
        <v>60</v>
      </c>
      <c r="H442" s="788" t="s">
        <v>1</v>
      </c>
      <c r="I442" s="780" t="s">
        <v>1285</v>
      </c>
      <c r="J442" s="788">
        <v>4.2</v>
      </c>
      <c r="K442" s="787" t="s">
        <v>42</v>
      </c>
      <c r="L442" s="790">
        <v>40</v>
      </c>
      <c r="M442" s="778">
        <v>1.512</v>
      </c>
      <c r="N442" s="780">
        <v>1000</v>
      </c>
      <c r="O442" s="780">
        <v>1000</v>
      </c>
      <c r="P442" s="791">
        <v>100</v>
      </c>
      <c r="Q442" s="791">
        <v>100</v>
      </c>
      <c r="R442" s="792">
        <v>105.80000000000001</v>
      </c>
      <c r="S442" s="791">
        <v>100</v>
      </c>
      <c r="T442" s="791">
        <v>100</v>
      </c>
      <c r="U442" s="791">
        <v>1512</v>
      </c>
      <c r="V442" s="791">
        <v>27.216000000000001</v>
      </c>
      <c r="W442" s="791">
        <v>45.36</v>
      </c>
      <c r="X442" s="791">
        <v>6.048</v>
      </c>
      <c r="Y442" s="791">
        <v>37.799999999999997</v>
      </c>
      <c r="Z442" s="791">
        <v>1134</v>
      </c>
      <c r="AA442" s="791">
        <v>756</v>
      </c>
      <c r="AB442" s="791">
        <v>1512</v>
      </c>
      <c r="AC442" s="791">
        <v>75.599999999999994</v>
      </c>
      <c r="AD442" s="791">
        <v>15.120000000000001</v>
      </c>
      <c r="AE442" s="791">
        <v>3.024</v>
      </c>
      <c r="AF442" s="791"/>
      <c r="AG442" s="791"/>
      <c r="AH442" s="791"/>
      <c r="AI442" s="784"/>
      <c r="AK442" s="783">
        <f>IFERROR(Tabela1[[#This Row],[EE(g)]]/Tabela1[[#This Row],[CMS(kg)]],0)</f>
        <v>69.973544973544975</v>
      </c>
    </row>
    <row r="443" spans="2:37" hidden="1">
      <c r="B443" s="774">
        <f>ROW()^2+(Tabela1[[#This Row],[ID2]])+ROW()</f>
        <v>196873</v>
      </c>
      <c r="C443" s="787">
        <v>181</v>
      </c>
      <c r="D443" s="774" t="s">
        <v>1256</v>
      </c>
      <c r="E443" s="788" t="s">
        <v>1276</v>
      </c>
      <c r="F443" s="788" t="s">
        <v>1265</v>
      </c>
      <c r="G443" s="788">
        <v>60</v>
      </c>
      <c r="H443" s="788" t="s">
        <v>1</v>
      </c>
      <c r="I443" s="780" t="s">
        <v>1286</v>
      </c>
      <c r="J443" s="788">
        <v>3.6</v>
      </c>
      <c r="K443" s="787" t="s">
        <v>42</v>
      </c>
      <c r="L443" s="790">
        <v>52</v>
      </c>
      <c r="M443" s="778">
        <v>1.6440000000000001</v>
      </c>
      <c r="N443" s="780">
        <v>1000</v>
      </c>
      <c r="O443" s="780">
        <v>1000</v>
      </c>
      <c r="P443" s="791">
        <v>100</v>
      </c>
      <c r="Q443" s="791">
        <v>100</v>
      </c>
      <c r="R443" s="792">
        <v>115.1</v>
      </c>
      <c r="S443" s="791">
        <v>100</v>
      </c>
      <c r="T443" s="791">
        <v>100</v>
      </c>
      <c r="U443" s="791">
        <v>1644.0000000000002</v>
      </c>
      <c r="V443" s="791">
        <v>29.592000000000002</v>
      </c>
      <c r="W443" s="791">
        <v>49.320000000000007</v>
      </c>
      <c r="X443" s="791">
        <v>6.5760000000000005</v>
      </c>
      <c r="Y443" s="791">
        <v>41.1</v>
      </c>
      <c r="Z443" s="791">
        <v>1233</v>
      </c>
      <c r="AA443" s="791">
        <v>822.00000000000011</v>
      </c>
      <c r="AB443" s="791">
        <v>1644.0000000000002</v>
      </c>
      <c r="AC443" s="791">
        <v>82.2</v>
      </c>
      <c r="AD443" s="791">
        <v>16.440000000000001</v>
      </c>
      <c r="AE443" s="791">
        <v>3.2880000000000003</v>
      </c>
      <c r="AF443" s="791"/>
      <c r="AG443" s="791"/>
      <c r="AH443" s="791"/>
      <c r="AI443" s="784"/>
      <c r="AK443" s="783">
        <f>IFERROR(Tabela1[[#This Row],[EE(g)]]/Tabela1[[#This Row],[CMS(kg)]],0)</f>
        <v>70.012165450121643</v>
      </c>
    </row>
    <row r="444" spans="2:37" hidden="1">
      <c r="B444" s="774">
        <f>ROW()^2+(Tabela1[[#This Row],[ID2]])+ROW()</f>
        <v>197744</v>
      </c>
      <c r="C444" s="787">
        <v>164</v>
      </c>
      <c r="D444" s="774" t="s">
        <v>1256</v>
      </c>
      <c r="E444" s="788" t="s">
        <v>1276</v>
      </c>
      <c r="F444" s="788" t="s">
        <v>1265</v>
      </c>
      <c r="G444" s="788">
        <v>70</v>
      </c>
      <c r="H444" s="788" t="s">
        <v>1</v>
      </c>
      <c r="I444" s="780" t="s">
        <v>1266</v>
      </c>
      <c r="J444" s="788">
        <v>5.2</v>
      </c>
      <c r="K444" s="787" t="s">
        <v>42</v>
      </c>
      <c r="L444" s="790">
        <v>27</v>
      </c>
      <c r="M444" s="778">
        <v>1.4629999999999999</v>
      </c>
      <c r="N444" s="780">
        <v>1000</v>
      </c>
      <c r="O444" s="780">
        <v>1000</v>
      </c>
      <c r="P444" s="791">
        <v>100</v>
      </c>
      <c r="Q444" s="791">
        <v>100</v>
      </c>
      <c r="R444" s="792">
        <v>102.4</v>
      </c>
      <c r="S444" s="791">
        <v>100</v>
      </c>
      <c r="T444" s="791">
        <v>100</v>
      </c>
      <c r="U444" s="791">
        <v>1462.9999999999998</v>
      </c>
      <c r="V444" s="791">
        <v>26.333999999999996</v>
      </c>
      <c r="W444" s="791">
        <v>43.889999999999993</v>
      </c>
      <c r="X444" s="791">
        <v>5.8519999999999994</v>
      </c>
      <c r="Y444" s="791">
        <v>36.574999999999996</v>
      </c>
      <c r="Z444" s="791">
        <v>1097.25</v>
      </c>
      <c r="AA444" s="791">
        <v>731.49999999999989</v>
      </c>
      <c r="AB444" s="791">
        <v>1462.9999999999998</v>
      </c>
      <c r="AC444" s="791">
        <v>73.149999999999991</v>
      </c>
      <c r="AD444" s="791">
        <v>14.629999999999999</v>
      </c>
      <c r="AE444" s="791">
        <v>2.9259999999999997</v>
      </c>
      <c r="AF444" s="791"/>
      <c r="AG444" s="791"/>
      <c r="AH444" s="791"/>
      <c r="AI444" s="784"/>
      <c r="AK444" s="783">
        <f>IFERROR(Tabela1[[#This Row],[EE(g)]]/Tabela1[[#This Row],[CMS(kg)]],0)</f>
        <v>69.993164730006839</v>
      </c>
    </row>
    <row r="445" spans="2:37" hidden="1">
      <c r="B445" s="774">
        <f>ROW()^2+(Tabela1[[#This Row],[ID2]])+ROW()</f>
        <v>198643</v>
      </c>
      <c r="C445" s="787">
        <v>173</v>
      </c>
      <c r="D445" s="774" t="s">
        <v>1256</v>
      </c>
      <c r="E445" s="788" t="s">
        <v>1276</v>
      </c>
      <c r="F445" s="788" t="s">
        <v>1265</v>
      </c>
      <c r="G445" s="788">
        <v>70</v>
      </c>
      <c r="H445" s="788" t="s">
        <v>1</v>
      </c>
      <c r="I445" s="780" t="s">
        <v>1285</v>
      </c>
      <c r="J445" s="788">
        <v>4.5999999999999996</v>
      </c>
      <c r="K445" s="787" t="s">
        <v>42</v>
      </c>
      <c r="L445" s="790">
        <v>45</v>
      </c>
      <c r="M445" s="778">
        <v>1.6870000000000001</v>
      </c>
      <c r="N445" s="780">
        <v>1000</v>
      </c>
      <c r="O445" s="780">
        <v>1000</v>
      </c>
      <c r="P445" s="791">
        <v>100</v>
      </c>
      <c r="Q445" s="791">
        <v>100</v>
      </c>
      <c r="R445" s="792">
        <v>118.1</v>
      </c>
      <c r="S445" s="791">
        <v>100</v>
      </c>
      <c r="T445" s="791">
        <v>100</v>
      </c>
      <c r="U445" s="791">
        <v>1687</v>
      </c>
      <c r="V445" s="791">
        <v>30.366</v>
      </c>
      <c r="W445" s="791">
        <v>50.61</v>
      </c>
      <c r="X445" s="791">
        <v>6.7480000000000002</v>
      </c>
      <c r="Y445" s="791">
        <v>42.175000000000004</v>
      </c>
      <c r="Z445" s="791">
        <v>1265.25</v>
      </c>
      <c r="AA445" s="791">
        <v>843.5</v>
      </c>
      <c r="AB445" s="791">
        <v>1687</v>
      </c>
      <c r="AC445" s="791">
        <v>84.350000000000009</v>
      </c>
      <c r="AD445" s="791">
        <v>16.87</v>
      </c>
      <c r="AE445" s="791">
        <v>3.3740000000000001</v>
      </c>
      <c r="AF445" s="791"/>
      <c r="AG445" s="791"/>
      <c r="AH445" s="791"/>
      <c r="AI445" s="784"/>
      <c r="AK445" s="783">
        <f>IFERROR(Tabela1[[#This Row],[EE(g)]]/Tabela1[[#This Row],[CMS(kg)]],0)</f>
        <v>70.005927682276223</v>
      </c>
    </row>
    <row r="446" spans="2:37" hidden="1">
      <c r="B446" s="774">
        <f>ROW()^2+(Tabela1[[#This Row],[ID2]])+ROW()</f>
        <v>199544</v>
      </c>
      <c r="C446" s="787">
        <v>182</v>
      </c>
      <c r="D446" s="774" t="s">
        <v>1256</v>
      </c>
      <c r="E446" s="788" t="s">
        <v>1276</v>
      </c>
      <c r="F446" s="788" t="s">
        <v>1265</v>
      </c>
      <c r="G446" s="788">
        <v>70</v>
      </c>
      <c r="H446" s="788" t="s">
        <v>1</v>
      </c>
      <c r="I446" s="780" t="s">
        <v>1286</v>
      </c>
      <c r="J446" s="788">
        <v>3.9</v>
      </c>
      <c r="K446" s="787" t="s">
        <v>42</v>
      </c>
      <c r="L446" s="790">
        <v>59</v>
      </c>
      <c r="M446" s="778">
        <v>1.827</v>
      </c>
      <c r="N446" s="780">
        <v>1000</v>
      </c>
      <c r="O446" s="780">
        <v>1000</v>
      </c>
      <c r="P446" s="791">
        <v>100</v>
      </c>
      <c r="Q446" s="791">
        <v>100</v>
      </c>
      <c r="R446" s="792">
        <v>127.90000000000002</v>
      </c>
      <c r="S446" s="791">
        <v>100</v>
      </c>
      <c r="T446" s="791">
        <v>100</v>
      </c>
      <c r="U446" s="791">
        <v>1827</v>
      </c>
      <c r="V446" s="791">
        <v>32.885999999999996</v>
      </c>
      <c r="W446" s="791">
        <v>54.81</v>
      </c>
      <c r="X446" s="791">
        <v>7.3079999999999998</v>
      </c>
      <c r="Y446" s="791">
        <v>45.674999999999997</v>
      </c>
      <c r="Z446" s="791">
        <v>1370.25</v>
      </c>
      <c r="AA446" s="791">
        <v>913.5</v>
      </c>
      <c r="AB446" s="791">
        <v>1827</v>
      </c>
      <c r="AC446" s="791">
        <v>91.35</v>
      </c>
      <c r="AD446" s="791">
        <v>18.27</v>
      </c>
      <c r="AE446" s="791">
        <v>3.6539999999999999</v>
      </c>
      <c r="AF446" s="791"/>
      <c r="AG446" s="791"/>
      <c r="AH446" s="791"/>
      <c r="AI446" s="784"/>
      <c r="AK446" s="783">
        <f>IFERROR(Tabela1[[#This Row],[EE(g)]]/Tabela1[[#This Row],[CMS(kg)]],0)</f>
        <v>70.005473453749332</v>
      </c>
    </row>
    <row r="447" spans="2:37" hidden="1">
      <c r="B447" s="774">
        <f>ROW()^2+(Tabela1[[#This Row],[ID2]])+ROW()</f>
        <v>200421</v>
      </c>
      <c r="C447" s="787">
        <v>165</v>
      </c>
      <c r="D447" s="774" t="s">
        <v>1256</v>
      </c>
      <c r="E447" s="788" t="s">
        <v>1276</v>
      </c>
      <c r="F447" s="788" t="s">
        <v>1265</v>
      </c>
      <c r="G447" s="788">
        <v>80</v>
      </c>
      <c r="H447" s="788" t="s">
        <v>1</v>
      </c>
      <c r="I447" s="780" t="s">
        <v>1266</v>
      </c>
      <c r="J447" s="788">
        <v>5.6</v>
      </c>
      <c r="K447" s="787" t="s">
        <v>42</v>
      </c>
      <c r="L447" s="790">
        <v>30</v>
      </c>
      <c r="M447" s="778">
        <v>1.6079999999999997</v>
      </c>
      <c r="N447" s="780">
        <v>1000</v>
      </c>
      <c r="O447" s="780">
        <v>1000</v>
      </c>
      <c r="P447" s="791">
        <v>100</v>
      </c>
      <c r="Q447" s="791">
        <v>100</v>
      </c>
      <c r="R447" s="792">
        <v>112.60000000000001</v>
      </c>
      <c r="S447" s="791">
        <v>100</v>
      </c>
      <c r="T447" s="791">
        <v>100</v>
      </c>
      <c r="U447" s="791">
        <v>1607.9999999999995</v>
      </c>
      <c r="V447" s="791">
        <v>28.943999999999996</v>
      </c>
      <c r="W447" s="791">
        <v>48.239999999999988</v>
      </c>
      <c r="X447" s="791">
        <v>6.4319999999999986</v>
      </c>
      <c r="Y447" s="791">
        <v>40.199999999999989</v>
      </c>
      <c r="Z447" s="791">
        <v>1205.9999999999998</v>
      </c>
      <c r="AA447" s="791">
        <v>803.99999999999977</v>
      </c>
      <c r="AB447" s="791">
        <v>1607.9999999999995</v>
      </c>
      <c r="AC447" s="791">
        <v>80.399999999999977</v>
      </c>
      <c r="AD447" s="791">
        <v>16.079999999999998</v>
      </c>
      <c r="AE447" s="791">
        <v>3.2159999999999993</v>
      </c>
      <c r="AF447" s="791"/>
      <c r="AG447" s="791"/>
      <c r="AH447" s="791"/>
      <c r="AI447" s="784"/>
      <c r="AK447" s="783">
        <f>IFERROR(Tabela1[[#This Row],[EE(g)]]/Tabela1[[#This Row],[CMS(kg)]],0)</f>
        <v>70.024875621890573</v>
      </c>
    </row>
    <row r="448" spans="2:37" hidden="1">
      <c r="B448" s="774">
        <f>ROW()^2+(Tabela1[[#This Row],[ID2]])+ROW()</f>
        <v>201326</v>
      </c>
      <c r="C448" s="787">
        <v>174</v>
      </c>
      <c r="D448" s="774" t="s">
        <v>1256</v>
      </c>
      <c r="E448" s="788" t="s">
        <v>1276</v>
      </c>
      <c r="F448" s="788" t="s">
        <v>1265</v>
      </c>
      <c r="G448" s="788">
        <v>80</v>
      </c>
      <c r="H448" s="788" t="s">
        <v>1</v>
      </c>
      <c r="I448" s="780" t="s">
        <v>1285</v>
      </c>
      <c r="J448" s="788">
        <v>4.9000000000000004</v>
      </c>
      <c r="K448" s="787" t="s">
        <v>42</v>
      </c>
      <c r="L448" s="790">
        <v>50</v>
      </c>
      <c r="M448" s="778">
        <v>1.8399999999999999</v>
      </c>
      <c r="N448" s="780">
        <v>1000</v>
      </c>
      <c r="O448" s="780">
        <v>1000</v>
      </c>
      <c r="P448" s="791">
        <v>100</v>
      </c>
      <c r="Q448" s="791">
        <v>100</v>
      </c>
      <c r="R448" s="792">
        <v>128.80000000000001</v>
      </c>
      <c r="S448" s="791">
        <v>100</v>
      </c>
      <c r="T448" s="791">
        <v>100</v>
      </c>
      <c r="U448" s="791">
        <v>1839.9999999999998</v>
      </c>
      <c r="V448" s="791">
        <v>33.119999999999997</v>
      </c>
      <c r="W448" s="791">
        <v>55.199999999999996</v>
      </c>
      <c r="X448" s="791">
        <v>7.3599999999999994</v>
      </c>
      <c r="Y448" s="791">
        <v>46</v>
      </c>
      <c r="Z448" s="791">
        <v>1380</v>
      </c>
      <c r="AA448" s="791">
        <v>919.99999999999989</v>
      </c>
      <c r="AB448" s="791">
        <v>1839.9999999999998</v>
      </c>
      <c r="AC448" s="791">
        <v>92</v>
      </c>
      <c r="AD448" s="791">
        <v>18.399999999999999</v>
      </c>
      <c r="AE448" s="791">
        <v>3.6799999999999997</v>
      </c>
      <c r="AF448" s="791"/>
      <c r="AG448" s="791"/>
      <c r="AH448" s="791"/>
      <c r="AI448" s="784"/>
      <c r="AK448" s="783">
        <f>IFERROR(Tabela1[[#This Row],[EE(g)]]/Tabela1[[#This Row],[CMS(kg)]],0)</f>
        <v>70.000000000000014</v>
      </c>
    </row>
    <row r="449" spans="2:37" hidden="1">
      <c r="B449" s="774">
        <f>ROW()^2+(Tabela1[[#This Row],[ID2]])+ROW()</f>
        <v>202233</v>
      </c>
      <c r="C449" s="787">
        <v>183</v>
      </c>
      <c r="D449" s="774" t="s">
        <v>1256</v>
      </c>
      <c r="E449" s="788" t="s">
        <v>1276</v>
      </c>
      <c r="F449" s="788" t="s">
        <v>1265</v>
      </c>
      <c r="G449" s="788">
        <v>80</v>
      </c>
      <c r="H449" s="788" t="s">
        <v>1</v>
      </c>
      <c r="I449" s="780" t="s">
        <v>1286</v>
      </c>
      <c r="J449" s="788">
        <v>4.2</v>
      </c>
      <c r="K449" s="787" t="s">
        <v>42</v>
      </c>
      <c r="L449" s="790">
        <v>65</v>
      </c>
      <c r="M449" s="778">
        <v>2</v>
      </c>
      <c r="N449" s="780">
        <v>1000</v>
      </c>
      <c r="O449" s="780">
        <v>1000</v>
      </c>
      <c r="P449" s="791">
        <v>100</v>
      </c>
      <c r="Q449" s="791">
        <v>100</v>
      </c>
      <c r="R449" s="792">
        <v>140</v>
      </c>
      <c r="S449" s="791">
        <v>100</v>
      </c>
      <c r="T449" s="791">
        <v>100</v>
      </c>
      <c r="U449" s="791">
        <v>2000</v>
      </c>
      <c r="V449" s="791">
        <v>36</v>
      </c>
      <c r="W449" s="791">
        <v>60</v>
      </c>
      <c r="X449" s="791">
        <v>8</v>
      </c>
      <c r="Y449" s="791">
        <v>50</v>
      </c>
      <c r="Z449" s="791">
        <v>1500</v>
      </c>
      <c r="AA449" s="791">
        <v>1000</v>
      </c>
      <c r="AB449" s="791">
        <v>2000</v>
      </c>
      <c r="AC449" s="791">
        <v>100</v>
      </c>
      <c r="AD449" s="791">
        <v>20</v>
      </c>
      <c r="AE449" s="791">
        <v>4</v>
      </c>
      <c r="AF449" s="791"/>
      <c r="AG449" s="791"/>
      <c r="AH449" s="791"/>
      <c r="AI449" s="784"/>
      <c r="AK449" s="783">
        <f>IFERROR(Tabela1[[#This Row],[EE(g)]]/Tabela1[[#This Row],[CMS(kg)]],0)</f>
        <v>70</v>
      </c>
    </row>
    <row r="450" spans="2:37" hidden="1">
      <c r="B450" s="774">
        <f>ROW()^2+(Tabela1[[#This Row],[ID2]])+ROW()</f>
        <v>203116</v>
      </c>
      <c r="C450" s="787">
        <v>166</v>
      </c>
      <c r="D450" s="774" t="s">
        <v>1256</v>
      </c>
      <c r="E450" s="788" t="s">
        <v>1276</v>
      </c>
      <c r="F450" s="788" t="s">
        <v>1265</v>
      </c>
      <c r="G450" s="788">
        <v>90</v>
      </c>
      <c r="H450" s="788" t="s">
        <v>1</v>
      </c>
      <c r="I450" s="780" t="s">
        <v>1266</v>
      </c>
      <c r="J450" s="788">
        <v>6</v>
      </c>
      <c r="K450" s="787" t="s">
        <v>42</v>
      </c>
      <c r="L450" s="790">
        <v>33</v>
      </c>
      <c r="M450" s="778">
        <v>1.75491</v>
      </c>
      <c r="N450" s="780">
        <v>1000</v>
      </c>
      <c r="O450" s="780">
        <v>1000</v>
      </c>
      <c r="P450" s="791">
        <v>100</v>
      </c>
      <c r="Q450" s="791">
        <v>100</v>
      </c>
      <c r="R450" s="792">
        <v>122.80000000000001</v>
      </c>
      <c r="S450" s="791">
        <v>100</v>
      </c>
      <c r="T450" s="791">
        <v>100</v>
      </c>
      <c r="U450" s="791">
        <v>1754.91</v>
      </c>
      <c r="V450" s="791">
        <v>31.588380000000001</v>
      </c>
      <c r="W450" s="791">
        <v>52.647300000000001</v>
      </c>
      <c r="X450" s="791">
        <v>7.0196399999999999</v>
      </c>
      <c r="Y450" s="791">
        <v>43.872749999999996</v>
      </c>
      <c r="Z450" s="791">
        <v>1316.1824999999999</v>
      </c>
      <c r="AA450" s="791">
        <v>877.45500000000004</v>
      </c>
      <c r="AB450" s="791">
        <v>1754.91</v>
      </c>
      <c r="AC450" s="791">
        <v>87.745499999999993</v>
      </c>
      <c r="AD450" s="791">
        <v>17.549099999999999</v>
      </c>
      <c r="AE450" s="791">
        <v>3.5098199999999999</v>
      </c>
      <c r="AF450" s="791"/>
      <c r="AG450" s="791"/>
      <c r="AH450" s="791"/>
      <c r="AI450" s="784"/>
      <c r="AK450" s="783">
        <f>IFERROR(Tabela1[[#This Row],[EE(g)]]/Tabela1[[#This Row],[CMS(kg)]],0)</f>
        <v>69.975098438096552</v>
      </c>
    </row>
    <row r="451" spans="2:37" hidden="1">
      <c r="B451" s="774">
        <f>ROW()^2+(Tabela1[[#This Row],[ID2]])+ROW()</f>
        <v>204027</v>
      </c>
      <c r="C451" s="787">
        <v>175</v>
      </c>
      <c r="D451" s="774" t="s">
        <v>1256</v>
      </c>
      <c r="E451" s="788" t="s">
        <v>1276</v>
      </c>
      <c r="F451" s="788" t="s">
        <v>1265</v>
      </c>
      <c r="G451" s="788">
        <v>90</v>
      </c>
      <c r="H451" s="788" t="s">
        <v>1</v>
      </c>
      <c r="I451" s="780" t="s">
        <v>1285</v>
      </c>
      <c r="J451" s="788">
        <v>5.2</v>
      </c>
      <c r="K451" s="787" t="s">
        <v>42</v>
      </c>
      <c r="L451" s="790">
        <v>55</v>
      </c>
      <c r="M451" s="778">
        <v>1.998</v>
      </c>
      <c r="N451" s="780">
        <v>1000</v>
      </c>
      <c r="O451" s="780">
        <v>1000</v>
      </c>
      <c r="P451" s="791">
        <v>100</v>
      </c>
      <c r="Q451" s="791">
        <v>100</v>
      </c>
      <c r="R451" s="792">
        <v>139.9</v>
      </c>
      <c r="S451" s="791">
        <v>100</v>
      </c>
      <c r="T451" s="791">
        <v>100</v>
      </c>
      <c r="U451" s="791">
        <v>1998</v>
      </c>
      <c r="V451" s="791">
        <v>35.963999999999999</v>
      </c>
      <c r="W451" s="791">
        <v>59.94</v>
      </c>
      <c r="X451" s="791">
        <v>7.992</v>
      </c>
      <c r="Y451" s="791">
        <v>49.95</v>
      </c>
      <c r="Z451" s="791">
        <v>1498.5</v>
      </c>
      <c r="AA451" s="791">
        <v>999</v>
      </c>
      <c r="AB451" s="791">
        <v>1998</v>
      </c>
      <c r="AC451" s="791">
        <v>99.9</v>
      </c>
      <c r="AD451" s="791">
        <v>19.98</v>
      </c>
      <c r="AE451" s="791">
        <v>3.996</v>
      </c>
      <c r="AF451" s="791"/>
      <c r="AG451" s="791"/>
      <c r="AH451" s="791"/>
      <c r="AI451" s="784"/>
      <c r="AK451" s="783">
        <f>IFERROR(Tabela1[[#This Row],[EE(g)]]/Tabela1[[#This Row],[CMS(kg)]],0)</f>
        <v>70.020020020020027</v>
      </c>
    </row>
    <row r="452" spans="2:37" hidden="1">
      <c r="B452" s="774">
        <f>ROW()^2+(Tabela1[[#This Row],[ID2]])+ROW()</f>
        <v>204940</v>
      </c>
      <c r="C452" s="787">
        <v>184</v>
      </c>
      <c r="D452" s="774" t="s">
        <v>1256</v>
      </c>
      <c r="E452" s="788" t="s">
        <v>1276</v>
      </c>
      <c r="F452" s="788" t="s">
        <v>1265</v>
      </c>
      <c r="G452" s="788">
        <v>90</v>
      </c>
      <c r="H452" s="788" t="s">
        <v>1</v>
      </c>
      <c r="I452" s="780" t="s">
        <v>1286</v>
      </c>
      <c r="J452" s="788">
        <v>4.5</v>
      </c>
      <c r="K452" s="787" t="s">
        <v>42</v>
      </c>
      <c r="L452" s="790">
        <v>71</v>
      </c>
      <c r="M452" s="778">
        <v>2.169</v>
      </c>
      <c r="N452" s="780">
        <v>1000</v>
      </c>
      <c r="O452" s="780">
        <v>1000</v>
      </c>
      <c r="P452" s="791">
        <v>100</v>
      </c>
      <c r="Q452" s="791">
        <v>100</v>
      </c>
      <c r="R452" s="792">
        <v>151.79999999999998</v>
      </c>
      <c r="S452" s="791">
        <v>100</v>
      </c>
      <c r="T452" s="791">
        <v>100</v>
      </c>
      <c r="U452" s="791">
        <v>2169</v>
      </c>
      <c r="V452" s="791">
        <v>39.042000000000002</v>
      </c>
      <c r="W452" s="791">
        <v>65.070000000000007</v>
      </c>
      <c r="X452" s="791">
        <v>8.6760000000000002</v>
      </c>
      <c r="Y452" s="791">
        <v>54.225000000000001</v>
      </c>
      <c r="Z452" s="791">
        <v>1626.75</v>
      </c>
      <c r="AA452" s="791">
        <v>1084.5</v>
      </c>
      <c r="AB452" s="791">
        <v>2169</v>
      </c>
      <c r="AC452" s="791">
        <v>108.45</v>
      </c>
      <c r="AD452" s="791">
        <v>21.69</v>
      </c>
      <c r="AE452" s="791">
        <v>4.3380000000000001</v>
      </c>
      <c r="AF452" s="791"/>
      <c r="AG452" s="791"/>
      <c r="AH452" s="791"/>
      <c r="AI452" s="784"/>
      <c r="AK452" s="783">
        <f>IFERROR(Tabela1[[#This Row],[EE(g)]]/Tabela1[[#This Row],[CMS(kg)]],0)</f>
        <v>69.986168741355456</v>
      </c>
    </row>
    <row r="453" spans="2:37" hidden="1">
      <c r="B453" s="774">
        <f>ROW()^2+(Tabela1[[#This Row],[ID2]])+ROW()</f>
        <v>205829</v>
      </c>
      <c r="C453" s="787">
        <v>167</v>
      </c>
      <c r="D453" s="774" t="s">
        <v>1256</v>
      </c>
      <c r="E453" s="788" t="s">
        <v>1276</v>
      </c>
      <c r="F453" s="788" t="s">
        <v>1265</v>
      </c>
      <c r="G453" s="788">
        <v>100</v>
      </c>
      <c r="H453" s="788" t="s">
        <v>1</v>
      </c>
      <c r="I453" s="780" t="s">
        <v>1266</v>
      </c>
      <c r="J453" s="788">
        <v>6.3</v>
      </c>
      <c r="K453" s="787" t="s">
        <v>42</v>
      </c>
      <c r="L453" s="790">
        <v>35</v>
      </c>
      <c r="M453" s="778">
        <v>1.8900000000000001</v>
      </c>
      <c r="N453" s="780">
        <v>1000</v>
      </c>
      <c r="O453" s="780">
        <v>1000</v>
      </c>
      <c r="P453" s="791">
        <v>100</v>
      </c>
      <c r="Q453" s="791">
        <v>100</v>
      </c>
      <c r="R453" s="792">
        <v>132.30000000000001</v>
      </c>
      <c r="S453" s="791">
        <v>100</v>
      </c>
      <c r="T453" s="791">
        <v>100</v>
      </c>
      <c r="U453" s="791">
        <v>1890.0000000000002</v>
      </c>
      <c r="V453" s="791">
        <v>34.020000000000003</v>
      </c>
      <c r="W453" s="791">
        <v>56.7</v>
      </c>
      <c r="X453" s="791">
        <v>7.5600000000000005</v>
      </c>
      <c r="Y453" s="791">
        <v>47.25</v>
      </c>
      <c r="Z453" s="791">
        <v>1417.5</v>
      </c>
      <c r="AA453" s="791">
        <v>945.00000000000011</v>
      </c>
      <c r="AB453" s="791">
        <v>1890.0000000000002</v>
      </c>
      <c r="AC453" s="791">
        <v>94.5</v>
      </c>
      <c r="AD453" s="791">
        <v>18.900000000000002</v>
      </c>
      <c r="AE453" s="791">
        <v>3.7800000000000002</v>
      </c>
      <c r="AF453" s="791"/>
      <c r="AG453" s="791"/>
      <c r="AH453" s="791"/>
      <c r="AI453" s="784"/>
      <c r="AK453" s="783">
        <f>IFERROR(Tabela1[[#This Row],[EE(g)]]/Tabela1[[#This Row],[CMS(kg)]],0)</f>
        <v>70</v>
      </c>
    </row>
    <row r="454" spans="2:37" hidden="1">
      <c r="B454" s="774">
        <f>ROW()^2+(Tabela1[[#This Row],[ID2]])+ROW()</f>
        <v>206746</v>
      </c>
      <c r="C454" s="787">
        <v>176</v>
      </c>
      <c r="D454" s="774" t="s">
        <v>1256</v>
      </c>
      <c r="E454" s="788" t="s">
        <v>1276</v>
      </c>
      <c r="F454" s="788" t="s">
        <v>1265</v>
      </c>
      <c r="G454" s="788">
        <v>100</v>
      </c>
      <c r="H454" s="788" t="s">
        <v>1</v>
      </c>
      <c r="I454" s="780" t="s">
        <v>1285</v>
      </c>
      <c r="J454" s="788">
        <v>5.5</v>
      </c>
      <c r="K454" s="787" t="s">
        <v>42</v>
      </c>
      <c r="L454" s="790">
        <v>59</v>
      </c>
      <c r="M454" s="778">
        <v>2.15</v>
      </c>
      <c r="N454" s="780">
        <v>1000</v>
      </c>
      <c r="O454" s="780">
        <v>1000</v>
      </c>
      <c r="P454" s="791">
        <v>100</v>
      </c>
      <c r="Q454" s="791">
        <v>100</v>
      </c>
      <c r="R454" s="792">
        <v>150.5</v>
      </c>
      <c r="S454" s="791">
        <v>100</v>
      </c>
      <c r="T454" s="791">
        <v>100</v>
      </c>
      <c r="U454" s="791">
        <v>2150</v>
      </c>
      <c r="V454" s="791">
        <v>38.699999999999996</v>
      </c>
      <c r="W454" s="791">
        <v>64.5</v>
      </c>
      <c r="X454" s="791">
        <v>8.6</v>
      </c>
      <c r="Y454" s="791">
        <v>53.75</v>
      </c>
      <c r="Z454" s="791">
        <v>1612.5</v>
      </c>
      <c r="AA454" s="791">
        <v>1075</v>
      </c>
      <c r="AB454" s="791">
        <v>2150</v>
      </c>
      <c r="AC454" s="791">
        <v>107.5</v>
      </c>
      <c r="AD454" s="791">
        <v>21.5</v>
      </c>
      <c r="AE454" s="791">
        <v>4.3</v>
      </c>
      <c r="AF454" s="791"/>
      <c r="AG454" s="791"/>
      <c r="AH454" s="791"/>
      <c r="AI454" s="784"/>
      <c r="AK454" s="783">
        <f>IFERROR(Tabela1[[#This Row],[EE(g)]]/Tabela1[[#This Row],[CMS(kg)]],0)</f>
        <v>70</v>
      </c>
    </row>
    <row r="455" spans="2:37" hidden="1">
      <c r="B455" s="774">
        <f>ROW()^2+(Tabela1[[#This Row],[ID2]])+ROW()</f>
        <v>207665</v>
      </c>
      <c r="C455" s="787">
        <v>185</v>
      </c>
      <c r="D455" s="774" t="s">
        <v>1256</v>
      </c>
      <c r="E455" s="788" t="s">
        <v>1276</v>
      </c>
      <c r="F455" s="788" t="s">
        <v>1265</v>
      </c>
      <c r="G455" s="788">
        <v>100</v>
      </c>
      <c r="H455" s="788" t="s">
        <v>1</v>
      </c>
      <c r="I455" s="780" t="s">
        <v>1286</v>
      </c>
      <c r="J455" s="788">
        <v>4.7</v>
      </c>
      <c r="K455" s="787" t="s">
        <v>42</v>
      </c>
      <c r="L455" s="790">
        <v>77</v>
      </c>
      <c r="M455" s="778">
        <v>2.3199999999999998</v>
      </c>
      <c r="N455" s="780">
        <v>1000</v>
      </c>
      <c r="O455" s="780">
        <v>1000</v>
      </c>
      <c r="P455" s="791">
        <v>100</v>
      </c>
      <c r="Q455" s="791">
        <v>100</v>
      </c>
      <c r="R455" s="792">
        <v>162.39999999999998</v>
      </c>
      <c r="S455" s="791">
        <v>100</v>
      </c>
      <c r="T455" s="791">
        <v>100</v>
      </c>
      <c r="U455" s="791">
        <v>2320</v>
      </c>
      <c r="V455" s="791">
        <v>41.76</v>
      </c>
      <c r="W455" s="791">
        <v>69.599999999999994</v>
      </c>
      <c r="X455" s="791">
        <v>9.2799999999999994</v>
      </c>
      <c r="Y455" s="791">
        <v>57.999999999999993</v>
      </c>
      <c r="Z455" s="791">
        <v>1739.9999999999998</v>
      </c>
      <c r="AA455" s="791">
        <v>1160</v>
      </c>
      <c r="AB455" s="791">
        <v>2320</v>
      </c>
      <c r="AC455" s="791">
        <v>115.99999999999999</v>
      </c>
      <c r="AD455" s="791">
        <v>23.2</v>
      </c>
      <c r="AE455" s="791">
        <v>4.6399999999999997</v>
      </c>
      <c r="AF455" s="791"/>
      <c r="AG455" s="791"/>
      <c r="AH455" s="791"/>
      <c r="AI455" s="784"/>
      <c r="AK455" s="783">
        <f>IFERROR(Tabela1[[#This Row],[EE(g)]]/Tabela1[[#This Row],[CMS(kg)]],0)</f>
        <v>70</v>
      </c>
    </row>
    <row r="456" spans="2:37" hidden="1">
      <c r="B456" s="774">
        <f>ROW()^2+(Tabela1[[#This Row],[ID2]])+ROW()</f>
        <v>208560</v>
      </c>
      <c r="C456" s="787">
        <v>168</v>
      </c>
      <c r="D456" s="774" t="s">
        <v>1256</v>
      </c>
      <c r="E456" s="788" t="s">
        <v>1276</v>
      </c>
      <c r="F456" s="788" t="s">
        <v>1265</v>
      </c>
      <c r="G456" s="788">
        <v>120</v>
      </c>
      <c r="H456" s="788" t="s">
        <v>1</v>
      </c>
      <c r="I456" s="780" t="s">
        <v>1266</v>
      </c>
      <c r="J456" s="788">
        <v>7</v>
      </c>
      <c r="K456" s="787" t="s">
        <v>42</v>
      </c>
      <c r="L456" s="790">
        <v>41</v>
      </c>
      <c r="M456" s="778">
        <v>2.1479999999999997</v>
      </c>
      <c r="N456" s="780">
        <v>1000</v>
      </c>
      <c r="O456" s="780">
        <v>1000</v>
      </c>
      <c r="P456" s="791">
        <v>100</v>
      </c>
      <c r="Q456" s="791">
        <v>100</v>
      </c>
      <c r="R456" s="792">
        <v>150.4</v>
      </c>
      <c r="S456" s="791">
        <v>100</v>
      </c>
      <c r="T456" s="791">
        <v>100</v>
      </c>
      <c r="U456" s="791">
        <v>2147.9999999999995</v>
      </c>
      <c r="V456" s="791">
        <v>38.663999999999994</v>
      </c>
      <c r="W456" s="791">
        <v>64.44</v>
      </c>
      <c r="X456" s="791">
        <v>8.5919999999999987</v>
      </c>
      <c r="Y456" s="791">
        <v>53.699999999999989</v>
      </c>
      <c r="Z456" s="791">
        <v>1610.9999999999998</v>
      </c>
      <c r="AA456" s="791">
        <v>1073.9999999999998</v>
      </c>
      <c r="AB456" s="791">
        <v>2147.9999999999995</v>
      </c>
      <c r="AC456" s="791">
        <v>107.39999999999998</v>
      </c>
      <c r="AD456" s="791">
        <v>21.479999999999997</v>
      </c>
      <c r="AE456" s="791">
        <v>4.2959999999999994</v>
      </c>
      <c r="AF456" s="791"/>
      <c r="AG456" s="791"/>
      <c r="AH456" s="791"/>
      <c r="AI456" s="784"/>
      <c r="AK456" s="783">
        <f>IFERROR(Tabela1[[#This Row],[EE(g)]]/Tabela1[[#This Row],[CMS(kg)]],0)</f>
        <v>70.018621973929243</v>
      </c>
    </row>
    <row r="457" spans="2:37" hidden="1">
      <c r="B457" s="774">
        <f>ROW()^2+(Tabela1[[#This Row],[ID2]])+ROW()</f>
        <v>209483</v>
      </c>
      <c r="C457" s="787">
        <v>177</v>
      </c>
      <c r="D457" s="774" t="s">
        <v>1256</v>
      </c>
      <c r="E457" s="788" t="s">
        <v>1276</v>
      </c>
      <c r="F457" s="788" t="s">
        <v>1265</v>
      </c>
      <c r="G457" s="788">
        <v>120</v>
      </c>
      <c r="H457" s="788" t="s">
        <v>1</v>
      </c>
      <c r="I457" s="780" t="s">
        <v>1285</v>
      </c>
      <c r="J457" s="788">
        <v>6.1</v>
      </c>
      <c r="K457" s="787" t="s">
        <v>42</v>
      </c>
      <c r="L457" s="790">
        <v>68</v>
      </c>
      <c r="M457" s="778">
        <v>2.4359999999999999</v>
      </c>
      <c r="N457" s="780">
        <v>1000</v>
      </c>
      <c r="O457" s="780">
        <v>1000</v>
      </c>
      <c r="P457" s="791">
        <v>100</v>
      </c>
      <c r="Q457" s="791">
        <v>100</v>
      </c>
      <c r="R457" s="792">
        <v>170.5</v>
      </c>
      <c r="S457" s="791">
        <v>100</v>
      </c>
      <c r="T457" s="791">
        <v>100</v>
      </c>
      <c r="U457" s="791">
        <v>2436</v>
      </c>
      <c r="V457" s="791">
        <v>43.847999999999999</v>
      </c>
      <c r="W457" s="791">
        <v>73.08</v>
      </c>
      <c r="X457" s="791">
        <v>9.7439999999999998</v>
      </c>
      <c r="Y457" s="791">
        <v>60.9</v>
      </c>
      <c r="Z457" s="791">
        <v>1827</v>
      </c>
      <c r="AA457" s="791">
        <v>1218</v>
      </c>
      <c r="AB457" s="791">
        <v>2436</v>
      </c>
      <c r="AC457" s="791">
        <v>121.8</v>
      </c>
      <c r="AD457" s="791">
        <v>24.36</v>
      </c>
      <c r="AE457" s="791">
        <v>4.8719999999999999</v>
      </c>
      <c r="AF457" s="791"/>
      <c r="AG457" s="791"/>
      <c r="AH457" s="791"/>
      <c r="AI457" s="784"/>
      <c r="AK457" s="783">
        <f>IFERROR(Tabela1[[#This Row],[EE(g)]]/Tabela1[[#This Row],[CMS(kg)]],0)</f>
        <v>69.991789819376024</v>
      </c>
    </row>
    <row r="458" spans="2:37" hidden="1">
      <c r="B458" s="774">
        <f>ROW()^2+(Tabela1[[#This Row],[ID2]])+ROW()</f>
        <v>210408</v>
      </c>
      <c r="C458" s="787">
        <v>186</v>
      </c>
      <c r="D458" s="774" t="s">
        <v>1256</v>
      </c>
      <c r="E458" s="788" t="s">
        <v>1276</v>
      </c>
      <c r="F458" s="788" t="s">
        <v>1265</v>
      </c>
      <c r="G458" s="788">
        <v>120</v>
      </c>
      <c r="H458" s="788" t="s">
        <v>1</v>
      </c>
      <c r="I458" s="780" t="s">
        <v>1286</v>
      </c>
      <c r="J458" s="788">
        <v>5.2</v>
      </c>
      <c r="K458" s="787" t="s">
        <v>42</v>
      </c>
      <c r="L458" s="790">
        <v>88</v>
      </c>
      <c r="M458" s="778">
        <v>2.6280000000000001</v>
      </c>
      <c r="N458" s="780">
        <v>1000</v>
      </c>
      <c r="O458" s="780">
        <v>1000</v>
      </c>
      <c r="P458" s="791">
        <v>100</v>
      </c>
      <c r="Q458" s="791">
        <v>100</v>
      </c>
      <c r="R458" s="792">
        <v>184</v>
      </c>
      <c r="S458" s="791">
        <v>100</v>
      </c>
      <c r="T458" s="791">
        <v>100</v>
      </c>
      <c r="U458" s="791">
        <v>2628</v>
      </c>
      <c r="V458" s="791">
        <v>47.304000000000002</v>
      </c>
      <c r="W458" s="791">
        <v>78.84</v>
      </c>
      <c r="X458" s="791">
        <v>10.512</v>
      </c>
      <c r="Y458" s="791">
        <v>65.7</v>
      </c>
      <c r="Z458" s="791">
        <v>1971</v>
      </c>
      <c r="AA458" s="791">
        <v>1314</v>
      </c>
      <c r="AB458" s="791">
        <v>2628</v>
      </c>
      <c r="AC458" s="791">
        <v>131.4</v>
      </c>
      <c r="AD458" s="791">
        <v>26.28</v>
      </c>
      <c r="AE458" s="791">
        <v>5.2560000000000002</v>
      </c>
      <c r="AF458" s="791"/>
      <c r="AG458" s="791"/>
      <c r="AH458" s="791"/>
      <c r="AI458" s="784"/>
      <c r="AK458" s="783">
        <f>IFERROR(Tabela1[[#This Row],[EE(g)]]/Tabela1[[#This Row],[CMS(kg)]],0)</f>
        <v>70.015220700152199</v>
      </c>
    </row>
    <row r="459" spans="2:37" hidden="1">
      <c r="B459" s="774">
        <f>ROW()^2+(Tabela1[[#This Row],[ID2]])+ROW()</f>
        <v>211309</v>
      </c>
      <c r="C459" s="787">
        <v>169</v>
      </c>
      <c r="D459" s="774" t="s">
        <v>1256</v>
      </c>
      <c r="E459" s="788" t="s">
        <v>1276</v>
      </c>
      <c r="F459" s="788" t="s">
        <v>1265</v>
      </c>
      <c r="G459" s="788">
        <v>140</v>
      </c>
      <c r="H459" s="788" t="s">
        <v>1</v>
      </c>
      <c r="I459" s="780" t="s">
        <v>1266</v>
      </c>
      <c r="J459" s="788">
        <v>7.5</v>
      </c>
      <c r="K459" s="787" t="s">
        <v>42</v>
      </c>
      <c r="L459" s="790">
        <v>46</v>
      </c>
      <c r="M459" s="778">
        <v>2.3940000000000001</v>
      </c>
      <c r="N459" s="780">
        <v>1000</v>
      </c>
      <c r="O459" s="780">
        <v>1000</v>
      </c>
      <c r="P459" s="791">
        <v>100</v>
      </c>
      <c r="Q459" s="791">
        <v>100</v>
      </c>
      <c r="R459" s="792">
        <v>167.6</v>
      </c>
      <c r="S459" s="791">
        <v>100</v>
      </c>
      <c r="T459" s="791">
        <v>100</v>
      </c>
      <c r="U459" s="791">
        <v>2394</v>
      </c>
      <c r="V459" s="791">
        <v>43.091999999999999</v>
      </c>
      <c r="W459" s="791">
        <v>71.820000000000007</v>
      </c>
      <c r="X459" s="791">
        <v>9.5760000000000005</v>
      </c>
      <c r="Y459" s="791">
        <v>59.85</v>
      </c>
      <c r="Z459" s="791">
        <v>1795.5</v>
      </c>
      <c r="AA459" s="791">
        <v>1197</v>
      </c>
      <c r="AB459" s="791">
        <v>2394</v>
      </c>
      <c r="AC459" s="791">
        <v>119.7</v>
      </c>
      <c r="AD459" s="791">
        <v>23.94</v>
      </c>
      <c r="AE459" s="791">
        <v>4.7880000000000003</v>
      </c>
      <c r="AF459" s="791"/>
      <c r="AG459" s="791"/>
      <c r="AH459" s="791"/>
      <c r="AI459" s="784"/>
      <c r="AK459" s="783">
        <f>IFERROR(Tabela1[[#This Row],[EE(g)]]/Tabela1[[#This Row],[CMS(kg)]],0)</f>
        <v>70.008354218880527</v>
      </c>
    </row>
    <row r="460" spans="2:37" hidden="1">
      <c r="B460" s="774">
        <f>ROW()^2+(Tabela1[[#This Row],[ID2]])+ROW()</f>
        <v>212238</v>
      </c>
      <c r="C460" s="787">
        <v>178</v>
      </c>
      <c r="D460" s="774" t="s">
        <v>1256</v>
      </c>
      <c r="E460" s="788" t="s">
        <v>1276</v>
      </c>
      <c r="F460" s="788" t="s">
        <v>1265</v>
      </c>
      <c r="G460" s="788">
        <v>140</v>
      </c>
      <c r="H460" s="788" t="s">
        <v>1</v>
      </c>
      <c r="I460" s="780" t="s">
        <v>1285</v>
      </c>
      <c r="J460" s="788">
        <v>6.6</v>
      </c>
      <c r="K460" s="787" t="s">
        <v>42</v>
      </c>
      <c r="L460" s="790">
        <v>76</v>
      </c>
      <c r="M460" s="778">
        <v>2.7160000000000002</v>
      </c>
      <c r="N460" s="780">
        <v>1000</v>
      </c>
      <c r="O460" s="780">
        <v>1000</v>
      </c>
      <c r="P460" s="791">
        <v>100</v>
      </c>
      <c r="Q460" s="791">
        <v>100</v>
      </c>
      <c r="R460" s="792">
        <v>190.1</v>
      </c>
      <c r="S460" s="791">
        <v>100</v>
      </c>
      <c r="T460" s="791">
        <v>100</v>
      </c>
      <c r="U460" s="791">
        <v>2716</v>
      </c>
      <c r="V460" s="791">
        <v>48.888000000000005</v>
      </c>
      <c r="W460" s="791">
        <v>81.48</v>
      </c>
      <c r="X460" s="791">
        <v>10.864000000000001</v>
      </c>
      <c r="Y460" s="791">
        <v>67.900000000000006</v>
      </c>
      <c r="Z460" s="791">
        <v>2037.0000000000002</v>
      </c>
      <c r="AA460" s="791">
        <v>1358</v>
      </c>
      <c r="AB460" s="791">
        <v>2716</v>
      </c>
      <c r="AC460" s="791">
        <v>135.80000000000001</v>
      </c>
      <c r="AD460" s="791">
        <v>27.160000000000004</v>
      </c>
      <c r="AE460" s="791">
        <v>5.4320000000000004</v>
      </c>
      <c r="AF460" s="791"/>
      <c r="AG460" s="791"/>
      <c r="AH460" s="791"/>
      <c r="AI460" s="784"/>
      <c r="AK460" s="783">
        <f>IFERROR(Tabela1[[#This Row],[EE(g)]]/Tabela1[[#This Row],[CMS(kg)]],0)</f>
        <v>69.992636229749621</v>
      </c>
    </row>
    <row r="461" spans="2:37" hidden="1">
      <c r="B461" s="774">
        <f>ROW()^2+(Tabela1[[#This Row],[ID2]])+ROW()</f>
        <v>213169</v>
      </c>
      <c r="C461" s="787">
        <v>187</v>
      </c>
      <c r="D461" s="774" t="s">
        <v>1256</v>
      </c>
      <c r="E461" s="788" t="s">
        <v>1276</v>
      </c>
      <c r="F461" s="788" t="s">
        <v>1265</v>
      </c>
      <c r="G461" s="788">
        <v>140</v>
      </c>
      <c r="H461" s="788" t="s">
        <v>1</v>
      </c>
      <c r="I461" s="780" t="s">
        <v>1286</v>
      </c>
      <c r="J461" s="788">
        <v>5.7</v>
      </c>
      <c r="K461" s="787" t="s">
        <v>42</v>
      </c>
      <c r="L461" s="790">
        <v>99</v>
      </c>
      <c r="M461" s="778">
        <v>2.9259999999999997</v>
      </c>
      <c r="N461" s="780">
        <v>1000</v>
      </c>
      <c r="O461" s="780">
        <v>1000</v>
      </c>
      <c r="P461" s="791">
        <v>100</v>
      </c>
      <c r="Q461" s="791">
        <v>100</v>
      </c>
      <c r="R461" s="792">
        <v>204.8</v>
      </c>
      <c r="S461" s="791">
        <v>100</v>
      </c>
      <c r="T461" s="791">
        <v>100</v>
      </c>
      <c r="U461" s="791">
        <v>2925.9999999999995</v>
      </c>
      <c r="V461" s="791">
        <v>52.667999999999992</v>
      </c>
      <c r="W461" s="791">
        <v>87.779999999999987</v>
      </c>
      <c r="X461" s="791">
        <v>11.703999999999999</v>
      </c>
      <c r="Y461" s="791">
        <v>73.149999999999991</v>
      </c>
      <c r="Z461" s="791">
        <v>2194.5</v>
      </c>
      <c r="AA461" s="791">
        <v>1462.9999999999998</v>
      </c>
      <c r="AB461" s="791">
        <v>2925.9999999999995</v>
      </c>
      <c r="AC461" s="791">
        <v>146.29999999999998</v>
      </c>
      <c r="AD461" s="791">
        <v>29.259999999999998</v>
      </c>
      <c r="AE461" s="791">
        <v>5.8519999999999994</v>
      </c>
      <c r="AF461" s="791"/>
      <c r="AG461" s="791"/>
      <c r="AH461" s="791"/>
      <c r="AI461" s="784"/>
      <c r="AK461" s="783">
        <f>IFERROR(Tabela1[[#This Row],[EE(g)]]/Tabela1[[#This Row],[CMS(kg)]],0)</f>
        <v>69.993164730006839</v>
      </c>
    </row>
    <row r="462" spans="2:37" hidden="1">
      <c r="B462" s="774">
        <f>ROW()^2+(Tabela1[[#This Row],[ID2]])+ROW()</f>
        <v>214094</v>
      </c>
      <c r="C462" s="787">
        <v>188</v>
      </c>
      <c r="D462" s="774" t="s">
        <v>1256</v>
      </c>
      <c r="E462" s="788" t="s">
        <v>1276</v>
      </c>
      <c r="F462" s="788" t="s">
        <v>1267</v>
      </c>
      <c r="G462" s="788">
        <v>40</v>
      </c>
      <c r="H462" s="788" t="s">
        <v>1</v>
      </c>
      <c r="I462" s="780" t="s">
        <v>1266</v>
      </c>
      <c r="J462" s="788">
        <v>3.9</v>
      </c>
      <c r="K462" s="787" t="s">
        <v>42</v>
      </c>
      <c r="L462" s="790">
        <v>71</v>
      </c>
      <c r="M462" s="778">
        <v>0.99600000000000011</v>
      </c>
      <c r="N462" s="780">
        <v>1000</v>
      </c>
      <c r="O462" s="780">
        <v>1000</v>
      </c>
      <c r="P462" s="791">
        <v>100</v>
      </c>
      <c r="Q462" s="791">
        <v>100</v>
      </c>
      <c r="R462" s="792">
        <v>69.7</v>
      </c>
      <c r="S462" s="791">
        <v>100</v>
      </c>
      <c r="T462" s="791">
        <v>100</v>
      </c>
      <c r="U462" s="791">
        <v>996.00000000000011</v>
      </c>
      <c r="V462" s="791">
        <v>17.928000000000001</v>
      </c>
      <c r="W462" s="791">
        <v>29.880000000000003</v>
      </c>
      <c r="X462" s="791">
        <v>3.9840000000000004</v>
      </c>
      <c r="Y462" s="791">
        <v>24.900000000000002</v>
      </c>
      <c r="Z462" s="791">
        <v>747.00000000000011</v>
      </c>
      <c r="AA462" s="791">
        <v>498.00000000000006</v>
      </c>
      <c r="AB462" s="791">
        <v>996.00000000000011</v>
      </c>
      <c r="AC462" s="791">
        <v>49.800000000000004</v>
      </c>
      <c r="AD462" s="791">
        <v>9.9600000000000009</v>
      </c>
      <c r="AE462" s="791">
        <v>1.9920000000000002</v>
      </c>
      <c r="AF462" s="791"/>
      <c r="AG462" s="791"/>
      <c r="AH462" s="791"/>
      <c r="AI462" s="784"/>
      <c r="AK462" s="783">
        <f>IFERROR(Tabela1[[#This Row],[EE(g)]]/Tabela1[[#This Row],[CMS(kg)]],0)</f>
        <v>69.97991967871485</v>
      </c>
    </row>
    <row r="463" spans="2:37" hidden="1">
      <c r="B463" s="774">
        <f>ROW()^2+(Tabela1[[#This Row],[ID2]])+ROW()</f>
        <v>215029</v>
      </c>
      <c r="C463" s="787">
        <v>197</v>
      </c>
      <c r="D463" s="774" t="s">
        <v>1256</v>
      </c>
      <c r="E463" s="788" t="s">
        <v>1276</v>
      </c>
      <c r="F463" s="788" t="s">
        <v>1267</v>
      </c>
      <c r="G463" s="788">
        <v>40</v>
      </c>
      <c r="H463" s="788" t="s">
        <v>1</v>
      </c>
      <c r="I463" s="780" t="s">
        <v>1285</v>
      </c>
      <c r="J463" s="788">
        <v>3.4</v>
      </c>
      <c r="K463" s="787" t="s">
        <v>42</v>
      </c>
      <c r="L463" s="790">
        <v>119</v>
      </c>
      <c r="M463" s="778">
        <v>1.0640000000000001</v>
      </c>
      <c r="N463" s="780">
        <v>1000</v>
      </c>
      <c r="O463" s="780">
        <v>1000</v>
      </c>
      <c r="P463" s="791">
        <v>100</v>
      </c>
      <c r="Q463" s="791">
        <v>100</v>
      </c>
      <c r="R463" s="792">
        <v>74.5</v>
      </c>
      <c r="S463" s="791">
        <v>100</v>
      </c>
      <c r="T463" s="791">
        <v>100</v>
      </c>
      <c r="U463" s="791">
        <v>1064</v>
      </c>
      <c r="V463" s="791">
        <v>19.152000000000001</v>
      </c>
      <c r="W463" s="791">
        <v>31.92</v>
      </c>
      <c r="X463" s="791">
        <v>4.2560000000000002</v>
      </c>
      <c r="Y463" s="791">
        <v>26.6</v>
      </c>
      <c r="Z463" s="791">
        <v>798</v>
      </c>
      <c r="AA463" s="791">
        <v>532</v>
      </c>
      <c r="AB463" s="791">
        <v>1064</v>
      </c>
      <c r="AC463" s="791">
        <v>53.2</v>
      </c>
      <c r="AD463" s="791">
        <v>10.64</v>
      </c>
      <c r="AE463" s="791">
        <v>2.1280000000000001</v>
      </c>
      <c r="AF463" s="791"/>
      <c r="AG463" s="791"/>
      <c r="AH463" s="791"/>
      <c r="AI463" s="784"/>
      <c r="AK463" s="783">
        <f>IFERROR(Tabela1[[#This Row],[EE(g)]]/Tabela1[[#This Row],[CMS(kg)]],0)</f>
        <v>70.018796992481199</v>
      </c>
    </row>
    <row r="464" spans="2:37" hidden="1">
      <c r="B464" s="774">
        <f>ROW()^2+(Tabela1[[#This Row],[ID2]])+ROW()</f>
        <v>215966</v>
      </c>
      <c r="C464" s="787">
        <v>206</v>
      </c>
      <c r="D464" s="774" t="s">
        <v>1256</v>
      </c>
      <c r="E464" s="788" t="s">
        <v>1276</v>
      </c>
      <c r="F464" s="788" t="s">
        <v>1267</v>
      </c>
      <c r="G464" s="788">
        <v>40</v>
      </c>
      <c r="H464" s="788" t="s">
        <v>1</v>
      </c>
      <c r="I464" s="780" t="s">
        <v>1286</v>
      </c>
      <c r="J464" s="788">
        <v>2.9</v>
      </c>
      <c r="K464" s="787" t="s">
        <v>42</v>
      </c>
      <c r="L464" s="790">
        <v>155</v>
      </c>
      <c r="M464" s="778">
        <v>1.216</v>
      </c>
      <c r="N464" s="780">
        <v>1000</v>
      </c>
      <c r="O464" s="780">
        <v>1000</v>
      </c>
      <c r="P464" s="791">
        <v>100</v>
      </c>
      <c r="Q464" s="791">
        <v>100</v>
      </c>
      <c r="R464" s="792">
        <v>85.1</v>
      </c>
      <c r="S464" s="791">
        <v>100</v>
      </c>
      <c r="T464" s="791">
        <v>100</v>
      </c>
      <c r="U464" s="791">
        <v>1216</v>
      </c>
      <c r="V464" s="791">
        <v>21.887999999999998</v>
      </c>
      <c r="W464" s="791">
        <v>36.479999999999997</v>
      </c>
      <c r="X464" s="791">
        <v>4.8639999999999999</v>
      </c>
      <c r="Y464" s="791">
        <v>30.4</v>
      </c>
      <c r="Z464" s="791">
        <v>912</v>
      </c>
      <c r="AA464" s="791">
        <v>608</v>
      </c>
      <c r="AB464" s="791">
        <v>1216</v>
      </c>
      <c r="AC464" s="791">
        <v>60.8</v>
      </c>
      <c r="AD464" s="791">
        <v>12.16</v>
      </c>
      <c r="AE464" s="791">
        <v>2.4319999999999999</v>
      </c>
      <c r="AF464" s="791"/>
      <c r="AG464" s="791"/>
      <c r="AH464" s="791"/>
      <c r="AI464" s="784"/>
      <c r="AK464" s="783">
        <f>IFERROR(Tabela1[[#This Row],[EE(g)]]/Tabela1[[#This Row],[CMS(kg)]],0)</f>
        <v>69.983552631578945</v>
      </c>
    </row>
    <row r="465" spans="2:37" hidden="1">
      <c r="B465" s="774">
        <f>ROW()^2+(Tabela1[[#This Row],[ID2]])+ROW()</f>
        <v>216879</v>
      </c>
      <c r="C465" s="787">
        <v>189</v>
      </c>
      <c r="D465" s="774" t="s">
        <v>1256</v>
      </c>
      <c r="E465" s="788" t="s">
        <v>1276</v>
      </c>
      <c r="F465" s="788" t="s">
        <v>1267</v>
      </c>
      <c r="G465" s="788">
        <v>50</v>
      </c>
      <c r="H465" s="788" t="s">
        <v>1</v>
      </c>
      <c r="I465" s="780" t="s">
        <v>1266</v>
      </c>
      <c r="J465" s="788">
        <v>4.4000000000000004</v>
      </c>
      <c r="K465" s="787" t="s">
        <v>42</v>
      </c>
      <c r="L465" s="790">
        <v>84</v>
      </c>
      <c r="M465" s="778">
        <v>1.4450000000000001</v>
      </c>
      <c r="N465" s="780">
        <v>1000</v>
      </c>
      <c r="O465" s="780">
        <v>1000</v>
      </c>
      <c r="P465" s="791">
        <v>100</v>
      </c>
      <c r="Q465" s="791">
        <v>100</v>
      </c>
      <c r="R465" s="792">
        <v>101.2</v>
      </c>
      <c r="S465" s="791">
        <v>100</v>
      </c>
      <c r="T465" s="791">
        <v>100</v>
      </c>
      <c r="U465" s="791">
        <v>1445</v>
      </c>
      <c r="V465" s="791">
        <v>26.01</v>
      </c>
      <c r="W465" s="791">
        <v>43.35</v>
      </c>
      <c r="X465" s="791">
        <v>5.78</v>
      </c>
      <c r="Y465" s="791">
        <v>36.125</v>
      </c>
      <c r="Z465" s="791">
        <v>1083.75</v>
      </c>
      <c r="AA465" s="791">
        <v>722.5</v>
      </c>
      <c r="AB465" s="791">
        <v>1445</v>
      </c>
      <c r="AC465" s="791">
        <v>72.25</v>
      </c>
      <c r="AD465" s="791">
        <v>14.450000000000001</v>
      </c>
      <c r="AE465" s="791">
        <v>2.89</v>
      </c>
      <c r="AF465" s="791"/>
      <c r="AG465" s="791"/>
      <c r="AH465" s="791"/>
      <c r="AI465" s="784"/>
      <c r="AK465" s="783">
        <f>IFERROR(Tabela1[[#This Row],[EE(g)]]/Tabela1[[#This Row],[CMS(kg)]],0)</f>
        <v>70.034602076124571</v>
      </c>
    </row>
    <row r="466" spans="2:37" hidden="1">
      <c r="B466" s="774">
        <f>ROW()^2+(Tabela1[[#This Row],[ID2]])+ROW()</f>
        <v>217820</v>
      </c>
      <c r="C466" s="787">
        <v>198</v>
      </c>
      <c r="D466" s="774" t="s">
        <v>1256</v>
      </c>
      <c r="E466" s="788" t="s">
        <v>1276</v>
      </c>
      <c r="F466" s="788" t="s">
        <v>1267</v>
      </c>
      <c r="G466" s="788">
        <v>50</v>
      </c>
      <c r="H466" s="788" t="s">
        <v>1</v>
      </c>
      <c r="I466" s="780" t="s">
        <v>1285</v>
      </c>
      <c r="J466" s="788">
        <v>3.8</v>
      </c>
      <c r="K466" s="787" t="s">
        <v>42</v>
      </c>
      <c r="L466" s="790">
        <v>141</v>
      </c>
      <c r="M466" s="778">
        <v>1.4650000000000001</v>
      </c>
      <c r="N466" s="780">
        <v>1000</v>
      </c>
      <c r="O466" s="780">
        <v>1000</v>
      </c>
      <c r="P466" s="791">
        <v>100</v>
      </c>
      <c r="Q466" s="791">
        <v>100</v>
      </c>
      <c r="R466" s="792">
        <v>102.6</v>
      </c>
      <c r="S466" s="791">
        <v>100</v>
      </c>
      <c r="T466" s="791">
        <v>100</v>
      </c>
      <c r="U466" s="791">
        <v>1465</v>
      </c>
      <c r="V466" s="791">
        <v>26.37</v>
      </c>
      <c r="W466" s="791">
        <v>43.95</v>
      </c>
      <c r="X466" s="791">
        <v>5.86</v>
      </c>
      <c r="Y466" s="791">
        <v>36.625</v>
      </c>
      <c r="Z466" s="791">
        <v>1098.75</v>
      </c>
      <c r="AA466" s="791">
        <v>732.5</v>
      </c>
      <c r="AB466" s="791">
        <v>1465</v>
      </c>
      <c r="AC466" s="791">
        <v>73.25</v>
      </c>
      <c r="AD466" s="791">
        <v>14.65</v>
      </c>
      <c r="AE466" s="791">
        <v>2.93</v>
      </c>
      <c r="AF466" s="791"/>
      <c r="AG466" s="791"/>
      <c r="AH466" s="791"/>
      <c r="AI466" s="784"/>
      <c r="AK466" s="783">
        <f>IFERROR(Tabela1[[#This Row],[EE(g)]]/Tabela1[[#This Row],[CMS(kg)]],0)</f>
        <v>70.034129692832764</v>
      </c>
    </row>
    <row r="467" spans="2:37" hidden="1">
      <c r="B467" s="774">
        <f>ROW()^2+(Tabela1[[#This Row],[ID2]])+ROW()</f>
        <v>218763</v>
      </c>
      <c r="C467" s="787">
        <v>207</v>
      </c>
      <c r="D467" s="774" t="s">
        <v>1256</v>
      </c>
      <c r="E467" s="788" t="s">
        <v>1276</v>
      </c>
      <c r="F467" s="788" t="s">
        <v>1267</v>
      </c>
      <c r="G467" s="788">
        <v>50</v>
      </c>
      <c r="H467" s="788" t="s">
        <v>1</v>
      </c>
      <c r="I467" s="780" t="s">
        <v>1286</v>
      </c>
      <c r="J467" s="788">
        <v>3.3</v>
      </c>
      <c r="K467" s="787" t="s">
        <v>42</v>
      </c>
      <c r="L467" s="790">
        <v>183</v>
      </c>
      <c r="M467" s="778">
        <v>1.405</v>
      </c>
      <c r="N467" s="780">
        <v>1000</v>
      </c>
      <c r="O467" s="780">
        <v>1000</v>
      </c>
      <c r="P467" s="791">
        <v>100</v>
      </c>
      <c r="Q467" s="791">
        <v>100</v>
      </c>
      <c r="R467" s="792">
        <v>98.4</v>
      </c>
      <c r="S467" s="791">
        <v>100</v>
      </c>
      <c r="T467" s="791">
        <v>100</v>
      </c>
      <c r="U467" s="791">
        <v>1405</v>
      </c>
      <c r="V467" s="791">
        <v>25.29</v>
      </c>
      <c r="W467" s="791">
        <v>42.15</v>
      </c>
      <c r="X467" s="791">
        <v>5.62</v>
      </c>
      <c r="Y467" s="791">
        <v>35.125</v>
      </c>
      <c r="Z467" s="791">
        <v>1053.75</v>
      </c>
      <c r="AA467" s="791">
        <v>702.5</v>
      </c>
      <c r="AB467" s="791">
        <v>1405</v>
      </c>
      <c r="AC467" s="791">
        <v>70.25</v>
      </c>
      <c r="AD467" s="791">
        <v>14.05</v>
      </c>
      <c r="AE467" s="791">
        <v>2.81</v>
      </c>
      <c r="AF467" s="791"/>
      <c r="AG467" s="791"/>
      <c r="AH467" s="791"/>
      <c r="AI467" s="784"/>
      <c r="AK467" s="783">
        <f>IFERROR(Tabela1[[#This Row],[EE(g)]]/Tabela1[[#This Row],[CMS(kg)]],0)</f>
        <v>70.035587188612098</v>
      </c>
    </row>
    <row r="468" spans="2:37" hidden="1">
      <c r="B468" s="774">
        <f>ROW()^2+(Tabela1[[#This Row],[ID2]])+ROW()</f>
        <v>219682</v>
      </c>
      <c r="C468" s="787">
        <v>190</v>
      </c>
      <c r="D468" s="774" t="s">
        <v>1256</v>
      </c>
      <c r="E468" s="788" t="s">
        <v>1276</v>
      </c>
      <c r="F468" s="788" t="s">
        <v>1267</v>
      </c>
      <c r="G468" s="788">
        <v>60</v>
      </c>
      <c r="H468" s="788" t="s">
        <v>1</v>
      </c>
      <c r="I468" s="780" t="s">
        <v>1266</v>
      </c>
      <c r="J468" s="788">
        <v>4.8</v>
      </c>
      <c r="K468" s="787" t="s">
        <v>42</v>
      </c>
      <c r="L468" s="790">
        <v>97</v>
      </c>
      <c r="M468" s="778">
        <v>1.6259999999999999</v>
      </c>
      <c r="N468" s="780">
        <v>1000</v>
      </c>
      <c r="O468" s="780">
        <v>1000</v>
      </c>
      <c r="P468" s="791">
        <v>100</v>
      </c>
      <c r="Q468" s="791">
        <v>100</v>
      </c>
      <c r="R468" s="792">
        <v>113.8</v>
      </c>
      <c r="S468" s="791">
        <v>100</v>
      </c>
      <c r="T468" s="791">
        <v>100</v>
      </c>
      <c r="U468" s="791">
        <v>1626</v>
      </c>
      <c r="V468" s="791">
        <v>29.267999999999997</v>
      </c>
      <c r="W468" s="791">
        <v>48.779999999999994</v>
      </c>
      <c r="X468" s="791">
        <v>6.5039999999999996</v>
      </c>
      <c r="Y468" s="791">
        <v>40.65</v>
      </c>
      <c r="Z468" s="791">
        <v>1219.5</v>
      </c>
      <c r="AA468" s="791">
        <v>813</v>
      </c>
      <c r="AB468" s="791">
        <v>1626</v>
      </c>
      <c r="AC468" s="791">
        <v>81.3</v>
      </c>
      <c r="AD468" s="791">
        <v>16.259999999999998</v>
      </c>
      <c r="AE468" s="791">
        <v>3.2519999999999998</v>
      </c>
      <c r="AF468" s="791"/>
      <c r="AG468" s="791"/>
      <c r="AH468" s="791"/>
      <c r="AI468" s="784"/>
      <c r="AK468" s="783">
        <f>IFERROR(Tabela1[[#This Row],[EE(g)]]/Tabela1[[#This Row],[CMS(kg)]],0)</f>
        <v>69.987699876998775</v>
      </c>
    </row>
    <row r="469" spans="2:37" hidden="1">
      <c r="B469" s="774">
        <f>ROW()^2+(Tabela1[[#This Row],[ID2]])+ROW()</f>
        <v>220629</v>
      </c>
      <c r="C469" s="787">
        <v>199</v>
      </c>
      <c r="D469" s="774" t="s">
        <v>1256</v>
      </c>
      <c r="E469" s="788" t="s">
        <v>1276</v>
      </c>
      <c r="F469" s="788" t="s">
        <v>1267</v>
      </c>
      <c r="G469" s="788">
        <v>60</v>
      </c>
      <c r="H469" s="788" t="s">
        <v>1</v>
      </c>
      <c r="I469" s="780" t="s">
        <v>1285</v>
      </c>
      <c r="J469" s="788">
        <v>4.2</v>
      </c>
      <c r="K469" s="787" t="s">
        <v>42</v>
      </c>
      <c r="L469" s="790">
        <v>161</v>
      </c>
      <c r="M469" s="778">
        <v>1.65</v>
      </c>
      <c r="N469" s="780">
        <v>1000</v>
      </c>
      <c r="O469" s="780">
        <v>1000</v>
      </c>
      <c r="P469" s="791">
        <v>100</v>
      </c>
      <c r="Q469" s="791">
        <v>100</v>
      </c>
      <c r="R469" s="792">
        <v>115.5</v>
      </c>
      <c r="S469" s="791">
        <v>100</v>
      </c>
      <c r="T469" s="791">
        <v>100</v>
      </c>
      <c r="U469" s="791">
        <v>1650</v>
      </c>
      <c r="V469" s="791">
        <v>29.7</v>
      </c>
      <c r="W469" s="791">
        <v>49.5</v>
      </c>
      <c r="X469" s="791">
        <v>6.6</v>
      </c>
      <c r="Y469" s="791">
        <v>41.25</v>
      </c>
      <c r="Z469" s="791">
        <v>1237.5</v>
      </c>
      <c r="AA469" s="791">
        <v>825</v>
      </c>
      <c r="AB469" s="791">
        <v>1650</v>
      </c>
      <c r="AC469" s="791">
        <v>82.5</v>
      </c>
      <c r="AD469" s="791">
        <v>16.5</v>
      </c>
      <c r="AE469" s="791">
        <v>3.3</v>
      </c>
      <c r="AF469" s="791"/>
      <c r="AG469" s="791"/>
      <c r="AH469" s="791"/>
      <c r="AI469" s="784"/>
      <c r="AK469" s="783">
        <f>IFERROR(Tabela1[[#This Row],[EE(g)]]/Tabela1[[#This Row],[CMS(kg)]],0)</f>
        <v>70</v>
      </c>
    </row>
    <row r="470" spans="2:37" hidden="1">
      <c r="B470" s="774">
        <f>ROW()^2+(Tabela1[[#This Row],[ID2]])+ROW()</f>
        <v>221578</v>
      </c>
      <c r="C470" s="787">
        <v>208</v>
      </c>
      <c r="D470" s="774" t="s">
        <v>1256</v>
      </c>
      <c r="E470" s="788" t="s">
        <v>1276</v>
      </c>
      <c r="F470" s="788" t="s">
        <v>1267</v>
      </c>
      <c r="G470" s="788">
        <v>60</v>
      </c>
      <c r="H470" s="788" t="s">
        <v>1</v>
      </c>
      <c r="I470" s="780" t="s">
        <v>1286</v>
      </c>
      <c r="J470" s="788">
        <v>3.6</v>
      </c>
      <c r="K470" s="787" t="s">
        <v>42</v>
      </c>
      <c r="L470" s="790">
        <v>210</v>
      </c>
      <c r="M470" s="778">
        <v>1.5659999999999998</v>
      </c>
      <c r="N470" s="780">
        <v>1000</v>
      </c>
      <c r="O470" s="780">
        <v>1000</v>
      </c>
      <c r="P470" s="791">
        <v>100</v>
      </c>
      <c r="Q470" s="791">
        <v>100</v>
      </c>
      <c r="R470" s="792">
        <v>109.60000000000001</v>
      </c>
      <c r="S470" s="791">
        <v>100</v>
      </c>
      <c r="T470" s="791">
        <v>100</v>
      </c>
      <c r="U470" s="791">
        <v>1565.9999999999998</v>
      </c>
      <c r="V470" s="791">
        <v>28.187999999999995</v>
      </c>
      <c r="W470" s="791">
        <v>46.98</v>
      </c>
      <c r="X470" s="791">
        <v>6.2639999999999993</v>
      </c>
      <c r="Y470" s="791">
        <v>39.15</v>
      </c>
      <c r="Z470" s="791">
        <v>1174.4999999999998</v>
      </c>
      <c r="AA470" s="791">
        <v>782.99999999999989</v>
      </c>
      <c r="AB470" s="791">
        <v>1565.9999999999998</v>
      </c>
      <c r="AC470" s="791">
        <v>78.3</v>
      </c>
      <c r="AD470" s="791">
        <v>15.659999999999998</v>
      </c>
      <c r="AE470" s="791">
        <v>3.1319999999999997</v>
      </c>
      <c r="AF470" s="791"/>
      <c r="AG470" s="791"/>
      <c r="AH470" s="791"/>
      <c r="AI470" s="784"/>
      <c r="AK470" s="783">
        <f>IFERROR(Tabela1[[#This Row],[EE(g)]]/Tabela1[[#This Row],[CMS(kg)]],0)</f>
        <v>69.987228607918283</v>
      </c>
    </row>
    <row r="471" spans="2:37" hidden="1">
      <c r="B471" s="774">
        <f>ROW()^2+(Tabela1[[#This Row],[ID2]])+ROW()</f>
        <v>222503</v>
      </c>
      <c r="C471" s="787">
        <v>191</v>
      </c>
      <c r="D471" s="774" t="s">
        <v>1256</v>
      </c>
      <c r="E471" s="788" t="s">
        <v>1276</v>
      </c>
      <c r="F471" s="788" t="s">
        <v>1267</v>
      </c>
      <c r="G471" s="788">
        <v>70</v>
      </c>
      <c r="H471" s="788" t="s">
        <v>1</v>
      </c>
      <c r="I471" s="780" t="s">
        <v>1266</v>
      </c>
      <c r="J471" s="788">
        <v>5.2</v>
      </c>
      <c r="K471" s="787" t="s">
        <v>42</v>
      </c>
      <c r="L471" s="790">
        <v>109</v>
      </c>
      <c r="M471" s="778">
        <v>1.806</v>
      </c>
      <c r="N471" s="780">
        <v>1000</v>
      </c>
      <c r="O471" s="780">
        <v>1000</v>
      </c>
      <c r="P471" s="791">
        <v>100</v>
      </c>
      <c r="Q471" s="791">
        <v>100</v>
      </c>
      <c r="R471" s="792">
        <v>126.4</v>
      </c>
      <c r="S471" s="791">
        <v>100</v>
      </c>
      <c r="T471" s="791">
        <v>100</v>
      </c>
      <c r="U471" s="791">
        <v>1806</v>
      </c>
      <c r="V471" s="791">
        <v>32.508000000000003</v>
      </c>
      <c r="W471" s="791">
        <v>54.18</v>
      </c>
      <c r="X471" s="791">
        <v>7.2240000000000002</v>
      </c>
      <c r="Y471" s="791">
        <v>45.15</v>
      </c>
      <c r="Z471" s="791">
        <v>1354.5</v>
      </c>
      <c r="AA471" s="791">
        <v>903</v>
      </c>
      <c r="AB471" s="791">
        <v>1806</v>
      </c>
      <c r="AC471" s="791">
        <v>90.3</v>
      </c>
      <c r="AD471" s="791">
        <v>18.060000000000002</v>
      </c>
      <c r="AE471" s="791">
        <v>3.6120000000000001</v>
      </c>
      <c r="AF471" s="791"/>
      <c r="AG471" s="791"/>
      <c r="AH471" s="791"/>
      <c r="AI471" s="784"/>
      <c r="AK471" s="783">
        <f>IFERROR(Tabela1[[#This Row],[EE(g)]]/Tabela1[[#This Row],[CMS(kg)]],0)</f>
        <v>69.988925802879294</v>
      </c>
    </row>
    <row r="472" spans="2:37" hidden="1">
      <c r="B472" s="774">
        <f>ROW()^2+(Tabela1[[#This Row],[ID2]])+ROW()</f>
        <v>223456</v>
      </c>
      <c r="C472" s="787">
        <v>200</v>
      </c>
      <c r="D472" s="774" t="s">
        <v>1256</v>
      </c>
      <c r="E472" s="788" t="s">
        <v>1276</v>
      </c>
      <c r="F472" s="788" t="s">
        <v>1267</v>
      </c>
      <c r="G472" s="788">
        <v>70</v>
      </c>
      <c r="H472" s="788" t="s">
        <v>1</v>
      </c>
      <c r="I472" s="780" t="s">
        <v>1285</v>
      </c>
      <c r="J472" s="788">
        <v>4.5999999999999996</v>
      </c>
      <c r="K472" s="787" t="s">
        <v>42</v>
      </c>
      <c r="L472" s="790">
        <v>181</v>
      </c>
      <c r="M472" s="778">
        <v>1.827</v>
      </c>
      <c r="N472" s="780">
        <v>1000</v>
      </c>
      <c r="O472" s="780">
        <v>1000</v>
      </c>
      <c r="P472" s="791">
        <v>100</v>
      </c>
      <c r="Q472" s="791">
        <v>100</v>
      </c>
      <c r="R472" s="792">
        <v>127.90000000000002</v>
      </c>
      <c r="S472" s="791">
        <v>100</v>
      </c>
      <c r="T472" s="791">
        <v>100</v>
      </c>
      <c r="U472" s="791">
        <v>1827</v>
      </c>
      <c r="V472" s="791">
        <v>32.885999999999996</v>
      </c>
      <c r="W472" s="791">
        <v>54.81</v>
      </c>
      <c r="X472" s="791">
        <v>7.3079999999999998</v>
      </c>
      <c r="Y472" s="791">
        <v>45.674999999999997</v>
      </c>
      <c r="Z472" s="791">
        <v>1370.25</v>
      </c>
      <c r="AA472" s="791">
        <v>913.5</v>
      </c>
      <c r="AB472" s="791">
        <v>1827</v>
      </c>
      <c r="AC472" s="791">
        <v>91.35</v>
      </c>
      <c r="AD472" s="791">
        <v>18.27</v>
      </c>
      <c r="AE472" s="791">
        <v>3.6539999999999999</v>
      </c>
      <c r="AF472" s="791"/>
      <c r="AG472" s="791"/>
      <c r="AH472" s="791"/>
      <c r="AI472" s="784"/>
      <c r="AK472" s="783">
        <f>IFERROR(Tabela1[[#This Row],[EE(g)]]/Tabela1[[#This Row],[CMS(kg)]],0)</f>
        <v>70.005473453749332</v>
      </c>
    </row>
    <row r="473" spans="2:37" hidden="1">
      <c r="B473" s="774">
        <f>ROW()^2+(Tabela1[[#This Row],[ID2]])+ROW()</f>
        <v>224411</v>
      </c>
      <c r="C473" s="787">
        <v>209</v>
      </c>
      <c r="D473" s="774" t="s">
        <v>1256</v>
      </c>
      <c r="E473" s="788" t="s">
        <v>1276</v>
      </c>
      <c r="F473" s="788" t="s">
        <v>1267</v>
      </c>
      <c r="G473" s="788">
        <v>70</v>
      </c>
      <c r="H473" s="788" t="s">
        <v>1</v>
      </c>
      <c r="I473" s="780" t="s">
        <v>1286</v>
      </c>
      <c r="J473" s="788">
        <v>3.9</v>
      </c>
      <c r="K473" s="787" t="s">
        <v>42</v>
      </c>
      <c r="L473" s="790">
        <v>235</v>
      </c>
      <c r="M473" s="778">
        <v>2.0720000000000001</v>
      </c>
      <c r="N473" s="780">
        <v>1000</v>
      </c>
      <c r="O473" s="780">
        <v>1000</v>
      </c>
      <c r="P473" s="791">
        <v>100</v>
      </c>
      <c r="Q473" s="791">
        <v>100</v>
      </c>
      <c r="R473" s="792">
        <v>145</v>
      </c>
      <c r="S473" s="791">
        <v>100</v>
      </c>
      <c r="T473" s="791">
        <v>100</v>
      </c>
      <c r="U473" s="791">
        <v>2072</v>
      </c>
      <c r="V473" s="791">
        <v>37.295999999999999</v>
      </c>
      <c r="W473" s="791">
        <v>62.160000000000004</v>
      </c>
      <c r="X473" s="791">
        <v>8.2880000000000003</v>
      </c>
      <c r="Y473" s="791">
        <v>51.800000000000004</v>
      </c>
      <c r="Z473" s="791">
        <v>1554</v>
      </c>
      <c r="AA473" s="791">
        <v>1036</v>
      </c>
      <c r="AB473" s="791">
        <v>2072</v>
      </c>
      <c r="AC473" s="791">
        <v>103.60000000000001</v>
      </c>
      <c r="AD473" s="791">
        <v>20.72</v>
      </c>
      <c r="AE473" s="791">
        <v>4.1440000000000001</v>
      </c>
      <c r="AF473" s="791"/>
      <c r="AG473" s="791"/>
      <c r="AH473" s="791"/>
      <c r="AI473" s="784"/>
      <c r="AK473" s="783">
        <f>IFERROR(Tabela1[[#This Row],[EE(g)]]/Tabela1[[#This Row],[CMS(kg)]],0)</f>
        <v>69.980694980694977</v>
      </c>
    </row>
    <row r="474" spans="2:37" hidden="1">
      <c r="B474" s="774">
        <f>ROW()^2+(Tabela1[[#This Row],[ID2]])+ROW()</f>
        <v>225342</v>
      </c>
      <c r="C474" s="787">
        <v>192</v>
      </c>
      <c r="D474" s="774" t="s">
        <v>1256</v>
      </c>
      <c r="E474" s="788" t="s">
        <v>1276</v>
      </c>
      <c r="F474" s="788" t="s">
        <v>1267</v>
      </c>
      <c r="G474" s="788">
        <v>80</v>
      </c>
      <c r="H474" s="788" t="s">
        <v>1</v>
      </c>
      <c r="I474" s="780" t="s">
        <v>1266</v>
      </c>
      <c r="J474" s="788">
        <v>5.6</v>
      </c>
      <c r="K474" s="787" t="s">
        <v>42</v>
      </c>
      <c r="L474" s="790">
        <v>120</v>
      </c>
      <c r="M474" s="778">
        <v>1.9760000000000002</v>
      </c>
      <c r="N474" s="780">
        <v>1000</v>
      </c>
      <c r="O474" s="780">
        <v>1000</v>
      </c>
      <c r="P474" s="791">
        <v>100</v>
      </c>
      <c r="Q474" s="791">
        <v>100</v>
      </c>
      <c r="R474" s="792">
        <v>138.30000000000001</v>
      </c>
      <c r="S474" s="791">
        <v>100</v>
      </c>
      <c r="T474" s="791">
        <v>100</v>
      </c>
      <c r="U474" s="791">
        <v>1976.0000000000002</v>
      </c>
      <c r="V474" s="791">
        <v>35.568000000000005</v>
      </c>
      <c r="W474" s="791">
        <v>59.280000000000008</v>
      </c>
      <c r="X474" s="791">
        <v>7.9040000000000008</v>
      </c>
      <c r="Y474" s="791">
        <v>49.400000000000006</v>
      </c>
      <c r="Z474" s="791">
        <v>1482.0000000000002</v>
      </c>
      <c r="AA474" s="791">
        <v>988.00000000000011</v>
      </c>
      <c r="AB474" s="791">
        <v>1976.0000000000002</v>
      </c>
      <c r="AC474" s="791">
        <v>98.800000000000011</v>
      </c>
      <c r="AD474" s="791">
        <v>19.760000000000002</v>
      </c>
      <c r="AE474" s="791">
        <v>3.9520000000000004</v>
      </c>
      <c r="AF474" s="791"/>
      <c r="AG474" s="791"/>
      <c r="AH474" s="791"/>
      <c r="AI474" s="784"/>
      <c r="AK474" s="783">
        <f>IFERROR(Tabela1[[#This Row],[EE(g)]]/Tabela1[[#This Row],[CMS(kg)]],0)</f>
        <v>69.989878542510127</v>
      </c>
    </row>
    <row r="475" spans="2:37" hidden="1">
      <c r="B475" s="774">
        <f>ROW()^2+(Tabela1[[#This Row],[ID2]])+ROW()</f>
        <v>226301</v>
      </c>
      <c r="C475" s="787">
        <v>201</v>
      </c>
      <c r="D475" s="774" t="s">
        <v>1256</v>
      </c>
      <c r="E475" s="788" t="s">
        <v>1276</v>
      </c>
      <c r="F475" s="788" t="s">
        <v>1267</v>
      </c>
      <c r="G475" s="788">
        <v>80</v>
      </c>
      <c r="H475" s="788" t="s">
        <v>1</v>
      </c>
      <c r="I475" s="780" t="s">
        <v>1285</v>
      </c>
      <c r="J475" s="788">
        <v>4.9000000000000004</v>
      </c>
      <c r="K475" s="787" t="s">
        <v>42</v>
      </c>
      <c r="L475" s="790">
        <v>200</v>
      </c>
      <c r="M475" s="778">
        <v>1.984</v>
      </c>
      <c r="N475" s="780">
        <v>1000</v>
      </c>
      <c r="O475" s="780">
        <v>1000</v>
      </c>
      <c r="P475" s="791">
        <v>100</v>
      </c>
      <c r="Q475" s="791">
        <v>100</v>
      </c>
      <c r="R475" s="792">
        <v>138.9</v>
      </c>
      <c r="S475" s="791">
        <v>100</v>
      </c>
      <c r="T475" s="791">
        <v>100</v>
      </c>
      <c r="U475" s="791">
        <v>1984</v>
      </c>
      <c r="V475" s="791">
        <v>35.712000000000003</v>
      </c>
      <c r="W475" s="791">
        <v>59.519999999999996</v>
      </c>
      <c r="X475" s="791">
        <v>7.9359999999999999</v>
      </c>
      <c r="Y475" s="791">
        <v>49.6</v>
      </c>
      <c r="Z475" s="791">
        <v>1488</v>
      </c>
      <c r="AA475" s="791">
        <v>992</v>
      </c>
      <c r="AB475" s="791">
        <v>1984</v>
      </c>
      <c r="AC475" s="791">
        <v>99.2</v>
      </c>
      <c r="AD475" s="791">
        <v>19.84</v>
      </c>
      <c r="AE475" s="791">
        <v>3.968</v>
      </c>
      <c r="AF475" s="791"/>
      <c r="AG475" s="791"/>
      <c r="AH475" s="791"/>
      <c r="AI475" s="784"/>
      <c r="AK475" s="783">
        <f>IFERROR(Tabela1[[#This Row],[EE(g)]]/Tabela1[[#This Row],[CMS(kg)]],0)</f>
        <v>70.010080645161295</v>
      </c>
    </row>
    <row r="476" spans="2:37" hidden="1">
      <c r="B476" s="774">
        <f>ROW()^2+(Tabela1[[#This Row],[ID2]])+ROW()</f>
        <v>227262</v>
      </c>
      <c r="C476" s="787">
        <v>210</v>
      </c>
      <c r="D476" s="774" t="s">
        <v>1256</v>
      </c>
      <c r="E476" s="788" t="s">
        <v>1276</v>
      </c>
      <c r="F476" s="788" t="s">
        <v>1267</v>
      </c>
      <c r="G476" s="788">
        <v>80</v>
      </c>
      <c r="H476" s="788" t="s">
        <v>1</v>
      </c>
      <c r="I476" s="780" t="s">
        <v>1286</v>
      </c>
      <c r="J476" s="788">
        <v>4.2</v>
      </c>
      <c r="K476" s="787" t="s">
        <v>42</v>
      </c>
      <c r="L476" s="790">
        <v>260</v>
      </c>
      <c r="M476" s="778">
        <v>2.2559999999999998</v>
      </c>
      <c r="N476" s="780">
        <v>1000</v>
      </c>
      <c r="O476" s="780">
        <v>1000</v>
      </c>
      <c r="P476" s="791">
        <v>100</v>
      </c>
      <c r="Q476" s="791">
        <v>100</v>
      </c>
      <c r="R476" s="792">
        <v>157.9</v>
      </c>
      <c r="S476" s="791">
        <v>100</v>
      </c>
      <c r="T476" s="791">
        <v>100</v>
      </c>
      <c r="U476" s="791">
        <v>2256</v>
      </c>
      <c r="V476" s="791">
        <v>40.607999999999997</v>
      </c>
      <c r="W476" s="791">
        <v>67.679999999999993</v>
      </c>
      <c r="X476" s="791">
        <v>9.0239999999999991</v>
      </c>
      <c r="Y476" s="791">
        <v>56.399999999999991</v>
      </c>
      <c r="Z476" s="791">
        <v>1691.9999999999998</v>
      </c>
      <c r="AA476" s="791">
        <v>1128</v>
      </c>
      <c r="AB476" s="791">
        <v>2256</v>
      </c>
      <c r="AC476" s="791">
        <v>112.79999999999998</v>
      </c>
      <c r="AD476" s="791">
        <v>22.56</v>
      </c>
      <c r="AE476" s="791">
        <v>4.5119999999999996</v>
      </c>
      <c r="AF476" s="791"/>
      <c r="AG476" s="791"/>
      <c r="AH476" s="791"/>
      <c r="AI476" s="784"/>
      <c r="AK476" s="783">
        <f>IFERROR(Tabela1[[#This Row],[EE(g)]]/Tabela1[[#This Row],[CMS(kg)]],0)</f>
        <v>69.99113475177306</v>
      </c>
    </row>
    <row r="477" spans="2:37" hidden="1">
      <c r="B477" s="774">
        <f>ROW()^2+(Tabela1[[#This Row],[ID2]])+ROW()</f>
        <v>228199</v>
      </c>
      <c r="C477" s="787">
        <v>193</v>
      </c>
      <c r="D477" s="774" t="s">
        <v>1256</v>
      </c>
      <c r="E477" s="788" t="s">
        <v>1276</v>
      </c>
      <c r="F477" s="788" t="s">
        <v>1267</v>
      </c>
      <c r="G477" s="788">
        <v>90</v>
      </c>
      <c r="H477" s="788" t="s">
        <v>1</v>
      </c>
      <c r="I477" s="780" t="s">
        <v>1266</v>
      </c>
      <c r="J477" s="788">
        <v>6</v>
      </c>
      <c r="K477" s="787" t="s">
        <v>42</v>
      </c>
      <c r="L477" s="790">
        <v>131</v>
      </c>
      <c r="M477" s="778">
        <v>2.1419999999999999</v>
      </c>
      <c r="N477" s="780">
        <v>1000</v>
      </c>
      <c r="O477" s="780">
        <v>1000</v>
      </c>
      <c r="P477" s="791">
        <v>100</v>
      </c>
      <c r="Q477" s="791">
        <v>100</v>
      </c>
      <c r="R477" s="792">
        <v>149.9</v>
      </c>
      <c r="S477" s="791">
        <v>100</v>
      </c>
      <c r="T477" s="791">
        <v>100</v>
      </c>
      <c r="U477" s="791">
        <v>2142</v>
      </c>
      <c r="V477" s="791">
        <v>38.555999999999997</v>
      </c>
      <c r="W477" s="791">
        <v>64.259999999999991</v>
      </c>
      <c r="X477" s="791">
        <v>8.5679999999999996</v>
      </c>
      <c r="Y477" s="791">
        <v>53.55</v>
      </c>
      <c r="Z477" s="791">
        <v>1606.5</v>
      </c>
      <c r="AA477" s="791">
        <v>1071</v>
      </c>
      <c r="AB477" s="791">
        <v>2142</v>
      </c>
      <c r="AC477" s="791">
        <v>107.1</v>
      </c>
      <c r="AD477" s="791">
        <v>21.419999999999998</v>
      </c>
      <c r="AE477" s="791">
        <v>4.2839999999999998</v>
      </c>
      <c r="AF477" s="791"/>
      <c r="AG477" s="791"/>
      <c r="AH477" s="791"/>
      <c r="AI477" s="784"/>
      <c r="AK477" s="783">
        <f>IFERROR(Tabela1[[#This Row],[EE(g)]]/Tabela1[[#This Row],[CMS(kg)]],0)</f>
        <v>69.981325863678805</v>
      </c>
    </row>
    <row r="478" spans="2:37" hidden="1">
      <c r="B478" s="774">
        <f>ROW()^2+(Tabela1[[#This Row],[ID2]])+ROW()</f>
        <v>229164</v>
      </c>
      <c r="C478" s="787">
        <v>202</v>
      </c>
      <c r="D478" s="774" t="s">
        <v>1256</v>
      </c>
      <c r="E478" s="788" t="s">
        <v>1276</v>
      </c>
      <c r="F478" s="788" t="s">
        <v>1267</v>
      </c>
      <c r="G478" s="788">
        <v>90</v>
      </c>
      <c r="H478" s="788" t="s">
        <v>1</v>
      </c>
      <c r="I478" s="780" t="s">
        <v>1285</v>
      </c>
      <c r="J478" s="788">
        <v>5.2</v>
      </c>
      <c r="K478" s="787" t="s">
        <v>42</v>
      </c>
      <c r="L478" s="790">
        <v>218</v>
      </c>
      <c r="M478" s="778">
        <v>2.673</v>
      </c>
      <c r="N478" s="780">
        <v>1000</v>
      </c>
      <c r="O478" s="780">
        <v>1000</v>
      </c>
      <c r="P478" s="791">
        <v>100</v>
      </c>
      <c r="Q478" s="791">
        <v>100</v>
      </c>
      <c r="R478" s="792">
        <v>187.1</v>
      </c>
      <c r="S478" s="791">
        <v>100</v>
      </c>
      <c r="T478" s="791">
        <v>100</v>
      </c>
      <c r="U478" s="791">
        <v>2673</v>
      </c>
      <c r="V478" s="791">
        <v>48.114000000000004</v>
      </c>
      <c r="W478" s="791">
        <v>80.19</v>
      </c>
      <c r="X478" s="791">
        <v>10.692</v>
      </c>
      <c r="Y478" s="791">
        <v>66.825000000000003</v>
      </c>
      <c r="Z478" s="791">
        <v>2004.75</v>
      </c>
      <c r="AA478" s="791">
        <v>1336.5</v>
      </c>
      <c r="AB478" s="791">
        <v>2673</v>
      </c>
      <c r="AC478" s="791">
        <v>133.65</v>
      </c>
      <c r="AD478" s="791">
        <v>26.73</v>
      </c>
      <c r="AE478" s="791">
        <v>5.3460000000000001</v>
      </c>
      <c r="AF478" s="791"/>
      <c r="AG478" s="791"/>
      <c r="AH478" s="791"/>
      <c r="AI478" s="784"/>
      <c r="AK478" s="783">
        <f>IFERROR(Tabela1[[#This Row],[EE(g)]]/Tabela1[[#This Row],[CMS(kg)]],0)</f>
        <v>69.996258885147768</v>
      </c>
    </row>
    <row r="479" spans="2:37" hidden="1">
      <c r="B479" s="774">
        <f>ROW()^2+(Tabela1[[#This Row],[ID2]])+ROW()</f>
        <v>230131</v>
      </c>
      <c r="C479" s="787">
        <v>211</v>
      </c>
      <c r="D479" s="774" t="s">
        <v>1256</v>
      </c>
      <c r="E479" s="788" t="s">
        <v>1276</v>
      </c>
      <c r="F479" s="788" t="s">
        <v>1267</v>
      </c>
      <c r="G479" s="788">
        <v>90</v>
      </c>
      <c r="H479" s="788" t="s">
        <v>1</v>
      </c>
      <c r="I479" s="780" t="s">
        <v>1286</v>
      </c>
      <c r="J479" s="788">
        <v>4.5</v>
      </c>
      <c r="K479" s="787" t="s">
        <v>42</v>
      </c>
      <c r="L479" s="790">
        <v>284</v>
      </c>
      <c r="M479" s="778">
        <v>2.4390000000000001</v>
      </c>
      <c r="N479" s="780">
        <v>1000</v>
      </c>
      <c r="O479" s="780">
        <v>1000</v>
      </c>
      <c r="P479" s="791">
        <v>100</v>
      </c>
      <c r="Q479" s="791">
        <v>100</v>
      </c>
      <c r="R479" s="792">
        <v>170.7</v>
      </c>
      <c r="S479" s="791">
        <v>100</v>
      </c>
      <c r="T479" s="791">
        <v>100</v>
      </c>
      <c r="U479" s="791">
        <v>2439</v>
      </c>
      <c r="V479" s="791">
        <v>43.902000000000001</v>
      </c>
      <c r="W479" s="791">
        <v>73.17</v>
      </c>
      <c r="X479" s="791">
        <v>9.7560000000000002</v>
      </c>
      <c r="Y479" s="791">
        <v>60.975000000000001</v>
      </c>
      <c r="Z479" s="791">
        <v>1829.25</v>
      </c>
      <c r="AA479" s="791">
        <v>1219.5</v>
      </c>
      <c r="AB479" s="791">
        <v>2439</v>
      </c>
      <c r="AC479" s="791">
        <v>121.95</v>
      </c>
      <c r="AD479" s="791">
        <v>24.39</v>
      </c>
      <c r="AE479" s="791">
        <v>4.8780000000000001</v>
      </c>
      <c r="AF479" s="791"/>
      <c r="AG479" s="791"/>
      <c r="AH479" s="791"/>
      <c r="AI479" s="784"/>
      <c r="AK479" s="783">
        <f>IFERROR(Tabela1[[#This Row],[EE(g)]]/Tabela1[[#This Row],[CMS(kg)]],0)</f>
        <v>69.987699876998761</v>
      </c>
    </row>
    <row r="480" spans="2:37" hidden="1">
      <c r="B480" s="774">
        <f>ROW()^2+(Tabela1[[#This Row],[ID2]])+ROW()</f>
        <v>231074</v>
      </c>
      <c r="C480" s="787">
        <v>194</v>
      </c>
      <c r="D480" s="774" t="s">
        <v>1256</v>
      </c>
      <c r="E480" s="788" t="s">
        <v>1276</v>
      </c>
      <c r="F480" s="788" t="s">
        <v>1267</v>
      </c>
      <c r="G480" s="788">
        <v>100</v>
      </c>
      <c r="H480" s="788" t="s">
        <v>1</v>
      </c>
      <c r="I480" s="780" t="s">
        <v>1266</v>
      </c>
      <c r="J480" s="788">
        <v>6.3</v>
      </c>
      <c r="K480" s="787" t="s">
        <v>42</v>
      </c>
      <c r="L480" s="790">
        <v>142</v>
      </c>
      <c r="M480" s="778">
        <v>2.2999999999999998</v>
      </c>
      <c r="N480" s="780">
        <v>1000</v>
      </c>
      <c r="O480" s="780">
        <v>1000</v>
      </c>
      <c r="P480" s="791">
        <v>100</v>
      </c>
      <c r="Q480" s="791">
        <v>100</v>
      </c>
      <c r="R480" s="792">
        <v>161</v>
      </c>
      <c r="S480" s="791">
        <v>100</v>
      </c>
      <c r="T480" s="791">
        <v>100</v>
      </c>
      <c r="U480" s="791">
        <v>2300</v>
      </c>
      <c r="V480" s="791">
        <v>41.4</v>
      </c>
      <c r="W480" s="791">
        <v>69</v>
      </c>
      <c r="X480" s="791">
        <v>9.1999999999999993</v>
      </c>
      <c r="Y480" s="791">
        <v>57.499999999999993</v>
      </c>
      <c r="Z480" s="791">
        <v>1724.9999999999998</v>
      </c>
      <c r="AA480" s="791">
        <v>1150</v>
      </c>
      <c r="AB480" s="791">
        <v>2300</v>
      </c>
      <c r="AC480" s="791">
        <v>114.99999999999999</v>
      </c>
      <c r="AD480" s="791">
        <v>23</v>
      </c>
      <c r="AE480" s="791">
        <v>4.5999999999999996</v>
      </c>
      <c r="AF480" s="791"/>
      <c r="AG480" s="791"/>
      <c r="AH480" s="791"/>
      <c r="AI480" s="784"/>
      <c r="AK480" s="783">
        <f>IFERROR(Tabela1[[#This Row],[EE(g)]]/Tabela1[[#This Row],[CMS(kg)]],0)</f>
        <v>70</v>
      </c>
    </row>
    <row r="481" spans="2:37" hidden="1">
      <c r="B481" s="774">
        <f>ROW()^2+(Tabela1[[#This Row],[ID2]])+ROW()</f>
        <v>232045</v>
      </c>
      <c r="C481" s="787">
        <v>203</v>
      </c>
      <c r="D481" s="774" t="s">
        <v>1256</v>
      </c>
      <c r="E481" s="788" t="s">
        <v>1276</v>
      </c>
      <c r="F481" s="788" t="s">
        <v>1267</v>
      </c>
      <c r="G481" s="788">
        <v>100</v>
      </c>
      <c r="H481" s="788" t="s">
        <v>1</v>
      </c>
      <c r="I481" s="780" t="s">
        <v>1285</v>
      </c>
      <c r="J481" s="788">
        <v>5.5</v>
      </c>
      <c r="K481" s="787" t="s">
        <v>42</v>
      </c>
      <c r="L481" s="790">
        <v>236</v>
      </c>
      <c r="M481" s="778">
        <v>2.87</v>
      </c>
      <c r="N481" s="780">
        <v>1000</v>
      </c>
      <c r="O481" s="780">
        <v>1000</v>
      </c>
      <c r="P481" s="791">
        <v>100</v>
      </c>
      <c r="Q481" s="791">
        <v>100</v>
      </c>
      <c r="R481" s="792">
        <v>200.9</v>
      </c>
      <c r="S481" s="791">
        <v>100</v>
      </c>
      <c r="T481" s="791">
        <v>100</v>
      </c>
      <c r="U481" s="791">
        <v>2870</v>
      </c>
      <c r="V481" s="791">
        <v>51.660000000000004</v>
      </c>
      <c r="W481" s="791">
        <v>86.100000000000009</v>
      </c>
      <c r="X481" s="791">
        <v>11.48</v>
      </c>
      <c r="Y481" s="791">
        <v>71.75</v>
      </c>
      <c r="Z481" s="791">
        <v>2152.5</v>
      </c>
      <c r="AA481" s="791">
        <v>1435</v>
      </c>
      <c r="AB481" s="791">
        <v>2870</v>
      </c>
      <c r="AC481" s="791">
        <v>143.5</v>
      </c>
      <c r="AD481" s="791">
        <v>28.700000000000003</v>
      </c>
      <c r="AE481" s="791">
        <v>5.74</v>
      </c>
      <c r="AF481" s="791"/>
      <c r="AG481" s="791"/>
      <c r="AH481" s="791"/>
      <c r="AI481" s="784"/>
      <c r="AK481" s="783">
        <f>IFERROR(Tabela1[[#This Row],[EE(g)]]/Tabela1[[#This Row],[CMS(kg)]],0)</f>
        <v>70</v>
      </c>
    </row>
    <row r="482" spans="2:37" hidden="1">
      <c r="B482" s="774">
        <f>ROW()^2+(Tabela1[[#This Row],[ID2]])+ROW()</f>
        <v>233018</v>
      </c>
      <c r="C482" s="787">
        <v>212</v>
      </c>
      <c r="D482" s="774" t="s">
        <v>1256</v>
      </c>
      <c r="E482" s="788" t="s">
        <v>1276</v>
      </c>
      <c r="F482" s="788" t="s">
        <v>1267</v>
      </c>
      <c r="G482" s="788">
        <v>100</v>
      </c>
      <c r="H482" s="788" t="s">
        <v>1</v>
      </c>
      <c r="I482" s="780" t="s">
        <v>1286</v>
      </c>
      <c r="J482" s="788">
        <v>4.7</v>
      </c>
      <c r="K482" s="787" t="s">
        <v>42</v>
      </c>
      <c r="L482" s="790">
        <v>307</v>
      </c>
      <c r="M482" s="778">
        <v>2.59</v>
      </c>
      <c r="N482" s="780">
        <v>1000</v>
      </c>
      <c r="O482" s="780">
        <v>1000</v>
      </c>
      <c r="P482" s="791">
        <v>100</v>
      </c>
      <c r="Q482" s="791">
        <v>100</v>
      </c>
      <c r="R482" s="792">
        <v>181.29999999999998</v>
      </c>
      <c r="S482" s="791">
        <v>100</v>
      </c>
      <c r="T482" s="791">
        <v>100</v>
      </c>
      <c r="U482" s="791">
        <v>2590</v>
      </c>
      <c r="V482" s="791">
        <v>46.62</v>
      </c>
      <c r="W482" s="791">
        <v>77.699999999999989</v>
      </c>
      <c r="X482" s="791">
        <v>10.36</v>
      </c>
      <c r="Y482" s="791">
        <v>64.75</v>
      </c>
      <c r="Z482" s="791">
        <v>1942.5</v>
      </c>
      <c r="AA482" s="791">
        <v>1295</v>
      </c>
      <c r="AB482" s="791">
        <v>2590</v>
      </c>
      <c r="AC482" s="791">
        <v>129.5</v>
      </c>
      <c r="AD482" s="791">
        <v>25.9</v>
      </c>
      <c r="AE482" s="791">
        <v>5.18</v>
      </c>
      <c r="AF482" s="791"/>
      <c r="AG482" s="791"/>
      <c r="AH482" s="791"/>
      <c r="AI482" s="784"/>
      <c r="AK482" s="783">
        <f>IFERROR(Tabela1[[#This Row],[EE(g)]]/Tabela1[[#This Row],[CMS(kg)]],0)</f>
        <v>70</v>
      </c>
    </row>
    <row r="483" spans="2:37" hidden="1">
      <c r="B483" s="774">
        <f>ROW()^2+(Tabela1[[#This Row],[ID2]])+ROW()</f>
        <v>233967</v>
      </c>
      <c r="C483" s="787">
        <v>195</v>
      </c>
      <c r="D483" s="774" t="s">
        <v>1256</v>
      </c>
      <c r="E483" s="788" t="s">
        <v>1276</v>
      </c>
      <c r="F483" s="788" t="s">
        <v>1267</v>
      </c>
      <c r="G483" s="788">
        <v>120</v>
      </c>
      <c r="H483" s="788" t="s">
        <v>1</v>
      </c>
      <c r="I483" s="780" t="s">
        <v>1266</v>
      </c>
      <c r="J483" s="788">
        <v>7</v>
      </c>
      <c r="K483" s="787" t="s">
        <v>42</v>
      </c>
      <c r="L483" s="790">
        <v>163</v>
      </c>
      <c r="M483" s="778">
        <v>2.6040000000000001</v>
      </c>
      <c r="N483" s="780">
        <v>1000</v>
      </c>
      <c r="O483" s="780">
        <v>1000</v>
      </c>
      <c r="P483" s="791">
        <v>100</v>
      </c>
      <c r="Q483" s="791">
        <v>100</v>
      </c>
      <c r="R483" s="792">
        <v>182.29999999999998</v>
      </c>
      <c r="S483" s="791">
        <v>100</v>
      </c>
      <c r="T483" s="791">
        <v>100</v>
      </c>
      <c r="U483" s="791">
        <v>2604</v>
      </c>
      <c r="V483" s="791">
        <v>46.872</v>
      </c>
      <c r="W483" s="791">
        <v>78.12</v>
      </c>
      <c r="X483" s="791">
        <v>10.416</v>
      </c>
      <c r="Y483" s="791">
        <v>65.100000000000009</v>
      </c>
      <c r="Z483" s="791">
        <v>1953</v>
      </c>
      <c r="AA483" s="791">
        <v>1302</v>
      </c>
      <c r="AB483" s="791">
        <v>2604</v>
      </c>
      <c r="AC483" s="791">
        <v>130.20000000000002</v>
      </c>
      <c r="AD483" s="791">
        <v>26.04</v>
      </c>
      <c r="AE483" s="791">
        <v>5.2080000000000002</v>
      </c>
      <c r="AF483" s="791"/>
      <c r="AG483" s="791"/>
      <c r="AH483" s="791"/>
      <c r="AI483" s="784"/>
      <c r="AK483" s="783">
        <f>IFERROR(Tabela1[[#This Row],[EE(g)]]/Tabela1[[#This Row],[CMS(kg)]],0)</f>
        <v>70.007680491551454</v>
      </c>
    </row>
    <row r="484" spans="2:37" hidden="1">
      <c r="B484" s="774">
        <f>ROW()^2+(Tabela1[[#This Row],[ID2]])+ROW()</f>
        <v>234944</v>
      </c>
      <c r="C484" s="787">
        <v>204</v>
      </c>
      <c r="D484" s="774" t="s">
        <v>1256</v>
      </c>
      <c r="E484" s="788" t="s">
        <v>1276</v>
      </c>
      <c r="F484" s="788" t="s">
        <v>1267</v>
      </c>
      <c r="G484" s="788">
        <v>120</v>
      </c>
      <c r="H484" s="788" t="s">
        <v>1</v>
      </c>
      <c r="I484" s="780" t="s">
        <v>1285</v>
      </c>
      <c r="J484" s="788">
        <v>6.1</v>
      </c>
      <c r="K484" s="787" t="s">
        <v>42</v>
      </c>
      <c r="L484" s="790">
        <v>271</v>
      </c>
      <c r="M484" s="778">
        <v>3.24</v>
      </c>
      <c r="N484" s="780">
        <v>1000</v>
      </c>
      <c r="O484" s="780">
        <v>1000</v>
      </c>
      <c r="P484" s="791">
        <v>100</v>
      </c>
      <c r="Q484" s="791">
        <v>100</v>
      </c>
      <c r="R484" s="792">
        <v>226.8</v>
      </c>
      <c r="S484" s="791">
        <v>100</v>
      </c>
      <c r="T484" s="791">
        <v>100</v>
      </c>
      <c r="U484" s="791">
        <v>3240</v>
      </c>
      <c r="V484" s="791">
        <v>58.320000000000007</v>
      </c>
      <c r="W484" s="791">
        <v>97.2</v>
      </c>
      <c r="X484" s="791">
        <v>12.96</v>
      </c>
      <c r="Y484" s="791">
        <v>81</v>
      </c>
      <c r="Z484" s="791">
        <v>2430</v>
      </c>
      <c r="AA484" s="791">
        <v>1620</v>
      </c>
      <c r="AB484" s="791">
        <v>3240</v>
      </c>
      <c r="AC484" s="791">
        <v>162</v>
      </c>
      <c r="AD484" s="791">
        <v>32.400000000000006</v>
      </c>
      <c r="AE484" s="791">
        <v>6.48</v>
      </c>
      <c r="AF484" s="791"/>
      <c r="AG484" s="791"/>
      <c r="AH484" s="791"/>
      <c r="AI484" s="784"/>
      <c r="AK484" s="783">
        <f>IFERROR(Tabela1[[#This Row],[EE(g)]]/Tabela1[[#This Row],[CMS(kg)]],0)</f>
        <v>70</v>
      </c>
    </row>
    <row r="485" spans="2:37" hidden="1">
      <c r="B485" s="774">
        <f>ROW()^2+(Tabela1[[#This Row],[ID2]])+ROW()</f>
        <v>235923</v>
      </c>
      <c r="C485" s="787">
        <v>213</v>
      </c>
      <c r="D485" s="774" t="s">
        <v>1256</v>
      </c>
      <c r="E485" s="788" t="s">
        <v>1276</v>
      </c>
      <c r="F485" s="788" t="s">
        <v>1267</v>
      </c>
      <c r="G485" s="788">
        <v>120</v>
      </c>
      <c r="H485" s="788" t="s">
        <v>1</v>
      </c>
      <c r="I485" s="780" t="s">
        <v>1286</v>
      </c>
      <c r="J485" s="788">
        <v>5.2</v>
      </c>
      <c r="K485" s="787" t="s">
        <v>42</v>
      </c>
      <c r="L485" s="790">
        <v>352</v>
      </c>
      <c r="M485" s="778">
        <v>2.9160000000000004</v>
      </c>
      <c r="N485" s="780">
        <v>1000</v>
      </c>
      <c r="O485" s="780">
        <v>1000</v>
      </c>
      <c r="P485" s="791">
        <v>100</v>
      </c>
      <c r="Q485" s="791">
        <v>100</v>
      </c>
      <c r="R485" s="792">
        <v>204.1</v>
      </c>
      <c r="S485" s="791">
        <v>100</v>
      </c>
      <c r="T485" s="791">
        <v>100</v>
      </c>
      <c r="U485" s="791">
        <v>2916.0000000000005</v>
      </c>
      <c r="V485" s="791">
        <v>52.488000000000007</v>
      </c>
      <c r="W485" s="791">
        <v>87.480000000000018</v>
      </c>
      <c r="X485" s="791">
        <v>11.664000000000001</v>
      </c>
      <c r="Y485" s="791">
        <v>72.900000000000006</v>
      </c>
      <c r="Z485" s="791">
        <v>2187.0000000000005</v>
      </c>
      <c r="AA485" s="791">
        <v>1458.0000000000002</v>
      </c>
      <c r="AB485" s="791">
        <v>2916.0000000000005</v>
      </c>
      <c r="AC485" s="791">
        <v>145.80000000000001</v>
      </c>
      <c r="AD485" s="791">
        <v>29.160000000000004</v>
      </c>
      <c r="AE485" s="791">
        <v>5.8320000000000007</v>
      </c>
      <c r="AF485" s="791"/>
      <c r="AG485" s="791"/>
      <c r="AH485" s="791"/>
      <c r="AI485" s="784"/>
      <c r="AK485" s="783">
        <f>IFERROR(Tabela1[[#This Row],[EE(g)]]/Tabela1[[#This Row],[CMS(kg)]],0)</f>
        <v>69.993141289437574</v>
      </c>
    </row>
    <row r="486" spans="2:37" hidden="1">
      <c r="B486" s="774">
        <f>ROW()^2+(Tabela1[[#This Row],[ID2]])+ROW()</f>
        <v>236878</v>
      </c>
      <c r="C486" s="787">
        <v>196</v>
      </c>
      <c r="D486" s="774" t="s">
        <v>1256</v>
      </c>
      <c r="E486" s="788" t="s">
        <v>1276</v>
      </c>
      <c r="F486" s="788" t="s">
        <v>1267</v>
      </c>
      <c r="G486" s="788">
        <v>140</v>
      </c>
      <c r="H486" s="788" t="s">
        <v>1</v>
      </c>
      <c r="I486" s="780" t="s">
        <v>1266</v>
      </c>
      <c r="J486" s="788">
        <v>7.5</v>
      </c>
      <c r="K486" s="787" t="s">
        <v>42</v>
      </c>
      <c r="L486" s="790">
        <v>183</v>
      </c>
      <c r="M486" s="778">
        <v>2.8839999999999999</v>
      </c>
      <c r="N486" s="780">
        <v>1000</v>
      </c>
      <c r="O486" s="780">
        <v>1000</v>
      </c>
      <c r="P486" s="791">
        <v>100</v>
      </c>
      <c r="Q486" s="791">
        <v>100</v>
      </c>
      <c r="R486" s="792">
        <v>201.9</v>
      </c>
      <c r="S486" s="791">
        <v>100</v>
      </c>
      <c r="T486" s="791">
        <v>100</v>
      </c>
      <c r="U486" s="791">
        <v>2884</v>
      </c>
      <c r="V486" s="791">
        <v>51.911999999999999</v>
      </c>
      <c r="W486" s="791">
        <v>86.52</v>
      </c>
      <c r="X486" s="791">
        <v>11.536</v>
      </c>
      <c r="Y486" s="791">
        <v>72.099999999999994</v>
      </c>
      <c r="Z486" s="791">
        <v>2163</v>
      </c>
      <c r="AA486" s="791">
        <v>1442</v>
      </c>
      <c r="AB486" s="791">
        <v>2884</v>
      </c>
      <c r="AC486" s="791">
        <v>144.19999999999999</v>
      </c>
      <c r="AD486" s="791">
        <v>28.84</v>
      </c>
      <c r="AE486" s="791">
        <v>5.7679999999999998</v>
      </c>
      <c r="AF486" s="791"/>
      <c r="AG486" s="791"/>
      <c r="AH486" s="791"/>
      <c r="AI486" s="784"/>
      <c r="AK486" s="783">
        <f>IFERROR(Tabela1[[#This Row],[EE(g)]]/Tabela1[[#This Row],[CMS(kg)]],0)</f>
        <v>70.006934812760065</v>
      </c>
    </row>
    <row r="487" spans="2:37" hidden="1">
      <c r="B487" s="774">
        <f>ROW()^2+(Tabela1[[#This Row],[ID2]])+ROW()</f>
        <v>237861</v>
      </c>
      <c r="C487" s="787">
        <v>205</v>
      </c>
      <c r="D487" s="774" t="s">
        <v>1256</v>
      </c>
      <c r="E487" s="788" t="s">
        <v>1276</v>
      </c>
      <c r="F487" s="788" t="s">
        <v>1267</v>
      </c>
      <c r="G487" s="788">
        <v>140</v>
      </c>
      <c r="H487" s="788" t="s">
        <v>1</v>
      </c>
      <c r="I487" s="780" t="s">
        <v>1285</v>
      </c>
      <c r="J487" s="788">
        <v>6.6</v>
      </c>
      <c r="K487" s="787" t="s">
        <v>42</v>
      </c>
      <c r="L487" s="790">
        <v>304</v>
      </c>
      <c r="M487" s="778">
        <v>3.57</v>
      </c>
      <c r="N487" s="780">
        <v>1000</v>
      </c>
      <c r="O487" s="780">
        <v>1000</v>
      </c>
      <c r="P487" s="791">
        <v>100</v>
      </c>
      <c r="Q487" s="791">
        <v>100</v>
      </c>
      <c r="R487" s="792">
        <v>249.9</v>
      </c>
      <c r="S487" s="791">
        <v>100</v>
      </c>
      <c r="T487" s="791">
        <v>100</v>
      </c>
      <c r="U487" s="791">
        <v>3570</v>
      </c>
      <c r="V487" s="791">
        <v>64.259999999999991</v>
      </c>
      <c r="W487" s="791">
        <v>107.1</v>
      </c>
      <c r="X487" s="791">
        <v>14.28</v>
      </c>
      <c r="Y487" s="791">
        <v>89.25</v>
      </c>
      <c r="Z487" s="791">
        <v>2677.5</v>
      </c>
      <c r="AA487" s="791">
        <v>1785</v>
      </c>
      <c r="AB487" s="791">
        <v>3570</v>
      </c>
      <c r="AC487" s="791">
        <v>178.5</v>
      </c>
      <c r="AD487" s="791">
        <v>35.699999999999996</v>
      </c>
      <c r="AE487" s="791">
        <v>7.14</v>
      </c>
      <c r="AF487" s="791"/>
      <c r="AG487" s="791"/>
      <c r="AH487" s="791"/>
      <c r="AI487" s="784"/>
      <c r="AK487" s="783">
        <f>IFERROR(Tabela1[[#This Row],[EE(g)]]/Tabela1[[#This Row],[CMS(kg)]],0)</f>
        <v>70</v>
      </c>
    </row>
    <row r="488" spans="2:37" hidden="1">
      <c r="B488" s="774">
        <f>ROW()^2+(Tabela1[[#This Row],[ID2]])+ROW()</f>
        <v>238846</v>
      </c>
      <c r="C488" s="787">
        <v>214</v>
      </c>
      <c r="D488" s="774" t="s">
        <v>1256</v>
      </c>
      <c r="E488" s="788" t="s">
        <v>1276</v>
      </c>
      <c r="F488" s="788" t="s">
        <v>1267</v>
      </c>
      <c r="G488" s="788">
        <v>140</v>
      </c>
      <c r="H488" s="788" t="s">
        <v>1</v>
      </c>
      <c r="I488" s="780" t="s">
        <v>1286</v>
      </c>
      <c r="J488" s="788">
        <v>5.7</v>
      </c>
      <c r="K488" s="787" t="s">
        <v>42</v>
      </c>
      <c r="L488" s="790">
        <v>396</v>
      </c>
      <c r="M488" s="778">
        <v>4.0460000000000003</v>
      </c>
      <c r="N488" s="780">
        <v>1000</v>
      </c>
      <c r="O488" s="780">
        <v>1000</v>
      </c>
      <c r="P488" s="791">
        <v>100</v>
      </c>
      <c r="Q488" s="791">
        <v>100</v>
      </c>
      <c r="R488" s="792">
        <v>283.2</v>
      </c>
      <c r="S488" s="791">
        <v>100</v>
      </c>
      <c r="T488" s="791">
        <v>100</v>
      </c>
      <c r="U488" s="791">
        <v>4046.0000000000005</v>
      </c>
      <c r="V488" s="791">
        <v>72.828000000000003</v>
      </c>
      <c r="W488" s="791">
        <v>121.38000000000001</v>
      </c>
      <c r="X488" s="791">
        <v>16.184000000000001</v>
      </c>
      <c r="Y488" s="791">
        <v>101.15</v>
      </c>
      <c r="Z488" s="791">
        <v>3034.5</v>
      </c>
      <c r="AA488" s="791">
        <v>2023.0000000000002</v>
      </c>
      <c r="AB488" s="791">
        <v>4046.0000000000005</v>
      </c>
      <c r="AC488" s="791">
        <v>202.3</v>
      </c>
      <c r="AD488" s="791">
        <v>40.46</v>
      </c>
      <c r="AE488" s="791">
        <v>8.0920000000000005</v>
      </c>
      <c r="AF488" s="791"/>
      <c r="AG488" s="791"/>
      <c r="AH488" s="791"/>
      <c r="AI488" s="784"/>
      <c r="AK488" s="783">
        <f>IFERROR(Tabela1[[#This Row],[EE(g)]]/Tabela1[[#This Row],[CMS(kg)]],0)</f>
        <v>69.995056846267914</v>
      </c>
    </row>
    <row r="489" spans="2:37" hidden="1">
      <c r="B489" s="774">
        <f>ROW()^2+(Tabela1[[#This Row],[ID2]])+ROW()</f>
        <v>239825</v>
      </c>
      <c r="C489" s="787">
        <v>215</v>
      </c>
      <c r="D489" s="774" t="s">
        <v>1256</v>
      </c>
      <c r="E489" s="788" t="s">
        <v>1276</v>
      </c>
      <c r="F489" s="788" t="s">
        <v>1268</v>
      </c>
      <c r="G489" s="788">
        <v>40</v>
      </c>
      <c r="H489" s="788" t="s">
        <v>1</v>
      </c>
      <c r="I489" s="780" t="s">
        <v>1266</v>
      </c>
      <c r="J489" s="787" t="s">
        <v>42</v>
      </c>
      <c r="K489" s="793">
        <v>0.71</v>
      </c>
      <c r="L489" s="790">
        <v>0</v>
      </c>
      <c r="M489" s="778">
        <v>1.0920000000000001</v>
      </c>
      <c r="N489" s="780">
        <v>1000</v>
      </c>
      <c r="O489" s="780">
        <v>1000</v>
      </c>
      <c r="P489" s="791">
        <v>100</v>
      </c>
      <c r="Q489" s="791">
        <v>100</v>
      </c>
      <c r="R489" s="792">
        <v>76.399999999999991</v>
      </c>
      <c r="S489" s="791">
        <v>100</v>
      </c>
      <c r="T489" s="791">
        <v>100</v>
      </c>
      <c r="U489" s="791">
        <v>1092</v>
      </c>
      <c r="V489" s="791">
        <v>19.656000000000002</v>
      </c>
      <c r="W489" s="791">
        <v>32.760000000000005</v>
      </c>
      <c r="X489" s="791">
        <v>4.3680000000000003</v>
      </c>
      <c r="Y489" s="791">
        <v>27.3</v>
      </c>
      <c r="Z489" s="791">
        <v>819.00000000000011</v>
      </c>
      <c r="AA489" s="791">
        <v>546</v>
      </c>
      <c r="AB489" s="791">
        <v>1092</v>
      </c>
      <c r="AC489" s="791">
        <v>54.6</v>
      </c>
      <c r="AD489" s="791">
        <v>10.920000000000002</v>
      </c>
      <c r="AE489" s="791">
        <v>2.1840000000000002</v>
      </c>
      <c r="AF489" s="791"/>
      <c r="AG489" s="791"/>
      <c r="AH489" s="791"/>
      <c r="AI489" s="784"/>
      <c r="AK489" s="783">
        <f>IFERROR(Tabela1[[#This Row],[EE(g)]]/Tabela1[[#This Row],[CMS(kg)]],0)</f>
        <v>69.963369963369956</v>
      </c>
    </row>
    <row r="490" spans="2:37" hidden="1">
      <c r="B490" s="774">
        <f>ROW()^2+(Tabela1[[#This Row],[ID2]])+ROW()</f>
        <v>240814</v>
      </c>
      <c r="C490" s="787">
        <v>224</v>
      </c>
      <c r="D490" s="774" t="s">
        <v>1256</v>
      </c>
      <c r="E490" s="788" t="s">
        <v>1276</v>
      </c>
      <c r="F490" s="788" t="s">
        <v>1268</v>
      </c>
      <c r="G490" s="788">
        <v>40</v>
      </c>
      <c r="H490" s="788" t="s">
        <v>1</v>
      </c>
      <c r="I490" s="780" t="s">
        <v>1285</v>
      </c>
      <c r="J490" s="787" t="s">
        <v>42</v>
      </c>
      <c r="K490" s="793">
        <v>1.18</v>
      </c>
      <c r="L490" s="790">
        <v>0</v>
      </c>
      <c r="M490" s="778">
        <v>1.4039999999999999</v>
      </c>
      <c r="N490" s="780">
        <v>1000</v>
      </c>
      <c r="O490" s="780">
        <v>1000</v>
      </c>
      <c r="P490" s="791">
        <v>100</v>
      </c>
      <c r="Q490" s="791">
        <v>100</v>
      </c>
      <c r="R490" s="792">
        <v>98.3</v>
      </c>
      <c r="S490" s="791">
        <v>100</v>
      </c>
      <c r="T490" s="791">
        <v>100</v>
      </c>
      <c r="U490" s="791">
        <v>1404</v>
      </c>
      <c r="V490" s="791">
        <v>25.271999999999998</v>
      </c>
      <c r="W490" s="791">
        <v>42.12</v>
      </c>
      <c r="X490" s="791">
        <v>5.6159999999999997</v>
      </c>
      <c r="Y490" s="791">
        <v>35.099999999999994</v>
      </c>
      <c r="Z490" s="791">
        <v>1053</v>
      </c>
      <c r="AA490" s="791">
        <v>702</v>
      </c>
      <c r="AB490" s="791">
        <v>1404</v>
      </c>
      <c r="AC490" s="791">
        <v>70.199999999999989</v>
      </c>
      <c r="AD490" s="791">
        <v>14.04</v>
      </c>
      <c r="AE490" s="791">
        <v>2.8079999999999998</v>
      </c>
      <c r="AF490" s="791"/>
      <c r="AG490" s="791"/>
      <c r="AH490" s="791"/>
      <c r="AI490" s="784"/>
      <c r="AK490" s="783">
        <f>IFERROR(Tabela1[[#This Row],[EE(g)]]/Tabela1[[#This Row],[CMS(kg)]],0)</f>
        <v>70.01424501424502</v>
      </c>
    </row>
    <row r="491" spans="2:37" hidden="1">
      <c r="B491" s="774">
        <f>ROW()^2+(Tabela1[[#This Row],[ID2]])+ROW()</f>
        <v>241805</v>
      </c>
      <c r="C491" s="787">
        <v>233</v>
      </c>
      <c r="D491" s="774" t="s">
        <v>1256</v>
      </c>
      <c r="E491" s="788" t="s">
        <v>1276</v>
      </c>
      <c r="F491" s="788" t="s">
        <v>1268</v>
      </c>
      <c r="G491" s="788">
        <v>40</v>
      </c>
      <c r="H491" s="788" t="s">
        <v>1</v>
      </c>
      <c r="I491" s="780" t="s">
        <v>1286</v>
      </c>
      <c r="J491" s="787" t="s">
        <v>42</v>
      </c>
      <c r="K491" s="793">
        <v>1.53</v>
      </c>
      <c r="L491" s="790">
        <v>0</v>
      </c>
      <c r="M491" s="778">
        <v>1.3639999999999999</v>
      </c>
      <c r="N491" s="780">
        <v>1000</v>
      </c>
      <c r="O491" s="780">
        <v>1000</v>
      </c>
      <c r="P491" s="791">
        <v>100</v>
      </c>
      <c r="Q491" s="791">
        <v>100</v>
      </c>
      <c r="R491" s="792">
        <v>95.5</v>
      </c>
      <c r="S491" s="791">
        <v>100</v>
      </c>
      <c r="T491" s="791">
        <v>100</v>
      </c>
      <c r="U491" s="791">
        <v>1363.9999999999998</v>
      </c>
      <c r="V491" s="791">
        <v>24.552</v>
      </c>
      <c r="W491" s="791">
        <v>40.919999999999995</v>
      </c>
      <c r="X491" s="791">
        <v>5.4559999999999995</v>
      </c>
      <c r="Y491" s="791">
        <v>34.099999999999994</v>
      </c>
      <c r="Z491" s="791">
        <v>1022.9999999999999</v>
      </c>
      <c r="AA491" s="791">
        <v>681.99999999999989</v>
      </c>
      <c r="AB491" s="791">
        <v>1363.9999999999998</v>
      </c>
      <c r="AC491" s="791">
        <v>68.199999999999989</v>
      </c>
      <c r="AD491" s="791">
        <v>13.639999999999999</v>
      </c>
      <c r="AE491" s="791">
        <v>2.7279999999999998</v>
      </c>
      <c r="AF491" s="791"/>
      <c r="AG491" s="791"/>
      <c r="AH491" s="791"/>
      <c r="AI491" s="784"/>
      <c r="AK491" s="783">
        <f>IFERROR(Tabela1[[#This Row],[EE(g)]]/Tabela1[[#This Row],[CMS(kg)]],0)</f>
        <v>70.014662756598241</v>
      </c>
    </row>
    <row r="492" spans="2:37" hidden="1">
      <c r="B492" s="774">
        <f>ROW()^2+(Tabela1[[#This Row],[ID2]])+ROW()</f>
        <v>242772</v>
      </c>
      <c r="C492" s="787">
        <v>216</v>
      </c>
      <c r="D492" s="774" t="s">
        <v>1256</v>
      </c>
      <c r="E492" s="788" t="s">
        <v>1276</v>
      </c>
      <c r="F492" s="788" t="s">
        <v>1268</v>
      </c>
      <c r="G492" s="788">
        <v>50</v>
      </c>
      <c r="H492" s="788" t="s">
        <v>1</v>
      </c>
      <c r="I492" s="780" t="s">
        <v>1266</v>
      </c>
      <c r="J492" s="787" t="s">
        <v>42</v>
      </c>
      <c r="K492" s="793">
        <v>0.79</v>
      </c>
      <c r="L492" s="790">
        <v>0</v>
      </c>
      <c r="M492" s="778">
        <v>1.2549999999999999</v>
      </c>
      <c r="N492" s="780">
        <v>1000</v>
      </c>
      <c r="O492" s="780">
        <v>1000</v>
      </c>
      <c r="P492" s="791">
        <v>100</v>
      </c>
      <c r="Q492" s="791">
        <v>100</v>
      </c>
      <c r="R492" s="792">
        <v>87.8</v>
      </c>
      <c r="S492" s="791">
        <v>100</v>
      </c>
      <c r="T492" s="791">
        <v>100</v>
      </c>
      <c r="U492" s="791">
        <v>1255</v>
      </c>
      <c r="V492" s="791">
        <v>22.589999999999996</v>
      </c>
      <c r="W492" s="791">
        <v>37.65</v>
      </c>
      <c r="X492" s="791">
        <v>5.0199999999999996</v>
      </c>
      <c r="Y492" s="791">
        <v>31.374999999999996</v>
      </c>
      <c r="Z492" s="791">
        <v>941.24999999999989</v>
      </c>
      <c r="AA492" s="791">
        <v>627.5</v>
      </c>
      <c r="AB492" s="791">
        <v>1255</v>
      </c>
      <c r="AC492" s="791">
        <v>62.749999999999993</v>
      </c>
      <c r="AD492" s="791">
        <v>12.549999999999999</v>
      </c>
      <c r="AE492" s="791">
        <v>2.5099999999999998</v>
      </c>
      <c r="AF492" s="791"/>
      <c r="AG492" s="791"/>
      <c r="AH492" s="791"/>
      <c r="AI492" s="784"/>
      <c r="AK492" s="783">
        <f>IFERROR(Tabela1[[#This Row],[EE(g)]]/Tabela1[[#This Row],[CMS(kg)]],0)</f>
        <v>69.960159362549803</v>
      </c>
    </row>
    <row r="493" spans="2:37" hidden="1">
      <c r="B493" s="774">
        <f>ROW()^2+(Tabela1[[#This Row],[ID2]])+ROW()</f>
        <v>243767</v>
      </c>
      <c r="C493" s="787">
        <v>225</v>
      </c>
      <c r="D493" s="774" t="s">
        <v>1256</v>
      </c>
      <c r="E493" s="788" t="s">
        <v>1276</v>
      </c>
      <c r="F493" s="788" t="s">
        <v>1268</v>
      </c>
      <c r="G493" s="788">
        <v>50</v>
      </c>
      <c r="H493" s="788" t="s">
        <v>1</v>
      </c>
      <c r="I493" s="780" t="s">
        <v>1285</v>
      </c>
      <c r="J493" s="787" t="s">
        <v>42</v>
      </c>
      <c r="K493" s="793">
        <v>1.32</v>
      </c>
      <c r="L493" s="790">
        <v>0</v>
      </c>
      <c r="M493" s="778">
        <v>1.6099999999999999</v>
      </c>
      <c r="N493" s="780">
        <v>1000</v>
      </c>
      <c r="O493" s="780">
        <v>1000</v>
      </c>
      <c r="P493" s="791">
        <v>100</v>
      </c>
      <c r="Q493" s="791">
        <v>100</v>
      </c>
      <c r="R493" s="792">
        <v>112.69999999999999</v>
      </c>
      <c r="S493" s="791">
        <v>100</v>
      </c>
      <c r="T493" s="791">
        <v>100</v>
      </c>
      <c r="U493" s="791">
        <v>1609.9999999999998</v>
      </c>
      <c r="V493" s="791">
        <v>28.979999999999997</v>
      </c>
      <c r="W493" s="791">
        <v>48.3</v>
      </c>
      <c r="X493" s="791">
        <v>6.4399999999999995</v>
      </c>
      <c r="Y493" s="791">
        <v>40.25</v>
      </c>
      <c r="Z493" s="791">
        <v>1207.5</v>
      </c>
      <c r="AA493" s="791">
        <v>804.99999999999989</v>
      </c>
      <c r="AB493" s="791">
        <v>1609.9999999999998</v>
      </c>
      <c r="AC493" s="791">
        <v>80.5</v>
      </c>
      <c r="AD493" s="791">
        <v>16.099999999999998</v>
      </c>
      <c r="AE493" s="791">
        <v>3.2199999999999998</v>
      </c>
      <c r="AF493" s="791"/>
      <c r="AG493" s="791"/>
      <c r="AH493" s="791"/>
      <c r="AI493" s="784"/>
      <c r="AK493" s="783">
        <f>IFERROR(Tabela1[[#This Row],[EE(g)]]/Tabela1[[#This Row],[CMS(kg)]],0)</f>
        <v>70</v>
      </c>
    </row>
    <row r="494" spans="2:37" hidden="1">
      <c r="B494" s="774">
        <f>ROW()^2+(Tabela1[[#This Row],[ID2]])+ROW()</f>
        <v>244764</v>
      </c>
      <c r="C494" s="787">
        <v>234</v>
      </c>
      <c r="D494" s="774" t="s">
        <v>1256</v>
      </c>
      <c r="E494" s="788" t="s">
        <v>1276</v>
      </c>
      <c r="F494" s="788" t="s">
        <v>1268</v>
      </c>
      <c r="G494" s="788">
        <v>50</v>
      </c>
      <c r="H494" s="788" t="s">
        <v>1</v>
      </c>
      <c r="I494" s="780" t="s">
        <v>1286</v>
      </c>
      <c r="J494" s="787" t="s">
        <v>42</v>
      </c>
      <c r="K494" s="793">
        <v>1.72</v>
      </c>
      <c r="L494" s="790">
        <v>0</v>
      </c>
      <c r="M494" s="778">
        <v>1.8799999999999997</v>
      </c>
      <c r="N494" s="780">
        <v>1000</v>
      </c>
      <c r="O494" s="780">
        <v>1000</v>
      </c>
      <c r="P494" s="791">
        <v>100</v>
      </c>
      <c r="Q494" s="791">
        <v>100</v>
      </c>
      <c r="R494" s="792">
        <v>131.6</v>
      </c>
      <c r="S494" s="791">
        <v>100</v>
      </c>
      <c r="T494" s="791">
        <v>100</v>
      </c>
      <c r="U494" s="791">
        <v>1879.9999999999998</v>
      </c>
      <c r="V494" s="791">
        <v>33.839999999999996</v>
      </c>
      <c r="W494" s="791">
        <v>56.399999999999991</v>
      </c>
      <c r="X494" s="791">
        <v>7.5199999999999987</v>
      </c>
      <c r="Y494" s="791">
        <v>46.999999999999993</v>
      </c>
      <c r="Z494" s="791">
        <v>1409.9999999999998</v>
      </c>
      <c r="AA494" s="791">
        <v>939.99999999999989</v>
      </c>
      <c r="AB494" s="791">
        <v>1879.9999999999998</v>
      </c>
      <c r="AC494" s="791">
        <v>93.999999999999986</v>
      </c>
      <c r="AD494" s="791">
        <v>18.799999999999997</v>
      </c>
      <c r="AE494" s="791">
        <v>3.7599999999999993</v>
      </c>
      <c r="AF494" s="791"/>
      <c r="AG494" s="791"/>
      <c r="AH494" s="791"/>
      <c r="AI494" s="784"/>
      <c r="AK494" s="783">
        <f>IFERROR(Tabela1[[#This Row],[EE(g)]]/Tabela1[[#This Row],[CMS(kg)]],0)</f>
        <v>70.000000000000014</v>
      </c>
    </row>
    <row r="495" spans="2:37" hidden="1">
      <c r="B495" s="774">
        <f>ROW()^2+(Tabela1[[#This Row],[ID2]])+ROW()</f>
        <v>245737</v>
      </c>
      <c r="C495" s="787">
        <v>217</v>
      </c>
      <c r="D495" s="774" t="s">
        <v>1256</v>
      </c>
      <c r="E495" s="788" t="s">
        <v>1276</v>
      </c>
      <c r="F495" s="788" t="s">
        <v>1268</v>
      </c>
      <c r="G495" s="788">
        <v>60</v>
      </c>
      <c r="H495" s="788" t="s">
        <v>1</v>
      </c>
      <c r="I495" s="780" t="s">
        <v>1266</v>
      </c>
      <c r="J495" s="787" t="s">
        <v>42</v>
      </c>
      <c r="K495" s="793">
        <v>0.87</v>
      </c>
      <c r="L495" s="790">
        <v>0</v>
      </c>
      <c r="M495" s="778">
        <v>1.776</v>
      </c>
      <c r="N495" s="780">
        <v>1000</v>
      </c>
      <c r="O495" s="780">
        <v>1000</v>
      </c>
      <c r="P495" s="791">
        <v>100</v>
      </c>
      <c r="Q495" s="791">
        <v>100</v>
      </c>
      <c r="R495" s="792">
        <v>124.3</v>
      </c>
      <c r="S495" s="791">
        <v>100</v>
      </c>
      <c r="T495" s="791">
        <v>100</v>
      </c>
      <c r="U495" s="791">
        <v>1776</v>
      </c>
      <c r="V495" s="791">
        <v>31.968</v>
      </c>
      <c r="W495" s="791">
        <v>53.28</v>
      </c>
      <c r="X495" s="791">
        <v>7.1040000000000001</v>
      </c>
      <c r="Y495" s="791">
        <v>44.4</v>
      </c>
      <c r="Z495" s="791">
        <v>1332</v>
      </c>
      <c r="AA495" s="791">
        <v>888</v>
      </c>
      <c r="AB495" s="791">
        <v>1776</v>
      </c>
      <c r="AC495" s="791">
        <v>88.8</v>
      </c>
      <c r="AD495" s="791">
        <v>17.760000000000002</v>
      </c>
      <c r="AE495" s="791">
        <v>3.552</v>
      </c>
      <c r="AF495" s="791"/>
      <c r="AG495" s="791"/>
      <c r="AH495" s="791"/>
      <c r="AI495" s="784"/>
      <c r="AK495" s="783">
        <f>IFERROR(Tabela1[[#This Row],[EE(g)]]/Tabela1[[#This Row],[CMS(kg)]],0)</f>
        <v>69.988738738738732</v>
      </c>
    </row>
    <row r="496" spans="2:37" hidden="1">
      <c r="B496" s="774">
        <f>ROW()^2+(Tabela1[[#This Row],[ID2]])+ROW()</f>
        <v>246738</v>
      </c>
      <c r="C496" s="787">
        <v>226</v>
      </c>
      <c r="D496" s="774" t="s">
        <v>1256</v>
      </c>
      <c r="E496" s="788" t="s">
        <v>1276</v>
      </c>
      <c r="F496" s="788" t="s">
        <v>1268</v>
      </c>
      <c r="G496" s="788">
        <v>60</v>
      </c>
      <c r="H496" s="788" t="s">
        <v>1</v>
      </c>
      <c r="I496" s="780" t="s">
        <v>1285</v>
      </c>
      <c r="J496" s="787" t="s">
        <v>42</v>
      </c>
      <c r="K496" s="793">
        <v>1.45</v>
      </c>
      <c r="L496" s="790">
        <v>0</v>
      </c>
      <c r="M496" s="778">
        <v>1.8059999999999998</v>
      </c>
      <c r="N496" s="780">
        <v>1000</v>
      </c>
      <c r="O496" s="780">
        <v>1000</v>
      </c>
      <c r="P496" s="791">
        <v>100</v>
      </c>
      <c r="Q496" s="791">
        <v>100</v>
      </c>
      <c r="R496" s="792">
        <v>126.4</v>
      </c>
      <c r="S496" s="791">
        <v>100</v>
      </c>
      <c r="T496" s="791">
        <v>100</v>
      </c>
      <c r="U496" s="791">
        <v>1805.9999999999998</v>
      </c>
      <c r="V496" s="791">
        <v>32.507999999999996</v>
      </c>
      <c r="W496" s="791">
        <v>54.179999999999993</v>
      </c>
      <c r="X496" s="791">
        <v>7.2239999999999993</v>
      </c>
      <c r="Y496" s="791">
        <v>45.15</v>
      </c>
      <c r="Z496" s="791">
        <v>1354.4999999999998</v>
      </c>
      <c r="AA496" s="791">
        <v>902.99999999999989</v>
      </c>
      <c r="AB496" s="791">
        <v>1805.9999999999998</v>
      </c>
      <c r="AC496" s="791">
        <v>90.3</v>
      </c>
      <c r="AD496" s="791">
        <v>18.059999999999999</v>
      </c>
      <c r="AE496" s="791">
        <v>3.6119999999999997</v>
      </c>
      <c r="AF496" s="791"/>
      <c r="AG496" s="791"/>
      <c r="AH496" s="791"/>
      <c r="AI496" s="784"/>
      <c r="AK496" s="783">
        <f>IFERROR(Tabela1[[#This Row],[EE(g)]]/Tabela1[[#This Row],[CMS(kg)]],0)</f>
        <v>69.988925802879308</v>
      </c>
    </row>
    <row r="497" spans="2:37" hidden="1">
      <c r="B497" s="774">
        <f>ROW()^2+(Tabela1[[#This Row],[ID2]])+ROW()</f>
        <v>247741</v>
      </c>
      <c r="C497" s="787">
        <v>235</v>
      </c>
      <c r="D497" s="774" t="s">
        <v>1256</v>
      </c>
      <c r="E497" s="788" t="s">
        <v>1276</v>
      </c>
      <c r="F497" s="788" t="s">
        <v>1268</v>
      </c>
      <c r="G497" s="788">
        <v>60</v>
      </c>
      <c r="H497" s="788" t="s">
        <v>1</v>
      </c>
      <c r="I497" s="780" t="s">
        <v>1286</v>
      </c>
      <c r="J497" s="787" t="s">
        <v>42</v>
      </c>
      <c r="K497" s="793">
        <v>1.88</v>
      </c>
      <c r="L497" s="790">
        <v>0</v>
      </c>
      <c r="M497" s="778">
        <v>2.0880000000000001</v>
      </c>
      <c r="N497" s="780">
        <v>1000</v>
      </c>
      <c r="O497" s="780">
        <v>1000</v>
      </c>
      <c r="P497" s="791">
        <v>100</v>
      </c>
      <c r="Q497" s="791">
        <v>100</v>
      </c>
      <c r="R497" s="792">
        <v>146.19999999999999</v>
      </c>
      <c r="S497" s="791">
        <v>100</v>
      </c>
      <c r="T497" s="791">
        <v>100</v>
      </c>
      <c r="U497" s="791">
        <v>2088</v>
      </c>
      <c r="V497" s="791">
        <v>37.584000000000003</v>
      </c>
      <c r="W497" s="791">
        <v>62.64</v>
      </c>
      <c r="X497" s="791">
        <v>8.3520000000000003</v>
      </c>
      <c r="Y497" s="791">
        <v>52.2</v>
      </c>
      <c r="Z497" s="791">
        <v>1566</v>
      </c>
      <c r="AA497" s="791">
        <v>1044</v>
      </c>
      <c r="AB497" s="791">
        <v>2088</v>
      </c>
      <c r="AC497" s="791">
        <v>104.4</v>
      </c>
      <c r="AD497" s="791">
        <v>20.880000000000003</v>
      </c>
      <c r="AE497" s="791">
        <v>4.1760000000000002</v>
      </c>
      <c r="AF497" s="791"/>
      <c r="AG497" s="791"/>
      <c r="AH497" s="791"/>
      <c r="AI497" s="784"/>
      <c r="AK497" s="783">
        <f>IFERROR(Tabela1[[#This Row],[EE(g)]]/Tabela1[[#This Row],[CMS(kg)]],0)</f>
        <v>70.019157088122597</v>
      </c>
    </row>
    <row r="498" spans="2:37" hidden="1">
      <c r="B498" s="774">
        <f>ROW()^2+(Tabela1[[#This Row],[ID2]])+ROW()</f>
        <v>248720</v>
      </c>
      <c r="C498" s="787">
        <v>218</v>
      </c>
      <c r="D498" s="774" t="s">
        <v>1256</v>
      </c>
      <c r="E498" s="788" t="s">
        <v>1276</v>
      </c>
      <c r="F498" s="788" t="s">
        <v>1268</v>
      </c>
      <c r="G498" s="788">
        <v>70</v>
      </c>
      <c r="H498" s="788" t="s">
        <v>1</v>
      </c>
      <c r="I498" s="780" t="s">
        <v>1266</v>
      </c>
      <c r="J498" s="787" t="s">
        <v>42</v>
      </c>
      <c r="K498" s="793">
        <v>0.94</v>
      </c>
      <c r="L498" s="790">
        <v>0</v>
      </c>
      <c r="M498" s="778">
        <v>1.9599999999999997</v>
      </c>
      <c r="N498" s="780">
        <v>1000</v>
      </c>
      <c r="O498" s="780">
        <v>1000</v>
      </c>
      <c r="P498" s="791">
        <v>100</v>
      </c>
      <c r="Q498" s="791">
        <v>100</v>
      </c>
      <c r="R498" s="792">
        <v>137.19999999999999</v>
      </c>
      <c r="S498" s="791">
        <v>100</v>
      </c>
      <c r="T498" s="791">
        <v>100</v>
      </c>
      <c r="U498" s="791">
        <v>1959.9999999999998</v>
      </c>
      <c r="V498" s="791">
        <v>35.279999999999994</v>
      </c>
      <c r="W498" s="791">
        <v>58.79999999999999</v>
      </c>
      <c r="X498" s="791">
        <v>7.839999999999999</v>
      </c>
      <c r="Y498" s="791">
        <v>48.999999999999993</v>
      </c>
      <c r="Z498" s="791">
        <v>1469.9999999999998</v>
      </c>
      <c r="AA498" s="791">
        <v>979.99999999999989</v>
      </c>
      <c r="AB498" s="791">
        <v>1959.9999999999998</v>
      </c>
      <c r="AC498" s="791">
        <v>97.999999999999986</v>
      </c>
      <c r="AD498" s="791">
        <v>19.599999999999998</v>
      </c>
      <c r="AE498" s="791">
        <v>3.9199999999999995</v>
      </c>
      <c r="AF498" s="791"/>
      <c r="AG498" s="791"/>
      <c r="AH498" s="791"/>
      <c r="AI498" s="784"/>
      <c r="AK498" s="783">
        <f>IFERROR(Tabela1[[#This Row],[EE(g)]]/Tabela1[[#This Row],[CMS(kg)]],0)</f>
        <v>70</v>
      </c>
    </row>
    <row r="499" spans="2:37" hidden="1">
      <c r="B499" s="774">
        <f>ROW()^2+(Tabela1[[#This Row],[ID2]])+ROW()</f>
        <v>249727</v>
      </c>
      <c r="C499" s="787">
        <v>227</v>
      </c>
      <c r="D499" s="774" t="s">
        <v>1256</v>
      </c>
      <c r="E499" s="788" t="s">
        <v>1276</v>
      </c>
      <c r="F499" s="788" t="s">
        <v>1268</v>
      </c>
      <c r="G499" s="788">
        <v>70</v>
      </c>
      <c r="H499" s="788" t="s">
        <v>1</v>
      </c>
      <c r="I499" s="780" t="s">
        <v>1285</v>
      </c>
      <c r="J499" s="787" t="s">
        <v>42</v>
      </c>
      <c r="K499" s="793">
        <v>1.56</v>
      </c>
      <c r="L499" s="790">
        <v>0</v>
      </c>
      <c r="M499" s="778">
        <v>1.9810000000000001</v>
      </c>
      <c r="N499" s="780">
        <v>1000</v>
      </c>
      <c r="O499" s="780">
        <v>1000</v>
      </c>
      <c r="P499" s="791">
        <v>100</v>
      </c>
      <c r="Q499" s="791">
        <v>100</v>
      </c>
      <c r="R499" s="792">
        <v>138.69999999999999</v>
      </c>
      <c r="S499" s="791">
        <v>100</v>
      </c>
      <c r="T499" s="791">
        <v>100</v>
      </c>
      <c r="U499" s="791">
        <v>1981</v>
      </c>
      <c r="V499" s="791">
        <v>35.658000000000001</v>
      </c>
      <c r="W499" s="791">
        <v>59.43</v>
      </c>
      <c r="X499" s="791">
        <v>7.9240000000000004</v>
      </c>
      <c r="Y499" s="791">
        <v>49.525000000000006</v>
      </c>
      <c r="Z499" s="791">
        <v>1485.75</v>
      </c>
      <c r="AA499" s="791">
        <v>990.5</v>
      </c>
      <c r="AB499" s="791">
        <v>1981</v>
      </c>
      <c r="AC499" s="791">
        <v>99.050000000000011</v>
      </c>
      <c r="AD499" s="791">
        <v>19.810000000000002</v>
      </c>
      <c r="AE499" s="791">
        <v>3.9620000000000002</v>
      </c>
      <c r="AF499" s="791"/>
      <c r="AG499" s="791"/>
      <c r="AH499" s="791"/>
      <c r="AI499" s="784"/>
      <c r="AK499" s="783">
        <f>IFERROR(Tabela1[[#This Row],[EE(g)]]/Tabela1[[#This Row],[CMS(kg)]],0)</f>
        <v>70.015143866733965</v>
      </c>
    </row>
    <row r="500" spans="2:37" hidden="1">
      <c r="B500" s="774">
        <f>ROW()^2+(Tabela1[[#This Row],[ID2]])+ROW()</f>
        <v>250736</v>
      </c>
      <c r="C500" s="787">
        <v>236</v>
      </c>
      <c r="D500" s="774" t="s">
        <v>1256</v>
      </c>
      <c r="E500" s="788" t="s">
        <v>1276</v>
      </c>
      <c r="F500" s="788" t="s">
        <v>1268</v>
      </c>
      <c r="G500" s="788">
        <v>70</v>
      </c>
      <c r="H500" s="788" t="s">
        <v>1</v>
      </c>
      <c r="I500" s="780" t="s">
        <v>1286</v>
      </c>
      <c r="J500" s="787" t="s">
        <v>42</v>
      </c>
      <c r="K500" s="793">
        <v>2.0299999999999998</v>
      </c>
      <c r="L500" s="790">
        <v>0</v>
      </c>
      <c r="M500" s="778">
        <v>2.2890000000000001</v>
      </c>
      <c r="N500" s="780">
        <v>1000</v>
      </c>
      <c r="O500" s="780">
        <v>1000</v>
      </c>
      <c r="P500" s="791">
        <v>100</v>
      </c>
      <c r="Q500" s="791">
        <v>100</v>
      </c>
      <c r="R500" s="792">
        <v>160.20000000000002</v>
      </c>
      <c r="S500" s="791">
        <v>100</v>
      </c>
      <c r="T500" s="791">
        <v>100</v>
      </c>
      <c r="U500" s="791">
        <v>2289</v>
      </c>
      <c r="V500" s="791">
        <v>41.202000000000005</v>
      </c>
      <c r="W500" s="791">
        <v>68.67</v>
      </c>
      <c r="X500" s="791">
        <v>9.1560000000000006</v>
      </c>
      <c r="Y500" s="791">
        <v>57.225000000000001</v>
      </c>
      <c r="Z500" s="791">
        <v>1716.75</v>
      </c>
      <c r="AA500" s="791">
        <v>1144.5</v>
      </c>
      <c r="AB500" s="791">
        <v>2289</v>
      </c>
      <c r="AC500" s="791">
        <v>114.45</v>
      </c>
      <c r="AD500" s="791">
        <v>22.89</v>
      </c>
      <c r="AE500" s="791">
        <v>4.5780000000000003</v>
      </c>
      <c r="AF500" s="791"/>
      <c r="AG500" s="791"/>
      <c r="AH500" s="791"/>
      <c r="AI500" s="784"/>
      <c r="AK500" s="783">
        <f>IFERROR(Tabela1[[#This Row],[EE(g)]]/Tabela1[[#This Row],[CMS(kg)]],0)</f>
        <v>69.986893840104855</v>
      </c>
    </row>
    <row r="501" spans="2:37" hidden="1">
      <c r="B501" s="774">
        <f>ROW()^2+(Tabela1[[#This Row],[ID2]])+ROW()</f>
        <v>251721</v>
      </c>
      <c r="C501" s="787">
        <v>219</v>
      </c>
      <c r="D501" s="774" t="s">
        <v>1256</v>
      </c>
      <c r="E501" s="788" t="s">
        <v>1276</v>
      </c>
      <c r="F501" s="788" t="s">
        <v>1268</v>
      </c>
      <c r="G501" s="788">
        <v>80</v>
      </c>
      <c r="H501" s="788" t="s">
        <v>1</v>
      </c>
      <c r="I501" s="780" t="s">
        <v>1266</v>
      </c>
      <c r="J501" s="787" t="s">
        <v>42</v>
      </c>
      <c r="K501" s="793">
        <v>1</v>
      </c>
      <c r="L501" s="790">
        <v>0</v>
      </c>
      <c r="M501" s="778">
        <v>2.1359999999999997</v>
      </c>
      <c r="N501" s="780">
        <v>1000</v>
      </c>
      <c r="O501" s="780">
        <v>1000</v>
      </c>
      <c r="P501" s="791">
        <v>100</v>
      </c>
      <c r="Q501" s="791">
        <v>100</v>
      </c>
      <c r="R501" s="792">
        <v>149.5</v>
      </c>
      <c r="S501" s="791">
        <v>100</v>
      </c>
      <c r="T501" s="791">
        <v>100</v>
      </c>
      <c r="U501" s="791">
        <v>2135.9999999999995</v>
      </c>
      <c r="V501" s="791">
        <v>38.447999999999993</v>
      </c>
      <c r="W501" s="791">
        <v>64.079999999999984</v>
      </c>
      <c r="X501" s="791">
        <v>8.5439999999999987</v>
      </c>
      <c r="Y501" s="791">
        <v>53.399999999999991</v>
      </c>
      <c r="Z501" s="791">
        <v>1601.9999999999998</v>
      </c>
      <c r="AA501" s="791">
        <v>1067.9999999999998</v>
      </c>
      <c r="AB501" s="791">
        <v>2135.9999999999995</v>
      </c>
      <c r="AC501" s="791">
        <v>106.79999999999998</v>
      </c>
      <c r="AD501" s="791">
        <v>21.359999999999996</v>
      </c>
      <c r="AE501" s="791">
        <v>4.2719999999999994</v>
      </c>
      <c r="AF501" s="791"/>
      <c r="AG501" s="791"/>
      <c r="AH501" s="791"/>
      <c r="AI501" s="784"/>
      <c r="AK501" s="783">
        <f>IFERROR(Tabela1[[#This Row],[EE(g)]]/Tabela1[[#This Row],[CMS(kg)]],0)</f>
        <v>69.990636704119865</v>
      </c>
    </row>
    <row r="502" spans="2:37" hidden="1">
      <c r="B502" s="774">
        <f>ROW()^2+(Tabela1[[#This Row],[ID2]])+ROW()</f>
        <v>252734</v>
      </c>
      <c r="C502" s="787">
        <v>228</v>
      </c>
      <c r="D502" s="774" t="s">
        <v>1256</v>
      </c>
      <c r="E502" s="788" t="s">
        <v>1276</v>
      </c>
      <c r="F502" s="788" t="s">
        <v>1268</v>
      </c>
      <c r="G502" s="788">
        <v>80</v>
      </c>
      <c r="H502" s="788" t="s">
        <v>1</v>
      </c>
      <c r="I502" s="780" t="s">
        <v>1285</v>
      </c>
      <c r="J502" s="787" t="s">
        <v>42</v>
      </c>
      <c r="K502" s="793">
        <v>1.67</v>
      </c>
      <c r="L502" s="790">
        <v>0</v>
      </c>
      <c r="M502" s="778">
        <v>2.1520000000000001</v>
      </c>
      <c r="N502" s="780">
        <v>1000</v>
      </c>
      <c r="O502" s="780">
        <v>1000</v>
      </c>
      <c r="P502" s="791">
        <v>100</v>
      </c>
      <c r="Q502" s="791">
        <v>100</v>
      </c>
      <c r="R502" s="792">
        <v>150.60000000000002</v>
      </c>
      <c r="S502" s="791">
        <v>100</v>
      </c>
      <c r="T502" s="791">
        <v>100</v>
      </c>
      <c r="U502" s="791">
        <v>2152</v>
      </c>
      <c r="V502" s="791">
        <v>38.736000000000004</v>
      </c>
      <c r="W502" s="791">
        <v>64.56</v>
      </c>
      <c r="X502" s="791">
        <v>8.6080000000000005</v>
      </c>
      <c r="Y502" s="791">
        <v>53.800000000000004</v>
      </c>
      <c r="Z502" s="791">
        <v>1614</v>
      </c>
      <c r="AA502" s="791">
        <v>1076</v>
      </c>
      <c r="AB502" s="791">
        <v>2152</v>
      </c>
      <c r="AC502" s="791">
        <v>107.60000000000001</v>
      </c>
      <c r="AD502" s="791">
        <v>21.520000000000003</v>
      </c>
      <c r="AE502" s="791">
        <v>4.3040000000000003</v>
      </c>
      <c r="AF502" s="791"/>
      <c r="AG502" s="791"/>
      <c r="AH502" s="791"/>
      <c r="AI502" s="784"/>
      <c r="AK502" s="783">
        <f>IFERROR(Tabela1[[#This Row],[EE(g)]]/Tabela1[[#This Row],[CMS(kg)]],0)</f>
        <v>69.981412639405207</v>
      </c>
    </row>
    <row r="503" spans="2:37" hidden="1">
      <c r="B503" s="774">
        <f>ROW()^2+(Tabela1[[#This Row],[ID2]])+ROW()</f>
        <v>253749</v>
      </c>
      <c r="C503" s="787">
        <v>237</v>
      </c>
      <c r="D503" s="774" t="s">
        <v>1256</v>
      </c>
      <c r="E503" s="788" t="s">
        <v>1276</v>
      </c>
      <c r="F503" s="788" t="s">
        <v>1268</v>
      </c>
      <c r="G503" s="788">
        <v>80</v>
      </c>
      <c r="H503" s="788" t="s">
        <v>1</v>
      </c>
      <c r="I503" s="780" t="s">
        <v>1286</v>
      </c>
      <c r="J503" s="787" t="s">
        <v>42</v>
      </c>
      <c r="K503" s="793">
        <v>2.17</v>
      </c>
      <c r="L503" s="790">
        <v>0</v>
      </c>
      <c r="M503" s="778">
        <v>3.1120000000000001</v>
      </c>
      <c r="N503" s="780">
        <v>1000</v>
      </c>
      <c r="O503" s="780">
        <v>1000</v>
      </c>
      <c r="P503" s="791">
        <v>100</v>
      </c>
      <c r="Q503" s="791">
        <v>100</v>
      </c>
      <c r="R503" s="792">
        <v>217.79999999999998</v>
      </c>
      <c r="S503" s="791">
        <v>100</v>
      </c>
      <c r="T503" s="791">
        <v>100</v>
      </c>
      <c r="U503" s="791">
        <v>3112</v>
      </c>
      <c r="V503" s="791">
        <v>56.016000000000005</v>
      </c>
      <c r="W503" s="791">
        <v>93.36</v>
      </c>
      <c r="X503" s="791">
        <v>12.448</v>
      </c>
      <c r="Y503" s="791">
        <v>77.8</v>
      </c>
      <c r="Z503" s="791">
        <v>2334</v>
      </c>
      <c r="AA503" s="791">
        <v>1556</v>
      </c>
      <c r="AB503" s="791">
        <v>3112</v>
      </c>
      <c r="AC503" s="791">
        <v>155.6</v>
      </c>
      <c r="AD503" s="791">
        <v>31.12</v>
      </c>
      <c r="AE503" s="791">
        <v>6.2240000000000002</v>
      </c>
      <c r="AF503" s="791"/>
      <c r="AG503" s="791"/>
      <c r="AH503" s="791"/>
      <c r="AI503" s="784"/>
      <c r="AK503" s="783">
        <f>IFERROR(Tabela1[[#This Row],[EE(g)]]/Tabela1[[#This Row],[CMS(kg)]],0)</f>
        <v>69.987146529562978</v>
      </c>
    </row>
    <row r="504" spans="2:37" hidden="1">
      <c r="B504" s="774">
        <f>ROW()^2+(Tabela1[[#This Row],[ID2]])+ROW()</f>
        <v>254740</v>
      </c>
      <c r="C504" s="787">
        <v>220</v>
      </c>
      <c r="D504" s="774" t="s">
        <v>1256</v>
      </c>
      <c r="E504" s="788" t="s">
        <v>1276</v>
      </c>
      <c r="F504" s="788" t="s">
        <v>1268</v>
      </c>
      <c r="G504" s="788">
        <v>90</v>
      </c>
      <c r="H504" s="788" t="s">
        <v>1</v>
      </c>
      <c r="I504" s="780" t="s">
        <v>1266</v>
      </c>
      <c r="J504" s="787" t="s">
        <v>42</v>
      </c>
      <c r="K504" s="793">
        <v>1.06</v>
      </c>
      <c r="L504" s="790">
        <v>0</v>
      </c>
      <c r="M504" s="778">
        <v>2.3040000000000003</v>
      </c>
      <c r="N504" s="780">
        <v>1000</v>
      </c>
      <c r="O504" s="780">
        <v>1000</v>
      </c>
      <c r="P504" s="791">
        <v>100</v>
      </c>
      <c r="Q504" s="791">
        <v>100</v>
      </c>
      <c r="R504" s="792">
        <v>161.30000000000001</v>
      </c>
      <c r="S504" s="791">
        <v>100</v>
      </c>
      <c r="T504" s="791">
        <v>100</v>
      </c>
      <c r="U504" s="791">
        <v>2304.0000000000005</v>
      </c>
      <c r="V504" s="791">
        <v>41.472000000000008</v>
      </c>
      <c r="W504" s="791">
        <v>69.12</v>
      </c>
      <c r="X504" s="791">
        <v>9.2160000000000011</v>
      </c>
      <c r="Y504" s="791">
        <v>57.600000000000009</v>
      </c>
      <c r="Z504" s="791">
        <v>1728.0000000000002</v>
      </c>
      <c r="AA504" s="791">
        <v>1152.0000000000002</v>
      </c>
      <c r="AB504" s="791">
        <v>2304.0000000000005</v>
      </c>
      <c r="AC504" s="791">
        <v>115.20000000000002</v>
      </c>
      <c r="AD504" s="791">
        <v>23.040000000000003</v>
      </c>
      <c r="AE504" s="791">
        <v>4.6080000000000005</v>
      </c>
      <c r="AF504" s="791"/>
      <c r="AG504" s="791"/>
      <c r="AH504" s="791"/>
      <c r="AI504" s="784"/>
      <c r="AK504" s="783">
        <f>IFERROR(Tabela1[[#This Row],[EE(g)]]/Tabela1[[#This Row],[CMS(kg)]],0)</f>
        <v>70.008680555555557</v>
      </c>
    </row>
    <row r="505" spans="2:37" hidden="1">
      <c r="B505" s="774">
        <f>ROW()^2+(Tabela1[[#This Row],[ID2]])+ROW()</f>
        <v>255759</v>
      </c>
      <c r="C505" s="787">
        <v>229</v>
      </c>
      <c r="D505" s="774" t="s">
        <v>1256</v>
      </c>
      <c r="E505" s="788" t="s">
        <v>1276</v>
      </c>
      <c r="F505" s="788" t="s">
        <v>1268</v>
      </c>
      <c r="G505" s="788">
        <v>90</v>
      </c>
      <c r="H505" s="788" t="s">
        <v>1</v>
      </c>
      <c r="I505" s="780" t="s">
        <v>1285</v>
      </c>
      <c r="J505" s="787" t="s">
        <v>42</v>
      </c>
      <c r="K505" s="793">
        <v>1.77</v>
      </c>
      <c r="L505" s="790">
        <v>0</v>
      </c>
      <c r="M505" s="778">
        <v>2.3129999999999997</v>
      </c>
      <c r="N505" s="780">
        <v>1000</v>
      </c>
      <c r="O505" s="780">
        <v>1000</v>
      </c>
      <c r="P505" s="791">
        <v>100</v>
      </c>
      <c r="Q505" s="791">
        <v>100</v>
      </c>
      <c r="R505" s="792">
        <v>161.89999999999998</v>
      </c>
      <c r="S505" s="791">
        <v>100</v>
      </c>
      <c r="T505" s="791">
        <v>100</v>
      </c>
      <c r="U505" s="791">
        <v>2312.9999999999995</v>
      </c>
      <c r="V505" s="791">
        <v>41.633999999999993</v>
      </c>
      <c r="W505" s="791">
        <v>69.389999999999986</v>
      </c>
      <c r="X505" s="791">
        <v>9.2519999999999989</v>
      </c>
      <c r="Y505" s="791">
        <v>57.824999999999996</v>
      </c>
      <c r="Z505" s="791">
        <v>1734.7499999999998</v>
      </c>
      <c r="AA505" s="791">
        <v>1156.4999999999998</v>
      </c>
      <c r="AB505" s="791">
        <v>2312.9999999999995</v>
      </c>
      <c r="AC505" s="791">
        <v>115.64999999999999</v>
      </c>
      <c r="AD505" s="791">
        <v>23.129999999999995</v>
      </c>
      <c r="AE505" s="791">
        <v>4.6259999999999994</v>
      </c>
      <c r="AF505" s="791"/>
      <c r="AG505" s="791"/>
      <c r="AH505" s="791"/>
      <c r="AI505" s="784"/>
      <c r="AK505" s="783">
        <f>IFERROR(Tabela1[[#This Row],[EE(g)]]/Tabela1[[#This Row],[CMS(kg)]],0)</f>
        <v>69.995676610462596</v>
      </c>
    </row>
    <row r="506" spans="2:37" hidden="1">
      <c r="B506" s="774">
        <f>ROW()^2+(Tabela1[[#This Row],[ID2]])+ROW()</f>
        <v>256780</v>
      </c>
      <c r="C506" s="787">
        <v>238</v>
      </c>
      <c r="D506" s="774" t="s">
        <v>1256</v>
      </c>
      <c r="E506" s="788" t="s">
        <v>1276</v>
      </c>
      <c r="F506" s="788" t="s">
        <v>1268</v>
      </c>
      <c r="G506" s="788">
        <v>90</v>
      </c>
      <c r="H506" s="788" t="s">
        <v>1</v>
      </c>
      <c r="I506" s="780" t="s">
        <v>1286</v>
      </c>
      <c r="J506" s="787" t="s">
        <v>42</v>
      </c>
      <c r="K506" s="793">
        <v>2.2999999999999998</v>
      </c>
      <c r="L506" s="790">
        <v>0</v>
      </c>
      <c r="M506" s="778">
        <v>3.339</v>
      </c>
      <c r="N506" s="780">
        <v>1000</v>
      </c>
      <c r="O506" s="780">
        <v>1000</v>
      </c>
      <c r="P506" s="791">
        <v>100</v>
      </c>
      <c r="Q506" s="791">
        <v>100</v>
      </c>
      <c r="R506" s="792">
        <v>233.7</v>
      </c>
      <c r="S506" s="791">
        <v>100</v>
      </c>
      <c r="T506" s="791">
        <v>100</v>
      </c>
      <c r="U506" s="791">
        <v>3339</v>
      </c>
      <c r="V506" s="791">
        <v>60.101999999999997</v>
      </c>
      <c r="W506" s="791">
        <v>100.17</v>
      </c>
      <c r="X506" s="791">
        <v>13.356</v>
      </c>
      <c r="Y506" s="791">
        <v>83.474999999999994</v>
      </c>
      <c r="Z506" s="791">
        <v>2504.25</v>
      </c>
      <c r="AA506" s="791">
        <v>1669.5</v>
      </c>
      <c r="AB506" s="791">
        <v>3339</v>
      </c>
      <c r="AC506" s="791">
        <v>166.95</v>
      </c>
      <c r="AD506" s="791">
        <v>33.39</v>
      </c>
      <c r="AE506" s="791">
        <v>6.6779999999999999</v>
      </c>
      <c r="AF506" s="791"/>
      <c r="AG506" s="791"/>
      <c r="AH506" s="791"/>
      <c r="AI506" s="784"/>
      <c r="AK506" s="783">
        <f>IFERROR(Tabela1[[#This Row],[EE(g)]]/Tabela1[[#This Row],[CMS(kg)]],0)</f>
        <v>69.99101527403414</v>
      </c>
    </row>
    <row r="507" spans="2:37" hidden="1">
      <c r="B507" s="774">
        <f>ROW()^2+(Tabela1[[#This Row],[ID2]])+ROW()</f>
        <v>257777</v>
      </c>
      <c r="C507" s="787">
        <v>221</v>
      </c>
      <c r="D507" s="774" t="s">
        <v>1256</v>
      </c>
      <c r="E507" s="788" t="s">
        <v>1276</v>
      </c>
      <c r="F507" s="788" t="s">
        <v>1268</v>
      </c>
      <c r="G507" s="788">
        <v>100</v>
      </c>
      <c r="H507" s="788" t="s">
        <v>1</v>
      </c>
      <c r="I507" s="780" t="s">
        <v>1266</v>
      </c>
      <c r="J507" s="787" t="s">
        <v>42</v>
      </c>
      <c r="K507" s="793">
        <v>1.1200000000000001</v>
      </c>
      <c r="L507" s="790">
        <v>0</v>
      </c>
      <c r="M507" s="778">
        <v>2.4700000000000002</v>
      </c>
      <c r="N507" s="780">
        <v>1000</v>
      </c>
      <c r="O507" s="780">
        <v>1000</v>
      </c>
      <c r="P507" s="791">
        <v>100</v>
      </c>
      <c r="Q507" s="791">
        <v>100</v>
      </c>
      <c r="R507" s="792">
        <v>172.9</v>
      </c>
      <c r="S507" s="791">
        <v>100</v>
      </c>
      <c r="T507" s="791">
        <v>100</v>
      </c>
      <c r="U507" s="791">
        <v>2470</v>
      </c>
      <c r="V507" s="791">
        <v>44.46</v>
      </c>
      <c r="W507" s="791">
        <v>74.100000000000009</v>
      </c>
      <c r="X507" s="791">
        <v>9.8800000000000008</v>
      </c>
      <c r="Y507" s="791">
        <v>61.750000000000007</v>
      </c>
      <c r="Z507" s="791">
        <v>1852.5000000000002</v>
      </c>
      <c r="AA507" s="791">
        <v>1235</v>
      </c>
      <c r="AB507" s="791">
        <v>2470</v>
      </c>
      <c r="AC507" s="791">
        <v>123.50000000000001</v>
      </c>
      <c r="AD507" s="791">
        <v>24.700000000000003</v>
      </c>
      <c r="AE507" s="791">
        <v>4.9400000000000004</v>
      </c>
      <c r="AF507" s="791"/>
      <c r="AG507" s="791"/>
      <c r="AH507" s="791"/>
      <c r="AI507" s="784"/>
      <c r="AK507" s="783">
        <f>IFERROR(Tabela1[[#This Row],[EE(g)]]/Tabela1[[#This Row],[CMS(kg)]],0)</f>
        <v>70</v>
      </c>
    </row>
    <row r="508" spans="2:37" hidden="1">
      <c r="B508" s="774">
        <f>ROW()^2+(Tabela1[[#This Row],[ID2]])+ROW()</f>
        <v>258802</v>
      </c>
      <c r="C508" s="787">
        <v>230</v>
      </c>
      <c r="D508" s="774" t="s">
        <v>1256</v>
      </c>
      <c r="E508" s="788" t="s">
        <v>1276</v>
      </c>
      <c r="F508" s="788" t="s">
        <v>1268</v>
      </c>
      <c r="G508" s="788">
        <v>100</v>
      </c>
      <c r="H508" s="788" t="s">
        <v>1</v>
      </c>
      <c r="I508" s="780" t="s">
        <v>1285</v>
      </c>
      <c r="J508" s="787" t="s">
        <v>42</v>
      </c>
      <c r="K508" s="793">
        <v>1.87</v>
      </c>
      <c r="L508" s="790">
        <v>0</v>
      </c>
      <c r="M508" s="778">
        <v>2.48</v>
      </c>
      <c r="N508" s="780">
        <v>1000</v>
      </c>
      <c r="O508" s="780">
        <v>1000</v>
      </c>
      <c r="P508" s="791">
        <v>100</v>
      </c>
      <c r="Q508" s="791">
        <v>100</v>
      </c>
      <c r="R508" s="792">
        <v>173.6</v>
      </c>
      <c r="S508" s="791">
        <v>100</v>
      </c>
      <c r="T508" s="791">
        <v>100</v>
      </c>
      <c r="U508" s="791">
        <v>2480</v>
      </c>
      <c r="V508" s="791">
        <v>44.64</v>
      </c>
      <c r="W508" s="791">
        <v>74.400000000000006</v>
      </c>
      <c r="X508" s="791">
        <v>9.92</v>
      </c>
      <c r="Y508" s="791">
        <v>62</v>
      </c>
      <c r="Z508" s="791">
        <v>1860</v>
      </c>
      <c r="AA508" s="791">
        <v>1240</v>
      </c>
      <c r="AB508" s="791">
        <v>2480</v>
      </c>
      <c r="AC508" s="791">
        <v>124</v>
      </c>
      <c r="AD508" s="791">
        <v>24.8</v>
      </c>
      <c r="AE508" s="791">
        <v>4.96</v>
      </c>
      <c r="AF508" s="791"/>
      <c r="AG508" s="791"/>
      <c r="AH508" s="791"/>
      <c r="AI508" s="784"/>
      <c r="AK508" s="783">
        <f>IFERROR(Tabela1[[#This Row],[EE(g)]]/Tabela1[[#This Row],[CMS(kg)]],0)</f>
        <v>70</v>
      </c>
    </row>
    <row r="509" spans="2:37" hidden="1">
      <c r="B509" s="774">
        <f>ROW()^2+(Tabela1[[#This Row],[ID2]])+ROW()</f>
        <v>259829</v>
      </c>
      <c r="C509" s="787">
        <v>239</v>
      </c>
      <c r="D509" s="774" t="s">
        <v>1256</v>
      </c>
      <c r="E509" s="788" t="s">
        <v>1276</v>
      </c>
      <c r="F509" s="788" t="s">
        <v>1268</v>
      </c>
      <c r="G509" s="788">
        <v>100</v>
      </c>
      <c r="H509" s="788" t="s">
        <v>1</v>
      </c>
      <c r="I509" s="780" t="s">
        <v>1286</v>
      </c>
      <c r="J509" s="787" t="s">
        <v>42</v>
      </c>
      <c r="K509" s="793">
        <v>2.4300000000000002</v>
      </c>
      <c r="L509" s="790">
        <v>0</v>
      </c>
      <c r="M509" s="778">
        <v>3.56</v>
      </c>
      <c r="N509" s="780">
        <v>1000</v>
      </c>
      <c r="O509" s="780">
        <v>1000</v>
      </c>
      <c r="P509" s="791">
        <v>100</v>
      </c>
      <c r="Q509" s="791">
        <v>100</v>
      </c>
      <c r="R509" s="792">
        <v>249.20000000000002</v>
      </c>
      <c r="S509" s="791">
        <v>100</v>
      </c>
      <c r="T509" s="791">
        <v>100</v>
      </c>
      <c r="U509" s="791">
        <v>3560</v>
      </c>
      <c r="V509" s="791">
        <v>64.08</v>
      </c>
      <c r="W509" s="791">
        <v>106.8</v>
      </c>
      <c r="X509" s="791">
        <v>14.24</v>
      </c>
      <c r="Y509" s="791">
        <v>89</v>
      </c>
      <c r="Z509" s="791">
        <v>2670</v>
      </c>
      <c r="AA509" s="791">
        <v>1780</v>
      </c>
      <c r="AB509" s="791">
        <v>3560</v>
      </c>
      <c r="AC509" s="791">
        <v>178</v>
      </c>
      <c r="AD509" s="791">
        <v>35.6</v>
      </c>
      <c r="AE509" s="791">
        <v>7.12</v>
      </c>
      <c r="AF509" s="791"/>
      <c r="AG509" s="791"/>
      <c r="AH509" s="791"/>
      <c r="AI509" s="784"/>
      <c r="AK509" s="783">
        <f>IFERROR(Tabela1[[#This Row],[EE(g)]]/Tabela1[[#This Row],[CMS(kg)]],0)</f>
        <v>70</v>
      </c>
    </row>
    <row r="510" spans="2:37" hidden="1">
      <c r="B510" s="774">
        <f>ROW()^2+(Tabela1[[#This Row],[ID2]])+ROW()</f>
        <v>260832</v>
      </c>
      <c r="C510" s="787">
        <v>222</v>
      </c>
      <c r="D510" s="774" t="s">
        <v>1256</v>
      </c>
      <c r="E510" s="788" t="s">
        <v>1276</v>
      </c>
      <c r="F510" s="788" t="s">
        <v>1268</v>
      </c>
      <c r="G510" s="788">
        <v>120</v>
      </c>
      <c r="H510" s="788" t="s">
        <v>1</v>
      </c>
      <c r="I510" s="780" t="s">
        <v>1266</v>
      </c>
      <c r="J510" s="787" t="s">
        <v>42</v>
      </c>
      <c r="K510" s="793">
        <v>1.22</v>
      </c>
      <c r="L510" s="790">
        <v>0</v>
      </c>
      <c r="M510" s="778">
        <v>2.7839999999999998</v>
      </c>
      <c r="N510" s="780">
        <v>1000</v>
      </c>
      <c r="O510" s="780">
        <v>1000</v>
      </c>
      <c r="P510" s="791">
        <v>100</v>
      </c>
      <c r="Q510" s="791">
        <v>100</v>
      </c>
      <c r="R510" s="792">
        <v>194.89999999999998</v>
      </c>
      <c r="S510" s="791">
        <v>100</v>
      </c>
      <c r="T510" s="791">
        <v>100</v>
      </c>
      <c r="U510" s="791">
        <v>2784</v>
      </c>
      <c r="V510" s="791">
        <v>50.111999999999995</v>
      </c>
      <c r="W510" s="791">
        <v>83.52</v>
      </c>
      <c r="X510" s="791">
        <v>11.135999999999999</v>
      </c>
      <c r="Y510" s="791">
        <v>69.599999999999994</v>
      </c>
      <c r="Z510" s="791">
        <v>2088</v>
      </c>
      <c r="AA510" s="791">
        <v>1392</v>
      </c>
      <c r="AB510" s="791">
        <v>2784</v>
      </c>
      <c r="AC510" s="791">
        <v>139.19999999999999</v>
      </c>
      <c r="AD510" s="791">
        <v>27.839999999999996</v>
      </c>
      <c r="AE510" s="791">
        <v>5.5679999999999996</v>
      </c>
      <c r="AF510" s="791"/>
      <c r="AG510" s="791"/>
      <c r="AH510" s="791"/>
      <c r="AI510" s="784"/>
      <c r="AK510" s="783">
        <f>IFERROR(Tabela1[[#This Row],[EE(g)]]/Tabela1[[#This Row],[CMS(kg)]],0)</f>
        <v>70.007183908045974</v>
      </c>
    </row>
    <row r="511" spans="2:37" hidden="1">
      <c r="B511" s="774">
        <f>ROW()^2+(Tabela1[[#This Row],[ID2]])+ROW()</f>
        <v>261863</v>
      </c>
      <c r="C511" s="787">
        <v>231</v>
      </c>
      <c r="D511" s="774" t="s">
        <v>1256</v>
      </c>
      <c r="E511" s="788" t="s">
        <v>1276</v>
      </c>
      <c r="F511" s="788" t="s">
        <v>1268</v>
      </c>
      <c r="G511" s="788">
        <v>120</v>
      </c>
      <c r="H511" s="788" t="s">
        <v>1</v>
      </c>
      <c r="I511" s="780" t="s">
        <v>1285</v>
      </c>
      <c r="J511" s="787" t="s">
        <v>42</v>
      </c>
      <c r="K511" s="793">
        <v>2.0499999999999998</v>
      </c>
      <c r="L511" s="790">
        <v>0</v>
      </c>
      <c r="M511" s="778">
        <v>3.4680000000000004</v>
      </c>
      <c r="N511" s="780">
        <v>1000</v>
      </c>
      <c r="O511" s="780">
        <v>1000</v>
      </c>
      <c r="P511" s="791">
        <v>100</v>
      </c>
      <c r="Q511" s="791">
        <v>100</v>
      </c>
      <c r="R511" s="792">
        <v>242.79999999999998</v>
      </c>
      <c r="S511" s="791">
        <v>100</v>
      </c>
      <c r="T511" s="791">
        <v>100</v>
      </c>
      <c r="U511" s="791">
        <v>3468.0000000000005</v>
      </c>
      <c r="V511" s="791">
        <v>62.424000000000007</v>
      </c>
      <c r="W511" s="791">
        <v>104.04</v>
      </c>
      <c r="X511" s="791">
        <v>13.872000000000002</v>
      </c>
      <c r="Y511" s="791">
        <v>86.700000000000017</v>
      </c>
      <c r="Z511" s="791">
        <v>2601.0000000000005</v>
      </c>
      <c r="AA511" s="791">
        <v>1734.0000000000002</v>
      </c>
      <c r="AB511" s="791">
        <v>3468.0000000000005</v>
      </c>
      <c r="AC511" s="791">
        <v>173.40000000000003</v>
      </c>
      <c r="AD511" s="791">
        <v>34.680000000000007</v>
      </c>
      <c r="AE511" s="791">
        <v>6.9360000000000008</v>
      </c>
      <c r="AF511" s="791"/>
      <c r="AG511" s="791"/>
      <c r="AH511" s="791"/>
      <c r="AI511" s="784"/>
      <c r="AK511" s="783">
        <f>IFERROR(Tabela1[[#This Row],[EE(g)]]/Tabela1[[#This Row],[CMS(kg)]],0)</f>
        <v>70.011534025374843</v>
      </c>
    </row>
    <row r="512" spans="2:37" hidden="1">
      <c r="B512" s="774">
        <f>ROW()^2+(Tabela1[[#This Row],[ID2]])+ROW()</f>
        <v>262896</v>
      </c>
      <c r="C512" s="787">
        <v>240</v>
      </c>
      <c r="D512" s="774" t="s">
        <v>1256</v>
      </c>
      <c r="E512" s="788" t="s">
        <v>1276</v>
      </c>
      <c r="F512" s="788" t="s">
        <v>1268</v>
      </c>
      <c r="G512" s="788">
        <v>120</v>
      </c>
      <c r="H512" s="788" t="s">
        <v>1</v>
      </c>
      <c r="I512" s="780" t="s">
        <v>1286</v>
      </c>
      <c r="J512" s="787" t="s">
        <v>42</v>
      </c>
      <c r="K512" s="793">
        <v>2.66</v>
      </c>
      <c r="L512" s="790">
        <v>0</v>
      </c>
      <c r="M512" s="778">
        <v>3.984</v>
      </c>
      <c r="N512" s="780">
        <v>1000</v>
      </c>
      <c r="O512" s="780">
        <v>1000</v>
      </c>
      <c r="P512" s="791">
        <v>100</v>
      </c>
      <c r="Q512" s="791">
        <v>100</v>
      </c>
      <c r="R512" s="792">
        <v>278.89999999999998</v>
      </c>
      <c r="S512" s="791">
        <v>100</v>
      </c>
      <c r="T512" s="791">
        <v>100</v>
      </c>
      <c r="U512" s="791">
        <v>3984</v>
      </c>
      <c r="V512" s="791">
        <v>71.712000000000003</v>
      </c>
      <c r="W512" s="791">
        <v>119.52</v>
      </c>
      <c r="X512" s="791">
        <v>15.936</v>
      </c>
      <c r="Y512" s="791">
        <v>99.6</v>
      </c>
      <c r="Z512" s="791">
        <v>2988</v>
      </c>
      <c r="AA512" s="791">
        <v>1992</v>
      </c>
      <c r="AB512" s="791">
        <v>3984</v>
      </c>
      <c r="AC512" s="791">
        <v>199.2</v>
      </c>
      <c r="AD512" s="791">
        <v>39.840000000000003</v>
      </c>
      <c r="AE512" s="791">
        <v>7.968</v>
      </c>
      <c r="AF512" s="791"/>
      <c r="AG512" s="791"/>
      <c r="AH512" s="791"/>
      <c r="AI512" s="784"/>
      <c r="AK512" s="783">
        <f>IFERROR(Tabela1[[#This Row],[EE(g)]]/Tabela1[[#This Row],[CMS(kg)]],0)</f>
        <v>70.005020080321273</v>
      </c>
    </row>
    <row r="513" spans="2:37" hidden="1">
      <c r="B513" s="774">
        <f>ROW()^2+(Tabela1[[#This Row],[ID2]])+ROW()</f>
        <v>263905</v>
      </c>
      <c r="C513" s="787">
        <v>223</v>
      </c>
      <c r="D513" s="774" t="s">
        <v>1256</v>
      </c>
      <c r="E513" s="788" t="s">
        <v>1276</v>
      </c>
      <c r="F513" s="788" t="s">
        <v>1268</v>
      </c>
      <c r="G513" s="788">
        <v>140</v>
      </c>
      <c r="H513" s="788" t="s">
        <v>1</v>
      </c>
      <c r="I513" s="780" t="s">
        <v>1266</v>
      </c>
      <c r="J513" s="787" t="s">
        <v>42</v>
      </c>
      <c r="K513" s="793">
        <v>1.32</v>
      </c>
      <c r="L513" s="790">
        <v>0</v>
      </c>
      <c r="M513" s="778">
        <v>3.0800000000000005</v>
      </c>
      <c r="N513" s="780">
        <v>1000</v>
      </c>
      <c r="O513" s="780">
        <v>1000</v>
      </c>
      <c r="P513" s="791">
        <v>100</v>
      </c>
      <c r="Q513" s="791">
        <v>100</v>
      </c>
      <c r="R513" s="792">
        <v>215.60000000000002</v>
      </c>
      <c r="S513" s="791">
        <v>100</v>
      </c>
      <c r="T513" s="791">
        <v>100</v>
      </c>
      <c r="U513" s="791">
        <v>3080.0000000000005</v>
      </c>
      <c r="V513" s="791">
        <v>55.440000000000012</v>
      </c>
      <c r="W513" s="791">
        <v>92.40000000000002</v>
      </c>
      <c r="X513" s="791">
        <v>12.320000000000002</v>
      </c>
      <c r="Y513" s="791">
        <v>77.000000000000014</v>
      </c>
      <c r="Z513" s="791">
        <v>2310.0000000000005</v>
      </c>
      <c r="AA513" s="791">
        <v>1540.0000000000002</v>
      </c>
      <c r="AB513" s="791">
        <v>3080.0000000000005</v>
      </c>
      <c r="AC513" s="791">
        <v>154.00000000000003</v>
      </c>
      <c r="AD513" s="791">
        <v>30.800000000000004</v>
      </c>
      <c r="AE513" s="791">
        <v>6.160000000000001</v>
      </c>
      <c r="AF513" s="791"/>
      <c r="AG513" s="791"/>
      <c r="AH513" s="791"/>
      <c r="AI513" s="784"/>
      <c r="AK513" s="783">
        <f>IFERROR(Tabela1[[#This Row],[EE(g)]]/Tabela1[[#This Row],[CMS(kg)]],0)</f>
        <v>70</v>
      </c>
    </row>
    <row r="514" spans="2:37" hidden="1">
      <c r="B514" s="774">
        <f>ROW()^2+(Tabela1[[#This Row],[ID2]])+ROW()</f>
        <v>264942</v>
      </c>
      <c r="C514" s="787">
        <v>232</v>
      </c>
      <c r="D514" s="774" t="s">
        <v>1256</v>
      </c>
      <c r="E514" s="788" t="s">
        <v>1276</v>
      </c>
      <c r="F514" s="788" t="s">
        <v>1268</v>
      </c>
      <c r="G514" s="788">
        <v>140</v>
      </c>
      <c r="H514" s="788" t="s">
        <v>1</v>
      </c>
      <c r="I514" s="780" t="s">
        <v>1285</v>
      </c>
      <c r="J514" s="787" t="s">
        <v>42</v>
      </c>
      <c r="K514" s="793">
        <v>2.21</v>
      </c>
      <c r="L514" s="790">
        <v>0</v>
      </c>
      <c r="M514" s="778">
        <v>3.8220000000000001</v>
      </c>
      <c r="N514" s="780">
        <v>1000</v>
      </c>
      <c r="O514" s="780">
        <v>1000</v>
      </c>
      <c r="P514" s="791">
        <v>100</v>
      </c>
      <c r="Q514" s="791">
        <v>100</v>
      </c>
      <c r="R514" s="792">
        <v>267.5</v>
      </c>
      <c r="S514" s="791">
        <v>100</v>
      </c>
      <c r="T514" s="791">
        <v>100</v>
      </c>
      <c r="U514" s="791">
        <v>3822</v>
      </c>
      <c r="V514" s="791">
        <v>68.796000000000006</v>
      </c>
      <c r="W514" s="791">
        <v>114.66</v>
      </c>
      <c r="X514" s="791">
        <v>15.288</v>
      </c>
      <c r="Y514" s="791">
        <v>95.55</v>
      </c>
      <c r="Z514" s="791">
        <v>2866.5</v>
      </c>
      <c r="AA514" s="791">
        <v>1911</v>
      </c>
      <c r="AB514" s="791">
        <v>3822</v>
      </c>
      <c r="AC514" s="791">
        <v>191.1</v>
      </c>
      <c r="AD514" s="791">
        <v>38.22</v>
      </c>
      <c r="AE514" s="791">
        <v>7.6440000000000001</v>
      </c>
      <c r="AF514" s="791"/>
      <c r="AG514" s="791"/>
      <c r="AH514" s="791"/>
      <c r="AI514" s="784"/>
      <c r="AK514" s="783">
        <f>IFERROR(Tabela1[[#This Row],[EE(g)]]/Tabela1[[#This Row],[CMS(kg)]],0)</f>
        <v>69.989534275248559</v>
      </c>
    </row>
    <row r="515" spans="2:37" hidden="1">
      <c r="B515" s="774">
        <f>ROW()^2+(Tabela1[[#This Row],[ID2]])+ROW()</f>
        <v>265981</v>
      </c>
      <c r="C515" s="787">
        <v>241</v>
      </c>
      <c r="D515" s="774" t="s">
        <v>1256</v>
      </c>
      <c r="E515" s="788" t="s">
        <v>1276</v>
      </c>
      <c r="F515" s="788" t="s">
        <v>1268</v>
      </c>
      <c r="G515" s="788">
        <v>140</v>
      </c>
      <c r="H515" s="788" t="s">
        <v>1</v>
      </c>
      <c r="I515" s="780" t="s">
        <v>1286</v>
      </c>
      <c r="J515" s="787" t="s">
        <v>42</v>
      </c>
      <c r="K515" s="793">
        <v>2.87</v>
      </c>
      <c r="L515" s="790">
        <v>0</v>
      </c>
      <c r="M515" s="778">
        <v>4.3680000000000003</v>
      </c>
      <c r="N515" s="780">
        <v>1000</v>
      </c>
      <c r="O515" s="780">
        <v>1000</v>
      </c>
      <c r="P515" s="791">
        <v>100</v>
      </c>
      <c r="Q515" s="791">
        <v>100</v>
      </c>
      <c r="R515" s="792">
        <v>305.8</v>
      </c>
      <c r="S515" s="791">
        <v>100</v>
      </c>
      <c r="T515" s="791">
        <v>100</v>
      </c>
      <c r="U515" s="791">
        <v>4368</v>
      </c>
      <c r="V515" s="791">
        <v>78.624000000000009</v>
      </c>
      <c r="W515" s="791">
        <v>131.04000000000002</v>
      </c>
      <c r="X515" s="791">
        <v>17.472000000000001</v>
      </c>
      <c r="Y515" s="791">
        <v>109.2</v>
      </c>
      <c r="Z515" s="791">
        <v>3276.0000000000005</v>
      </c>
      <c r="AA515" s="791">
        <v>2184</v>
      </c>
      <c r="AB515" s="791">
        <v>4368</v>
      </c>
      <c r="AC515" s="791">
        <v>218.4</v>
      </c>
      <c r="AD515" s="791">
        <v>43.680000000000007</v>
      </c>
      <c r="AE515" s="791">
        <v>8.7360000000000007</v>
      </c>
      <c r="AF515" s="791"/>
      <c r="AG515" s="791"/>
      <c r="AH515" s="791"/>
      <c r="AI515" s="784"/>
      <c r="AK515" s="783">
        <f>IFERROR(Tabela1[[#This Row],[EE(g)]]/Tabela1[[#This Row],[CMS(kg)]],0)</f>
        <v>70.009157509157504</v>
      </c>
    </row>
    <row r="516" spans="2:37" hidden="1">
      <c r="B516" s="774">
        <f>ROW()^2+(Tabela1[[#This Row],[ID2]])+ROW()</f>
        <v>267041</v>
      </c>
      <c r="C516" s="787">
        <v>269</v>
      </c>
      <c r="D516" s="774" t="s">
        <v>1256</v>
      </c>
      <c r="E516" s="788" t="s">
        <v>1276</v>
      </c>
      <c r="F516" s="788" t="s">
        <v>1269</v>
      </c>
      <c r="G516" s="788">
        <v>40</v>
      </c>
      <c r="H516" s="788" t="s">
        <v>1</v>
      </c>
      <c r="I516" s="780" t="s">
        <v>1266</v>
      </c>
      <c r="J516" s="787" t="s">
        <v>42</v>
      </c>
      <c r="K516" s="793">
        <v>0.23</v>
      </c>
      <c r="L516" s="790">
        <v>10</v>
      </c>
      <c r="M516" s="778">
        <v>1.0880000000000001</v>
      </c>
      <c r="N516" s="780">
        <v>1000</v>
      </c>
      <c r="O516" s="780">
        <v>1000</v>
      </c>
      <c r="P516" s="791">
        <v>100</v>
      </c>
      <c r="Q516" s="791">
        <v>100</v>
      </c>
      <c r="R516" s="792">
        <v>76.2</v>
      </c>
      <c r="S516" s="791">
        <v>100</v>
      </c>
      <c r="T516" s="791">
        <v>100</v>
      </c>
      <c r="U516" s="791">
        <v>1088</v>
      </c>
      <c r="V516" s="791">
        <v>19.584000000000003</v>
      </c>
      <c r="W516" s="791">
        <v>32.64</v>
      </c>
      <c r="X516" s="791">
        <v>4.3520000000000003</v>
      </c>
      <c r="Y516" s="791">
        <v>27.200000000000003</v>
      </c>
      <c r="Z516" s="791">
        <v>816.00000000000011</v>
      </c>
      <c r="AA516" s="791">
        <v>544</v>
      </c>
      <c r="AB516" s="791">
        <v>1088</v>
      </c>
      <c r="AC516" s="791">
        <v>54.400000000000006</v>
      </c>
      <c r="AD516" s="791">
        <v>10.88</v>
      </c>
      <c r="AE516" s="791">
        <v>2.1760000000000002</v>
      </c>
      <c r="AF516" s="791"/>
      <c r="AG516" s="791"/>
      <c r="AH516" s="791"/>
      <c r="AI516" s="784"/>
      <c r="AK516" s="783">
        <f>IFERROR(Tabela1[[#This Row],[EE(g)]]/Tabela1[[#This Row],[CMS(kg)]],0)</f>
        <v>70.036764705882348</v>
      </c>
    </row>
    <row r="517" spans="2:37" hidden="1">
      <c r="B517" s="774">
        <f>ROW()^2+(Tabela1[[#This Row],[ID2]])+ROW()</f>
        <v>268084</v>
      </c>
      <c r="C517" s="787">
        <v>278</v>
      </c>
      <c r="D517" s="774" t="s">
        <v>1256</v>
      </c>
      <c r="E517" s="788" t="s">
        <v>1276</v>
      </c>
      <c r="F517" s="788" t="s">
        <v>1269</v>
      </c>
      <c r="G517" s="788">
        <v>40</v>
      </c>
      <c r="H517" s="788" t="s">
        <v>1</v>
      </c>
      <c r="I517" s="780" t="s">
        <v>1285</v>
      </c>
      <c r="J517" s="787" t="s">
        <v>42</v>
      </c>
      <c r="K517" s="793">
        <v>0.38</v>
      </c>
      <c r="L517" s="790">
        <v>25</v>
      </c>
      <c r="M517" s="778">
        <v>1.3800000000000001</v>
      </c>
      <c r="N517" s="780">
        <v>1000</v>
      </c>
      <c r="O517" s="780">
        <v>1000</v>
      </c>
      <c r="P517" s="791">
        <v>100</v>
      </c>
      <c r="Q517" s="791">
        <v>100</v>
      </c>
      <c r="R517" s="792">
        <v>96.600000000000009</v>
      </c>
      <c r="S517" s="791">
        <v>100</v>
      </c>
      <c r="T517" s="791">
        <v>100</v>
      </c>
      <c r="U517" s="791">
        <v>1380.0000000000002</v>
      </c>
      <c r="V517" s="791">
        <v>24.840000000000003</v>
      </c>
      <c r="W517" s="791">
        <v>41.400000000000006</v>
      </c>
      <c r="X517" s="791">
        <v>5.5200000000000005</v>
      </c>
      <c r="Y517" s="791">
        <v>34.5</v>
      </c>
      <c r="Z517" s="791">
        <v>1035</v>
      </c>
      <c r="AA517" s="791">
        <v>690.00000000000011</v>
      </c>
      <c r="AB517" s="791">
        <v>1380.0000000000002</v>
      </c>
      <c r="AC517" s="791">
        <v>69</v>
      </c>
      <c r="AD517" s="791">
        <v>13.8</v>
      </c>
      <c r="AE517" s="791">
        <v>2.7600000000000002</v>
      </c>
      <c r="AF517" s="791"/>
      <c r="AG517" s="791"/>
      <c r="AH517" s="791"/>
      <c r="AI517" s="784"/>
      <c r="AK517" s="783">
        <f>IFERROR(Tabela1[[#This Row],[EE(g)]]/Tabela1[[#This Row],[CMS(kg)]],0)</f>
        <v>70</v>
      </c>
    </row>
    <row r="518" spans="2:37" hidden="1">
      <c r="B518" s="774">
        <f>ROW()^2+(Tabela1[[#This Row],[ID2]])+ROW()</f>
        <v>269112</v>
      </c>
      <c r="C518" s="787">
        <v>270</v>
      </c>
      <c r="D518" s="774" t="s">
        <v>1256</v>
      </c>
      <c r="E518" s="788" t="s">
        <v>1276</v>
      </c>
      <c r="F518" s="788" t="s">
        <v>1269</v>
      </c>
      <c r="G518" s="788">
        <v>50</v>
      </c>
      <c r="H518" s="788" t="s">
        <v>1</v>
      </c>
      <c r="I518" s="780" t="s">
        <v>1266</v>
      </c>
      <c r="J518" s="787" t="s">
        <v>42</v>
      </c>
      <c r="K518" s="793">
        <v>0.25</v>
      </c>
      <c r="L518" s="790">
        <v>11</v>
      </c>
      <c r="M518" s="778">
        <v>1.26</v>
      </c>
      <c r="N518" s="780">
        <v>1000</v>
      </c>
      <c r="O518" s="780">
        <v>1000</v>
      </c>
      <c r="P518" s="791">
        <v>100</v>
      </c>
      <c r="Q518" s="791">
        <v>100</v>
      </c>
      <c r="R518" s="792">
        <v>88.2</v>
      </c>
      <c r="S518" s="791">
        <v>100</v>
      </c>
      <c r="T518" s="791">
        <v>100</v>
      </c>
      <c r="U518" s="791">
        <v>1260</v>
      </c>
      <c r="V518" s="791">
        <v>22.68</v>
      </c>
      <c r="W518" s="791">
        <v>37.799999999999997</v>
      </c>
      <c r="X518" s="791">
        <v>5.04</v>
      </c>
      <c r="Y518" s="791">
        <v>31.5</v>
      </c>
      <c r="Z518" s="791">
        <v>945</v>
      </c>
      <c r="AA518" s="791">
        <v>630</v>
      </c>
      <c r="AB518" s="791">
        <v>1260</v>
      </c>
      <c r="AC518" s="791">
        <v>63</v>
      </c>
      <c r="AD518" s="791">
        <v>12.6</v>
      </c>
      <c r="AE518" s="791">
        <v>2.52</v>
      </c>
      <c r="AF518" s="791"/>
      <c r="AG518" s="791"/>
      <c r="AH518" s="791"/>
      <c r="AI518" s="784"/>
      <c r="AK518" s="783">
        <f>IFERROR(Tabela1[[#This Row],[EE(g)]]/Tabela1[[#This Row],[CMS(kg)]],0)</f>
        <v>70</v>
      </c>
    </row>
    <row r="519" spans="2:37" hidden="1">
      <c r="B519" s="774">
        <f>ROW()^2+(Tabela1[[#This Row],[ID2]])+ROW()</f>
        <v>270159</v>
      </c>
      <c r="C519" s="787">
        <v>279</v>
      </c>
      <c r="D519" s="774" t="s">
        <v>1256</v>
      </c>
      <c r="E519" s="788" t="s">
        <v>1276</v>
      </c>
      <c r="F519" s="788" t="s">
        <v>1269</v>
      </c>
      <c r="G519" s="788">
        <v>50</v>
      </c>
      <c r="H519" s="788" t="s">
        <v>1</v>
      </c>
      <c r="I519" s="780" t="s">
        <v>1285</v>
      </c>
      <c r="J519" s="787" t="s">
        <v>42</v>
      </c>
      <c r="K519" s="793">
        <v>0.43</v>
      </c>
      <c r="L519" s="790">
        <v>28</v>
      </c>
      <c r="M519" s="778">
        <v>1.6</v>
      </c>
      <c r="N519" s="780">
        <v>1000</v>
      </c>
      <c r="O519" s="780">
        <v>1000</v>
      </c>
      <c r="P519" s="791">
        <v>100</v>
      </c>
      <c r="Q519" s="791">
        <v>100</v>
      </c>
      <c r="R519" s="792">
        <v>112</v>
      </c>
      <c r="S519" s="791">
        <v>100</v>
      </c>
      <c r="T519" s="791">
        <v>100</v>
      </c>
      <c r="U519" s="791">
        <v>1600</v>
      </c>
      <c r="V519" s="791">
        <v>28.8</v>
      </c>
      <c r="W519" s="791">
        <v>48</v>
      </c>
      <c r="X519" s="791">
        <v>6.4</v>
      </c>
      <c r="Y519" s="791">
        <v>40</v>
      </c>
      <c r="Z519" s="791">
        <v>1200</v>
      </c>
      <c r="AA519" s="791">
        <v>800</v>
      </c>
      <c r="AB519" s="791">
        <v>1600</v>
      </c>
      <c r="AC519" s="791">
        <v>80</v>
      </c>
      <c r="AD519" s="791">
        <v>16</v>
      </c>
      <c r="AE519" s="791">
        <v>3.2</v>
      </c>
      <c r="AF519" s="791"/>
      <c r="AG519" s="791"/>
      <c r="AH519" s="791"/>
      <c r="AI519" s="784"/>
      <c r="AK519" s="783">
        <f>IFERROR(Tabela1[[#This Row],[EE(g)]]/Tabela1[[#This Row],[CMS(kg)]],0)</f>
        <v>70</v>
      </c>
    </row>
    <row r="520" spans="2:37" hidden="1">
      <c r="B520" s="774">
        <f>ROW()^2+(Tabela1[[#This Row],[ID2]])+ROW()</f>
        <v>271207</v>
      </c>
      <c r="C520" s="787">
        <v>287</v>
      </c>
      <c r="D520" s="774" t="s">
        <v>1256</v>
      </c>
      <c r="E520" s="788" t="s">
        <v>1276</v>
      </c>
      <c r="F520" s="788" t="s">
        <v>1269</v>
      </c>
      <c r="G520" s="788">
        <v>50</v>
      </c>
      <c r="H520" s="788" t="s">
        <v>1</v>
      </c>
      <c r="I520" s="780" t="s">
        <v>1286</v>
      </c>
      <c r="J520" s="787" t="s">
        <v>42</v>
      </c>
      <c r="K520" s="793">
        <v>0.55000000000000004</v>
      </c>
      <c r="L520" s="790">
        <v>40</v>
      </c>
      <c r="M520" s="778">
        <v>1.8349999999999997</v>
      </c>
      <c r="N520" s="780">
        <v>1000</v>
      </c>
      <c r="O520" s="780">
        <v>1000</v>
      </c>
      <c r="P520" s="791">
        <v>100</v>
      </c>
      <c r="Q520" s="791">
        <v>100</v>
      </c>
      <c r="R520" s="792">
        <v>128.39999999999998</v>
      </c>
      <c r="S520" s="791">
        <v>100</v>
      </c>
      <c r="T520" s="791">
        <v>100</v>
      </c>
      <c r="U520" s="791">
        <v>1834.9999999999998</v>
      </c>
      <c r="V520" s="791">
        <v>33.029999999999994</v>
      </c>
      <c r="W520" s="791">
        <v>55.04999999999999</v>
      </c>
      <c r="X520" s="791">
        <v>7.339999999999999</v>
      </c>
      <c r="Y520" s="791">
        <v>45.874999999999993</v>
      </c>
      <c r="Z520" s="791">
        <v>1376.2499999999998</v>
      </c>
      <c r="AA520" s="791">
        <v>917.49999999999989</v>
      </c>
      <c r="AB520" s="791">
        <v>1834.9999999999998</v>
      </c>
      <c r="AC520" s="791">
        <v>91.749999999999986</v>
      </c>
      <c r="AD520" s="791">
        <v>18.349999999999998</v>
      </c>
      <c r="AE520" s="791">
        <v>3.6699999999999995</v>
      </c>
      <c r="AF520" s="791"/>
      <c r="AG520" s="791"/>
      <c r="AH520" s="791"/>
      <c r="AI520" s="784"/>
      <c r="AK520" s="783">
        <f>IFERROR(Tabela1[[#This Row],[EE(g)]]/Tabela1[[#This Row],[CMS(kg)]],0)</f>
        <v>69.972752043596728</v>
      </c>
    </row>
    <row r="521" spans="2:37" hidden="1">
      <c r="B521" s="774">
        <f>ROW()^2+(Tabela1[[#This Row],[ID2]])+ROW()</f>
        <v>272233</v>
      </c>
      <c r="C521" s="787">
        <v>271</v>
      </c>
      <c r="D521" s="774" t="s">
        <v>1256</v>
      </c>
      <c r="E521" s="788" t="s">
        <v>1276</v>
      </c>
      <c r="F521" s="788" t="s">
        <v>1269</v>
      </c>
      <c r="G521" s="788">
        <v>60</v>
      </c>
      <c r="H521" s="788" t="s">
        <v>1</v>
      </c>
      <c r="I521" s="780" t="s">
        <v>1266</v>
      </c>
      <c r="J521" s="787" t="s">
        <v>42</v>
      </c>
      <c r="K521" s="793">
        <v>0.28000000000000003</v>
      </c>
      <c r="L521" s="790">
        <v>12</v>
      </c>
      <c r="M521" s="778">
        <v>1.4279999999999999</v>
      </c>
      <c r="N521" s="780">
        <v>1000</v>
      </c>
      <c r="O521" s="780">
        <v>1000</v>
      </c>
      <c r="P521" s="791">
        <v>100</v>
      </c>
      <c r="Q521" s="791">
        <v>100</v>
      </c>
      <c r="R521" s="792">
        <v>100</v>
      </c>
      <c r="S521" s="791">
        <v>100</v>
      </c>
      <c r="T521" s="791">
        <v>100</v>
      </c>
      <c r="U521" s="791">
        <v>1428</v>
      </c>
      <c r="V521" s="791">
        <v>25.704000000000001</v>
      </c>
      <c r="W521" s="791">
        <v>42.839999999999996</v>
      </c>
      <c r="X521" s="791">
        <v>5.7119999999999997</v>
      </c>
      <c r="Y521" s="791">
        <v>35.699999999999996</v>
      </c>
      <c r="Z521" s="791">
        <v>1071</v>
      </c>
      <c r="AA521" s="791">
        <v>714</v>
      </c>
      <c r="AB521" s="791">
        <v>1428</v>
      </c>
      <c r="AC521" s="791">
        <v>71.399999999999991</v>
      </c>
      <c r="AD521" s="791">
        <v>14.28</v>
      </c>
      <c r="AE521" s="791">
        <v>2.8559999999999999</v>
      </c>
      <c r="AF521" s="791"/>
      <c r="AG521" s="791"/>
      <c r="AH521" s="791"/>
      <c r="AI521" s="784"/>
      <c r="AK521" s="783">
        <f>IFERROR(Tabela1[[#This Row],[EE(g)]]/Tabela1[[#This Row],[CMS(kg)]],0)</f>
        <v>70.0280112044818</v>
      </c>
    </row>
    <row r="522" spans="2:37" hidden="1">
      <c r="B522" s="774">
        <f>ROW()^2+(Tabela1[[#This Row],[ID2]])+ROW()</f>
        <v>273286</v>
      </c>
      <c r="C522" s="787">
        <v>280</v>
      </c>
      <c r="D522" s="774" t="s">
        <v>1256</v>
      </c>
      <c r="E522" s="788" t="s">
        <v>1276</v>
      </c>
      <c r="F522" s="788" t="s">
        <v>1269</v>
      </c>
      <c r="G522" s="788">
        <v>60</v>
      </c>
      <c r="H522" s="788" t="s">
        <v>1</v>
      </c>
      <c r="I522" s="780" t="s">
        <v>1285</v>
      </c>
      <c r="J522" s="787" t="s">
        <v>42</v>
      </c>
      <c r="K522" s="793">
        <v>0.47</v>
      </c>
      <c r="L522" s="790">
        <v>31</v>
      </c>
      <c r="M522" s="778">
        <v>1.7999999999999998</v>
      </c>
      <c r="N522" s="780">
        <v>1000</v>
      </c>
      <c r="O522" s="780">
        <v>1000</v>
      </c>
      <c r="P522" s="791">
        <v>100</v>
      </c>
      <c r="Q522" s="791">
        <v>100</v>
      </c>
      <c r="R522" s="792">
        <v>126</v>
      </c>
      <c r="S522" s="791">
        <v>100</v>
      </c>
      <c r="T522" s="791">
        <v>100</v>
      </c>
      <c r="U522" s="791">
        <v>1799.9999999999998</v>
      </c>
      <c r="V522" s="791">
        <v>32.4</v>
      </c>
      <c r="W522" s="791">
        <v>53.999999999999993</v>
      </c>
      <c r="X522" s="791">
        <v>7.1999999999999993</v>
      </c>
      <c r="Y522" s="791">
        <v>44.999999999999993</v>
      </c>
      <c r="Z522" s="791">
        <v>1349.9999999999998</v>
      </c>
      <c r="AA522" s="791">
        <v>899.99999999999989</v>
      </c>
      <c r="AB522" s="791">
        <v>1799.9999999999998</v>
      </c>
      <c r="AC522" s="791">
        <v>89.999999999999986</v>
      </c>
      <c r="AD522" s="791">
        <v>18</v>
      </c>
      <c r="AE522" s="791">
        <v>3.5999999999999996</v>
      </c>
      <c r="AF522" s="791"/>
      <c r="AG522" s="791"/>
      <c r="AH522" s="791"/>
      <c r="AI522" s="784"/>
      <c r="AK522" s="783">
        <f>IFERROR(Tabela1[[#This Row],[EE(g)]]/Tabela1[[#This Row],[CMS(kg)]],0)</f>
        <v>70</v>
      </c>
    </row>
    <row r="523" spans="2:37" hidden="1">
      <c r="B523" s="774">
        <f>ROW()^2+(Tabela1[[#This Row],[ID2]])+ROW()</f>
        <v>274340</v>
      </c>
      <c r="C523" s="787">
        <v>288</v>
      </c>
      <c r="D523" s="774" t="s">
        <v>1256</v>
      </c>
      <c r="E523" s="788" t="s">
        <v>1276</v>
      </c>
      <c r="F523" s="788" t="s">
        <v>1269</v>
      </c>
      <c r="G523" s="788">
        <v>60</v>
      </c>
      <c r="H523" s="788" t="s">
        <v>1</v>
      </c>
      <c r="I523" s="780" t="s">
        <v>1286</v>
      </c>
      <c r="J523" s="787" t="s">
        <v>42</v>
      </c>
      <c r="K523" s="793">
        <v>0.61</v>
      </c>
      <c r="L523" s="790">
        <v>44</v>
      </c>
      <c r="M523" s="778">
        <v>2.0640000000000001</v>
      </c>
      <c r="N523" s="780">
        <v>1000</v>
      </c>
      <c r="O523" s="780">
        <v>1000</v>
      </c>
      <c r="P523" s="791">
        <v>100</v>
      </c>
      <c r="Q523" s="791">
        <v>100</v>
      </c>
      <c r="R523" s="792">
        <v>144.5</v>
      </c>
      <c r="S523" s="791">
        <v>100</v>
      </c>
      <c r="T523" s="791">
        <v>100</v>
      </c>
      <c r="U523" s="791">
        <v>2064</v>
      </c>
      <c r="V523" s="791">
        <v>37.152000000000001</v>
      </c>
      <c r="W523" s="791">
        <v>61.92</v>
      </c>
      <c r="X523" s="791">
        <v>8.2560000000000002</v>
      </c>
      <c r="Y523" s="791">
        <v>51.6</v>
      </c>
      <c r="Z523" s="791">
        <v>1548</v>
      </c>
      <c r="AA523" s="791">
        <v>1032</v>
      </c>
      <c r="AB523" s="791">
        <v>2064</v>
      </c>
      <c r="AC523" s="791">
        <v>103.2</v>
      </c>
      <c r="AD523" s="791">
        <v>20.64</v>
      </c>
      <c r="AE523" s="791">
        <v>4.1280000000000001</v>
      </c>
      <c r="AF523" s="791"/>
      <c r="AG523" s="791"/>
      <c r="AH523" s="791"/>
      <c r="AI523" s="784"/>
      <c r="AK523" s="783">
        <f>IFERROR(Tabela1[[#This Row],[EE(g)]]/Tabela1[[#This Row],[CMS(kg)]],0)</f>
        <v>70.009689922480618</v>
      </c>
    </row>
    <row r="524" spans="2:37" hidden="1">
      <c r="B524" s="774">
        <f>ROW()^2+(Tabela1[[#This Row],[ID2]])+ROW()</f>
        <v>275372</v>
      </c>
      <c r="C524" s="787">
        <v>272</v>
      </c>
      <c r="D524" s="774" t="s">
        <v>1256</v>
      </c>
      <c r="E524" s="788" t="s">
        <v>1276</v>
      </c>
      <c r="F524" s="788" t="s">
        <v>1269</v>
      </c>
      <c r="G524" s="788">
        <v>70</v>
      </c>
      <c r="H524" s="788" t="s">
        <v>1</v>
      </c>
      <c r="I524" s="780" t="s">
        <v>1266</v>
      </c>
      <c r="J524" s="787" t="s">
        <v>42</v>
      </c>
      <c r="K524" s="793">
        <v>0.31</v>
      </c>
      <c r="L524" s="790">
        <v>14</v>
      </c>
      <c r="M524" s="778">
        <v>1.603</v>
      </c>
      <c r="N524" s="780">
        <v>1000</v>
      </c>
      <c r="O524" s="780">
        <v>1000</v>
      </c>
      <c r="P524" s="791">
        <v>100</v>
      </c>
      <c r="Q524" s="791">
        <v>100</v>
      </c>
      <c r="R524" s="792">
        <v>112.19999999999999</v>
      </c>
      <c r="S524" s="791">
        <v>100</v>
      </c>
      <c r="T524" s="791">
        <v>100</v>
      </c>
      <c r="U524" s="791">
        <v>1603</v>
      </c>
      <c r="V524" s="791">
        <v>28.853999999999999</v>
      </c>
      <c r="W524" s="791">
        <v>48.089999999999996</v>
      </c>
      <c r="X524" s="791">
        <v>6.4119999999999999</v>
      </c>
      <c r="Y524" s="791">
        <v>40.075000000000003</v>
      </c>
      <c r="Z524" s="791">
        <v>1202.25</v>
      </c>
      <c r="AA524" s="791">
        <v>801.5</v>
      </c>
      <c r="AB524" s="791">
        <v>1603</v>
      </c>
      <c r="AC524" s="791">
        <v>80.150000000000006</v>
      </c>
      <c r="AD524" s="791">
        <v>16.03</v>
      </c>
      <c r="AE524" s="791">
        <v>3.206</v>
      </c>
      <c r="AF524" s="791"/>
      <c r="AG524" s="791"/>
      <c r="AH524" s="791"/>
      <c r="AI524" s="784"/>
      <c r="AK524" s="783">
        <f>IFERROR(Tabela1[[#This Row],[EE(g)]]/Tabela1[[#This Row],[CMS(kg)]],0)</f>
        <v>69.993761696818453</v>
      </c>
    </row>
    <row r="525" spans="2:37" hidden="1">
      <c r="B525" s="774">
        <f>ROW()^2+(Tabela1[[#This Row],[ID2]])+ROW()</f>
        <v>276431</v>
      </c>
      <c r="C525" s="787">
        <v>281</v>
      </c>
      <c r="D525" s="774" t="s">
        <v>1256</v>
      </c>
      <c r="E525" s="788" t="s">
        <v>1276</v>
      </c>
      <c r="F525" s="788" t="s">
        <v>1269</v>
      </c>
      <c r="G525" s="788">
        <v>70</v>
      </c>
      <c r="H525" s="788" t="s">
        <v>1</v>
      </c>
      <c r="I525" s="780" t="s">
        <v>1285</v>
      </c>
      <c r="J525" s="787" t="s">
        <v>42</v>
      </c>
      <c r="K525" s="793">
        <v>0.51</v>
      </c>
      <c r="L525" s="790">
        <v>34</v>
      </c>
      <c r="M525" s="778">
        <v>1.9950000000000001</v>
      </c>
      <c r="N525" s="780">
        <v>1000</v>
      </c>
      <c r="O525" s="780">
        <v>1000</v>
      </c>
      <c r="P525" s="791">
        <v>100</v>
      </c>
      <c r="Q525" s="791">
        <v>100</v>
      </c>
      <c r="R525" s="792">
        <v>139.6</v>
      </c>
      <c r="S525" s="791">
        <v>100</v>
      </c>
      <c r="T525" s="791">
        <v>100</v>
      </c>
      <c r="U525" s="791">
        <v>1995</v>
      </c>
      <c r="V525" s="791">
        <v>35.910000000000004</v>
      </c>
      <c r="W525" s="791">
        <v>59.85</v>
      </c>
      <c r="X525" s="791">
        <v>7.98</v>
      </c>
      <c r="Y525" s="791">
        <v>49.875</v>
      </c>
      <c r="Z525" s="791">
        <v>1496.25</v>
      </c>
      <c r="AA525" s="791">
        <v>997.5</v>
      </c>
      <c r="AB525" s="791">
        <v>1995</v>
      </c>
      <c r="AC525" s="791">
        <v>99.75</v>
      </c>
      <c r="AD525" s="791">
        <v>19.950000000000003</v>
      </c>
      <c r="AE525" s="791">
        <v>3.99</v>
      </c>
      <c r="AF525" s="791"/>
      <c r="AG525" s="791"/>
      <c r="AH525" s="791"/>
      <c r="AI525" s="784"/>
      <c r="AK525" s="783">
        <f>IFERROR(Tabela1[[#This Row],[EE(g)]]/Tabela1[[#This Row],[CMS(kg)]],0)</f>
        <v>69.974937343358391</v>
      </c>
    </row>
    <row r="526" spans="2:37" hidden="1">
      <c r="B526" s="774">
        <f>ROW()^2+(Tabela1[[#This Row],[ID2]])+ROW()</f>
        <v>277491</v>
      </c>
      <c r="C526" s="787">
        <v>289</v>
      </c>
      <c r="D526" s="774" t="s">
        <v>1256</v>
      </c>
      <c r="E526" s="788" t="s">
        <v>1276</v>
      </c>
      <c r="F526" s="788" t="s">
        <v>1269</v>
      </c>
      <c r="G526" s="788">
        <v>70</v>
      </c>
      <c r="H526" s="788" t="s">
        <v>1</v>
      </c>
      <c r="I526" s="780" t="s">
        <v>1286</v>
      </c>
      <c r="J526" s="787" t="s">
        <v>42</v>
      </c>
      <c r="K526" s="793">
        <v>0.67</v>
      </c>
      <c r="L526" s="790">
        <v>48</v>
      </c>
      <c r="M526" s="778">
        <v>2.2890000000000001</v>
      </c>
      <c r="N526" s="780">
        <v>1000</v>
      </c>
      <c r="O526" s="780">
        <v>1000</v>
      </c>
      <c r="P526" s="791">
        <v>100</v>
      </c>
      <c r="Q526" s="791">
        <v>100</v>
      </c>
      <c r="R526" s="792">
        <v>160.20000000000002</v>
      </c>
      <c r="S526" s="791">
        <v>100</v>
      </c>
      <c r="T526" s="791">
        <v>100</v>
      </c>
      <c r="U526" s="791">
        <v>2289</v>
      </c>
      <c r="V526" s="791">
        <v>41.202000000000005</v>
      </c>
      <c r="W526" s="791">
        <v>68.67</v>
      </c>
      <c r="X526" s="791">
        <v>9.1560000000000006</v>
      </c>
      <c r="Y526" s="791">
        <v>57.225000000000001</v>
      </c>
      <c r="Z526" s="791">
        <v>1716.75</v>
      </c>
      <c r="AA526" s="791">
        <v>1144.5</v>
      </c>
      <c r="AB526" s="791">
        <v>2289</v>
      </c>
      <c r="AC526" s="791">
        <v>114.45</v>
      </c>
      <c r="AD526" s="791">
        <v>22.89</v>
      </c>
      <c r="AE526" s="791">
        <v>4.5780000000000003</v>
      </c>
      <c r="AF526" s="791"/>
      <c r="AG526" s="791"/>
      <c r="AH526" s="791"/>
      <c r="AI526" s="784"/>
      <c r="AK526" s="783">
        <f>IFERROR(Tabela1[[#This Row],[EE(g)]]/Tabela1[[#This Row],[CMS(kg)]],0)</f>
        <v>69.986893840104855</v>
      </c>
    </row>
    <row r="527" spans="2:37" hidden="1">
      <c r="B527" s="774">
        <f>ROW()^2+(Tabela1[[#This Row],[ID2]])+ROW()</f>
        <v>278529</v>
      </c>
      <c r="C527" s="787">
        <v>273</v>
      </c>
      <c r="D527" s="774" t="s">
        <v>1256</v>
      </c>
      <c r="E527" s="788" t="s">
        <v>1276</v>
      </c>
      <c r="F527" s="788" t="s">
        <v>1269</v>
      </c>
      <c r="G527" s="788">
        <v>80</v>
      </c>
      <c r="H527" s="788" t="s">
        <v>1</v>
      </c>
      <c r="I527" s="780" t="s">
        <v>1266</v>
      </c>
      <c r="J527" s="787" t="s">
        <v>42</v>
      </c>
      <c r="K527" s="793">
        <v>0.33</v>
      </c>
      <c r="L527" s="790">
        <v>15</v>
      </c>
      <c r="M527" s="778">
        <v>1.7600000000000002</v>
      </c>
      <c r="N527" s="780">
        <v>1000</v>
      </c>
      <c r="O527" s="780">
        <v>1000</v>
      </c>
      <c r="P527" s="791">
        <v>100</v>
      </c>
      <c r="Q527" s="791">
        <v>100</v>
      </c>
      <c r="R527" s="792">
        <v>123.2</v>
      </c>
      <c r="S527" s="791">
        <v>100</v>
      </c>
      <c r="T527" s="791">
        <v>100</v>
      </c>
      <c r="U527" s="791">
        <v>1760.0000000000002</v>
      </c>
      <c r="V527" s="791">
        <v>31.680000000000003</v>
      </c>
      <c r="W527" s="791">
        <v>52.800000000000004</v>
      </c>
      <c r="X527" s="791">
        <v>7.0400000000000009</v>
      </c>
      <c r="Y527" s="791">
        <v>44.000000000000007</v>
      </c>
      <c r="Z527" s="791">
        <v>1320.0000000000002</v>
      </c>
      <c r="AA527" s="791">
        <v>880.00000000000011</v>
      </c>
      <c r="AB527" s="791">
        <v>1760.0000000000002</v>
      </c>
      <c r="AC527" s="791">
        <v>88.000000000000014</v>
      </c>
      <c r="AD527" s="791">
        <v>17.600000000000001</v>
      </c>
      <c r="AE527" s="791">
        <v>3.5200000000000005</v>
      </c>
      <c r="AF527" s="791"/>
      <c r="AG527" s="791"/>
      <c r="AH527" s="791"/>
      <c r="AI527" s="784"/>
      <c r="AK527" s="783">
        <f>IFERROR(Tabela1[[#This Row],[EE(g)]]/Tabela1[[#This Row],[CMS(kg)]],0)</f>
        <v>69.999999999999986</v>
      </c>
    </row>
    <row r="528" spans="2:37" hidden="1">
      <c r="B528" s="774">
        <f>ROW()^2+(Tabela1[[#This Row],[ID2]])+ROW()</f>
        <v>279594</v>
      </c>
      <c r="C528" s="787">
        <v>282</v>
      </c>
      <c r="D528" s="774" t="s">
        <v>1256</v>
      </c>
      <c r="E528" s="788" t="s">
        <v>1276</v>
      </c>
      <c r="F528" s="788" t="s">
        <v>1269</v>
      </c>
      <c r="G528" s="788">
        <v>80</v>
      </c>
      <c r="H528" s="788" t="s">
        <v>1</v>
      </c>
      <c r="I528" s="780" t="s">
        <v>1285</v>
      </c>
      <c r="J528" s="787" t="s">
        <v>42</v>
      </c>
      <c r="K528" s="793">
        <v>0.55000000000000004</v>
      </c>
      <c r="L528" s="790">
        <v>37</v>
      </c>
      <c r="M528" s="778">
        <v>2.1920000000000002</v>
      </c>
      <c r="N528" s="780">
        <v>1000</v>
      </c>
      <c r="O528" s="780">
        <v>1000</v>
      </c>
      <c r="P528" s="791">
        <v>100</v>
      </c>
      <c r="Q528" s="791">
        <v>100</v>
      </c>
      <c r="R528" s="792">
        <v>153.4</v>
      </c>
      <c r="S528" s="791">
        <v>100</v>
      </c>
      <c r="T528" s="791">
        <v>100</v>
      </c>
      <c r="U528" s="791">
        <v>2192</v>
      </c>
      <c r="V528" s="791">
        <v>39.456000000000003</v>
      </c>
      <c r="W528" s="791">
        <v>65.760000000000005</v>
      </c>
      <c r="X528" s="791">
        <v>8.7680000000000007</v>
      </c>
      <c r="Y528" s="791">
        <v>54.800000000000004</v>
      </c>
      <c r="Z528" s="791">
        <v>1644.0000000000002</v>
      </c>
      <c r="AA528" s="791">
        <v>1096</v>
      </c>
      <c r="AB528" s="791">
        <v>2192</v>
      </c>
      <c r="AC528" s="791">
        <v>109.60000000000001</v>
      </c>
      <c r="AD528" s="791">
        <v>21.92</v>
      </c>
      <c r="AE528" s="791">
        <v>4.3840000000000003</v>
      </c>
      <c r="AF528" s="791"/>
      <c r="AG528" s="791"/>
      <c r="AH528" s="791"/>
      <c r="AI528" s="784"/>
      <c r="AK528" s="783">
        <f>IFERROR(Tabela1[[#This Row],[EE(g)]]/Tabela1[[#This Row],[CMS(kg)]],0)</f>
        <v>69.981751824817522</v>
      </c>
    </row>
    <row r="529" spans="2:37" hidden="1">
      <c r="B529" s="774">
        <f>ROW()^2+(Tabela1[[#This Row],[ID2]])+ROW()</f>
        <v>280660</v>
      </c>
      <c r="C529" s="787">
        <v>290</v>
      </c>
      <c r="D529" s="774" t="s">
        <v>1256</v>
      </c>
      <c r="E529" s="788" t="s">
        <v>1276</v>
      </c>
      <c r="F529" s="788" t="s">
        <v>1269</v>
      </c>
      <c r="G529" s="788">
        <v>80</v>
      </c>
      <c r="H529" s="788" t="s">
        <v>1</v>
      </c>
      <c r="I529" s="780" t="s">
        <v>1286</v>
      </c>
      <c r="J529" s="787" t="s">
        <v>42</v>
      </c>
      <c r="K529" s="793">
        <v>0.72</v>
      </c>
      <c r="L529" s="790">
        <v>52</v>
      </c>
      <c r="M529" s="778">
        <v>2.504</v>
      </c>
      <c r="N529" s="780">
        <v>1000</v>
      </c>
      <c r="O529" s="780">
        <v>1000</v>
      </c>
      <c r="P529" s="791">
        <v>100</v>
      </c>
      <c r="Q529" s="791">
        <v>100</v>
      </c>
      <c r="R529" s="792">
        <v>175.3</v>
      </c>
      <c r="S529" s="791">
        <v>100</v>
      </c>
      <c r="T529" s="791">
        <v>100</v>
      </c>
      <c r="U529" s="791">
        <v>2504</v>
      </c>
      <c r="V529" s="791">
        <v>45.072000000000003</v>
      </c>
      <c r="W529" s="791">
        <v>75.12</v>
      </c>
      <c r="X529" s="791">
        <v>10.016</v>
      </c>
      <c r="Y529" s="791">
        <v>62.6</v>
      </c>
      <c r="Z529" s="791">
        <v>1878</v>
      </c>
      <c r="AA529" s="791">
        <v>1252</v>
      </c>
      <c r="AB529" s="791">
        <v>2504</v>
      </c>
      <c r="AC529" s="791">
        <v>125.2</v>
      </c>
      <c r="AD529" s="791">
        <v>25.04</v>
      </c>
      <c r="AE529" s="791">
        <v>5.008</v>
      </c>
      <c r="AF529" s="791"/>
      <c r="AG529" s="791"/>
      <c r="AH529" s="791"/>
      <c r="AI529" s="784"/>
      <c r="AK529" s="783">
        <f>IFERROR(Tabela1[[#This Row],[EE(g)]]/Tabela1[[#This Row],[CMS(kg)]],0)</f>
        <v>70.007987220447291</v>
      </c>
    </row>
    <row r="530" spans="2:37" hidden="1">
      <c r="B530" s="774">
        <f>ROW()^2+(Tabela1[[#This Row],[ID2]])+ROW()</f>
        <v>281704</v>
      </c>
      <c r="C530" s="787">
        <v>274</v>
      </c>
      <c r="D530" s="774" t="s">
        <v>1256</v>
      </c>
      <c r="E530" s="788" t="s">
        <v>1276</v>
      </c>
      <c r="F530" s="788" t="s">
        <v>1269</v>
      </c>
      <c r="G530" s="788">
        <v>90</v>
      </c>
      <c r="H530" s="788" t="s">
        <v>1</v>
      </c>
      <c r="I530" s="780" t="s">
        <v>1266</v>
      </c>
      <c r="J530" s="787" t="s">
        <v>42</v>
      </c>
      <c r="K530" s="793">
        <v>0.35</v>
      </c>
      <c r="L530" s="790">
        <v>16</v>
      </c>
      <c r="M530" s="778">
        <v>1.9079999999999999</v>
      </c>
      <c r="N530" s="780">
        <v>1000</v>
      </c>
      <c r="O530" s="780">
        <v>1000</v>
      </c>
      <c r="P530" s="791">
        <v>100</v>
      </c>
      <c r="Q530" s="791">
        <v>100</v>
      </c>
      <c r="R530" s="792">
        <v>133.6</v>
      </c>
      <c r="S530" s="791">
        <v>100</v>
      </c>
      <c r="T530" s="791">
        <v>100</v>
      </c>
      <c r="U530" s="791">
        <v>1908</v>
      </c>
      <c r="V530" s="791">
        <v>34.344000000000001</v>
      </c>
      <c r="W530" s="791">
        <v>57.239999999999995</v>
      </c>
      <c r="X530" s="791">
        <v>7.6319999999999997</v>
      </c>
      <c r="Y530" s="791">
        <v>47.699999999999996</v>
      </c>
      <c r="Z530" s="791">
        <v>1431</v>
      </c>
      <c r="AA530" s="791">
        <v>954</v>
      </c>
      <c r="AB530" s="791">
        <v>1908</v>
      </c>
      <c r="AC530" s="791">
        <v>95.399999999999991</v>
      </c>
      <c r="AD530" s="791">
        <v>19.079999999999998</v>
      </c>
      <c r="AE530" s="791">
        <v>3.8159999999999998</v>
      </c>
      <c r="AF530" s="791"/>
      <c r="AG530" s="791"/>
      <c r="AH530" s="791"/>
      <c r="AI530" s="784"/>
      <c r="AK530" s="783">
        <f>IFERROR(Tabela1[[#This Row],[EE(g)]]/Tabela1[[#This Row],[CMS(kg)]],0)</f>
        <v>70.020964360587001</v>
      </c>
    </row>
    <row r="531" spans="2:37" hidden="1">
      <c r="B531" s="774">
        <f>ROW()^2+(Tabela1[[#This Row],[ID2]])+ROW()</f>
        <v>282775</v>
      </c>
      <c r="C531" s="787">
        <v>283</v>
      </c>
      <c r="D531" s="774" t="s">
        <v>1256</v>
      </c>
      <c r="E531" s="788" t="s">
        <v>1276</v>
      </c>
      <c r="F531" s="788" t="s">
        <v>1269</v>
      </c>
      <c r="G531" s="788">
        <v>90</v>
      </c>
      <c r="H531" s="788" t="s">
        <v>1</v>
      </c>
      <c r="I531" s="780" t="s">
        <v>1285</v>
      </c>
      <c r="J531" s="787" t="s">
        <v>42</v>
      </c>
      <c r="K531" s="793">
        <v>0.59</v>
      </c>
      <c r="L531" s="790">
        <v>39</v>
      </c>
      <c r="M531" s="778">
        <v>2.367</v>
      </c>
      <c r="N531" s="780">
        <v>1000</v>
      </c>
      <c r="O531" s="780">
        <v>1000</v>
      </c>
      <c r="P531" s="791">
        <v>100</v>
      </c>
      <c r="Q531" s="791">
        <v>100</v>
      </c>
      <c r="R531" s="792">
        <v>165.7</v>
      </c>
      <c r="S531" s="791">
        <v>100</v>
      </c>
      <c r="T531" s="791">
        <v>100</v>
      </c>
      <c r="U531" s="791">
        <v>2367</v>
      </c>
      <c r="V531" s="791">
        <v>42.606000000000002</v>
      </c>
      <c r="W531" s="791">
        <v>71.010000000000005</v>
      </c>
      <c r="X531" s="791">
        <v>9.468</v>
      </c>
      <c r="Y531" s="791">
        <v>59.174999999999997</v>
      </c>
      <c r="Z531" s="791">
        <v>1775.25</v>
      </c>
      <c r="AA531" s="791">
        <v>1183.5</v>
      </c>
      <c r="AB531" s="791">
        <v>2367</v>
      </c>
      <c r="AC531" s="791">
        <v>118.35</v>
      </c>
      <c r="AD531" s="791">
        <v>23.67</v>
      </c>
      <c r="AE531" s="791">
        <v>4.734</v>
      </c>
      <c r="AF531" s="791"/>
      <c r="AG531" s="791"/>
      <c r="AH531" s="791"/>
      <c r="AI531" s="784"/>
      <c r="AK531" s="783">
        <f>IFERROR(Tabela1[[#This Row],[EE(g)]]/Tabela1[[#This Row],[CMS(kg)]],0)</f>
        <v>70.004224757076457</v>
      </c>
    </row>
    <row r="532" spans="2:37" hidden="1">
      <c r="B532" s="774">
        <f>ROW()^2+(Tabela1[[#This Row],[ID2]])+ROW()</f>
        <v>283847</v>
      </c>
      <c r="C532" s="787">
        <v>291</v>
      </c>
      <c r="D532" s="774" t="s">
        <v>1256</v>
      </c>
      <c r="E532" s="788" t="s">
        <v>1276</v>
      </c>
      <c r="F532" s="788" t="s">
        <v>1269</v>
      </c>
      <c r="G532" s="788">
        <v>90</v>
      </c>
      <c r="H532" s="788" t="s">
        <v>1</v>
      </c>
      <c r="I532" s="780" t="s">
        <v>1286</v>
      </c>
      <c r="J532" s="787" t="s">
        <v>42</v>
      </c>
      <c r="K532" s="793">
        <v>0.76</v>
      </c>
      <c r="L532" s="790">
        <v>55</v>
      </c>
      <c r="M532" s="778">
        <v>2.6910000000000003</v>
      </c>
      <c r="N532" s="780">
        <v>1000</v>
      </c>
      <c r="O532" s="780">
        <v>1000</v>
      </c>
      <c r="P532" s="791">
        <v>100</v>
      </c>
      <c r="Q532" s="791">
        <v>100</v>
      </c>
      <c r="R532" s="792">
        <v>188.4</v>
      </c>
      <c r="S532" s="791">
        <v>100</v>
      </c>
      <c r="T532" s="791">
        <v>100</v>
      </c>
      <c r="U532" s="791">
        <v>2691.0000000000005</v>
      </c>
      <c r="V532" s="791">
        <v>48.438000000000002</v>
      </c>
      <c r="W532" s="791">
        <v>80.73</v>
      </c>
      <c r="X532" s="791">
        <v>10.764000000000001</v>
      </c>
      <c r="Y532" s="791">
        <v>67.275000000000006</v>
      </c>
      <c r="Z532" s="791">
        <v>2018.2500000000002</v>
      </c>
      <c r="AA532" s="791">
        <v>1345.5000000000002</v>
      </c>
      <c r="AB532" s="791">
        <v>2691.0000000000005</v>
      </c>
      <c r="AC532" s="791">
        <v>134.55000000000001</v>
      </c>
      <c r="AD532" s="791">
        <v>26.910000000000004</v>
      </c>
      <c r="AE532" s="791">
        <v>5.3820000000000006</v>
      </c>
      <c r="AF532" s="791"/>
      <c r="AG532" s="791"/>
      <c r="AH532" s="791"/>
      <c r="AI532" s="784"/>
      <c r="AK532" s="783">
        <f>IFERROR(Tabela1[[#This Row],[EE(g)]]/Tabela1[[#This Row],[CMS(kg)]],0)</f>
        <v>70.011148272017834</v>
      </c>
    </row>
    <row r="533" spans="2:37" hidden="1">
      <c r="B533" s="774">
        <f>ROW()^2+(Tabela1[[#This Row],[ID2]])+ROW()</f>
        <v>284897</v>
      </c>
      <c r="C533" s="787">
        <v>275</v>
      </c>
      <c r="D533" s="774" t="s">
        <v>1256</v>
      </c>
      <c r="E533" s="788" t="s">
        <v>1276</v>
      </c>
      <c r="F533" s="788" t="s">
        <v>1269</v>
      </c>
      <c r="G533" s="788">
        <v>100</v>
      </c>
      <c r="H533" s="788" t="s">
        <v>1</v>
      </c>
      <c r="I533" s="780" t="s">
        <v>1266</v>
      </c>
      <c r="J533" s="787" t="s">
        <v>42</v>
      </c>
      <c r="K533" s="793">
        <v>0.37</v>
      </c>
      <c r="L533" s="790">
        <v>17</v>
      </c>
      <c r="M533" s="778">
        <v>2.0499999999999998</v>
      </c>
      <c r="N533" s="780">
        <v>1000</v>
      </c>
      <c r="O533" s="780">
        <v>1000</v>
      </c>
      <c r="P533" s="791">
        <v>100</v>
      </c>
      <c r="Q533" s="791">
        <v>100</v>
      </c>
      <c r="R533" s="792">
        <v>143.5</v>
      </c>
      <c r="S533" s="791">
        <v>100</v>
      </c>
      <c r="T533" s="791">
        <v>100</v>
      </c>
      <c r="U533" s="791">
        <v>2050</v>
      </c>
      <c r="V533" s="791">
        <v>36.9</v>
      </c>
      <c r="W533" s="791">
        <v>61.499999999999993</v>
      </c>
      <c r="X533" s="791">
        <v>8.1999999999999993</v>
      </c>
      <c r="Y533" s="791">
        <v>51.249999999999993</v>
      </c>
      <c r="Z533" s="791">
        <v>1537.4999999999998</v>
      </c>
      <c r="AA533" s="791">
        <v>1025</v>
      </c>
      <c r="AB533" s="791">
        <v>2050</v>
      </c>
      <c r="AC533" s="791">
        <v>102.49999999999999</v>
      </c>
      <c r="AD533" s="791">
        <v>20.5</v>
      </c>
      <c r="AE533" s="791">
        <v>4.0999999999999996</v>
      </c>
      <c r="AF533" s="791"/>
      <c r="AG533" s="791"/>
      <c r="AH533" s="791"/>
      <c r="AI533" s="784"/>
      <c r="AK533" s="783">
        <f>IFERROR(Tabela1[[#This Row],[EE(g)]]/Tabela1[[#This Row],[CMS(kg)]],0)</f>
        <v>70</v>
      </c>
    </row>
    <row r="534" spans="2:37" hidden="1">
      <c r="B534" s="774">
        <f>ROW()^2+(Tabela1[[#This Row],[ID2]])+ROW()</f>
        <v>285974</v>
      </c>
      <c r="C534" s="787">
        <v>284</v>
      </c>
      <c r="D534" s="774" t="s">
        <v>1256</v>
      </c>
      <c r="E534" s="788" t="s">
        <v>1276</v>
      </c>
      <c r="F534" s="788" t="s">
        <v>1269</v>
      </c>
      <c r="G534" s="788">
        <v>100</v>
      </c>
      <c r="H534" s="788" t="s">
        <v>1</v>
      </c>
      <c r="I534" s="780" t="s">
        <v>1285</v>
      </c>
      <c r="J534" s="787" t="s">
        <v>42</v>
      </c>
      <c r="K534" s="793">
        <v>0.62</v>
      </c>
      <c r="L534" s="790">
        <v>41</v>
      </c>
      <c r="M534" s="778">
        <v>2.5299999999999998</v>
      </c>
      <c r="N534" s="780">
        <v>1000</v>
      </c>
      <c r="O534" s="780">
        <v>1000</v>
      </c>
      <c r="P534" s="791">
        <v>100</v>
      </c>
      <c r="Q534" s="791">
        <v>100</v>
      </c>
      <c r="R534" s="792">
        <v>177.1</v>
      </c>
      <c r="S534" s="791">
        <v>100</v>
      </c>
      <c r="T534" s="791">
        <v>100</v>
      </c>
      <c r="U534" s="791">
        <v>2530</v>
      </c>
      <c r="V534" s="791">
        <v>45.54</v>
      </c>
      <c r="W534" s="791">
        <v>75.899999999999991</v>
      </c>
      <c r="X534" s="791">
        <v>10.119999999999999</v>
      </c>
      <c r="Y534" s="791">
        <v>63.249999999999993</v>
      </c>
      <c r="Z534" s="791">
        <v>1897.4999999999998</v>
      </c>
      <c r="AA534" s="791">
        <v>1265</v>
      </c>
      <c r="AB534" s="791">
        <v>2530</v>
      </c>
      <c r="AC534" s="791">
        <v>126.49999999999999</v>
      </c>
      <c r="AD534" s="791">
        <v>25.299999999999997</v>
      </c>
      <c r="AE534" s="791">
        <v>5.0599999999999996</v>
      </c>
      <c r="AF534" s="791"/>
      <c r="AG534" s="791"/>
      <c r="AH534" s="791"/>
      <c r="AI534" s="784"/>
      <c r="AK534" s="783">
        <f>IFERROR(Tabela1[[#This Row],[EE(g)]]/Tabela1[[#This Row],[CMS(kg)]],0)</f>
        <v>70</v>
      </c>
    </row>
    <row r="535" spans="2:37" hidden="1">
      <c r="B535" s="774">
        <f>ROW()^2+(Tabela1[[#This Row],[ID2]])+ROW()</f>
        <v>287052</v>
      </c>
      <c r="C535" s="787">
        <v>292</v>
      </c>
      <c r="D535" s="774" t="s">
        <v>1256</v>
      </c>
      <c r="E535" s="788" t="s">
        <v>1276</v>
      </c>
      <c r="F535" s="788" t="s">
        <v>1269</v>
      </c>
      <c r="G535" s="788">
        <v>100</v>
      </c>
      <c r="H535" s="788" t="s">
        <v>1</v>
      </c>
      <c r="I535" s="780" t="s">
        <v>1286</v>
      </c>
      <c r="J535" s="787" t="s">
        <v>42</v>
      </c>
      <c r="K535" s="793">
        <v>0.81</v>
      </c>
      <c r="L535" s="790">
        <v>59</v>
      </c>
      <c r="M535" s="778">
        <v>2.89</v>
      </c>
      <c r="N535" s="780">
        <v>1000</v>
      </c>
      <c r="O535" s="780">
        <v>1000</v>
      </c>
      <c r="P535" s="791">
        <v>100</v>
      </c>
      <c r="Q535" s="791">
        <v>100</v>
      </c>
      <c r="R535" s="792">
        <v>202.3</v>
      </c>
      <c r="S535" s="791">
        <v>100</v>
      </c>
      <c r="T535" s="791">
        <v>100</v>
      </c>
      <c r="U535" s="791">
        <v>2890</v>
      </c>
      <c r="V535" s="791">
        <v>52.02</v>
      </c>
      <c r="W535" s="791">
        <v>86.7</v>
      </c>
      <c r="X535" s="791">
        <v>11.56</v>
      </c>
      <c r="Y535" s="791">
        <v>72.25</v>
      </c>
      <c r="Z535" s="791">
        <v>2167.5</v>
      </c>
      <c r="AA535" s="791">
        <v>1445</v>
      </c>
      <c r="AB535" s="791">
        <v>2890</v>
      </c>
      <c r="AC535" s="791">
        <v>144.5</v>
      </c>
      <c r="AD535" s="791">
        <v>28.900000000000002</v>
      </c>
      <c r="AE535" s="791">
        <v>5.78</v>
      </c>
      <c r="AF535" s="791"/>
      <c r="AG535" s="791"/>
      <c r="AH535" s="791"/>
      <c r="AI535" s="784"/>
      <c r="AK535" s="783">
        <f>IFERROR(Tabela1[[#This Row],[EE(g)]]/Tabela1[[#This Row],[CMS(kg)]],0)</f>
        <v>70</v>
      </c>
    </row>
    <row r="536" spans="2:37" hidden="1">
      <c r="B536" s="774">
        <f>ROW()^2+(Tabela1[[#This Row],[ID2]])+ROW()</f>
        <v>288108</v>
      </c>
      <c r="C536" s="787">
        <v>276</v>
      </c>
      <c r="D536" s="774" t="s">
        <v>1256</v>
      </c>
      <c r="E536" s="788" t="s">
        <v>1276</v>
      </c>
      <c r="F536" s="788" t="s">
        <v>1269</v>
      </c>
      <c r="G536" s="788">
        <v>120</v>
      </c>
      <c r="H536" s="788" t="s">
        <v>1</v>
      </c>
      <c r="I536" s="780" t="s">
        <v>1266</v>
      </c>
      <c r="J536" s="787" t="s">
        <v>42</v>
      </c>
      <c r="K536" s="793">
        <v>0.41</v>
      </c>
      <c r="L536" s="790">
        <v>18</v>
      </c>
      <c r="M536" s="778">
        <v>2.3280000000000003</v>
      </c>
      <c r="N536" s="780">
        <v>1000</v>
      </c>
      <c r="O536" s="780">
        <v>1000</v>
      </c>
      <c r="P536" s="791">
        <v>100</v>
      </c>
      <c r="Q536" s="791">
        <v>100</v>
      </c>
      <c r="R536" s="792">
        <v>163</v>
      </c>
      <c r="S536" s="791">
        <v>100</v>
      </c>
      <c r="T536" s="791">
        <v>100</v>
      </c>
      <c r="U536" s="791">
        <v>2328.0000000000005</v>
      </c>
      <c r="V536" s="791">
        <v>41.904000000000003</v>
      </c>
      <c r="W536" s="791">
        <v>69.84</v>
      </c>
      <c r="X536" s="791">
        <v>9.3120000000000012</v>
      </c>
      <c r="Y536" s="791">
        <v>58.20000000000001</v>
      </c>
      <c r="Z536" s="791">
        <v>1746.0000000000002</v>
      </c>
      <c r="AA536" s="791">
        <v>1164.0000000000002</v>
      </c>
      <c r="AB536" s="791">
        <v>2328.0000000000005</v>
      </c>
      <c r="AC536" s="791">
        <v>116.40000000000002</v>
      </c>
      <c r="AD536" s="791">
        <v>23.28</v>
      </c>
      <c r="AE536" s="791">
        <v>4.6560000000000006</v>
      </c>
      <c r="AF536" s="791"/>
      <c r="AG536" s="791"/>
      <c r="AH536" s="791"/>
      <c r="AI536" s="784"/>
      <c r="AK536" s="783">
        <f>IFERROR(Tabela1[[#This Row],[EE(g)]]/Tabela1[[#This Row],[CMS(kg)]],0)</f>
        <v>70.017182130584189</v>
      </c>
    </row>
    <row r="537" spans="2:37" hidden="1">
      <c r="B537" s="774">
        <f>ROW()^2+(Tabela1[[#This Row],[ID2]])+ROW()</f>
        <v>289191</v>
      </c>
      <c r="C537" s="787">
        <v>285</v>
      </c>
      <c r="D537" s="774" t="s">
        <v>1256</v>
      </c>
      <c r="E537" s="788" t="s">
        <v>1276</v>
      </c>
      <c r="F537" s="788" t="s">
        <v>1269</v>
      </c>
      <c r="G537" s="788">
        <v>120</v>
      </c>
      <c r="H537" s="788" t="s">
        <v>1</v>
      </c>
      <c r="I537" s="780" t="s">
        <v>1285</v>
      </c>
      <c r="J537" s="787" t="s">
        <v>42</v>
      </c>
      <c r="K537" s="793">
        <v>0.69</v>
      </c>
      <c r="L537" s="790">
        <v>46</v>
      </c>
      <c r="M537" s="778">
        <v>2.8680000000000003</v>
      </c>
      <c r="N537" s="780">
        <v>1000</v>
      </c>
      <c r="O537" s="780">
        <v>1000</v>
      </c>
      <c r="P537" s="791">
        <v>100</v>
      </c>
      <c r="Q537" s="791">
        <v>100</v>
      </c>
      <c r="R537" s="792">
        <v>200.8</v>
      </c>
      <c r="S537" s="791">
        <v>100</v>
      </c>
      <c r="T537" s="791">
        <v>100</v>
      </c>
      <c r="U537" s="791">
        <v>2868.0000000000005</v>
      </c>
      <c r="V537" s="791">
        <v>51.624000000000009</v>
      </c>
      <c r="W537" s="791">
        <v>86.04</v>
      </c>
      <c r="X537" s="791">
        <v>11.472000000000001</v>
      </c>
      <c r="Y537" s="791">
        <v>71.7</v>
      </c>
      <c r="Z537" s="791">
        <v>2151.0000000000005</v>
      </c>
      <c r="AA537" s="791">
        <v>1434.0000000000002</v>
      </c>
      <c r="AB537" s="791">
        <v>2868.0000000000005</v>
      </c>
      <c r="AC537" s="791">
        <v>143.4</v>
      </c>
      <c r="AD537" s="791">
        <v>28.680000000000003</v>
      </c>
      <c r="AE537" s="791">
        <v>5.7360000000000007</v>
      </c>
      <c r="AF537" s="791"/>
      <c r="AG537" s="791"/>
      <c r="AH537" s="791"/>
      <c r="AI537" s="784"/>
      <c r="AK537" s="783">
        <f>IFERROR(Tabela1[[#This Row],[EE(g)]]/Tabela1[[#This Row],[CMS(kg)]],0)</f>
        <v>70.013947001394698</v>
      </c>
    </row>
    <row r="538" spans="2:37" hidden="1">
      <c r="B538" s="774">
        <f>ROW()^2+(Tabela1[[#This Row],[ID2]])+ROW()</f>
        <v>290275</v>
      </c>
      <c r="C538" s="787">
        <v>293</v>
      </c>
      <c r="D538" s="774" t="s">
        <v>1256</v>
      </c>
      <c r="E538" s="788" t="s">
        <v>1276</v>
      </c>
      <c r="F538" s="788" t="s">
        <v>1269</v>
      </c>
      <c r="G538" s="788">
        <v>120</v>
      </c>
      <c r="H538" s="788" t="s">
        <v>1</v>
      </c>
      <c r="I538" s="780" t="s">
        <v>1286</v>
      </c>
      <c r="J538" s="787" t="s">
        <v>42</v>
      </c>
      <c r="K538" s="793">
        <v>0.9</v>
      </c>
      <c r="L538" s="790">
        <v>65</v>
      </c>
      <c r="M538" s="778">
        <v>3.2640000000000002</v>
      </c>
      <c r="N538" s="780">
        <v>1000</v>
      </c>
      <c r="O538" s="780">
        <v>1000</v>
      </c>
      <c r="P538" s="791">
        <v>100</v>
      </c>
      <c r="Q538" s="791">
        <v>100</v>
      </c>
      <c r="R538" s="792">
        <v>228.5</v>
      </c>
      <c r="S538" s="791">
        <v>100</v>
      </c>
      <c r="T538" s="791">
        <v>100</v>
      </c>
      <c r="U538" s="791">
        <v>3264.0000000000005</v>
      </c>
      <c r="V538" s="791">
        <v>58.752000000000002</v>
      </c>
      <c r="W538" s="791">
        <v>97.92</v>
      </c>
      <c r="X538" s="791">
        <v>13.056000000000001</v>
      </c>
      <c r="Y538" s="791">
        <v>81.600000000000009</v>
      </c>
      <c r="Z538" s="791">
        <v>2448</v>
      </c>
      <c r="AA538" s="791">
        <v>1632.0000000000002</v>
      </c>
      <c r="AB538" s="791">
        <v>3264.0000000000005</v>
      </c>
      <c r="AC538" s="791">
        <v>163.20000000000002</v>
      </c>
      <c r="AD538" s="791">
        <v>32.64</v>
      </c>
      <c r="AE538" s="791">
        <v>6.5280000000000005</v>
      </c>
      <c r="AF538" s="791"/>
      <c r="AG538" s="791"/>
      <c r="AH538" s="791"/>
      <c r="AI538" s="784"/>
      <c r="AK538" s="783">
        <f>IFERROR(Tabela1[[#This Row],[EE(g)]]/Tabela1[[#This Row],[CMS(kg)]],0)</f>
        <v>70.006127450980387</v>
      </c>
    </row>
    <row r="539" spans="2:37" hidden="1">
      <c r="B539" s="774">
        <f>ROW()^2+(Tabela1[[#This Row],[ID2]])+ROW()</f>
        <v>291337</v>
      </c>
      <c r="C539" s="787">
        <v>277</v>
      </c>
      <c r="D539" s="774" t="s">
        <v>1256</v>
      </c>
      <c r="E539" s="788" t="s">
        <v>1276</v>
      </c>
      <c r="F539" s="788" t="s">
        <v>1269</v>
      </c>
      <c r="G539" s="788">
        <v>140</v>
      </c>
      <c r="H539" s="788" t="s">
        <v>1</v>
      </c>
      <c r="I539" s="780" t="s">
        <v>1266</v>
      </c>
      <c r="J539" s="787" t="s">
        <v>42</v>
      </c>
      <c r="K539" s="793">
        <v>0.45</v>
      </c>
      <c r="L539" s="790">
        <v>20</v>
      </c>
      <c r="M539" s="778">
        <v>2.6040000000000001</v>
      </c>
      <c r="N539" s="780">
        <v>1000</v>
      </c>
      <c r="O539" s="780">
        <v>1000</v>
      </c>
      <c r="P539" s="791">
        <v>100</v>
      </c>
      <c r="Q539" s="791">
        <v>100</v>
      </c>
      <c r="R539" s="792">
        <v>182.29999999999998</v>
      </c>
      <c r="S539" s="791">
        <v>100</v>
      </c>
      <c r="T539" s="791">
        <v>100</v>
      </c>
      <c r="U539" s="791">
        <v>2604</v>
      </c>
      <c r="V539" s="791">
        <v>46.872</v>
      </c>
      <c r="W539" s="791">
        <v>78.12</v>
      </c>
      <c r="X539" s="791">
        <v>10.416</v>
      </c>
      <c r="Y539" s="791">
        <v>65.100000000000009</v>
      </c>
      <c r="Z539" s="791">
        <v>1953</v>
      </c>
      <c r="AA539" s="791">
        <v>1302</v>
      </c>
      <c r="AB539" s="791">
        <v>2604</v>
      </c>
      <c r="AC539" s="791">
        <v>130.20000000000002</v>
      </c>
      <c r="AD539" s="791">
        <v>26.04</v>
      </c>
      <c r="AE539" s="791">
        <v>5.2080000000000002</v>
      </c>
      <c r="AF539" s="791"/>
      <c r="AG539" s="791"/>
      <c r="AH539" s="791"/>
      <c r="AI539" s="784"/>
      <c r="AK539" s="783">
        <f>IFERROR(Tabela1[[#This Row],[EE(g)]]/Tabela1[[#This Row],[CMS(kg)]],0)</f>
        <v>70.007680491551454</v>
      </c>
    </row>
    <row r="540" spans="2:37" hidden="1">
      <c r="B540" s="774">
        <f>ROW()^2+(Tabela1[[#This Row],[ID2]])+ROW()</f>
        <v>292426</v>
      </c>
      <c r="C540" s="787">
        <v>286</v>
      </c>
      <c r="D540" s="774" t="s">
        <v>1256</v>
      </c>
      <c r="E540" s="788" t="s">
        <v>1276</v>
      </c>
      <c r="F540" s="788" t="s">
        <v>1269</v>
      </c>
      <c r="G540" s="788">
        <v>140</v>
      </c>
      <c r="H540" s="788" t="s">
        <v>1</v>
      </c>
      <c r="I540" s="780" t="s">
        <v>1285</v>
      </c>
      <c r="J540" s="787" t="s">
        <v>42</v>
      </c>
      <c r="K540" s="793">
        <v>0.75</v>
      </c>
      <c r="L540" s="790">
        <v>50</v>
      </c>
      <c r="M540" s="778">
        <v>3.1919999999999997</v>
      </c>
      <c r="N540" s="780">
        <v>1000</v>
      </c>
      <c r="O540" s="780">
        <v>1000</v>
      </c>
      <c r="P540" s="791">
        <v>100</v>
      </c>
      <c r="Q540" s="791">
        <v>100</v>
      </c>
      <c r="R540" s="792">
        <v>223.39999999999998</v>
      </c>
      <c r="S540" s="791">
        <v>100</v>
      </c>
      <c r="T540" s="791">
        <v>100</v>
      </c>
      <c r="U540" s="791">
        <v>3191.9999999999995</v>
      </c>
      <c r="V540" s="791">
        <v>57.455999999999996</v>
      </c>
      <c r="W540" s="791">
        <v>95.759999999999991</v>
      </c>
      <c r="X540" s="791">
        <v>12.767999999999999</v>
      </c>
      <c r="Y540" s="791">
        <v>79.8</v>
      </c>
      <c r="Z540" s="791">
        <v>2394</v>
      </c>
      <c r="AA540" s="791">
        <v>1595.9999999999998</v>
      </c>
      <c r="AB540" s="791">
        <v>3191.9999999999995</v>
      </c>
      <c r="AC540" s="791">
        <v>159.6</v>
      </c>
      <c r="AD540" s="791">
        <v>31.919999999999998</v>
      </c>
      <c r="AE540" s="791">
        <v>6.3839999999999995</v>
      </c>
      <c r="AF540" s="791"/>
      <c r="AG540" s="791"/>
      <c r="AH540" s="791"/>
      <c r="AI540" s="784"/>
      <c r="AK540" s="783">
        <f>IFERROR(Tabela1[[#This Row],[EE(g)]]/Tabela1[[#This Row],[CMS(kg)]],0)</f>
        <v>69.987468671679196</v>
      </c>
    </row>
    <row r="541" spans="2:37" hidden="1">
      <c r="B541" s="774">
        <f>ROW()^2+(Tabela1[[#This Row],[ID2]])+ROW()</f>
        <v>293516</v>
      </c>
      <c r="C541" s="787">
        <v>294</v>
      </c>
      <c r="D541" s="774" t="s">
        <v>1256</v>
      </c>
      <c r="E541" s="788" t="s">
        <v>1276</v>
      </c>
      <c r="F541" s="788" t="s">
        <v>1269</v>
      </c>
      <c r="G541" s="788">
        <v>140</v>
      </c>
      <c r="H541" s="788" t="s">
        <v>1</v>
      </c>
      <c r="I541" s="780" t="s">
        <v>1286</v>
      </c>
      <c r="J541" s="787" t="s">
        <v>42</v>
      </c>
      <c r="K541" s="793">
        <v>0.97</v>
      </c>
      <c r="L541" s="790">
        <v>70</v>
      </c>
      <c r="M541" s="778">
        <v>3.5979999999999994</v>
      </c>
      <c r="N541" s="780">
        <v>1000</v>
      </c>
      <c r="O541" s="780">
        <v>1000</v>
      </c>
      <c r="P541" s="791">
        <v>100</v>
      </c>
      <c r="Q541" s="791">
        <v>100</v>
      </c>
      <c r="R541" s="792">
        <v>251.9</v>
      </c>
      <c r="S541" s="791">
        <v>100</v>
      </c>
      <c r="T541" s="791">
        <v>100</v>
      </c>
      <c r="U541" s="791">
        <v>3597.9999999999995</v>
      </c>
      <c r="V541" s="791">
        <v>64.763999999999996</v>
      </c>
      <c r="W541" s="791">
        <v>107.93999999999998</v>
      </c>
      <c r="X541" s="791">
        <v>14.391999999999998</v>
      </c>
      <c r="Y541" s="791">
        <v>89.949999999999989</v>
      </c>
      <c r="Z541" s="791">
        <v>2698.4999999999995</v>
      </c>
      <c r="AA541" s="791">
        <v>1798.9999999999998</v>
      </c>
      <c r="AB541" s="791">
        <v>3597.9999999999995</v>
      </c>
      <c r="AC541" s="791">
        <v>179.89999999999998</v>
      </c>
      <c r="AD541" s="791">
        <v>35.979999999999997</v>
      </c>
      <c r="AE541" s="791">
        <v>7.1959999999999988</v>
      </c>
      <c r="AF541" s="791"/>
      <c r="AG541" s="791"/>
      <c r="AH541" s="791"/>
      <c r="AI541" s="784"/>
      <c r="AK541" s="783">
        <f>IFERROR(Tabela1[[#This Row],[EE(g)]]/Tabela1[[#This Row],[CMS(kg)]],0)</f>
        <v>70.011117287381893</v>
      </c>
    </row>
    <row r="542" spans="2:37" hidden="1">
      <c r="B542" s="774">
        <f>ROW()^2+(Tabela1[[#This Row],[ID2]])+ROW()</f>
        <v>294449</v>
      </c>
      <c r="C542" s="787">
        <v>143</v>
      </c>
      <c r="D542" s="774" t="s">
        <v>1256</v>
      </c>
      <c r="E542" s="788" t="s">
        <v>1276</v>
      </c>
      <c r="F542" s="788" t="s">
        <v>1258</v>
      </c>
      <c r="G542" s="788">
        <v>40</v>
      </c>
      <c r="H542" s="788" t="s">
        <v>1</v>
      </c>
      <c r="I542" s="789" t="s">
        <v>42</v>
      </c>
      <c r="J542" s="787" t="s">
        <v>42</v>
      </c>
      <c r="K542" s="787" t="s">
        <v>42</v>
      </c>
      <c r="L542" s="790">
        <v>0</v>
      </c>
      <c r="M542" s="778">
        <v>0.77199999999999991</v>
      </c>
      <c r="N542" s="780">
        <v>1000</v>
      </c>
      <c r="O542" s="780">
        <v>1000</v>
      </c>
      <c r="P542" s="791">
        <v>100</v>
      </c>
      <c r="Q542" s="791">
        <v>100</v>
      </c>
      <c r="R542" s="792">
        <v>54</v>
      </c>
      <c r="S542" s="791">
        <v>100</v>
      </c>
      <c r="T542" s="791">
        <v>100</v>
      </c>
      <c r="U542" s="791">
        <v>771.99999999999989</v>
      </c>
      <c r="V542" s="791">
        <v>13.895999999999999</v>
      </c>
      <c r="W542" s="791">
        <v>23.159999999999997</v>
      </c>
      <c r="X542" s="791">
        <v>3.0879999999999996</v>
      </c>
      <c r="Y542" s="791">
        <v>19.299999999999997</v>
      </c>
      <c r="Z542" s="791">
        <v>578.99999999999989</v>
      </c>
      <c r="AA542" s="791">
        <v>385.99999999999994</v>
      </c>
      <c r="AB542" s="791">
        <v>771.99999999999989</v>
      </c>
      <c r="AC542" s="791">
        <v>38.599999999999994</v>
      </c>
      <c r="AD542" s="791">
        <v>7.7199999999999989</v>
      </c>
      <c r="AE542" s="791">
        <v>1.5439999999999998</v>
      </c>
      <c r="AF542" s="791"/>
      <c r="AG542" s="791"/>
      <c r="AH542" s="791"/>
      <c r="AI542" s="784"/>
      <c r="AK542" s="783">
        <f>IFERROR(Tabela1[[#This Row],[EE(g)]]/Tabela1[[#This Row],[CMS(kg)]],0)</f>
        <v>69.948186528497416</v>
      </c>
    </row>
    <row r="543" spans="2:37" hidden="1">
      <c r="B543" s="774">
        <f>ROW()^2+(Tabela1[[#This Row],[ID2]])+ROW()</f>
        <v>295536</v>
      </c>
      <c r="C543" s="787">
        <v>144</v>
      </c>
      <c r="D543" s="774" t="s">
        <v>1256</v>
      </c>
      <c r="E543" s="788" t="s">
        <v>1276</v>
      </c>
      <c r="F543" s="788" t="s">
        <v>1258</v>
      </c>
      <c r="G543" s="788">
        <v>50</v>
      </c>
      <c r="H543" s="788" t="s">
        <v>1</v>
      </c>
      <c r="I543" s="789" t="s">
        <v>42</v>
      </c>
      <c r="J543" s="787" t="s">
        <v>42</v>
      </c>
      <c r="K543" s="787" t="s">
        <v>42</v>
      </c>
      <c r="L543" s="790">
        <v>0</v>
      </c>
      <c r="M543" s="778">
        <v>0.91500000000000004</v>
      </c>
      <c r="N543" s="780">
        <v>1000</v>
      </c>
      <c r="O543" s="780">
        <v>1000</v>
      </c>
      <c r="P543" s="791">
        <v>100</v>
      </c>
      <c r="Q543" s="791">
        <v>100</v>
      </c>
      <c r="R543" s="792">
        <v>64</v>
      </c>
      <c r="S543" s="791">
        <v>100</v>
      </c>
      <c r="T543" s="791">
        <v>100</v>
      </c>
      <c r="U543" s="791">
        <v>915</v>
      </c>
      <c r="V543" s="791">
        <v>16.47</v>
      </c>
      <c r="W543" s="791">
        <v>27.450000000000003</v>
      </c>
      <c r="X543" s="791">
        <v>3.66</v>
      </c>
      <c r="Y543" s="791">
        <v>22.875</v>
      </c>
      <c r="Z543" s="791">
        <v>686.25</v>
      </c>
      <c r="AA543" s="791">
        <v>457.5</v>
      </c>
      <c r="AB543" s="791">
        <v>915</v>
      </c>
      <c r="AC543" s="791">
        <v>45.75</v>
      </c>
      <c r="AD543" s="791">
        <v>9.15</v>
      </c>
      <c r="AE543" s="791">
        <v>1.83</v>
      </c>
      <c r="AF543" s="791"/>
      <c r="AG543" s="791"/>
      <c r="AH543" s="791"/>
      <c r="AI543" s="784"/>
      <c r="AK543" s="783">
        <f>IFERROR(Tabela1[[#This Row],[EE(g)]]/Tabela1[[#This Row],[CMS(kg)]],0)</f>
        <v>69.945355191256823</v>
      </c>
    </row>
    <row r="544" spans="2:37" hidden="1">
      <c r="B544" s="774">
        <f>ROW()^2+(Tabela1[[#This Row],[ID2]])+ROW()</f>
        <v>296625</v>
      </c>
      <c r="C544" s="787">
        <v>145</v>
      </c>
      <c r="D544" s="774" t="s">
        <v>1256</v>
      </c>
      <c r="E544" s="788" t="s">
        <v>1276</v>
      </c>
      <c r="F544" s="788" t="s">
        <v>1258</v>
      </c>
      <c r="G544" s="788">
        <v>60</v>
      </c>
      <c r="H544" s="788" t="s">
        <v>1</v>
      </c>
      <c r="I544" s="789" t="s">
        <v>42</v>
      </c>
      <c r="J544" s="787" t="s">
        <v>42</v>
      </c>
      <c r="K544" s="787" t="s">
        <v>42</v>
      </c>
      <c r="L544" s="790">
        <v>0</v>
      </c>
      <c r="M544" s="778">
        <v>1.05</v>
      </c>
      <c r="N544" s="780">
        <v>1000</v>
      </c>
      <c r="O544" s="780">
        <v>1000</v>
      </c>
      <c r="P544" s="791">
        <v>100</v>
      </c>
      <c r="Q544" s="791">
        <v>100</v>
      </c>
      <c r="R544" s="792">
        <v>73.5</v>
      </c>
      <c r="S544" s="791">
        <v>100</v>
      </c>
      <c r="T544" s="791">
        <v>100</v>
      </c>
      <c r="U544" s="791">
        <v>1050</v>
      </c>
      <c r="V544" s="791">
        <v>18.900000000000002</v>
      </c>
      <c r="W544" s="791">
        <v>31.5</v>
      </c>
      <c r="X544" s="791">
        <v>4.2</v>
      </c>
      <c r="Y544" s="791">
        <v>26.25</v>
      </c>
      <c r="Z544" s="791">
        <v>787.5</v>
      </c>
      <c r="AA544" s="791">
        <v>525</v>
      </c>
      <c r="AB544" s="791">
        <v>1050</v>
      </c>
      <c r="AC544" s="791">
        <v>52.5</v>
      </c>
      <c r="AD544" s="791">
        <v>10.5</v>
      </c>
      <c r="AE544" s="791">
        <v>2.1</v>
      </c>
      <c r="AF544" s="791"/>
      <c r="AG544" s="791"/>
      <c r="AH544" s="791"/>
      <c r="AI544" s="784"/>
      <c r="AK544" s="783">
        <f>IFERROR(Tabela1[[#This Row],[EE(g)]]/Tabela1[[#This Row],[CMS(kg)]],0)</f>
        <v>70</v>
      </c>
    </row>
    <row r="545" spans="2:37" hidden="1">
      <c r="B545" s="774">
        <f>ROW()^2+(Tabela1[[#This Row],[ID2]])+ROW()</f>
        <v>297716</v>
      </c>
      <c r="C545" s="787">
        <v>146</v>
      </c>
      <c r="D545" s="774" t="s">
        <v>1256</v>
      </c>
      <c r="E545" s="788" t="s">
        <v>1276</v>
      </c>
      <c r="F545" s="788" t="s">
        <v>1258</v>
      </c>
      <c r="G545" s="788">
        <v>70</v>
      </c>
      <c r="H545" s="788" t="s">
        <v>1</v>
      </c>
      <c r="I545" s="789" t="s">
        <v>42</v>
      </c>
      <c r="J545" s="787" t="s">
        <v>42</v>
      </c>
      <c r="K545" s="787" t="s">
        <v>42</v>
      </c>
      <c r="L545" s="790">
        <v>0</v>
      </c>
      <c r="M545" s="778">
        <v>1.1759999999999999</v>
      </c>
      <c r="N545" s="780">
        <v>1000</v>
      </c>
      <c r="O545" s="780">
        <v>1000</v>
      </c>
      <c r="P545" s="791">
        <v>100</v>
      </c>
      <c r="Q545" s="791">
        <v>100</v>
      </c>
      <c r="R545" s="792">
        <v>82.3</v>
      </c>
      <c r="S545" s="791">
        <v>100</v>
      </c>
      <c r="T545" s="791">
        <v>100</v>
      </c>
      <c r="U545" s="791">
        <v>1176</v>
      </c>
      <c r="V545" s="791">
        <v>21.167999999999999</v>
      </c>
      <c r="W545" s="791">
        <v>35.28</v>
      </c>
      <c r="X545" s="791">
        <v>4.7039999999999997</v>
      </c>
      <c r="Y545" s="791">
        <v>29.4</v>
      </c>
      <c r="Z545" s="791">
        <v>882</v>
      </c>
      <c r="AA545" s="791">
        <v>588</v>
      </c>
      <c r="AB545" s="791">
        <v>1176</v>
      </c>
      <c r="AC545" s="791">
        <v>58.8</v>
      </c>
      <c r="AD545" s="791">
        <v>11.76</v>
      </c>
      <c r="AE545" s="791">
        <v>2.3519999999999999</v>
      </c>
      <c r="AF545" s="791"/>
      <c r="AG545" s="791"/>
      <c r="AH545" s="791"/>
      <c r="AI545" s="784"/>
      <c r="AK545" s="783">
        <f>IFERROR(Tabela1[[#This Row],[EE(g)]]/Tabela1[[#This Row],[CMS(kg)]],0)</f>
        <v>69.982993197278915</v>
      </c>
    </row>
    <row r="546" spans="2:37" hidden="1">
      <c r="B546" s="774">
        <f>ROW()^2+(Tabela1[[#This Row],[ID2]])+ROW()</f>
        <v>298809</v>
      </c>
      <c r="C546" s="787">
        <v>147</v>
      </c>
      <c r="D546" s="774" t="s">
        <v>1256</v>
      </c>
      <c r="E546" s="788" t="s">
        <v>1276</v>
      </c>
      <c r="F546" s="788" t="s">
        <v>1258</v>
      </c>
      <c r="G546" s="788">
        <v>80</v>
      </c>
      <c r="H546" s="788" t="s">
        <v>1</v>
      </c>
      <c r="I546" s="789" t="s">
        <v>42</v>
      </c>
      <c r="J546" s="787" t="s">
        <v>42</v>
      </c>
      <c r="K546" s="787" t="s">
        <v>42</v>
      </c>
      <c r="L546" s="790">
        <v>0</v>
      </c>
      <c r="M546" s="778">
        <v>1.3039999999999998</v>
      </c>
      <c r="N546" s="780">
        <v>1000</v>
      </c>
      <c r="O546" s="780">
        <v>1000</v>
      </c>
      <c r="P546" s="791">
        <v>100</v>
      </c>
      <c r="Q546" s="791">
        <v>100</v>
      </c>
      <c r="R546" s="792">
        <v>91.300000000000011</v>
      </c>
      <c r="S546" s="791">
        <v>100</v>
      </c>
      <c r="T546" s="791">
        <v>100</v>
      </c>
      <c r="U546" s="791">
        <v>1303.9999999999998</v>
      </c>
      <c r="V546" s="791">
        <v>23.471999999999998</v>
      </c>
      <c r="W546" s="791">
        <v>39.119999999999997</v>
      </c>
      <c r="X546" s="791">
        <v>5.2159999999999993</v>
      </c>
      <c r="Y546" s="791">
        <v>32.599999999999994</v>
      </c>
      <c r="Z546" s="791">
        <v>977.99999999999989</v>
      </c>
      <c r="AA546" s="791">
        <v>651.99999999999989</v>
      </c>
      <c r="AB546" s="791">
        <v>1303.9999999999998</v>
      </c>
      <c r="AC546" s="791">
        <v>65.199999999999989</v>
      </c>
      <c r="AD546" s="791">
        <v>13.04</v>
      </c>
      <c r="AE546" s="791">
        <v>2.6079999999999997</v>
      </c>
      <c r="AF546" s="791"/>
      <c r="AG546" s="791"/>
      <c r="AH546" s="791"/>
      <c r="AI546" s="784"/>
      <c r="AK546" s="783">
        <f>IFERROR(Tabela1[[#This Row],[EE(g)]]/Tabela1[[#This Row],[CMS(kg)]],0)</f>
        <v>70.0153374233129</v>
      </c>
    </row>
    <row r="547" spans="2:37" hidden="1">
      <c r="B547" s="774">
        <f>ROW()^2+(Tabela1[[#This Row],[ID2]])+ROW()</f>
        <v>299904</v>
      </c>
      <c r="C547" s="787">
        <v>148</v>
      </c>
      <c r="D547" s="774" t="s">
        <v>1256</v>
      </c>
      <c r="E547" s="788" t="s">
        <v>1276</v>
      </c>
      <c r="F547" s="788" t="s">
        <v>1258</v>
      </c>
      <c r="G547" s="788">
        <v>90</v>
      </c>
      <c r="H547" s="788" t="s">
        <v>1</v>
      </c>
      <c r="I547" s="789" t="s">
        <v>42</v>
      </c>
      <c r="J547" s="787" t="s">
        <v>42</v>
      </c>
      <c r="K547" s="787" t="s">
        <v>42</v>
      </c>
      <c r="L547" s="790">
        <v>0</v>
      </c>
      <c r="M547" s="778">
        <v>1.4220000000000002</v>
      </c>
      <c r="N547" s="780">
        <v>1000</v>
      </c>
      <c r="O547" s="780">
        <v>1000</v>
      </c>
      <c r="P547" s="791">
        <v>100</v>
      </c>
      <c r="Q547" s="791">
        <v>100</v>
      </c>
      <c r="R547" s="792">
        <v>99.5</v>
      </c>
      <c r="S547" s="791">
        <v>100</v>
      </c>
      <c r="T547" s="791">
        <v>100</v>
      </c>
      <c r="U547" s="791">
        <v>1422.0000000000002</v>
      </c>
      <c r="V547" s="791">
        <v>25.596000000000004</v>
      </c>
      <c r="W547" s="791">
        <v>42.660000000000004</v>
      </c>
      <c r="X547" s="791">
        <v>5.6880000000000006</v>
      </c>
      <c r="Y547" s="791">
        <v>35.550000000000004</v>
      </c>
      <c r="Z547" s="791">
        <v>1066.5000000000002</v>
      </c>
      <c r="AA547" s="791">
        <v>711.00000000000011</v>
      </c>
      <c r="AB547" s="791">
        <v>1422.0000000000002</v>
      </c>
      <c r="AC547" s="791">
        <v>71.100000000000009</v>
      </c>
      <c r="AD547" s="791">
        <v>14.220000000000002</v>
      </c>
      <c r="AE547" s="791">
        <v>2.8440000000000003</v>
      </c>
      <c r="AF547" s="791"/>
      <c r="AG547" s="791"/>
      <c r="AH547" s="791"/>
      <c r="AI547" s="784"/>
      <c r="AK547" s="783">
        <f>IFERROR(Tabela1[[#This Row],[EE(g)]]/Tabela1[[#This Row],[CMS(kg)]],0)</f>
        <v>69.971870604781984</v>
      </c>
    </row>
    <row r="548" spans="2:37" hidden="1">
      <c r="B548" s="774">
        <f>ROW()^2+(Tabela1[[#This Row],[ID2]])+ROW()</f>
        <v>301001</v>
      </c>
      <c r="C548" s="787">
        <v>149</v>
      </c>
      <c r="D548" s="774" t="s">
        <v>1256</v>
      </c>
      <c r="E548" s="788" t="s">
        <v>1276</v>
      </c>
      <c r="F548" s="788" t="s">
        <v>1258</v>
      </c>
      <c r="G548" s="788">
        <v>100</v>
      </c>
      <c r="H548" s="788" t="s">
        <v>1</v>
      </c>
      <c r="I548" s="789" t="s">
        <v>42</v>
      </c>
      <c r="J548" s="787" t="s">
        <v>42</v>
      </c>
      <c r="K548" s="787" t="s">
        <v>42</v>
      </c>
      <c r="L548" s="790">
        <v>0</v>
      </c>
      <c r="M548" s="778">
        <v>1.54</v>
      </c>
      <c r="N548" s="780">
        <v>1000</v>
      </c>
      <c r="O548" s="780">
        <v>1000</v>
      </c>
      <c r="P548" s="791">
        <v>100</v>
      </c>
      <c r="Q548" s="791">
        <v>100</v>
      </c>
      <c r="R548" s="792">
        <v>107.80000000000001</v>
      </c>
      <c r="S548" s="791">
        <v>100</v>
      </c>
      <c r="T548" s="791">
        <v>100</v>
      </c>
      <c r="U548" s="791">
        <v>1540</v>
      </c>
      <c r="V548" s="791">
        <v>27.72</v>
      </c>
      <c r="W548" s="791">
        <v>46.2</v>
      </c>
      <c r="X548" s="791">
        <v>6.16</v>
      </c>
      <c r="Y548" s="791">
        <v>38.5</v>
      </c>
      <c r="Z548" s="791">
        <v>1155</v>
      </c>
      <c r="AA548" s="791">
        <v>770</v>
      </c>
      <c r="AB548" s="791">
        <v>1540</v>
      </c>
      <c r="AC548" s="791">
        <v>77</v>
      </c>
      <c r="AD548" s="791">
        <v>15.4</v>
      </c>
      <c r="AE548" s="791">
        <v>3.08</v>
      </c>
      <c r="AF548" s="791"/>
      <c r="AG548" s="791"/>
      <c r="AH548" s="791"/>
      <c r="AI548" s="784"/>
      <c r="AK548" s="783">
        <f>IFERROR(Tabela1[[#This Row],[EE(g)]]/Tabela1[[#This Row],[CMS(kg)]],0)</f>
        <v>70</v>
      </c>
    </row>
    <row r="549" spans="2:37" hidden="1">
      <c r="B549" s="774">
        <f>ROW()^2+(Tabela1[[#This Row],[ID2]])+ROW()</f>
        <v>302100</v>
      </c>
      <c r="C549" s="787">
        <v>150</v>
      </c>
      <c r="D549" s="774" t="s">
        <v>1256</v>
      </c>
      <c r="E549" s="788" t="s">
        <v>1276</v>
      </c>
      <c r="F549" s="788" t="s">
        <v>1258</v>
      </c>
      <c r="G549" s="788">
        <v>120</v>
      </c>
      <c r="H549" s="788" t="s">
        <v>1</v>
      </c>
      <c r="I549" s="789" t="s">
        <v>42</v>
      </c>
      <c r="J549" s="787" t="s">
        <v>42</v>
      </c>
      <c r="K549" s="787" t="s">
        <v>42</v>
      </c>
      <c r="L549" s="790">
        <v>0</v>
      </c>
      <c r="M549" s="778">
        <v>1.764</v>
      </c>
      <c r="N549" s="780">
        <v>1000</v>
      </c>
      <c r="O549" s="780">
        <v>1000</v>
      </c>
      <c r="P549" s="791">
        <v>100</v>
      </c>
      <c r="Q549" s="791">
        <v>100</v>
      </c>
      <c r="R549" s="792">
        <v>123.5</v>
      </c>
      <c r="S549" s="791">
        <v>100</v>
      </c>
      <c r="T549" s="791">
        <v>100</v>
      </c>
      <c r="U549" s="791">
        <v>1764</v>
      </c>
      <c r="V549" s="791">
        <v>31.751999999999999</v>
      </c>
      <c r="W549" s="791">
        <v>52.92</v>
      </c>
      <c r="X549" s="791">
        <v>7.056</v>
      </c>
      <c r="Y549" s="791">
        <v>44.1</v>
      </c>
      <c r="Z549" s="791">
        <v>1323</v>
      </c>
      <c r="AA549" s="791">
        <v>882</v>
      </c>
      <c r="AB549" s="791">
        <v>1764</v>
      </c>
      <c r="AC549" s="791">
        <v>88.2</v>
      </c>
      <c r="AD549" s="791">
        <v>17.64</v>
      </c>
      <c r="AE549" s="791">
        <v>3.528</v>
      </c>
      <c r="AF549" s="791"/>
      <c r="AG549" s="791"/>
      <c r="AH549" s="791"/>
      <c r="AI549" s="784"/>
      <c r="AK549" s="783">
        <f>IFERROR(Tabela1[[#This Row],[EE(g)]]/Tabela1[[#This Row],[CMS(kg)]],0)</f>
        <v>70.011337868480723</v>
      </c>
    </row>
    <row r="550" spans="2:37" hidden="1">
      <c r="B550" s="774">
        <f>ROW()^2+(Tabela1[[#This Row],[ID2]])+ROW()</f>
        <v>303201</v>
      </c>
      <c r="C550" s="787">
        <v>151</v>
      </c>
      <c r="D550" s="774" t="s">
        <v>1256</v>
      </c>
      <c r="E550" s="788" t="s">
        <v>1276</v>
      </c>
      <c r="F550" s="788" t="s">
        <v>1258</v>
      </c>
      <c r="G550" s="788">
        <v>140</v>
      </c>
      <c r="H550" s="788" t="s">
        <v>1</v>
      </c>
      <c r="I550" s="789" t="s">
        <v>42</v>
      </c>
      <c r="J550" s="787" t="s">
        <v>42</v>
      </c>
      <c r="K550" s="787" t="s">
        <v>42</v>
      </c>
      <c r="L550" s="790">
        <v>0</v>
      </c>
      <c r="M550" s="778">
        <v>1.974</v>
      </c>
      <c r="N550" s="780">
        <v>1000</v>
      </c>
      <c r="O550" s="780">
        <v>1000</v>
      </c>
      <c r="P550" s="791">
        <v>100</v>
      </c>
      <c r="Q550" s="791">
        <v>100</v>
      </c>
      <c r="R550" s="792">
        <v>138.19999999999999</v>
      </c>
      <c r="S550" s="791">
        <v>100</v>
      </c>
      <c r="T550" s="791">
        <v>100</v>
      </c>
      <c r="U550" s="791">
        <v>1974</v>
      </c>
      <c r="V550" s="791">
        <v>35.531999999999996</v>
      </c>
      <c r="W550" s="791">
        <v>59.22</v>
      </c>
      <c r="X550" s="791">
        <v>7.8959999999999999</v>
      </c>
      <c r="Y550" s="791">
        <v>49.35</v>
      </c>
      <c r="Z550" s="791">
        <v>1480.5</v>
      </c>
      <c r="AA550" s="791">
        <v>987</v>
      </c>
      <c r="AB550" s="791">
        <v>1974</v>
      </c>
      <c r="AC550" s="791">
        <v>98.7</v>
      </c>
      <c r="AD550" s="791">
        <v>19.739999999999998</v>
      </c>
      <c r="AE550" s="791">
        <v>3.948</v>
      </c>
      <c r="AF550" s="791"/>
      <c r="AG550" s="791"/>
      <c r="AH550" s="791"/>
      <c r="AI550" s="784"/>
      <c r="AK550" s="783">
        <f>IFERROR(Tabela1[[#This Row],[EE(g)]]/Tabela1[[#This Row],[CMS(kg)]],0)</f>
        <v>70.010131712259366</v>
      </c>
    </row>
    <row r="551" spans="2:37" hidden="1">
      <c r="B551" s="774">
        <f>ROW()^2+(Tabela1[[#This Row],[ID2]])+ROW()</f>
        <v>304394</v>
      </c>
      <c r="C551" s="787">
        <v>242</v>
      </c>
      <c r="D551" s="774" t="s">
        <v>1256</v>
      </c>
      <c r="E551" s="788" t="s">
        <v>1276</v>
      </c>
      <c r="F551" s="788" t="s">
        <v>1270</v>
      </c>
      <c r="G551" s="788">
        <v>40</v>
      </c>
      <c r="H551" s="788" t="s">
        <v>1</v>
      </c>
      <c r="I551" s="780" t="s">
        <v>1266</v>
      </c>
      <c r="J551" s="787" t="s">
        <v>42</v>
      </c>
      <c r="K551" s="793">
        <v>0.47</v>
      </c>
      <c r="L551" s="790">
        <v>0</v>
      </c>
      <c r="M551" s="778">
        <v>1.204</v>
      </c>
      <c r="N551" s="780">
        <v>1000</v>
      </c>
      <c r="O551" s="780">
        <v>1000</v>
      </c>
      <c r="P551" s="791">
        <v>100</v>
      </c>
      <c r="Q551" s="791">
        <v>100</v>
      </c>
      <c r="R551" s="792">
        <v>84.3</v>
      </c>
      <c r="S551" s="791">
        <v>100</v>
      </c>
      <c r="T551" s="791">
        <v>100</v>
      </c>
      <c r="U551" s="791">
        <v>1204</v>
      </c>
      <c r="V551" s="791">
        <v>21.672000000000001</v>
      </c>
      <c r="W551" s="791">
        <v>36.119999999999997</v>
      </c>
      <c r="X551" s="791">
        <v>4.8159999999999998</v>
      </c>
      <c r="Y551" s="791">
        <v>30.099999999999998</v>
      </c>
      <c r="Z551" s="791">
        <v>903</v>
      </c>
      <c r="AA551" s="791">
        <v>602</v>
      </c>
      <c r="AB551" s="791">
        <v>1204</v>
      </c>
      <c r="AC551" s="791">
        <v>60.199999999999996</v>
      </c>
      <c r="AD551" s="791">
        <v>12.04</v>
      </c>
      <c r="AE551" s="791">
        <v>2.4079999999999999</v>
      </c>
      <c r="AF551" s="791"/>
      <c r="AG551" s="791"/>
      <c r="AH551" s="791"/>
      <c r="AI551" s="784"/>
      <c r="AK551" s="783">
        <f>IFERROR(Tabela1[[#This Row],[EE(g)]]/Tabela1[[#This Row],[CMS(kg)]],0)</f>
        <v>70.016611295681059</v>
      </c>
    </row>
    <row r="552" spans="2:37" hidden="1">
      <c r="B552" s="774">
        <f>ROW()^2+(Tabela1[[#This Row],[ID2]])+ROW()</f>
        <v>305507</v>
      </c>
      <c r="C552" s="787">
        <v>251</v>
      </c>
      <c r="D552" s="774" t="s">
        <v>1256</v>
      </c>
      <c r="E552" s="788" t="s">
        <v>1276</v>
      </c>
      <c r="F552" s="788" t="s">
        <v>1270</v>
      </c>
      <c r="G552" s="788">
        <v>40</v>
      </c>
      <c r="H552" s="788" t="s">
        <v>1</v>
      </c>
      <c r="I552" s="780" t="s">
        <v>1285</v>
      </c>
      <c r="J552" s="787" t="s">
        <v>42</v>
      </c>
      <c r="K552" s="793">
        <v>0.79</v>
      </c>
      <c r="L552" s="790">
        <v>0</v>
      </c>
      <c r="M552" s="778">
        <v>1.496</v>
      </c>
      <c r="N552" s="780">
        <v>1000</v>
      </c>
      <c r="O552" s="780">
        <v>1000</v>
      </c>
      <c r="P552" s="791">
        <v>100</v>
      </c>
      <c r="Q552" s="791">
        <v>100</v>
      </c>
      <c r="R552" s="792">
        <v>104.7</v>
      </c>
      <c r="S552" s="791">
        <v>100</v>
      </c>
      <c r="T552" s="791">
        <v>100</v>
      </c>
      <c r="U552" s="791">
        <v>1496</v>
      </c>
      <c r="V552" s="791">
        <v>26.928000000000001</v>
      </c>
      <c r="W552" s="791">
        <v>44.88</v>
      </c>
      <c r="X552" s="791">
        <v>5.984</v>
      </c>
      <c r="Y552" s="791">
        <v>37.4</v>
      </c>
      <c r="Z552" s="791">
        <v>1122</v>
      </c>
      <c r="AA552" s="791">
        <v>748</v>
      </c>
      <c r="AB552" s="791">
        <v>1496</v>
      </c>
      <c r="AC552" s="791">
        <v>74.8</v>
      </c>
      <c r="AD552" s="791">
        <v>14.96</v>
      </c>
      <c r="AE552" s="791">
        <v>2.992</v>
      </c>
      <c r="AF552" s="791"/>
      <c r="AG552" s="791"/>
      <c r="AH552" s="791"/>
      <c r="AI552" s="784"/>
      <c r="AK552" s="783">
        <f>IFERROR(Tabela1[[#This Row],[EE(g)]]/Tabela1[[#This Row],[CMS(kg)]],0)</f>
        <v>69.986631016042779</v>
      </c>
    </row>
    <row r="553" spans="2:37" hidden="1">
      <c r="B553" s="774">
        <f>ROW()^2+(Tabela1[[#This Row],[ID2]])+ROW()</f>
        <v>306622</v>
      </c>
      <c r="C553" s="787">
        <v>260</v>
      </c>
      <c r="D553" s="774" t="s">
        <v>1256</v>
      </c>
      <c r="E553" s="788" t="s">
        <v>1276</v>
      </c>
      <c r="F553" s="788" t="s">
        <v>1270</v>
      </c>
      <c r="G553" s="788">
        <v>40</v>
      </c>
      <c r="H553" s="788" t="s">
        <v>1</v>
      </c>
      <c r="I553" s="780" t="s">
        <v>1286</v>
      </c>
      <c r="J553" s="787" t="s">
        <v>42</v>
      </c>
      <c r="K553" s="793">
        <v>1.03</v>
      </c>
      <c r="L553" s="790">
        <v>0</v>
      </c>
      <c r="M553" s="778">
        <v>1.3720000000000001</v>
      </c>
      <c r="N553" s="780">
        <v>1000</v>
      </c>
      <c r="O553" s="780">
        <v>1000</v>
      </c>
      <c r="P553" s="791">
        <v>100</v>
      </c>
      <c r="Q553" s="791">
        <v>100</v>
      </c>
      <c r="R553" s="792">
        <v>96</v>
      </c>
      <c r="S553" s="791">
        <v>100</v>
      </c>
      <c r="T553" s="791">
        <v>100</v>
      </c>
      <c r="U553" s="791">
        <v>1372</v>
      </c>
      <c r="V553" s="791">
        <v>24.696000000000002</v>
      </c>
      <c r="W553" s="791">
        <v>41.160000000000004</v>
      </c>
      <c r="X553" s="791">
        <v>5.4880000000000004</v>
      </c>
      <c r="Y553" s="791">
        <v>34.300000000000004</v>
      </c>
      <c r="Z553" s="791">
        <v>1029</v>
      </c>
      <c r="AA553" s="791">
        <v>686</v>
      </c>
      <c r="AB553" s="791">
        <v>1372</v>
      </c>
      <c r="AC553" s="791">
        <v>68.600000000000009</v>
      </c>
      <c r="AD553" s="791">
        <v>13.72</v>
      </c>
      <c r="AE553" s="791">
        <v>2.7440000000000002</v>
      </c>
      <c r="AF553" s="791"/>
      <c r="AG553" s="791"/>
      <c r="AH553" s="791"/>
      <c r="AI553" s="784"/>
      <c r="AK553" s="783">
        <f>IFERROR(Tabela1[[#This Row],[EE(g)]]/Tabela1[[#This Row],[CMS(kg)]],0)</f>
        <v>69.970845481049551</v>
      </c>
    </row>
    <row r="554" spans="2:37" hidden="1">
      <c r="B554" s="774">
        <f>ROW()^2+(Tabela1[[#This Row],[ID2]])+ROW()</f>
        <v>307713</v>
      </c>
      <c r="C554" s="787">
        <v>243</v>
      </c>
      <c r="D554" s="774" t="s">
        <v>1256</v>
      </c>
      <c r="E554" s="788" t="s">
        <v>1276</v>
      </c>
      <c r="F554" s="788" t="s">
        <v>1270</v>
      </c>
      <c r="G554" s="788">
        <v>50</v>
      </c>
      <c r="H554" s="788" t="s">
        <v>1</v>
      </c>
      <c r="I554" s="780" t="s">
        <v>1266</v>
      </c>
      <c r="J554" s="787" t="s">
        <v>42</v>
      </c>
      <c r="K554" s="793">
        <v>0.53</v>
      </c>
      <c r="L554" s="790">
        <v>0</v>
      </c>
      <c r="M554" s="778">
        <v>1.4</v>
      </c>
      <c r="N554" s="780">
        <v>1000</v>
      </c>
      <c r="O554" s="780">
        <v>1000</v>
      </c>
      <c r="P554" s="791">
        <v>100</v>
      </c>
      <c r="Q554" s="791">
        <v>100</v>
      </c>
      <c r="R554" s="792">
        <v>98</v>
      </c>
      <c r="S554" s="791">
        <v>100</v>
      </c>
      <c r="T554" s="791">
        <v>100</v>
      </c>
      <c r="U554" s="791">
        <v>1400</v>
      </c>
      <c r="V554" s="791">
        <v>25.2</v>
      </c>
      <c r="W554" s="791">
        <v>42</v>
      </c>
      <c r="X554" s="791">
        <v>5.6</v>
      </c>
      <c r="Y554" s="791">
        <v>35</v>
      </c>
      <c r="Z554" s="791">
        <v>1050</v>
      </c>
      <c r="AA554" s="791">
        <v>700</v>
      </c>
      <c r="AB554" s="791">
        <v>1400</v>
      </c>
      <c r="AC554" s="791">
        <v>70</v>
      </c>
      <c r="AD554" s="791">
        <v>14</v>
      </c>
      <c r="AE554" s="791">
        <v>2.8</v>
      </c>
      <c r="AF554" s="791"/>
      <c r="AG554" s="791"/>
      <c r="AH554" s="791"/>
      <c r="AI554" s="784"/>
      <c r="AK554" s="783">
        <f>IFERROR(Tabela1[[#This Row],[EE(g)]]/Tabela1[[#This Row],[CMS(kg)]],0)</f>
        <v>70</v>
      </c>
    </row>
    <row r="555" spans="2:37" hidden="1">
      <c r="B555" s="774">
        <f>ROW()^2+(Tabela1[[#This Row],[ID2]])+ROW()</f>
        <v>308832</v>
      </c>
      <c r="C555" s="787">
        <v>252</v>
      </c>
      <c r="D555" s="774" t="s">
        <v>1256</v>
      </c>
      <c r="E555" s="788" t="s">
        <v>1276</v>
      </c>
      <c r="F555" s="788" t="s">
        <v>1270</v>
      </c>
      <c r="G555" s="788">
        <v>50</v>
      </c>
      <c r="H555" s="788" t="s">
        <v>1</v>
      </c>
      <c r="I555" s="780" t="s">
        <v>1285</v>
      </c>
      <c r="J555" s="787" t="s">
        <v>42</v>
      </c>
      <c r="K555" s="793">
        <v>0.88</v>
      </c>
      <c r="L555" s="790">
        <v>0</v>
      </c>
      <c r="M555" s="778">
        <v>1.72</v>
      </c>
      <c r="N555" s="780">
        <v>1000</v>
      </c>
      <c r="O555" s="780">
        <v>1000</v>
      </c>
      <c r="P555" s="791">
        <v>100</v>
      </c>
      <c r="Q555" s="791">
        <v>100</v>
      </c>
      <c r="R555" s="792">
        <v>120.39999999999999</v>
      </c>
      <c r="S555" s="791">
        <v>100</v>
      </c>
      <c r="T555" s="791">
        <v>100</v>
      </c>
      <c r="U555" s="791">
        <v>1720</v>
      </c>
      <c r="V555" s="791">
        <v>30.96</v>
      </c>
      <c r="W555" s="791">
        <v>51.6</v>
      </c>
      <c r="X555" s="791">
        <v>6.88</v>
      </c>
      <c r="Y555" s="791">
        <v>43</v>
      </c>
      <c r="Z555" s="791">
        <v>1290</v>
      </c>
      <c r="AA555" s="791">
        <v>860</v>
      </c>
      <c r="AB555" s="791">
        <v>1720</v>
      </c>
      <c r="AC555" s="791">
        <v>86</v>
      </c>
      <c r="AD555" s="791">
        <v>17.2</v>
      </c>
      <c r="AE555" s="791">
        <v>3.44</v>
      </c>
      <c r="AF555" s="791"/>
      <c r="AG555" s="791"/>
      <c r="AH555" s="791"/>
      <c r="AI555" s="784"/>
      <c r="AK555" s="783">
        <f>IFERROR(Tabela1[[#This Row],[EE(g)]]/Tabela1[[#This Row],[CMS(kg)]],0)</f>
        <v>70</v>
      </c>
    </row>
    <row r="556" spans="2:37" hidden="1">
      <c r="B556" s="774">
        <f>ROW()^2+(Tabela1[[#This Row],[ID2]])+ROW()</f>
        <v>309953</v>
      </c>
      <c r="C556" s="787">
        <v>261</v>
      </c>
      <c r="D556" s="774" t="s">
        <v>1256</v>
      </c>
      <c r="E556" s="788" t="s">
        <v>1276</v>
      </c>
      <c r="F556" s="788" t="s">
        <v>1270</v>
      </c>
      <c r="G556" s="788">
        <v>50</v>
      </c>
      <c r="H556" s="788" t="s">
        <v>1</v>
      </c>
      <c r="I556" s="780" t="s">
        <v>1286</v>
      </c>
      <c r="J556" s="787" t="s">
        <v>42</v>
      </c>
      <c r="K556" s="793">
        <v>1.1499999999999999</v>
      </c>
      <c r="L556" s="790">
        <v>0</v>
      </c>
      <c r="M556" s="778">
        <v>1.9650000000000001</v>
      </c>
      <c r="N556" s="780">
        <v>1000</v>
      </c>
      <c r="O556" s="780">
        <v>1000</v>
      </c>
      <c r="P556" s="791">
        <v>100</v>
      </c>
      <c r="Q556" s="791">
        <v>100</v>
      </c>
      <c r="R556" s="792">
        <v>137.6</v>
      </c>
      <c r="S556" s="791">
        <v>100</v>
      </c>
      <c r="T556" s="791">
        <v>100</v>
      </c>
      <c r="U556" s="791">
        <v>1965</v>
      </c>
      <c r="V556" s="791">
        <v>35.370000000000005</v>
      </c>
      <c r="W556" s="791">
        <v>58.95</v>
      </c>
      <c r="X556" s="791">
        <v>7.86</v>
      </c>
      <c r="Y556" s="791">
        <v>49.125</v>
      </c>
      <c r="Z556" s="791">
        <v>1473.75</v>
      </c>
      <c r="AA556" s="791">
        <v>982.5</v>
      </c>
      <c r="AB556" s="791">
        <v>1965</v>
      </c>
      <c r="AC556" s="791">
        <v>98.25</v>
      </c>
      <c r="AD556" s="791">
        <v>19.650000000000002</v>
      </c>
      <c r="AE556" s="791">
        <v>3.93</v>
      </c>
      <c r="AF556" s="791"/>
      <c r="AG556" s="791"/>
      <c r="AH556" s="791"/>
      <c r="AI556" s="784"/>
      <c r="AK556" s="783">
        <f>IFERROR(Tabela1[[#This Row],[EE(g)]]/Tabela1[[#This Row],[CMS(kg)]],0)</f>
        <v>70.025445292620859</v>
      </c>
    </row>
    <row r="557" spans="2:37" hidden="1">
      <c r="B557" s="774">
        <f>ROW()^2+(Tabela1[[#This Row],[ID2]])+ROW()</f>
        <v>311050</v>
      </c>
      <c r="C557" s="787">
        <v>244</v>
      </c>
      <c r="D557" s="774" t="s">
        <v>1256</v>
      </c>
      <c r="E557" s="788" t="s">
        <v>1276</v>
      </c>
      <c r="F557" s="788" t="s">
        <v>1270</v>
      </c>
      <c r="G557" s="788">
        <v>60</v>
      </c>
      <c r="H557" s="788" t="s">
        <v>1</v>
      </c>
      <c r="I557" s="780" t="s">
        <v>1266</v>
      </c>
      <c r="J557" s="787" t="s">
        <v>42</v>
      </c>
      <c r="K557" s="793">
        <v>0.57999999999999996</v>
      </c>
      <c r="L557" s="790">
        <v>0</v>
      </c>
      <c r="M557" s="778">
        <v>1.5780000000000001</v>
      </c>
      <c r="N557" s="780">
        <v>1000</v>
      </c>
      <c r="O557" s="780">
        <v>1000</v>
      </c>
      <c r="P557" s="791">
        <v>100</v>
      </c>
      <c r="Q557" s="791">
        <v>100</v>
      </c>
      <c r="R557" s="792">
        <v>110.5</v>
      </c>
      <c r="S557" s="791">
        <v>100</v>
      </c>
      <c r="T557" s="791">
        <v>100</v>
      </c>
      <c r="U557" s="791">
        <v>1578</v>
      </c>
      <c r="V557" s="791">
        <v>28.404</v>
      </c>
      <c r="W557" s="791">
        <v>47.34</v>
      </c>
      <c r="X557" s="791">
        <v>6.3120000000000003</v>
      </c>
      <c r="Y557" s="791">
        <v>39.450000000000003</v>
      </c>
      <c r="Z557" s="791">
        <v>1183.5</v>
      </c>
      <c r="AA557" s="791">
        <v>789</v>
      </c>
      <c r="AB557" s="791">
        <v>1578</v>
      </c>
      <c r="AC557" s="791">
        <v>78.900000000000006</v>
      </c>
      <c r="AD557" s="791">
        <v>15.780000000000001</v>
      </c>
      <c r="AE557" s="791">
        <v>3.1560000000000001</v>
      </c>
      <c r="AF557" s="791"/>
      <c r="AG557" s="791"/>
      <c r="AH557" s="791"/>
      <c r="AI557" s="784"/>
      <c r="AK557" s="783">
        <f>IFERROR(Tabela1[[#This Row],[EE(g)]]/Tabela1[[#This Row],[CMS(kg)]],0)</f>
        <v>70.025348542458801</v>
      </c>
    </row>
    <row r="558" spans="2:37" hidden="1">
      <c r="B558" s="774">
        <f>ROW()^2+(Tabela1[[#This Row],[ID2]])+ROW()</f>
        <v>312175</v>
      </c>
      <c r="C558" s="787">
        <v>253</v>
      </c>
      <c r="D558" s="774" t="s">
        <v>1256</v>
      </c>
      <c r="E558" s="788" t="s">
        <v>1276</v>
      </c>
      <c r="F558" s="788" t="s">
        <v>1270</v>
      </c>
      <c r="G558" s="788">
        <v>60</v>
      </c>
      <c r="H558" s="788" t="s">
        <v>1</v>
      </c>
      <c r="I558" s="780" t="s">
        <v>1285</v>
      </c>
      <c r="J558" s="787" t="s">
        <v>42</v>
      </c>
      <c r="K558" s="793">
        <v>0.97</v>
      </c>
      <c r="L558" s="790">
        <v>0</v>
      </c>
      <c r="M558" s="778">
        <v>1.9380000000000002</v>
      </c>
      <c r="N558" s="780">
        <v>1000</v>
      </c>
      <c r="O558" s="780">
        <v>1000</v>
      </c>
      <c r="P558" s="791">
        <v>100</v>
      </c>
      <c r="Q558" s="791">
        <v>100</v>
      </c>
      <c r="R558" s="792">
        <v>135.69999999999999</v>
      </c>
      <c r="S558" s="791">
        <v>100</v>
      </c>
      <c r="T558" s="791">
        <v>100</v>
      </c>
      <c r="U558" s="791">
        <v>1938.0000000000002</v>
      </c>
      <c r="V558" s="791">
        <v>34.884</v>
      </c>
      <c r="W558" s="791">
        <v>58.140000000000008</v>
      </c>
      <c r="X558" s="791">
        <v>7.7520000000000007</v>
      </c>
      <c r="Y558" s="791">
        <v>48.45</v>
      </c>
      <c r="Z558" s="791">
        <v>1453.5000000000002</v>
      </c>
      <c r="AA558" s="791">
        <v>969.00000000000011</v>
      </c>
      <c r="AB558" s="791">
        <v>1938.0000000000002</v>
      </c>
      <c r="AC558" s="791">
        <v>96.9</v>
      </c>
      <c r="AD558" s="791">
        <v>19.380000000000003</v>
      </c>
      <c r="AE558" s="791">
        <v>3.8760000000000003</v>
      </c>
      <c r="AF558" s="791"/>
      <c r="AG558" s="791"/>
      <c r="AH558" s="791"/>
      <c r="AI558" s="784"/>
      <c r="AK558" s="783">
        <f>IFERROR(Tabela1[[#This Row],[EE(g)]]/Tabela1[[#This Row],[CMS(kg)]],0)</f>
        <v>70.020639834881308</v>
      </c>
    </row>
    <row r="559" spans="2:37" hidden="1">
      <c r="B559" s="774">
        <f>ROW()^2+(Tabela1[[#This Row],[ID2]])+ROW()</f>
        <v>313302</v>
      </c>
      <c r="C559" s="787">
        <v>262</v>
      </c>
      <c r="D559" s="774" t="s">
        <v>1256</v>
      </c>
      <c r="E559" s="788" t="s">
        <v>1276</v>
      </c>
      <c r="F559" s="788" t="s">
        <v>1270</v>
      </c>
      <c r="G559" s="788">
        <v>60</v>
      </c>
      <c r="H559" s="788" t="s">
        <v>1</v>
      </c>
      <c r="I559" s="780" t="s">
        <v>1286</v>
      </c>
      <c r="J559" s="787" t="s">
        <v>42</v>
      </c>
      <c r="K559" s="793">
        <v>1.26</v>
      </c>
      <c r="L559" s="790">
        <v>0</v>
      </c>
      <c r="M559" s="778">
        <v>2.202</v>
      </c>
      <c r="N559" s="780">
        <v>1000</v>
      </c>
      <c r="O559" s="780">
        <v>1000</v>
      </c>
      <c r="P559" s="791">
        <v>100</v>
      </c>
      <c r="Q559" s="791">
        <v>100</v>
      </c>
      <c r="R559" s="792">
        <v>154.1</v>
      </c>
      <c r="S559" s="791">
        <v>100</v>
      </c>
      <c r="T559" s="791">
        <v>100</v>
      </c>
      <c r="U559" s="791">
        <v>2202</v>
      </c>
      <c r="V559" s="791">
        <v>39.635999999999996</v>
      </c>
      <c r="W559" s="791">
        <v>66.06</v>
      </c>
      <c r="X559" s="791">
        <v>8.8079999999999998</v>
      </c>
      <c r="Y559" s="791">
        <v>55.05</v>
      </c>
      <c r="Z559" s="791">
        <v>1651.5</v>
      </c>
      <c r="AA559" s="791">
        <v>1101</v>
      </c>
      <c r="AB559" s="791">
        <v>2202</v>
      </c>
      <c r="AC559" s="791">
        <v>110.1</v>
      </c>
      <c r="AD559" s="791">
        <v>22.02</v>
      </c>
      <c r="AE559" s="791">
        <v>4.4039999999999999</v>
      </c>
      <c r="AF559" s="791"/>
      <c r="AG559" s="791"/>
      <c r="AH559" s="791"/>
      <c r="AI559" s="784"/>
      <c r="AK559" s="783">
        <f>IFERROR(Tabela1[[#This Row],[EE(g)]]/Tabela1[[#This Row],[CMS(kg)]],0)</f>
        <v>69.981834695731152</v>
      </c>
    </row>
    <row r="560" spans="2:37" hidden="1">
      <c r="B560" s="774">
        <f>ROW()^2+(Tabela1[[#This Row],[ID2]])+ROW()</f>
        <v>314405</v>
      </c>
      <c r="C560" s="787">
        <v>245</v>
      </c>
      <c r="D560" s="774" t="s">
        <v>1256</v>
      </c>
      <c r="E560" s="788" t="s">
        <v>1276</v>
      </c>
      <c r="F560" s="788" t="s">
        <v>1270</v>
      </c>
      <c r="G560" s="788">
        <v>70</v>
      </c>
      <c r="H560" s="788" t="s">
        <v>1</v>
      </c>
      <c r="I560" s="780" t="s">
        <v>1266</v>
      </c>
      <c r="J560" s="787" t="s">
        <v>42</v>
      </c>
      <c r="K560" s="793">
        <v>0.63</v>
      </c>
      <c r="L560" s="790">
        <v>0</v>
      </c>
      <c r="M560" s="778">
        <v>1.7569999999999999</v>
      </c>
      <c r="N560" s="780">
        <v>1000</v>
      </c>
      <c r="O560" s="780">
        <v>1000</v>
      </c>
      <c r="P560" s="791">
        <v>100</v>
      </c>
      <c r="Q560" s="791">
        <v>100</v>
      </c>
      <c r="R560" s="792">
        <v>123</v>
      </c>
      <c r="S560" s="791">
        <v>100</v>
      </c>
      <c r="T560" s="791">
        <v>100</v>
      </c>
      <c r="U560" s="791">
        <v>1757</v>
      </c>
      <c r="V560" s="791">
        <v>31.625999999999998</v>
      </c>
      <c r="W560" s="791">
        <v>52.709999999999994</v>
      </c>
      <c r="X560" s="791">
        <v>7.0279999999999996</v>
      </c>
      <c r="Y560" s="791">
        <v>43.924999999999997</v>
      </c>
      <c r="Z560" s="791">
        <v>1317.75</v>
      </c>
      <c r="AA560" s="791">
        <v>878.5</v>
      </c>
      <c r="AB560" s="791">
        <v>1757</v>
      </c>
      <c r="AC560" s="791">
        <v>87.85</v>
      </c>
      <c r="AD560" s="791">
        <v>17.57</v>
      </c>
      <c r="AE560" s="791">
        <v>3.5139999999999998</v>
      </c>
      <c r="AF560" s="791"/>
      <c r="AG560" s="791"/>
      <c r="AH560" s="791"/>
      <c r="AI560" s="784"/>
      <c r="AK560" s="783">
        <f>IFERROR(Tabela1[[#This Row],[EE(g)]]/Tabela1[[#This Row],[CMS(kg)]],0)</f>
        <v>70.005691519635747</v>
      </c>
    </row>
    <row r="561" spans="2:37" hidden="1">
      <c r="B561" s="774">
        <f>ROW()^2+(Tabela1[[#This Row],[ID2]])+ROW()</f>
        <v>315536</v>
      </c>
      <c r="C561" s="787">
        <v>254</v>
      </c>
      <c r="D561" s="774" t="s">
        <v>1256</v>
      </c>
      <c r="E561" s="788" t="s">
        <v>1276</v>
      </c>
      <c r="F561" s="788" t="s">
        <v>1270</v>
      </c>
      <c r="G561" s="788">
        <v>70</v>
      </c>
      <c r="H561" s="788" t="s">
        <v>1</v>
      </c>
      <c r="I561" s="780" t="s">
        <v>1285</v>
      </c>
      <c r="J561" s="787" t="s">
        <v>42</v>
      </c>
      <c r="K561" s="793">
        <v>1.05</v>
      </c>
      <c r="L561" s="790">
        <v>0</v>
      </c>
      <c r="M561" s="778">
        <v>2.1349999999999998</v>
      </c>
      <c r="N561" s="780">
        <v>1000</v>
      </c>
      <c r="O561" s="780">
        <v>1000</v>
      </c>
      <c r="P561" s="791">
        <v>100</v>
      </c>
      <c r="Q561" s="791">
        <v>100</v>
      </c>
      <c r="R561" s="792">
        <v>149.4</v>
      </c>
      <c r="S561" s="791">
        <v>100</v>
      </c>
      <c r="T561" s="791">
        <v>100</v>
      </c>
      <c r="U561" s="791">
        <v>2135</v>
      </c>
      <c r="V561" s="791">
        <v>38.429999999999993</v>
      </c>
      <c r="W561" s="791">
        <v>64.05</v>
      </c>
      <c r="X561" s="791">
        <v>8.5399999999999991</v>
      </c>
      <c r="Y561" s="791">
        <v>53.374999999999993</v>
      </c>
      <c r="Z561" s="791">
        <v>1601.2499999999998</v>
      </c>
      <c r="AA561" s="791">
        <v>1067.5</v>
      </c>
      <c r="AB561" s="791">
        <v>2135</v>
      </c>
      <c r="AC561" s="791">
        <v>106.74999999999999</v>
      </c>
      <c r="AD561" s="791">
        <v>21.349999999999998</v>
      </c>
      <c r="AE561" s="791">
        <v>4.2699999999999996</v>
      </c>
      <c r="AF561" s="791"/>
      <c r="AG561" s="791"/>
      <c r="AH561" s="791"/>
      <c r="AI561" s="784"/>
      <c r="AK561" s="783">
        <f>IFERROR(Tabela1[[#This Row],[EE(g)]]/Tabela1[[#This Row],[CMS(kg)]],0)</f>
        <v>69.976580796252932</v>
      </c>
    </row>
    <row r="562" spans="2:37" hidden="1">
      <c r="B562" s="774">
        <f>ROW()^2+(Tabela1[[#This Row],[ID2]])+ROW()</f>
        <v>316669</v>
      </c>
      <c r="C562" s="787">
        <v>263</v>
      </c>
      <c r="D562" s="774" t="s">
        <v>1256</v>
      </c>
      <c r="E562" s="788" t="s">
        <v>1276</v>
      </c>
      <c r="F562" s="788" t="s">
        <v>1270</v>
      </c>
      <c r="G562" s="788">
        <v>70</v>
      </c>
      <c r="H562" s="788" t="s">
        <v>1</v>
      </c>
      <c r="I562" s="780" t="s">
        <v>1286</v>
      </c>
      <c r="J562" s="787" t="s">
        <v>42</v>
      </c>
      <c r="K562" s="793">
        <v>1.36</v>
      </c>
      <c r="L562" s="790">
        <v>0</v>
      </c>
      <c r="M562" s="778">
        <v>2.4219999999999997</v>
      </c>
      <c r="N562" s="780">
        <v>1000</v>
      </c>
      <c r="O562" s="780">
        <v>1000</v>
      </c>
      <c r="P562" s="791">
        <v>100</v>
      </c>
      <c r="Q562" s="791">
        <v>100</v>
      </c>
      <c r="R562" s="792">
        <v>169.5</v>
      </c>
      <c r="S562" s="791">
        <v>100</v>
      </c>
      <c r="T562" s="791">
        <v>100</v>
      </c>
      <c r="U562" s="791">
        <v>2421.9999999999995</v>
      </c>
      <c r="V562" s="791">
        <v>43.595999999999997</v>
      </c>
      <c r="W562" s="791">
        <v>72.66</v>
      </c>
      <c r="X562" s="791">
        <v>9.6879999999999988</v>
      </c>
      <c r="Y562" s="791">
        <v>60.54999999999999</v>
      </c>
      <c r="Z562" s="791">
        <v>1816.4999999999998</v>
      </c>
      <c r="AA562" s="791">
        <v>1210.9999999999998</v>
      </c>
      <c r="AB562" s="791">
        <v>2421.9999999999995</v>
      </c>
      <c r="AC562" s="791">
        <v>121.09999999999998</v>
      </c>
      <c r="AD562" s="791">
        <v>24.22</v>
      </c>
      <c r="AE562" s="791">
        <v>4.8439999999999994</v>
      </c>
      <c r="AF562" s="791"/>
      <c r="AG562" s="791"/>
      <c r="AH562" s="791"/>
      <c r="AI562" s="784"/>
      <c r="AK562" s="783">
        <f>IFERROR(Tabela1[[#This Row],[EE(g)]]/Tabela1[[#This Row],[CMS(kg)]],0)</f>
        <v>69.983484723369131</v>
      </c>
    </row>
    <row r="563" spans="2:37" hidden="1">
      <c r="B563" s="774">
        <f>ROW()^2+(Tabela1[[#This Row],[ID2]])+ROW()</f>
        <v>317778</v>
      </c>
      <c r="C563" s="787">
        <v>246</v>
      </c>
      <c r="D563" s="774" t="s">
        <v>1256</v>
      </c>
      <c r="E563" s="788" t="s">
        <v>1276</v>
      </c>
      <c r="F563" s="788" t="s">
        <v>1270</v>
      </c>
      <c r="G563" s="788">
        <v>80</v>
      </c>
      <c r="H563" s="788" t="s">
        <v>1</v>
      </c>
      <c r="I563" s="780" t="s">
        <v>1266</v>
      </c>
      <c r="J563" s="787" t="s">
        <v>42</v>
      </c>
      <c r="K563" s="793">
        <v>0.67</v>
      </c>
      <c r="L563" s="790">
        <v>0</v>
      </c>
      <c r="M563" s="778">
        <v>1.9120000000000001</v>
      </c>
      <c r="N563" s="780">
        <v>1000</v>
      </c>
      <c r="O563" s="780">
        <v>1000</v>
      </c>
      <c r="P563" s="791">
        <v>100</v>
      </c>
      <c r="Q563" s="791">
        <v>100</v>
      </c>
      <c r="R563" s="792">
        <v>133.80000000000001</v>
      </c>
      <c r="S563" s="791">
        <v>100</v>
      </c>
      <c r="T563" s="791">
        <v>100</v>
      </c>
      <c r="U563" s="791">
        <v>1912.0000000000002</v>
      </c>
      <c r="V563" s="791">
        <v>34.416000000000004</v>
      </c>
      <c r="W563" s="791">
        <v>57.360000000000007</v>
      </c>
      <c r="X563" s="791">
        <v>7.6480000000000006</v>
      </c>
      <c r="Y563" s="791">
        <v>47.800000000000004</v>
      </c>
      <c r="Z563" s="791">
        <v>1434</v>
      </c>
      <c r="AA563" s="791">
        <v>956.00000000000011</v>
      </c>
      <c r="AB563" s="791">
        <v>1912.0000000000002</v>
      </c>
      <c r="AC563" s="791">
        <v>95.600000000000009</v>
      </c>
      <c r="AD563" s="791">
        <v>19.12</v>
      </c>
      <c r="AE563" s="791">
        <v>3.8240000000000003</v>
      </c>
      <c r="AF563" s="791"/>
      <c r="AG563" s="791"/>
      <c r="AH563" s="791"/>
      <c r="AI563" s="784"/>
      <c r="AK563" s="783">
        <f>IFERROR(Tabela1[[#This Row],[EE(g)]]/Tabela1[[#This Row],[CMS(kg)]],0)</f>
        <v>69.979079497907946</v>
      </c>
    </row>
    <row r="564" spans="2:37" hidden="1">
      <c r="B564" s="774">
        <f>ROW()^2+(Tabela1[[#This Row],[ID2]])+ROW()</f>
        <v>318915</v>
      </c>
      <c r="C564" s="787">
        <v>255</v>
      </c>
      <c r="D564" s="774" t="s">
        <v>1256</v>
      </c>
      <c r="E564" s="788" t="s">
        <v>1276</v>
      </c>
      <c r="F564" s="788" t="s">
        <v>1270</v>
      </c>
      <c r="G564" s="788">
        <v>80</v>
      </c>
      <c r="H564" s="788" t="s">
        <v>1</v>
      </c>
      <c r="I564" s="780" t="s">
        <v>1285</v>
      </c>
      <c r="J564" s="787" t="s">
        <v>42</v>
      </c>
      <c r="K564" s="793">
        <v>1.1200000000000001</v>
      </c>
      <c r="L564" s="790">
        <v>0</v>
      </c>
      <c r="M564" s="778">
        <v>2.3280000000000003</v>
      </c>
      <c r="N564" s="780">
        <v>1000</v>
      </c>
      <c r="O564" s="780">
        <v>1000</v>
      </c>
      <c r="P564" s="791">
        <v>100</v>
      </c>
      <c r="Q564" s="791">
        <v>100</v>
      </c>
      <c r="R564" s="792">
        <v>163</v>
      </c>
      <c r="S564" s="791">
        <v>100</v>
      </c>
      <c r="T564" s="791">
        <v>100</v>
      </c>
      <c r="U564" s="791">
        <v>2328.0000000000005</v>
      </c>
      <c r="V564" s="791">
        <v>41.904000000000003</v>
      </c>
      <c r="W564" s="791">
        <v>69.84</v>
      </c>
      <c r="X564" s="791">
        <v>9.3120000000000012</v>
      </c>
      <c r="Y564" s="791">
        <v>58.20000000000001</v>
      </c>
      <c r="Z564" s="791">
        <v>1746.0000000000002</v>
      </c>
      <c r="AA564" s="791">
        <v>1164.0000000000002</v>
      </c>
      <c r="AB564" s="791">
        <v>2328.0000000000005</v>
      </c>
      <c r="AC564" s="791">
        <v>116.40000000000002</v>
      </c>
      <c r="AD564" s="791">
        <v>23.28</v>
      </c>
      <c r="AE564" s="791">
        <v>4.6560000000000006</v>
      </c>
      <c r="AF564" s="791"/>
      <c r="AG564" s="791"/>
      <c r="AH564" s="791"/>
      <c r="AI564" s="784"/>
      <c r="AK564" s="783">
        <f>IFERROR(Tabela1[[#This Row],[EE(g)]]/Tabela1[[#This Row],[CMS(kg)]],0)</f>
        <v>70.017182130584189</v>
      </c>
    </row>
    <row r="565" spans="2:37" hidden="1">
      <c r="B565" s="774">
        <f>ROW()^2+(Tabela1[[#This Row],[ID2]])+ROW()</f>
        <v>320054</v>
      </c>
      <c r="C565" s="787">
        <v>264</v>
      </c>
      <c r="D565" s="774" t="s">
        <v>1256</v>
      </c>
      <c r="E565" s="788" t="s">
        <v>1276</v>
      </c>
      <c r="F565" s="788" t="s">
        <v>1270</v>
      </c>
      <c r="G565" s="788">
        <v>80</v>
      </c>
      <c r="H565" s="788" t="s">
        <v>1</v>
      </c>
      <c r="I565" s="780" t="s">
        <v>1286</v>
      </c>
      <c r="J565" s="787" t="s">
        <v>42</v>
      </c>
      <c r="K565" s="793">
        <v>1.45</v>
      </c>
      <c r="L565" s="790">
        <v>0</v>
      </c>
      <c r="M565" s="778">
        <v>2.6319999999999997</v>
      </c>
      <c r="N565" s="780">
        <v>1000</v>
      </c>
      <c r="O565" s="780">
        <v>1000</v>
      </c>
      <c r="P565" s="791">
        <v>100</v>
      </c>
      <c r="Q565" s="791">
        <v>100</v>
      </c>
      <c r="R565" s="792">
        <v>184.2</v>
      </c>
      <c r="S565" s="791">
        <v>100</v>
      </c>
      <c r="T565" s="791">
        <v>100</v>
      </c>
      <c r="U565" s="791">
        <v>2631.9999999999995</v>
      </c>
      <c r="V565" s="791">
        <v>47.375999999999991</v>
      </c>
      <c r="W565" s="791">
        <v>78.959999999999994</v>
      </c>
      <c r="X565" s="791">
        <v>10.527999999999999</v>
      </c>
      <c r="Y565" s="791">
        <v>65.8</v>
      </c>
      <c r="Z565" s="791">
        <v>1973.9999999999998</v>
      </c>
      <c r="AA565" s="791">
        <v>1315.9999999999998</v>
      </c>
      <c r="AB565" s="791">
        <v>2631.9999999999995</v>
      </c>
      <c r="AC565" s="791">
        <v>131.6</v>
      </c>
      <c r="AD565" s="791">
        <v>26.319999999999997</v>
      </c>
      <c r="AE565" s="791">
        <v>5.2639999999999993</v>
      </c>
      <c r="AF565" s="791"/>
      <c r="AG565" s="791"/>
      <c r="AH565" s="791"/>
      <c r="AI565" s="784"/>
      <c r="AK565" s="783">
        <f>IFERROR(Tabela1[[#This Row],[EE(g)]]/Tabela1[[#This Row],[CMS(kg)]],0)</f>
        <v>69.984802431610944</v>
      </c>
    </row>
    <row r="566" spans="2:37" hidden="1">
      <c r="B566" s="774">
        <f>ROW()^2+(Tabela1[[#This Row],[ID2]])+ROW()</f>
        <v>321169</v>
      </c>
      <c r="C566" s="787">
        <v>247</v>
      </c>
      <c r="D566" s="774" t="s">
        <v>1256</v>
      </c>
      <c r="E566" s="788" t="s">
        <v>1276</v>
      </c>
      <c r="F566" s="788" t="s">
        <v>1270</v>
      </c>
      <c r="G566" s="788">
        <v>90</v>
      </c>
      <c r="H566" s="788" t="s">
        <v>1</v>
      </c>
      <c r="I566" s="780" t="s">
        <v>1266</v>
      </c>
      <c r="J566" s="787" t="s">
        <v>42</v>
      </c>
      <c r="K566" s="793">
        <v>0.71</v>
      </c>
      <c r="L566" s="790">
        <v>0</v>
      </c>
      <c r="M566" s="778">
        <v>2.0699999999999998</v>
      </c>
      <c r="N566" s="780">
        <v>1000</v>
      </c>
      <c r="O566" s="780">
        <v>1000</v>
      </c>
      <c r="P566" s="791">
        <v>100</v>
      </c>
      <c r="Q566" s="791">
        <v>100</v>
      </c>
      <c r="R566" s="792">
        <v>144.9</v>
      </c>
      <c r="S566" s="791">
        <v>100</v>
      </c>
      <c r="T566" s="791">
        <v>100</v>
      </c>
      <c r="U566" s="791">
        <v>2070</v>
      </c>
      <c r="V566" s="791">
        <v>37.26</v>
      </c>
      <c r="W566" s="791">
        <v>62.099999999999994</v>
      </c>
      <c r="X566" s="791">
        <v>8.2799999999999994</v>
      </c>
      <c r="Y566" s="791">
        <v>51.749999999999993</v>
      </c>
      <c r="Z566" s="791">
        <v>1552.4999999999998</v>
      </c>
      <c r="AA566" s="791">
        <v>1035</v>
      </c>
      <c r="AB566" s="791">
        <v>2070</v>
      </c>
      <c r="AC566" s="791">
        <v>103.49999999999999</v>
      </c>
      <c r="AD566" s="791">
        <v>20.7</v>
      </c>
      <c r="AE566" s="791">
        <v>4.1399999999999997</v>
      </c>
      <c r="AF566" s="791"/>
      <c r="AG566" s="791"/>
      <c r="AH566" s="791"/>
      <c r="AI566" s="784"/>
      <c r="AK566" s="783">
        <f>IFERROR(Tabela1[[#This Row],[EE(g)]]/Tabela1[[#This Row],[CMS(kg)]],0)</f>
        <v>70.000000000000014</v>
      </c>
    </row>
    <row r="567" spans="2:37" hidden="1">
      <c r="B567" s="774">
        <f>ROW()^2+(Tabela1[[#This Row],[ID2]])+ROW()</f>
        <v>322312</v>
      </c>
      <c r="C567" s="787">
        <v>256</v>
      </c>
      <c r="D567" s="774" t="s">
        <v>1256</v>
      </c>
      <c r="E567" s="788" t="s">
        <v>1276</v>
      </c>
      <c r="F567" s="788" t="s">
        <v>1270</v>
      </c>
      <c r="G567" s="788">
        <v>90</v>
      </c>
      <c r="H567" s="788" t="s">
        <v>1</v>
      </c>
      <c r="I567" s="780" t="s">
        <v>1285</v>
      </c>
      <c r="J567" s="787" t="s">
        <v>42</v>
      </c>
      <c r="K567" s="793">
        <v>1.19</v>
      </c>
      <c r="L567" s="790">
        <v>0</v>
      </c>
      <c r="M567" s="778">
        <v>2.5110000000000001</v>
      </c>
      <c r="N567" s="780">
        <v>1000</v>
      </c>
      <c r="O567" s="780">
        <v>1000</v>
      </c>
      <c r="P567" s="791">
        <v>100</v>
      </c>
      <c r="Q567" s="791">
        <v>100</v>
      </c>
      <c r="R567" s="792">
        <v>175.8</v>
      </c>
      <c r="S567" s="791">
        <v>100</v>
      </c>
      <c r="T567" s="791">
        <v>100</v>
      </c>
      <c r="U567" s="791">
        <v>2511</v>
      </c>
      <c r="V567" s="791">
        <v>45.198</v>
      </c>
      <c r="W567" s="791">
        <v>75.33</v>
      </c>
      <c r="X567" s="791">
        <v>10.044</v>
      </c>
      <c r="Y567" s="791">
        <v>62.775000000000006</v>
      </c>
      <c r="Z567" s="791">
        <v>1883.25</v>
      </c>
      <c r="AA567" s="791">
        <v>1255.5</v>
      </c>
      <c r="AB567" s="791">
        <v>2511</v>
      </c>
      <c r="AC567" s="791">
        <v>125.55000000000001</v>
      </c>
      <c r="AD567" s="791">
        <v>25.11</v>
      </c>
      <c r="AE567" s="791">
        <v>5.0220000000000002</v>
      </c>
      <c r="AF567" s="791"/>
      <c r="AG567" s="791"/>
      <c r="AH567" s="791"/>
      <c r="AI567" s="784"/>
      <c r="AK567" s="783">
        <f>IFERROR(Tabela1[[#This Row],[EE(g)]]/Tabela1[[#This Row],[CMS(kg)]],0)</f>
        <v>70.011947431302275</v>
      </c>
    </row>
    <row r="568" spans="2:37" hidden="1">
      <c r="B568" s="774">
        <f>ROW()^2+(Tabela1[[#This Row],[ID2]])+ROW()</f>
        <v>323457</v>
      </c>
      <c r="C568" s="787">
        <v>265</v>
      </c>
      <c r="D568" s="774" t="s">
        <v>1256</v>
      </c>
      <c r="E568" s="788" t="s">
        <v>1276</v>
      </c>
      <c r="F568" s="788" t="s">
        <v>1270</v>
      </c>
      <c r="G568" s="788">
        <v>90</v>
      </c>
      <c r="H568" s="788" t="s">
        <v>1</v>
      </c>
      <c r="I568" s="780" t="s">
        <v>1286</v>
      </c>
      <c r="J568" s="787" t="s">
        <v>42</v>
      </c>
      <c r="K568" s="793">
        <v>1.54</v>
      </c>
      <c r="L568" s="790">
        <v>0</v>
      </c>
      <c r="M568" s="778">
        <v>2.835</v>
      </c>
      <c r="N568" s="780">
        <v>1000</v>
      </c>
      <c r="O568" s="780">
        <v>1000</v>
      </c>
      <c r="P568" s="791">
        <v>100</v>
      </c>
      <c r="Q568" s="791">
        <v>100</v>
      </c>
      <c r="R568" s="792">
        <v>198.4</v>
      </c>
      <c r="S568" s="791">
        <v>100</v>
      </c>
      <c r="T568" s="791">
        <v>100</v>
      </c>
      <c r="U568" s="791">
        <v>2835</v>
      </c>
      <c r="V568" s="791">
        <v>51.03</v>
      </c>
      <c r="W568" s="791">
        <v>85.05</v>
      </c>
      <c r="X568" s="791">
        <v>11.34</v>
      </c>
      <c r="Y568" s="791">
        <v>70.875</v>
      </c>
      <c r="Z568" s="791">
        <v>2126.25</v>
      </c>
      <c r="AA568" s="791">
        <v>1417.5</v>
      </c>
      <c r="AB568" s="791">
        <v>2835</v>
      </c>
      <c r="AC568" s="791">
        <v>141.75</v>
      </c>
      <c r="AD568" s="791">
        <v>28.35</v>
      </c>
      <c r="AE568" s="791">
        <v>5.67</v>
      </c>
      <c r="AF568" s="791"/>
      <c r="AG568" s="791"/>
      <c r="AH568" s="791"/>
      <c r="AI568" s="784"/>
      <c r="AK568" s="783">
        <f>IFERROR(Tabela1[[#This Row],[EE(g)]]/Tabela1[[#This Row],[CMS(kg)]],0)</f>
        <v>69.982363315696645</v>
      </c>
    </row>
    <row r="569" spans="2:37" hidden="1">
      <c r="B569" s="774">
        <f>ROW()^2+(Tabela1[[#This Row],[ID2]])+ROW()</f>
        <v>324578</v>
      </c>
      <c r="C569" s="787">
        <v>248</v>
      </c>
      <c r="D569" s="774" t="s">
        <v>1256</v>
      </c>
      <c r="E569" s="788" t="s">
        <v>1276</v>
      </c>
      <c r="F569" s="788" t="s">
        <v>1270</v>
      </c>
      <c r="G569" s="788">
        <v>100</v>
      </c>
      <c r="H569" s="788" t="s">
        <v>1</v>
      </c>
      <c r="I569" s="780" t="s">
        <v>1266</v>
      </c>
      <c r="J569" s="787" t="s">
        <v>42</v>
      </c>
      <c r="K569" s="793">
        <v>0.75</v>
      </c>
      <c r="L569" s="790">
        <v>0</v>
      </c>
      <c r="M569" s="778">
        <v>2.2200000000000002</v>
      </c>
      <c r="N569" s="780">
        <v>1000</v>
      </c>
      <c r="O569" s="780">
        <v>1000</v>
      </c>
      <c r="P569" s="791">
        <v>100</v>
      </c>
      <c r="Q569" s="791">
        <v>100</v>
      </c>
      <c r="R569" s="792">
        <v>155.4</v>
      </c>
      <c r="S569" s="791">
        <v>100</v>
      </c>
      <c r="T569" s="791">
        <v>100</v>
      </c>
      <c r="U569" s="791">
        <v>2220</v>
      </c>
      <c r="V569" s="791">
        <v>39.96</v>
      </c>
      <c r="W569" s="791">
        <v>66.600000000000009</v>
      </c>
      <c r="X569" s="791">
        <v>8.8800000000000008</v>
      </c>
      <c r="Y569" s="791">
        <v>55.500000000000007</v>
      </c>
      <c r="Z569" s="791">
        <v>1665.0000000000002</v>
      </c>
      <c r="AA569" s="791">
        <v>1110</v>
      </c>
      <c r="AB569" s="791">
        <v>2220</v>
      </c>
      <c r="AC569" s="791">
        <v>111.00000000000001</v>
      </c>
      <c r="AD569" s="791">
        <v>22.200000000000003</v>
      </c>
      <c r="AE569" s="791">
        <v>4.4400000000000004</v>
      </c>
      <c r="AF569" s="791"/>
      <c r="AG569" s="791"/>
      <c r="AH569" s="791"/>
      <c r="AI569" s="784"/>
      <c r="AK569" s="783">
        <f>IFERROR(Tabela1[[#This Row],[EE(g)]]/Tabela1[[#This Row],[CMS(kg)]],0)</f>
        <v>70</v>
      </c>
    </row>
    <row r="570" spans="2:37" hidden="1">
      <c r="B570" s="774">
        <f>ROW()^2+(Tabela1[[#This Row],[ID2]])+ROW()</f>
        <v>325727</v>
      </c>
      <c r="C570" s="787">
        <v>257</v>
      </c>
      <c r="D570" s="774" t="s">
        <v>1256</v>
      </c>
      <c r="E570" s="788" t="s">
        <v>1276</v>
      </c>
      <c r="F570" s="788" t="s">
        <v>1270</v>
      </c>
      <c r="G570" s="788">
        <v>100</v>
      </c>
      <c r="H570" s="788" t="s">
        <v>1</v>
      </c>
      <c r="I570" s="780" t="s">
        <v>1285</v>
      </c>
      <c r="J570" s="787" t="s">
        <v>42</v>
      </c>
      <c r="K570" s="793">
        <v>1.25</v>
      </c>
      <c r="L570" s="790">
        <v>0</v>
      </c>
      <c r="M570" s="778">
        <v>2.68</v>
      </c>
      <c r="N570" s="780">
        <v>1000</v>
      </c>
      <c r="O570" s="780">
        <v>1000</v>
      </c>
      <c r="P570" s="791">
        <v>100</v>
      </c>
      <c r="Q570" s="791">
        <v>100</v>
      </c>
      <c r="R570" s="792">
        <v>187.6</v>
      </c>
      <c r="S570" s="791">
        <v>100</v>
      </c>
      <c r="T570" s="791">
        <v>100</v>
      </c>
      <c r="U570" s="791">
        <v>2680</v>
      </c>
      <c r="V570" s="791">
        <v>48.24</v>
      </c>
      <c r="W570" s="791">
        <v>80.400000000000006</v>
      </c>
      <c r="X570" s="791">
        <v>10.72</v>
      </c>
      <c r="Y570" s="791">
        <v>67</v>
      </c>
      <c r="Z570" s="791">
        <v>2010.0000000000002</v>
      </c>
      <c r="AA570" s="791">
        <v>1340</v>
      </c>
      <c r="AB570" s="791">
        <v>2680</v>
      </c>
      <c r="AC570" s="791">
        <v>134</v>
      </c>
      <c r="AD570" s="791">
        <v>26.8</v>
      </c>
      <c r="AE570" s="791">
        <v>5.36</v>
      </c>
      <c r="AF570" s="791"/>
      <c r="AG570" s="791"/>
      <c r="AH570" s="791"/>
      <c r="AI570" s="784"/>
      <c r="AK570" s="783">
        <f>IFERROR(Tabela1[[#This Row],[EE(g)]]/Tabela1[[#This Row],[CMS(kg)]],0)</f>
        <v>70</v>
      </c>
    </row>
    <row r="571" spans="2:37" hidden="1">
      <c r="B571" s="774">
        <f>ROW()^2+(Tabela1[[#This Row],[ID2]])+ROW()</f>
        <v>326878</v>
      </c>
      <c r="C571" s="787">
        <v>266</v>
      </c>
      <c r="D571" s="774" t="s">
        <v>1256</v>
      </c>
      <c r="E571" s="788" t="s">
        <v>1276</v>
      </c>
      <c r="F571" s="788" t="s">
        <v>1270</v>
      </c>
      <c r="G571" s="788">
        <v>100</v>
      </c>
      <c r="H571" s="788" t="s">
        <v>1</v>
      </c>
      <c r="I571" s="780" t="s">
        <v>1286</v>
      </c>
      <c r="J571" s="787" t="s">
        <v>42</v>
      </c>
      <c r="K571" s="793">
        <v>1.63</v>
      </c>
      <c r="L571" s="790">
        <v>0</v>
      </c>
      <c r="M571" s="778">
        <v>3.03</v>
      </c>
      <c r="N571" s="780">
        <v>1000</v>
      </c>
      <c r="O571" s="780">
        <v>1000</v>
      </c>
      <c r="P571" s="791">
        <v>100</v>
      </c>
      <c r="Q571" s="791">
        <v>100</v>
      </c>
      <c r="R571" s="792">
        <v>212.10000000000002</v>
      </c>
      <c r="S571" s="791">
        <v>100</v>
      </c>
      <c r="T571" s="791">
        <v>100</v>
      </c>
      <c r="U571" s="791">
        <v>3030</v>
      </c>
      <c r="V571" s="791">
        <v>54.54</v>
      </c>
      <c r="W571" s="791">
        <v>90.899999999999991</v>
      </c>
      <c r="X571" s="791">
        <v>12.12</v>
      </c>
      <c r="Y571" s="791">
        <v>75.75</v>
      </c>
      <c r="Z571" s="791">
        <v>2272.5</v>
      </c>
      <c r="AA571" s="791">
        <v>1515</v>
      </c>
      <c r="AB571" s="791">
        <v>3030</v>
      </c>
      <c r="AC571" s="791">
        <v>151.5</v>
      </c>
      <c r="AD571" s="791">
        <v>30.299999999999997</v>
      </c>
      <c r="AE571" s="791">
        <v>6.06</v>
      </c>
      <c r="AF571" s="791"/>
      <c r="AG571" s="791"/>
      <c r="AH571" s="791"/>
      <c r="AI571" s="784"/>
      <c r="AK571" s="783">
        <f>IFERROR(Tabela1[[#This Row],[EE(g)]]/Tabela1[[#This Row],[CMS(kg)]],0)</f>
        <v>70.000000000000014</v>
      </c>
    </row>
    <row r="572" spans="2:37" hidden="1">
      <c r="B572" s="774">
        <f>ROW()^2+(Tabela1[[#This Row],[ID2]])+ROW()</f>
        <v>328005</v>
      </c>
      <c r="C572" s="787">
        <v>249</v>
      </c>
      <c r="D572" s="774" t="s">
        <v>1256</v>
      </c>
      <c r="E572" s="788" t="s">
        <v>1276</v>
      </c>
      <c r="F572" s="788" t="s">
        <v>1270</v>
      </c>
      <c r="G572" s="788">
        <v>120</v>
      </c>
      <c r="H572" s="788" t="s">
        <v>1</v>
      </c>
      <c r="I572" s="780" t="s">
        <v>1266</v>
      </c>
      <c r="J572" s="787" t="s">
        <v>42</v>
      </c>
      <c r="K572" s="793">
        <v>0.82</v>
      </c>
      <c r="L572" s="790">
        <v>0</v>
      </c>
      <c r="M572" s="778">
        <v>2.52</v>
      </c>
      <c r="N572" s="780">
        <v>1000</v>
      </c>
      <c r="O572" s="780">
        <v>1000</v>
      </c>
      <c r="P572" s="791">
        <v>100</v>
      </c>
      <c r="Q572" s="791">
        <v>100</v>
      </c>
      <c r="R572" s="792">
        <v>176.4</v>
      </c>
      <c r="S572" s="791">
        <v>100</v>
      </c>
      <c r="T572" s="791">
        <v>100</v>
      </c>
      <c r="U572" s="791">
        <v>2520</v>
      </c>
      <c r="V572" s="791">
        <v>45.36</v>
      </c>
      <c r="W572" s="791">
        <v>75.599999999999994</v>
      </c>
      <c r="X572" s="791">
        <v>10.08</v>
      </c>
      <c r="Y572" s="791">
        <v>63</v>
      </c>
      <c r="Z572" s="791">
        <v>1890</v>
      </c>
      <c r="AA572" s="791">
        <v>1260</v>
      </c>
      <c r="AB572" s="791">
        <v>2520</v>
      </c>
      <c r="AC572" s="791">
        <v>126</v>
      </c>
      <c r="AD572" s="791">
        <v>25.2</v>
      </c>
      <c r="AE572" s="791">
        <v>5.04</v>
      </c>
      <c r="AF572" s="791"/>
      <c r="AG572" s="791"/>
      <c r="AH572" s="791"/>
      <c r="AI572" s="784"/>
      <c r="AK572" s="783">
        <f>IFERROR(Tabela1[[#This Row],[EE(g)]]/Tabela1[[#This Row],[CMS(kg)]],0)</f>
        <v>70</v>
      </c>
    </row>
    <row r="573" spans="2:37" hidden="1">
      <c r="B573" s="774">
        <f>ROW()^2+(Tabela1[[#This Row],[ID2]])+ROW()</f>
        <v>329160</v>
      </c>
      <c r="C573" s="787">
        <v>258</v>
      </c>
      <c r="D573" s="774" t="s">
        <v>1256</v>
      </c>
      <c r="E573" s="788" t="s">
        <v>1276</v>
      </c>
      <c r="F573" s="788" t="s">
        <v>1270</v>
      </c>
      <c r="G573" s="788">
        <v>120</v>
      </c>
      <c r="H573" s="788" t="s">
        <v>1</v>
      </c>
      <c r="I573" s="780" t="s">
        <v>1285</v>
      </c>
      <c r="J573" s="787" t="s">
        <v>42</v>
      </c>
      <c r="K573" s="793">
        <v>1.37</v>
      </c>
      <c r="L573" s="790">
        <v>0</v>
      </c>
      <c r="M573" s="778">
        <v>3.0119999999999996</v>
      </c>
      <c r="N573" s="780">
        <v>1000</v>
      </c>
      <c r="O573" s="780">
        <v>1000</v>
      </c>
      <c r="P573" s="791">
        <v>100</v>
      </c>
      <c r="Q573" s="791">
        <v>100</v>
      </c>
      <c r="R573" s="792">
        <v>210.79999999999998</v>
      </c>
      <c r="S573" s="791">
        <v>100</v>
      </c>
      <c r="T573" s="791">
        <v>100</v>
      </c>
      <c r="U573" s="791">
        <v>3011.9999999999995</v>
      </c>
      <c r="V573" s="791">
        <v>54.215999999999994</v>
      </c>
      <c r="W573" s="791">
        <v>90.359999999999985</v>
      </c>
      <c r="X573" s="791">
        <v>12.047999999999998</v>
      </c>
      <c r="Y573" s="791">
        <v>75.299999999999983</v>
      </c>
      <c r="Z573" s="791">
        <v>2258.9999999999995</v>
      </c>
      <c r="AA573" s="791">
        <v>1505.9999999999998</v>
      </c>
      <c r="AB573" s="791">
        <v>3011.9999999999995</v>
      </c>
      <c r="AC573" s="791">
        <v>150.59999999999997</v>
      </c>
      <c r="AD573" s="791">
        <v>30.119999999999997</v>
      </c>
      <c r="AE573" s="791">
        <v>6.0239999999999991</v>
      </c>
      <c r="AF573" s="791"/>
      <c r="AG573" s="791"/>
      <c r="AH573" s="791"/>
      <c r="AI573" s="784"/>
      <c r="AK573" s="783">
        <f>IFERROR(Tabela1[[#This Row],[EE(g)]]/Tabela1[[#This Row],[CMS(kg)]],0)</f>
        <v>69.986719787516606</v>
      </c>
    </row>
    <row r="574" spans="2:37" hidden="1">
      <c r="B574" s="774">
        <f>ROW()^2+(Tabela1[[#This Row],[ID2]])+ROW()</f>
        <v>330317</v>
      </c>
      <c r="C574" s="787">
        <v>267</v>
      </c>
      <c r="D574" s="774" t="s">
        <v>1256</v>
      </c>
      <c r="E574" s="788" t="s">
        <v>1276</v>
      </c>
      <c r="F574" s="788" t="s">
        <v>1270</v>
      </c>
      <c r="G574" s="788">
        <v>120</v>
      </c>
      <c r="H574" s="788" t="s">
        <v>1</v>
      </c>
      <c r="I574" s="780" t="s">
        <v>1286</v>
      </c>
      <c r="J574" s="787" t="s">
        <v>42</v>
      </c>
      <c r="K574" s="793">
        <v>1.78</v>
      </c>
      <c r="L574" s="790">
        <v>0</v>
      </c>
      <c r="M574" s="778">
        <v>3.3960000000000004</v>
      </c>
      <c r="N574" s="780">
        <v>1000</v>
      </c>
      <c r="O574" s="780">
        <v>1000</v>
      </c>
      <c r="P574" s="791">
        <v>100</v>
      </c>
      <c r="Q574" s="791">
        <v>100</v>
      </c>
      <c r="R574" s="792">
        <v>237.7</v>
      </c>
      <c r="S574" s="791">
        <v>100</v>
      </c>
      <c r="T574" s="791">
        <v>100</v>
      </c>
      <c r="U574" s="791">
        <v>3396.0000000000005</v>
      </c>
      <c r="V574" s="791">
        <v>61.128000000000007</v>
      </c>
      <c r="W574" s="791">
        <v>101.88000000000001</v>
      </c>
      <c r="X574" s="791">
        <v>13.584000000000001</v>
      </c>
      <c r="Y574" s="791">
        <v>84.9</v>
      </c>
      <c r="Z574" s="791">
        <v>2547.0000000000005</v>
      </c>
      <c r="AA574" s="791">
        <v>1698.0000000000002</v>
      </c>
      <c r="AB574" s="791">
        <v>3396.0000000000005</v>
      </c>
      <c r="AC574" s="791">
        <v>169.8</v>
      </c>
      <c r="AD574" s="791">
        <v>33.96</v>
      </c>
      <c r="AE574" s="791">
        <v>6.7920000000000007</v>
      </c>
      <c r="AF574" s="791"/>
      <c r="AG574" s="791"/>
      <c r="AH574" s="791"/>
      <c r="AI574" s="784"/>
      <c r="AK574" s="783">
        <f>IFERROR(Tabela1[[#This Row],[EE(g)]]/Tabela1[[#This Row],[CMS(kg)]],0)</f>
        <v>69.994110718492337</v>
      </c>
    </row>
    <row r="575" spans="2:37" hidden="1">
      <c r="B575" s="774">
        <f>ROW()^2+(Tabela1[[#This Row],[ID2]])+ROW()</f>
        <v>331450</v>
      </c>
      <c r="C575" s="787">
        <v>250</v>
      </c>
      <c r="D575" s="774" t="s">
        <v>1256</v>
      </c>
      <c r="E575" s="788" t="s">
        <v>1276</v>
      </c>
      <c r="F575" s="788" t="s">
        <v>1270</v>
      </c>
      <c r="G575" s="788">
        <v>140</v>
      </c>
      <c r="H575" s="788" t="s">
        <v>1</v>
      </c>
      <c r="I575" s="780" t="s">
        <v>1266</v>
      </c>
      <c r="J575" s="787" t="s">
        <v>42</v>
      </c>
      <c r="K575" s="793">
        <v>0.89</v>
      </c>
      <c r="L575" s="790">
        <v>0</v>
      </c>
      <c r="M575" s="778">
        <v>2.8000000000000003</v>
      </c>
      <c r="N575" s="780">
        <v>1000</v>
      </c>
      <c r="O575" s="780">
        <v>1000</v>
      </c>
      <c r="P575" s="791">
        <v>100</v>
      </c>
      <c r="Q575" s="791">
        <v>100</v>
      </c>
      <c r="R575" s="792">
        <v>196</v>
      </c>
      <c r="S575" s="791">
        <v>100</v>
      </c>
      <c r="T575" s="791">
        <v>100</v>
      </c>
      <c r="U575" s="791">
        <v>2800.0000000000005</v>
      </c>
      <c r="V575" s="791">
        <v>50.400000000000006</v>
      </c>
      <c r="W575" s="791">
        <v>84.000000000000014</v>
      </c>
      <c r="X575" s="791">
        <v>11.200000000000001</v>
      </c>
      <c r="Y575" s="791">
        <v>70</v>
      </c>
      <c r="Z575" s="791">
        <v>2100</v>
      </c>
      <c r="AA575" s="791">
        <v>1400.0000000000002</v>
      </c>
      <c r="AB575" s="791">
        <v>2800.0000000000005</v>
      </c>
      <c r="AC575" s="791">
        <v>140</v>
      </c>
      <c r="AD575" s="791">
        <v>28.000000000000004</v>
      </c>
      <c r="AE575" s="791">
        <v>5.6000000000000005</v>
      </c>
      <c r="AF575" s="791"/>
      <c r="AG575" s="791"/>
      <c r="AH575" s="791"/>
      <c r="AI575" s="784"/>
      <c r="AK575" s="783">
        <f>IFERROR(Tabela1[[#This Row],[EE(g)]]/Tabela1[[#This Row],[CMS(kg)]],0)</f>
        <v>70</v>
      </c>
    </row>
    <row r="576" spans="2:37" hidden="1">
      <c r="B576" s="774">
        <f>ROW()^2+(Tabela1[[#This Row],[ID2]])+ROW()</f>
        <v>332611</v>
      </c>
      <c r="C576" s="787">
        <v>259</v>
      </c>
      <c r="D576" s="774" t="s">
        <v>1256</v>
      </c>
      <c r="E576" s="788" t="s">
        <v>1276</v>
      </c>
      <c r="F576" s="788" t="s">
        <v>1270</v>
      </c>
      <c r="G576" s="788">
        <v>140</v>
      </c>
      <c r="H576" s="788" t="s">
        <v>1</v>
      </c>
      <c r="I576" s="780" t="s">
        <v>1285</v>
      </c>
      <c r="J576" s="787" t="s">
        <v>42</v>
      </c>
      <c r="K576" s="793">
        <v>1.48</v>
      </c>
      <c r="L576" s="790">
        <v>0</v>
      </c>
      <c r="M576" s="778">
        <v>3.3319999999999999</v>
      </c>
      <c r="N576" s="780">
        <v>1000</v>
      </c>
      <c r="O576" s="780">
        <v>1000</v>
      </c>
      <c r="P576" s="791">
        <v>100</v>
      </c>
      <c r="Q576" s="791">
        <v>100</v>
      </c>
      <c r="R576" s="792">
        <v>233.2</v>
      </c>
      <c r="S576" s="791">
        <v>100</v>
      </c>
      <c r="T576" s="791">
        <v>100</v>
      </c>
      <c r="U576" s="791">
        <v>3332</v>
      </c>
      <c r="V576" s="791">
        <v>59.975999999999999</v>
      </c>
      <c r="W576" s="791">
        <v>99.96</v>
      </c>
      <c r="X576" s="791">
        <v>13.327999999999999</v>
      </c>
      <c r="Y576" s="791">
        <v>83.3</v>
      </c>
      <c r="Z576" s="791">
        <v>2499</v>
      </c>
      <c r="AA576" s="791">
        <v>1666</v>
      </c>
      <c r="AB576" s="791">
        <v>3332</v>
      </c>
      <c r="AC576" s="791">
        <v>166.6</v>
      </c>
      <c r="AD576" s="791">
        <v>33.32</v>
      </c>
      <c r="AE576" s="791">
        <v>6.6639999999999997</v>
      </c>
      <c r="AF576" s="791"/>
      <c r="AG576" s="791"/>
      <c r="AH576" s="791"/>
      <c r="AI576" s="784"/>
      <c r="AK576" s="783">
        <f>IFERROR(Tabela1[[#This Row],[EE(g)]]/Tabela1[[#This Row],[CMS(kg)]],0)</f>
        <v>69.987995198079233</v>
      </c>
    </row>
    <row r="577" spans="2:37" hidden="1">
      <c r="B577" s="774">
        <f>ROW()^2+(Tabela1[[#This Row],[ID2]])+ROW()</f>
        <v>333774</v>
      </c>
      <c r="C577" s="787">
        <v>268</v>
      </c>
      <c r="D577" s="774" t="s">
        <v>1256</v>
      </c>
      <c r="E577" s="788" t="s">
        <v>1276</v>
      </c>
      <c r="F577" s="788" t="s">
        <v>1270</v>
      </c>
      <c r="G577" s="788">
        <v>140</v>
      </c>
      <c r="H577" s="788" t="s">
        <v>1</v>
      </c>
      <c r="I577" s="780" t="s">
        <v>1286</v>
      </c>
      <c r="J577" s="787" t="s">
        <v>42</v>
      </c>
      <c r="K577" s="793">
        <v>1.92</v>
      </c>
      <c r="L577" s="790">
        <v>0</v>
      </c>
      <c r="M577" s="778">
        <v>3.7379999999999995</v>
      </c>
      <c r="N577" s="780">
        <v>1000</v>
      </c>
      <c r="O577" s="780">
        <v>1000</v>
      </c>
      <c r="P577" s="791">
        <v>100</v>
      </c>
      <c r="Q577" s="791">
        <v>100</v>
      </c>
      <c r="R577" s="792">
        <v>261.7</v>
      </c>
      <c r="S577" s="791">
        <v>100</v>
      </c>
      <c r="T577" s="791">
        <v>100</v>
      </c>
      <c r="U577" s="791">
        <v>3737.9999999999995</v>
      </c>
      <c r="V577" s="791">
        <v>67.283999999999992</v>
      </c>
      <c r="W577" s="791">
        <v>112.13999999999999</v>
      </c>
      <c r="X577" s="791">
        <v>14.951999999999998</v>
      </c>
      <c r="Y577" s="791">
        <v>93.449999999999989</v>
      </c>
      <c r="Z577" s="791">
        <v>2803.4999999999995</v>
      </c>
      <c r="AA577" s="791">
        <v>1868.9999999999998</v>
      </c>
      <c r="AB577" s="791">
        <v>3737.9999999999995</v>
      </c>
      <c r="AC577" s="791">
        <v>186.89999999999998</v>
      </c>
      <c r="AD577" s="791">
        <v>37.379999999999995</v>
      </c>
      <c r="AE577" s="791">
        <v>7.4759999999999991</v>
      </c>
      <c r="AF577" s="791"/>
      <c r="AG577" s="791"/>
      <c r="AH577" s="791"/>
      <c r="AI577" s="784"/>
      <c r="AK577" s="783">
        <f>IFERROR(Tabela1[[#This Row],[EE(g)]]/Tabela1[[#This Row],[CMS(kg)]],0)</f>
        <v>70.010700909577324</v>
      </c>
    </row>
    <row r="578" spans="2:37" hidden="1">
      <c r="B578" s="774">
        <f>ROW()^2+(Tabela1[[#This Row],[ID2]])+ROW()</f>
        <v>334814</v>
      </c>
      <c r="C578" s="787">
        <v>152</v>
      </c>
      <c r="D578" s="774" t="s">
        <v>1256</v>
      </c>
      <c r="E578" s="788" t="s">
        <v>1276</v>
      </c>
      <c r="F578" s="788" t="s">
        <v>1271</v>
      </c>
      <c r="G578" s="788">
        <v>40</v>
      </c>
      <c r="H578" s="788" t="s">
        <v>1</v>
      </c>
      <c r="I578" s="789" t="s">
        <v>42</v>
      </c>
      <c r="J578" s="787" t="s">
        <v>42</v>
      </c>
      <c r="K578" s="787" t="s">
        <v>42</v>
      </c>
      <c r="L578" s="790">
        <v>20</v>
      </c>
      <c r="M578" s="778">
        <v>0.85199999999999998</v>
      </c>
      <c r="N578" s="780">
        <v>1000</v>
      </c>
      <c r="O578" s="780">
        <v>1000</v>
      </c>
      <c r="P578" s="791">
        <v>100</v>
      </c>
      <c r="Q578" s="791">
        <v>100</v>
      </c>
      <c r="R578" s="792">
        <v>59.6</v>
      </c>
      <c r="S578" s="791">
        <v>100</v>
      </c>
      <c r="T578" s="791">
        <v>100</v>
      </c>
      <c r="U578" s="791">
        <v>852</v>
      </c>
      <c r="V578" s="791">
        <v>15.336</v>
      </c>
      <c r="W578" s="791">
        <v>25.56</v>
      </c>
      <c r="X578" s="791">
        <v>3.4079999999999999</v>
      </c>
      <c r="Y578" s="791">
        <v>21.3</v>
      </c>
      <c r="Z578" s="791">
        <v>639</v>
      </c>
      <c r="AA578" s="791">
        <v>426</v>
      </c>
      <c r="AB578" s="791">
        <v>852</v>
      </c>
      <c r="AC578" s="791">
        <v>42.6</v>
      </c>
      <c r="AD578" s="791">
        <v>8.52</v>
      </c>
      <c r="AE578" s="791">
        <v>1.704</v>
      </c>
      <c r="AF578" s="791"/>
      <c r="AG578" s="791"/>
      <c r="AH578" s="791"/>
      <c r="AI578" s="784"/>
      <c r="AK578" s="783">
        <f>IFERROR(Tabela1[[#This Row],[EE(g)]]/Tabela1[[#This Row],[CMS(kg)]],0)</f>
        <v>69.953051643192495</v>
      </c>
    </row>
    <row r="579" spans="2:37" hidden="1">
      <c r="B579" s="774">
        <f>ROW()^2+(Tabela1[[#This Row],[ID2]])+ROW()</f>
        <v>335973</v>
      </c>
      <c r="C579" s="787">
        <v>153</v>
      </c>
      <c r="D579" s="774" t="s">
        <v>1256</v>
      </c>
      <c r="E579" s="788" t="s">
        <v>1276</v>
      </c>
      <c r="F579" s="788" t="s">
        <v>1271</v>
      </c>
      <c r="G579" s="788">
        <v>50</v>
      </c>
      <c r="H579" s="788" t="s">
        <v>1</v>
      </c>
      <c r="I579" s="789" t="s">
        <v>42</v>
      </c>
      <c r="J579" s="787" t="s">
        <v>42</v>
      </c>
      <c r="K579" s="787" t="s">
        <v>42</v>
      </c>
      <c r="L579" s="790">
        <v>23</v>
      </c>
      <c r="M579" s="778">
        <v>1.0049999999999999</v>
      </c>
      <c r="N579" s="780">
        <v>1000</v>
      </c>
      <c r="O579" s="780">
        <v>1000</v>
      </c>
      <c r="P579" s="791">
        <v>100</v>
      </c>
      <c r="Q579" s="791">
        <v>100</v>
      </c>
      <c r="R579" s="792">
        <v>70.400000000000006</v>
      </c>
      <c r="S579" s="791">
        <v>100</v>
      </c>
      <c r="T579" s="791">
        <v>100</v>
      </c>
      <c r="U579" s="791">
        <v>1004.9999999999999</v>
      </c>
      <c r="V579" s="791">
        <v>18.089999999999996</v>
      </c>
      <c r="W579" s="791">
        <v>30.15</v>
      </c>
      <c r="X579" s="791">
        <v>4.0199999999999996</v>
      </c>
      <c r="Y579" s="791">
        <v>25.124999999999996</v>
      </c>
      <c r="Z579" s="791">
        <v>753.74999999999989</v>
      </c>
      <c r="AA579" s="791">
        <v>502.49999999999994</v>
      </c>
      <c r="AB579" s="791">
        <v>1004.9999999999999</v>
      </c>
      <c r="AC579" s="791">
        <v>50.249999999999993</v>
      </c>
      <c r="AD579" s="791">
        <v>10.049999999999999</v>
      </c>
      <c r="AE579" s="791">
        <v>2.0099999999999998</v>
      </c>
      <c r="AF579" s="791"/>
      <c r="AG579" s="791"/>
      <c r="AH579" s="791"/>
      <c r="AI579" s="784"/>
      <c r="AK579" s="783">
        <f>IFERROR(Tabela1[[#This Row],[EE(g)]]/Tabela1[[#This Row],[CMS(kg)]],0)</f>
        <v>70.049751243781103</v>
      </c>
    </row>
    <row r="580" spans="2:37" hidden="1">
      <c r="B580" s="774">
        <f>ROW()^2+(Tabela1[[#This Row],[ID2]])+ROW()</f>
        <v>337134</v>
      </c>
      <c r="C580" s="787">
        <v>154</v>
      </c>
      <c r="D580" s="774" t="s">
        <v>1256</v>
      </c>
      <c r="E580" s="788" t="s">
        <v>1276</v>
      </c>
      <c r="F580" s="788" t="s">
        <v>1271</v>
      </c>
      <c r="G580" s="788">
        <v>60</v>
      </c>
      <c r="H580" s="788" t="s">
        <v>1</v>
      </c>
      <c r="I580" s="789" t="s">
        <v>42</v>
      </c>
      <c r="J580" s="787" t="s">
        <v>42</v>
      </c>
      <c r="K580" s="787" t="s">
        <v>42</v>
      </c>
      <c r="L580" s="790">
        <v>26</v>
      </c>
      <c r="M580" s="778">
        <v>1.1519999999999999</v>
      </c>
      <c r="N580" s="780">
        <v>1000</v>
      </c>
      <c r="O580" s="780">
        <v>1000</v>
      </c>
      <c r="P580" s="791">
        <v>100</v>
      </c>
      <c r="Q580" s="791">
        <v>100</v>
      </c>
      <c r="R580" s="792">
        <v>80.600000000000009</v>
      </c>
      <c r="S580" s="791">
        <v>100</v>
      </c>
      <c r="T580" s="791">
        <v>100</v>
      </c>
      <c r="U580" s="791">
        <v>1152</v>
      </c>
      <c r="V580" s="791">
        <v>20.735999999999997</v>
      </c>
      <c r="W580" s="791">
        <v>34.559999999999995</v>
      </c>
      <c r="X580" s="791">
        <v>4.6079999999999997</v>
      </c>
      <c r="Y580" s="791">
        <v>28.799999999999997</v>
      </c>
      <c r="Z580" s="791">
        <v>863.99999999999989</v>
      </c>
      <c r="AA580" s="791">
        <v>576</v>
      </c>
      <c r="AB580" s="791">
        <v>1152</v>
      </c>
      <c r="AC580" s="791">
        <v>57.599999999999994</v>
      </c>
      <c r="AD580" s="791">
        <v>11.52</v>
      </c>
      <c r="AE580" s="791">
        <v>2.3039999999999998</v>
      </c>
      <c r="AF580" s="791"/>
      <c r="AG580" s="791"/>
      <c r="AH580" s="791"/>
      <c r="AI580" s="784"/>
      <c r="AK580" s="783">
        <f>IFERROR(Tabela1[[#This Row],[EE(g)]]/Tabela1[[#This Row],[CMS(kg)]],0)</f>
        <v>69.965277777777786</v>
      </c>
    </row>
    <row r="581" spans="2:37" hidden="1">
      <c r="B581" s="774">
        <f>ROW()^2+(Tabela1[[#This Row],[ID2]])+ROW()</f>
        <v>338297</v>
      </c>
      <c r="C581" s="787">
        <v>155</v>
      </c>
      <c r="D581" s="774" t="s">
        <v>1256</v>
      </c>
      <c r="E581" s="788" t="s">
        <v>1276</v>
      </c>
      <c r="F581" s="788" t="s">
        <v>1271</v>
      </c>
      <c r="G581" s="788">
        <v>70</v>
      </c>
      <c r="H581" s="788" t="s">
        <v>1</v>
      </c>
      <c r="I581" s="789" t="s">
        <v>42</v>
      </c>
      <c r="J581" s="787" t="s">
        <v>42</v>
      </c>
      <c r="K581" s="787" t="s">
        <v>42</v>
      </c>
      <c r="L581" s="790">
        <v>29</v>
      </c>
      <c r="M581" s="778">
        <v>1.2950000000000002</v>
      </c>
      <c r="N581" s="780">
        <v>1000</v>
      </c>
      <c r="O581" s="780">
        <v>1000</v>
      </c>
      <c r="P581" s="791">
        <v>100</v>
      </c>
      <c r="Q581" s="791">
        <v>100</v>
      </c>
      <c r="R581" s="792">
        <v>90.6</v>
      </c>
      <c r="S581" s="791">
        <v>100</v>
      </c>
      <c r="T581" s="791">
        <v>100</v>
      </c>
      <c r="U581" s="791">
        <v>1295.0000000000002</v>
      </c>
      <c r="V581" s="791">
        <v>23.310000000000002</v>
      </c>
      <c r="W581" s="791">
        <v>38.85</v>
      </c>
      <c r="X581" s="791">
        <v>5.1800000000000006</v>
      </c>
      <c r="Y581" s="791">
        <v>32.375000000000007</v>
      </c>
      <c r="Z581" s="791">
        <v>971.25000000000011</v>
      </c>
      <c r="AA581" s="791">
        <v>647.50000000000011</v>
      </c>
      <c r="AB581" s="791">
        <v>1295.0000000000002</v>
      </c>
      <c r="AC581" s="791">
        <v>64.750000000000014</v>
      </c>
      <c r="AD581" s="791">
        <v>12.950000000000001</v>
      </c>
      <c r="AE581" s="791">
        <v>2.5900000000000003</v>
      </c>
      <c r="AF581" s="791"/>
      <c r="AG581" s="791"/>
      <c r="AH581" s="791"/>
      <c r="AI581" s="784"/>
      <c r="AK581" s="783">
        <f>IFERROR(Tabela1[[#This Row],[EE(g)]]/Tabela1[[#This Row],[CMS(kg)]],0)</f>
        <v>69.961389961389955</v>
      </c>
    </row>
    <row r="582" spans="2:37" hidden="1">
      <c r="B582" s="774">
        <f>ROW()^2+(Tabela1[[#This Row],[ID2]])+ROW()</f>
        <v>339462</v>
      </c>
      <c r="C582" s="787">
        <v>156</v>
      </c>
      <c r="D582" s="774" t="s">
        <v>1256</v>
      </c>
      <c r="E582" s="788" t="s">
        <v>1276</v>
      </c>
      <c r="F582" s="788" t="s">
        <v>1271</v>
      </c>
      <c r="G582" s="788">
        <v>80</v>
      </c>
      <c r="H582" s="788" t="s">
        <v>1</v>
      </c>
      <c r="I582" s="789" t="s">
        <v>42</v>
      </c>
      <c r="J582" s="787" t="s">
        <v>42</v>
      </c>
      <c r="K582" s="787" t="s">
        <v>42</v>
      </c>
      <c r="L582" s="790">
        <v>32</v>
      </c>
      <c r="M582" s="778">
        <v>1.4319999999999999</v>
      </c>
      <c r="N582" s="780">
        <v>1000</v>
      </c>
      <c r="O582" s="780">
        <v>1000</v>
      </c>
      <c r="P582" s="791">
        <v>100</v>
      </c>
      <c r="Q582" s="791">
        <v>100</v>
      </c>
      <c r="R582" s="792">
        <v>100.2</v>
      </c>
      <c r="S582" s="791">
        <v>100</v>
      </c>
      <c r="T582" s="791">
        <v>100</v>
      </c>
      <c r="U582" s="791">
        <v>1432</v>
      </c>
      <c r="V582" s="791">
        <v>25.776</v>
      </c>
      <c r="W582" s="791">
        <v>42.96</v>
      </c>
      <c r="X582" s="791">
        <v>5.7279999999999998</v>
      </c>
      <c r="Y582" s="791">
        <v>35.799999999999997</v>
      </c>
      <c r="Z582" s="791">
        <v>1074</v>
      </c>
      <c r="AA582" s="791">
        <v>716</v>
      </c>
      <c r="AB582" s="791">
        <v>1432</v>
      </c>
      <c r="AC582" s="791">
        <v>71.599999999999994</v>
      </c>
      <c r="AD582" s="791">
        <v>14.32</v>
      </c>
      <c r="AE582" s="791">
        <v>2.8639999999999999</v>
      </c>
      <c r="AF582" s="791"/>
      <c r="AG582" s="791"/>
      <c r="AH582" s="791"/>
      <c r="AI582" s="784"/>
      <c r="AK582" s="783">
        <f>IFERROR(Tabela1[[#This Row],[EE(g)]]/Tabela1[[#This Row],[CMS(kg)]],0)</f>
        <v>69.97206703910615</v>
      </c>
    </row>
    <row r="583" spans="2:37" hidden="1">
      <c r="B583" s="774">
        <f>ROW()^2+(Tabela1[[#This Row],[ID2]])+ROW()</f>
        <v>340629</v>
      </c>
      <c r="C583" s="787">
        <v>157</v>
      </c>
      <c r="D583" s="774" t="s">
        <v>1256</v>
      </c>
      <c r="E583" s="788" t="s">
        <v>1276</v>
      </c>
      <c r="F583" s="788" t="s">
        <v>1271</v>
      </c>
      <c r="G583" s="788">
        <v>90</v>
      </c>
      <c r="H583" s="788" t="s">
        <v>1</v>
      </c>
      <c r="I583" s="789" t="s">
        <v>42</v>
      </c>
      <c r="J583" s="787" t="s">
        <v>42</v>
      </c>
      <c r="K583" s="787" t="s">
        <v>42</v>
      </c>
      <c r="L583" s="790">
        <v>35</v>
      </c>
      <c r="M583" s="778">
        <v>1.5659999999999998</v>
      </c>
      <c r="N583" s="780">
        <v>1000</v>
      </c>
      <c r="O583" s="780">
        <v>1000</v>
      </c>
      <c r="P583" s="791">
        <v>100</v>
      </c>
      <c r="Q583" s="791">
        <v>100</v>
      </c>
      <c r="R583" s="792">
        <v>109.60000000000001</v>
      </c>
      <c r="S583" s="791">
        <v>100</v>
      </c>
      <c r="T583" s="791">
        <v>100</v>
      </c>
      <c r="U583" s="791">
        <v>1565.9999999999998</v>
      </c>
      <c r="V583" s="791">
        <v>28.187999999999995</v>
      </c>
      <c r="W583" s="791">
        <v>46.98</v>
      </c>
      <c r="X583" s="791">
        <v>6.2639999999999993</v>
      </c>
      <c r="Y583" s="791">
        <v>39.15</v>
      </c>
      <c r="Z583" s="791">
        <v>1174.4999999999998</v>
      </c>
      <c r="AA583" s="791">
        <v>782.99999999999989</v>
      </c>
      <c r="AB583" s="791">
        <v>1565.9999999999998</v>
      </c>
      <c r="AC583" s="791">
        <v>78.3</v>
      </c>
      <c r="AD583" s="791">
        <v>15.659999999999998</v>
      </c>
      <c r="AE583" s="791">
        <v>3.1319999999999997</v>
      </c>
      <c r="AF583" s="791"/>
      <c r="AG583" s="791"/>
      <c r="AH583" s="791"/>
      <c r="AI583" s="784"/>
      <c r="AK583" s="783">
        <f>IFERROR(Tabela1[[#This Row],[EE(g)]]/Tabela1[[#This Row],[CMS(kg)]],0)</f>
        <v>69.987228607918283</v>
      </c>
    </row>
    <row r="584" spans="2:37" hidden="1">
      <c r="B584" s="774">
        <f>ROW()^2+(Tabela1[[#This Row],[ID2]])+ROW()</f>
        <v>341798</v>
      </c>
      <c r="C584" s="787">
        <v>158</v>
      </c>
      <c r="D584" s="774" t="s">
        <v>1256</v>
      </c>
      <c r="E584" s="788" t="s">
        <v>1276</v>
      </c>
      <c r="F584" s="788" t="s">
        <v>1271</v>
      </c>
      <c r="G584" s="788">
        <v>100</v>
      </c>
      <c r="H584" s="788" t="s">
        <v>1</v>
      </c>
      <c r="I584" s="789" t="s">
        <v>42</v>
      </c>
      <c r="J584" s="787" t="s">
        <v>42</v>
      </c>
      <c r="K584" s="787" t="s">
        <v>42</v>
      </c>
      <c r="L584" s="790">
        <v>38</v>
      </c>
      <c r="M584" s="778">
        <v>1.69</v>
      </c>
      <c r="N584" s="780">
        <v>1000</v>
      </c>
      <c r="O584" s="780">
        <v>1000</v>
      </c>
      <c r="P584" s="791">
        <v>100</v>
      </c>
      <c r="Q584" s="791">
        <v>100</v>
      </c>
      <c r="R584" s="792">
        <v>118.3</v>
      </c>
      <c r="S584" s="791">
        <v>100</v>
      </c>
      <c r="T584" s="791">
        <v>100</v>
      </c>
      <c r="U584" s="791">
        <v>1690</v>
      </c>
      <c r="V584" s="791">
        <v>30.419999999999998</v>
      </c>
      <c r="W584" s="791">
        <v>50.699999999999996</v>
      </c>
      <c r="X584" s="791">
        <v>6.76</v>
      </c>
      <c r="Y584" s="791">
        <v>42.25</v>
      </c>
      <c r="Z584" s="791">
        <v>1267.5</v>
      </c>
      <c r="AA584" s="791">
        <v>845</v>
      </c>
      <c r="AB584" s="791">
        <v>1690</v>
      </c>
      <c r="AC584" s="791">
        <v>84.5</v>
      </c>
      <c r="AD584" s="791">
        <v>16.899999999999999</v>
      </c>
      <c r="AE584" s="791">
        <v>3.38</v>
      </c>
      <c r="AF584" s="791"/>
      <c r="AG584" s="791"/>
      <c r="AH584" s="791"/>
      <c r="AI584" s="784"/>
      <c r="AK584" s="783">
        <f>IFERROR(Tabela1[[#This Row],[EE(g)]]/Tabela1[[#This Row],[CMS(kg)]],0)</f>
        <v>70</v>
      </c>
    </row>
    <row r="585" spans="2:37" hidden="1">
      <c r="B585" s="774">
        <f>ROW()^2+(Tabela1[[#This Row],[ID2]])+ROW()</f>
        <v>342969</v>
      </c>
      <c r="C585" s="787">
        <v>159</v>
      </c>
      <c r="D585" s="774" t="s">
        <v>1256</v>
      </c>
      <c r="E585" s="788" t="s">
        <v>1276</v>
      </c>
      <c r="F585" s="788" t="s">
        <v>1271</v>
      </c>
      <c r="G585" s="788">
        <v>120</v>
      </c>
      <c r="H585" s="788" t="s">
        <v>1</v>
      </c>
      <c r="I585" s="789" t="s">
        <v>42</v>
      </c>
      <c r="J585" s="787" t="s">
        <v>42</v>
      </c>
      <c r="K585" s="787" t="s">
        <v>42</v>
      </c>
      <c r="L585" s="790">
        <v>44</v>
      </c>
      <c r="M585" s="778">
        <v>1.9440000000000004</v>
      </c>
      <c r="N585" s="780">
        <v>1000</v>
      </c>
      <c r="O585" s="780">
        <v>1000</v>
      </c>
      <c r="P585" s="791">
        <v>100</v>
      </c>
      <c r="Q585" s="791">
        <v>100</v>
      </c>
      <c r="R585" s="792">
        <v>136.1</v>
      </c>
      <c r="S585" s="791">
        <v>100</v>
      </c>
      <c r="T585" s="791">
        <v>100</v>
      </c>
      <c r="U585" s="791">
        <v>1944.0000000000005</v>
      </c>
      <c r="V585" s="791">
        <v>34.992000000000004</v>
      </c>
      <c r="W585" s="791">
        <v>58.320000000000014</v>
      </c>
      <c r="X585" s="791">
        <v>7.7760000000000016</v>
      </c>
      <c r="Y585" s="791">
        <v>48.600000000000009</v>
      </c>
      <c r="Z585" s="791">
        <v>1458.0000000000002</v>
      </c>
      <c r="AA585" s="791">
        <v>972.00000000000023</v>
      </c>
      <c r="AB585" s="791">
        <v>1944.0000000000005</v>
      </c>
      <c r="AC585" s="791">
        <v>97.200000000000017</v>
      </c>
      <c r="AD585" s="791">
        <v>19.440000000000005</v>
      </c>
      <c r="AE585" s="791">
        <v>3.8880000000000008</v>
      </c>
      <c r="AF585" s="791"/>
      <c r="AG585" s="791"/>
      <c r="AH585" s="791"/>
      <c r="AI585" s="784"/>
      <c r="AK585" s="783">
        <f>IFERROR(Tabela1[[#This Row],[EE(g)]]/Tabela1[[#This Row],[CMS(kg)]],0)</f>
        <v>70.010288065843611</v>
      </c>
    </row>
    <row r="586" spans="2:37" hidden="1">
      <c r="B586" s="774">
        <f>ROW()^2+(Tabela1[[#This Row],[ID2]])+ROW()</f>
        <v>344142</v>
      </c>
      <c r="C586" s="787">
        <v>160</v>
      </c>
      <c r="D586" s="774" t="s">
        <v>1256</v>
      </c>
      <c r="E586" s="788" t="s">
        <v>1276</v>
      </c>
      <c r="F586" s="788" t="s">
        <v>1271</v>
      </c>
      <c r="G586" s="788">
        <v>140</v>
      </c>
      <c r="H586" s="788" t="s">
        <v>1</v>
      </c>
      <c r="I586" s="789" t="s">
        <v>42</v>
      </c>
      <c r="J586" s="787" t="s">
        <v>42</v>
      </c>
      <c r="K586" s="787" t="s">
        <v>42</v>
      </c>
      <c r="L586" s="790">
        <v>50</v>
      </c>
      <c r="M586" s="778">
        <v>2.1840000000000002</v>
      </c>
      <c r="N586" s="780">
        <v>1000</v>
      </c>
      <c r="O586" s="780">
        <v>1000</v>
      </c>
      <c r="P586" s="791">
        <v>100</v>
      </c>
      <c r="Q586" s="791">
        <v>100</v>
      </c>
      <c r="R586" s="792">
        <v>152.9</v>
      </c>
      <c r="S586" s="791">
        <v>100</v>
      </c>
      <c r="T586" s="791">
        <v>100</v>
      </c>
      <c r="U586" s="791">
        <v>2184</v>
      </c>
      <c r="V586" s="791">
        <v>39.312000000000005</v>
      </c>
      <c r="W586" s="791">
        <v>65.52000000000001</v>
      </c>
      <c r="X586" s="791">
        <v>8.7360000000000007</v>
      </c>
      <c r="Y586" s="791">
        <v>54.6</v>
      </c>
      <c r="Z586" s="791">
        <v>1638.0000000000002</v>
      </c>
      <c r="AA586" s="791">
        <v>1092</v>
      </c>
      <c r="AB586" s="791">
        <v>2184</v>
      </c>
      <c r="AC586" s="791">
        <v>109.2</v>
      </c>
      <c r="AD586" s="791">
        <v>21.840000000000003</v>
      </c>
      <c r="AE586" s="791">
        <v>4.3680000000000003</v>
      </c>
      <c r="AF586" s="791"/>
      <c r="AG586" s="791"/>
      <c r="AH586" s="791"/>
      <c r="AI586" s="784"/>
      <c r="AK586" s="783">
        <f>IFERROR(Tabela1[[#This Row],[EE(g)]]/Tabela1[[#This Row],[CMS(kg)]],0)</f>
        <v>70.009157509157504</v>
      </c>
    </row>
    <row r="587" spans="2:37" hidden="1">
      <c r="B587" s="774">
        <f>ROW()^2+(Tabela1[[#This Row],[ID2]])+ROW()</f>
        <v>345159</v>
      </c>
      <c r="C587" s="787">
        <v>3</v>
      </c>
      <c r="D587" s="774" t="s">
        <v>1256</v>
      </c>
      <c r="E587" s="788" t="s">
        <v>1272</v>
      </c>
      <c r="F587" s="788" t="s">
        <v>1261</v>
      </c>
      <c r="G587" s="788">
        <v>20</v>
      </c>
      <c r="H587" s="788" t="s">
        <v>1</v>
      </c>
      <c r="I587" s="789" t="s">
        <v>42</v>
      </c>
      <c r="J587" s="787" t="s">
        <v>42</v>
      </c>
      <c r="K587" s="787" t="s">
        <v>42</v>
      </c>
      <c r="L587" s="790">
        <v>150</v>
      </c>
      <c r="M587" s="778">
        <v>0.80799999999999994</v>
      </c>
      <c r="N587" s="780">
        <v>1000</v>
      </c>
      <c r="O587" s="780">
        <v>1000</v>
      </c>
      <c r="P587" s="791">
        <v>100</v>
      </c>
      <c r="Q587" s="791">
        <v>100</v>
      </c>
      <c r="R587" s="792">
        <v>56.599999999999994</v>
      </c>
      <c r="S587" s="791">
        <v>100</v>
      </c>
      <c r="T587" s="791">
        <v>100</v>
      </c>
      <c r="U587" s="791">
        <v>807.99999999999989</v>
      </c>
      <c r="V587" s="791">
        <v>14.543999999999999</v>
      </c>
      <c r="W587" s="791">
        <v>24.24</v>
      </c>
      <c r="X587" s="791">
        <v>3.2319999999999998</v>
      </c>
      <c r="Y587" s="791">
        <v>20.2</v>
      </c>
      <c r="Z587" s="791">
        <v>606</v>
      </c>
      <c r="AA587" s="791">
        <v>403.99999999999994</v>
      </c>
      <c r="AB587" s="791">
        <v>807.99999999999989</v>
      </c>
      <c r="AC587" s="791">
        <v>40.4</v>
      </c>
      <c r="AD587" s="791">
        <v>8.08</v>
      </c>
      <c r="AE587" s="791">
        <v>1.6159999999999999</v>
      </c>
      <c r="AF587" s="791"/>
      <c r="AG587" s="791"/>
      <c r="AH587" s="791"/>
      <c r="AI587" s="784"/>
      <c r="AK587" s="783">
        <f>IFERROR(Tabela1[[#This Row],[EE(g)]]/Tabela1[[#This Row],[CMS(kg)]],0)</f>
        <v>70.049504950495049</v>
      </c>
    </row>
    <row r="588" spans="2:37" hidden="1">
      <c r="B588" s="774">
        <f>ROW()^2+(Tabela1[[#This Row],[ID2]])+ROW()</f>
        <v>346337</v>
      </c>
      <c r="C588" s="787">
        <v>5</v>
      </c>
      <c r="D588" s="774" t="s">
        <v>1256</v>
      </c>
      <c r="E588" s="788" t="s">
        <v>1272</v>
      </c>
      <c r="F588" s="788" t="s">
        <v>1261</v>
      </c>
      <c r="G588" s="788">
        <v>20</v>
      </c>
      <c r="H588" s="788" t="s">
        <v>1</v>
      </c>
      <c r="I588" s="789" t="s">
        <v>42</v>
      </c>
      <c r="J588" s="787" t="s">
        <v>42</v>
      </c>
      <c r="K588" s="787" t="s">
        <v>42</v>
      </c>
      <c r="L588" s="790">
        <v>200</v>
      </c>
      <c r="M588" s="778">
        <v>0.84199999999999997</v>
      </c>
      <c r="N588" s="780">
        <v>1000</v>
      </c>
      <c r="O588" s="780">
        <v>1000</v>
      </c>
      <c r="P588" s="791">
        <v>100</v>
      </c>
      <c r="Q588" s="791">
        <v>100</v>
      </c>
      <c r="R588" s="792">
        <v>58.9</v>
      </c>
      <c r="S588" s="791">
        <v>100</v>
      </c>
      <c r="T588" s="791">
        <v>100</v>
      </c>
      <c r="U588" s="791">
        <v>842</v>
      </c>
      <c r="V588" s="791">
        <v>15.155999999999999</v>
      </c>
      <c r="W588" s="791">
        <v>25.259999999999998</v>
      </c>
      <c r="X588" s="791">
        <v>3.3679999999999999</v>
      </c>
      <c r="Y588" s="791">
        <v>21.05</v>
      </c>
      <c r="Z588" s="791">
        <v>631.5</v>
      </c>
      <c r="AA588" s="791">
        <v>421</v>
      </c>
      <c r="AB588" s="791">
        <v>842</v>
      </c>
      <c r="AC588" s="791">
        <v>42.1</v>
      </c>
      <c r="AD588" s="791">
        <v>8.42</v>
      </c>
      <c r="AE588" s="791">
        <v>1.6839999999999999</v>
      </c>
      <c r="AF588" s="791"/>
      <c r="AG588" s="791"/>
      <c r="AH588" s="791"/>
      <c r="AI588" s="784"/>
      <c r="AK588" s="783">
        <f>IFERROR(Tabela1[[#This Row],[EE(g)]]/Tabela1[[#This Row],[CMS(kg)]],0)</f>
        <v>69.952494061757719</v>
      </c>
    </row>
    <row r="589" spans="2:37" hidden="1">
      <c r="B589" s="774">
        <f>ROW()^2+(Tabela1[[#This Row],[ID2]])+ROW()</f>
        <v>347517</v>
      </c>
      <c r="C589" s="787">
        <v>7</v>
      </c>
      <c r="D589" s="774" t="s">
        <v>1256</v>
      </c>
      <c r="E589" s="788" t="s">
        <v>1272</v>
      </c>
      <c r="F589" s="788" t="s">
        <v>1261</v>
      </c>
      <c r="G589" s="788">
        <v>20</v>
      </c>
      <c r="H589" s="788" t="s">
        <v>1</v>
      </c>
      <c r="I589" s="789" t="s">
        <v>42</v>
      </c>
      <c r="J589" s="787" t="s">
        <v>42</v>
      </c>
      <c r="K589" s="787" t="s">
        <v>42</v>
      </c>
      <c r="L589" s="790">
        <v>300</v>
      </c>
      <c r="M589" s="778">
        <v>0.90999999999999992</v>
      </c>
      <c r="N589" s="780">
        <v>1000</v>
      </c>
      <c r="O589" s="780">
        <v>1000</v>
      </c>
      <c r="P589" s="791">
        <v>100</v>
      </c>
      <c r="Q589" s="791">
        <v>100</v>
      </c>
      <c r="R589" s="792">
        <v>63.70000000000001</v>
      </c>
      <c r="S589" s="791">
        <v>100</v>
      </c>
      <c r="T589" s="791">
        <v>100</v>
      </c>
      <c r="U589" s="791">
        <v>909.99999999999989</v>
      </c>
      <c r="V589" s="791">
        <v>16.38</v>
      </c>
      <c r="W589" s="791">
        <v>27.299999999999997</v>
      </c>
      <c r="X589" s="791">
        <v>3.6399999999999997</v>
      </c>
      <c r="Y589" s="791">
        <v>22.749999999999996</v>
      </c>
      <c r="Z589" s="791">
        <v>682.49999999999989</v>
      </c>
      <c r="AA589" s="791">
        <v>454.99999999999994</v>
      </c>
      <c r="AB589" s="791">
        <v>909.99999999999989</v>
      </c>
      <c r="AC589" s="791">
        <v>45.499999999999993</v>
      </c>
      <c r="AD589" s="791">
        <v>9.1</v>
      </c>
      <c r="AE589" s="791">
        <v>1.8199999999999998</v>
      </c>
      <c r="AF589" s="791"/>
      <c r="AG589" s="791"/>
      <c r="AH589" s="791"/>
      <c r="AI589" s="784"/>
      <c r="AK589" s="783">
        <f>IFERROR(Tabela1[[#This Row],[EE(g)]]/Tabela1[[#This Row],[CMS(kg)]],0)</f>
        <v>70.000000000000014</v>
      </c>
    </row>
    <row r="590" spans="2:37" hidden="1">
      <c r="B590" s="774">
        <f>ROW()^2+(Tabela1[[#This Row],[ID2]])+ROW()</f>
        <v>348699</v>
      </c>
      <c r="C590" s="787">
        <v>9</v>
      </c>
      <c r="D590" s="774" t="s">
        <v>1256</v>
      </c>
      <c r="E590" s="788" t="s">
        <v>1272</v>
      </c>
      <c r="F590" s="788" t="s">
        <v>1261</v>
      </c>
      <c r="G590" s="788">
        <v>30</v>
      </c>
      <c r="H590" s="788" t="s">
        <v>1</v>
      </c>
      <c r="I590" s="789" t="s">
        <v>42</v>
      </c>
      <c r="J590" s="787" t="s">
        <v>42</v>
      </c>
      <c r="K590" s="787" t="s">
        <v>42</v>
      </c>
      <c r="L590" s="790">
        <v>200</v>
      </c>
      <c r="M590" s="778">
        <v>1.038</v>
      </c>
      <c r="N590" s="780">
        <v>1000</v>
      </c>
      <c r="O590" s="780">
        <v>1000</v>
      </c>
      <c r="P590" s="791">
        <v>100</v>
      </c>
      <c r="Q590" s="791">
        <v>100</v>
      </c>
      <c r="R590" s="792">
        <v>72.7</v>
      </c>
      <c r="S590" s="791">
        <v>100</v>
      </c>
      <c r="T590" s="791">
        <v>100</v>
      </c>
      <c r="U590" s="791">
        <v>1038</v>
      </c>
      <c r="V590" s="791">
        <v>18.684000000000001</v>
      </c>
      <c r="W590" s="791">
        <v>31.14</v>
      </c>
      <c r="X590" s="791">
        <v>4.1520000000000001</v>
      </c>
      <c r="Y590" s="791">
        <v>25.95</v>
      </c>
      <c r="Z590" s="791">
        <v>778.5</v>
      </c>
      <c r="AA590" s="791">
        <v>519</v>
      </c>
      <c r="AB590" s="791">
        <v>1038</v>
      </c>
      <c r="AC590" s="791">
        <v>51.9</v>
      </c>
      <c r="AD590" s="791">
        <v>10.38</v>
      </c>
      <c r="AE590" s="791">
        <v>2.0760000000000001</v>
      </c>
      <c r="AF590" s="791"/>
      <c r="AG590" s="791"/>
      <c r="AH590" s="791"/>
      <c r="AI590" s="784"/>
      <c r="AK590" s="783">
        <f>IFERROR(Tabela1[[#This Row],[EE(g)]]/Tabela1[[#This Row],[CMS(kg)]],0)</f>
        <v>70.038535645472066</v>
      </c>
    </row>
    <row r="591" spans="2:37" hidden="1">
      <c r="B591" s="774">
        <f>ROW()^2+(Tabela1[[#This Row],[ID2]])+ROW()</f>
        <v>349883</v>
      </c>
      <c r="C591" s="787">
        <v>11</v>
      </c>
      <c r="D591" s="774" t="s">
        <v>1256</v>
      </c>
      <c r="E591" s="788" t="s">
        <v>1272</v>
      </c>
      <c r="F591" s="788" t="s">
        <v>1261</v>
      </c>
      <c r="G591" s="788">
        <v>30</v>
      </c>
      <c r="H591" s="788" t="s">
        <v>1</v>
      </c>
      <c r="I591" s="789" t="s">
        <v>42</v>
      </c>
      <c r="J591" s="787" t="s">
        <v>42</v>
      </c>
      <c r="K591" s="787" t="s">
        <v>42</v>
      </c>
      <c r="L591" s="790">
        <v>250</v>
      </c>
      <c r="M591" s="778">
        <v>1.0739999999999998</v>
      </c>
      <c r="N591" s="780">
        <v>1000</v>
      </c>
      <c r="O591" s="780">
        <v>1000</v>
      </c>
      <c r="P591" s="791">
        <v>100</v>
      </c>
      <c r="Q591" s="791">
        <v>100</v>
      </c>
      <c r="R591" s="792">
        <v>75.2</v>
      </c>
      <c r="S591" s="791">
        <v>100</v>
      </c>
      <c r="T591" s="791">
        <v>100</v>
      </c>
      <c r="U591" s="791">
        <v>1073.9999999999998</v>
      </c>
      <c r="V591" s="791">
        <v>19.331999999999997</v>
      </c>
      <c r="W591" s="791">
        <v>32.22</v>
      </c>
      <c r="X591" s="791">
        <v>4.2959999999999994</v>
      </c>
      <c r="Y591" s="791">
        <v>26.849999999999994</v>
      </c>
      <c r="Z591" s="791">
        <v>805.49999999999989</v>
      </c>
      <c r="AA591" s="791">
        <v>536.99999999999989</v>
      </c>
      <c r="AB591" s="791">
        <v>1073.9999999999998</v>
      </c>
      <c r="AC591" s="791">
        <v>53.699999999999989</v>
      </c>
      <c r="AD591" s="791">
        <v>10.739999999999998</v>
      </c>
      <c r="AE591" s="791">
        <v>2.1479999999999997</v>
      </c>
      <c r="AF591" s="791"/>
      <c r="AG591" s="791"/>
      <c r="AH591" s="791"/>
      <c r="AI591" s="784"/>
      <c r="AK591" s="783">
        <f>IFERROR(Tabela1[[#This Row],[EE(g)]]/Tabela1[[#This Row],[CMS(kg)]],0)</f>
        <v>70.018621973929243</v>
      </c>
    </row>
    <row r="592" spans="2:37" hidden="1">
      <c r="B592" s="774">
        <f>ROW()^2+(Tabela1[[#This Row],[ID2]])+ROW()</f>
        <v>351069</v>
      </c>
      <c r="C592" s="787">
        <v>13</v>
      </c>
      <c r="D592" s="774" t="s">
        <v>1256</v>
      </c>
      <c r="E592" s="788" t="s">
        <v>1272</v>
      </c>
      <c r="F592" s="788" t="s">
        <v>1261</v>
      </c>
      <c r="G592" s="788">
        <v>30</v>
      </c>
      <c r="H592" s="788" t="s">
        <v>1</v>
      </c>
      <c r="I592" s="789" t="s">
        <v>42</v>
      </c>
      <c r="J592" s="787" t="s">
        <v>42</v>
      </c>
      <c r="K592" s="787" t="s">
        <v>42</v>
      </c>
      <c r="L592" s="790">
        <v>300</v>
      </c>
      <c r="M592" s="778">
        <v>1.107</v>
      </c>
      <c r="N592" s="780">
        <v>1000</v>
      </c>
      <c r="O592" s="780">
        <v>1000</v>
      </c>
      <c r="P592" s="791">
        <v>100</v>
      </c>
      <c r="Q592" s="791">
        <v>100</v>
      </c>
      <c r="R592" s="792">
        <v>77.5</v>
      </c>
      <c r="S592" s="791">
        <v>100</v>
      </c>
      <c r="T592" s="791">
        <v>100</v>
      </c>
      <c r="U592" s="791">
        <v>1107</v>
      </c>
      <c r="V592" s="791">
        <v>19.925999999999998</v>
      </c>
      <c r="W592" s="791">
        <v>33.21</v>
      </c>
      <c r="X592" s="791">
        <v>4.4279999999999999</v>
      </c>
      <c r="Y592" s="791">
        <v>27.675000000000001</v>
      </c>
      <c r="Z592" s="791">
        <v>830.25</v>
      </c>
      <c r="AA592" s="791">
        <v>553.5</v>
      </c>
      <c r="AB592" s="791">
        <v>1107</v>
      </c>
      <c r="AC592" s="791">
        <v>55.35</v>
      </c>
      <c r="AD592" s="791">
        <v>11.07</v>
      </c>
      <c r="AE592" s="791">
        <v>2.214</v>
      </c>
      <c r="AF592" s="791"/>
      <c r="AG592" s="791"/>
      <c r="AH592" s="791"/>
      <c r="AI592" s="784"/>
      <c r="AK592" s="783">
        <f>IFERROR(Tabela1[[#This Row],[EE(g)]]/Tabela1[[#This Row],[CMS(kg)]],0)</f>
        <v>70.009033423667574</v>
      </c>
    </row>
    <row r="593" spans="2:37" hidden="1">
      <c r="B593" s="774">
        <f>ROW()^2+(Tabela1[[#This Row],[ID2]])+ROW()</f>
        <v>352243</v>
      </c>
      <c r="C593" s="794">
        <v>1</v>
      </c>
      <c r="D593" s="794" t="s">
        <v>1273</v>
      </c>
      <c r="E593" s="795" t="s">
        <v>1274</v>
      </c>
      <c r="F593" s="795" t="s">
        <v>1275</v>
      </c>
      <c r="G593" s="795">
        <v>5</v>
      </c>
      <c r="H593" s="795" t="s">
        <v>0</v>
      </c>
      <c r="I593" s="796">
        <v>0</v>
      </c>
      <c r="J593" s="794"/>
      <c r="K593" s="794"/>
      <c r="L593" s="797">
        <v>100</v>
      </c>
      <c r="M593" s="778">
        <v>0</v>
      </c>
      <c r="N593" s="798">
        <v>54</v>
      </c>
      <c r="O593" s="798">
        <v>26.4</v>
      </c>
      <c r="P593" s="784">
        <v>0.24</v>
      </c>
      <c r="Q593" s="784">
        <v>8.4000000000000019E-2</v>
      </c>
      <c r="R593" s="799">
        <v>0</v>
      </c>
      <c r="S593" s="784">
        <v>3</v>
      </c>
      <c r="T593" s="784">
        <v>1.8</v>
      </c>
      <c r="U593" s="784">
        <v>0.3</v>
      </c>
      <c r="V593" s="784">
        <v>0.6</v>
      </c>
      <c r="W593" s="784">
        <v>1.95</v>
      </c>
      <c r="X593" s="784">
        <v>0.6</v>
      </c>
      <c r="Y593" s="784">
        <v>2.1</v>
      </c>
      <c r="Z593" s="784">
        <v>15</v>
      </c>
      <c r="AA593" s="784">
        <v>9</v>
      </c>
      <c r="AB593" s="784">
        <v>18</v>
      </c>
      <c r="AC593" s="784">
        <v>0.12</v>
      </c>
      <c r="AD593" s="784">
        <v>0.06</v>
      </c>
      <c r="AE593" s="784">
        <v>0.03</v>
      </c>
      <c r="AF593" s="784">
        <v>600</v>
      </c>
      <c r="AG593" s="784">
        <v>90</v>
      </c>
      <c r="AH593" s="784">
        <v>6</v>
      </c>
      <c r="AI593" s="784"/>
      <c r="AK593" s="783">
        <f>IFERROR(Tabela1[[#This Row],[EE(g)]]/Tabela1[[#This Row],[CMS(kg)]],0)</f>
        <v>0</v>
      </c>
    </row>
    <row r="594" spans="2:37" hidden="1">
      <c r="B594" s="774">
        <f>ROW()^2+(Tabela1[[#This Row],[ID2]])+ROW()</f>
        <v>353432</v>
      </c>
      <c r="C594" s="794">
        <v>2</v>
      </c>
      <c r="D594" s="794" t="s">
        <v>1273</v>
      </c>
      <c r="E594" s="795" t="s">
        <v>1274</v>
      </c>
      <c r="F594" s="795" t="s">
        <v>1275</v>
      </c>
      <c r="G594" s="795">
        <v>5</v>
      </c>
      <c r="H594" s="795" t="s">
        <v>1</v>
      </c>
      <c r="I594" s="796">
        <v>0</v>
      </c>
      <c r="J594" s="794"/>
      <c r="K594" s="794"/>
      <c r="L594" s="797">
        <v>100</v>
      </c>
      <c r="M594" s="778">
        <v>0.3</v>
      </c>
      <c r="N594" s="798">
        <v>1000</v>
      </c>
      <c r="O594" s="798">
        <v>1000</v>
      </c>
      <c r="P594" s="784">
        <v>1</v>
      </c>
      <c r="Q594" s="784">
        <v>1</v>
      </c>
      <c r="R594" s="799">
        <v>15</v>
      </c>
      <c r="S594" s="784">
        <v>10000</v>
      </c>
      <c r="T594" s="784">
        <v>10000</v>
      </c>
      <c r="U594" s="784">
        <v>1.5</v>
      </c>
      <c r="V594" s="784">
        <v>5.3999999999999995</v>
      </c>
      <c r="W594" s="784">
        <v>9</v>
      </c>
      <c r="X594" s="784">
        <v>1.2</v>
      </c>
      <c r="Y594" s="784">
        <v>7.5</v>
      </c>
      <c r="Z594" s="784">
        <v>225</v>
      </c>
      <c r="AA594" s="784">
        <v>150</v>
      </c>
      <c r="AB594" s="784">
        <v>300</v>
      </c>
      <c r="AC594" s="784">
        <v>15</v>
      </c>
      <c r="AD594" s="784">
        <v>3</v>
      </c>
      <c r="AE594" s="784">
        <v>0.6</v>
      </c>
      <c r="AF594" s="784">
        <v>1000000</v>
      </c>
      <c r="AG594" s="784">
        <v>100000</v>
      </c>
      <c r="AH594" s="784">
        <v>100000</v>
      </c>
      <c r="AI594" s="784"/>
      <c r="AK594" s="783">
        <f>IFERROR(Tabela1[[#This Row],[EE(g)]]/Tabela1[[#This Row],[CMS(kg)]],0)</f>
        <v>50</v>
      </c>
    </row>
    <row r="595" spans="2:37" hidden="1">
      <c r="B595" s="774">
        <f>ROW()^2+(Tabela1[[#This Row],[ID2]])+ROW()</f>
        <v>354623</v>
      </c>
      <c r="C595" s="794">
        <v>3</v>
      </c>
      <c r="D595" s="794" t="s">
        <v>1273</v>
      </c>
      <c r="E595" s="795" t="s">
        <v>1274</v>
      </c>
      <c r="F595" s="795" t="s">
        <v>1275</v>
      </c>
      <c r="G595" s="795">
        <v>5</v>
      </c>
      <c r="H595" s="795" t="s">
        <v>0</v>
      </c>
      <c r="I595" s="796">
        <v>0</v>
      </c>
      <c r="J595" s="794"/>
      <c r="K595" s="794"/>
      <c r="L595" s="797">
        <v>200</v>
      </c>
      <c r="M595" s="778">
        <v>0</v>
      </c>
      <c r="N595" s="798">
        <v>73.44</v>
      </c>
      <c r="O595" s="798">
        <v>35.86</v>
      </c>
      <c r="P595" s="784">
        <v>0.32600000000000001</v>
      </c>
      <c r="Q595" s="784">
        <v>0.11424000000000001</v>
      </c>
      <c r="R595" s="799">
        <v>0</v>
      </c>
      <c r="S595" s="784">
        <v>4.08</v>
      </c>
      <c r="T595" s="784">
        <v>2.448</v>
      </c>
      <c r="U595" s="784">
        <v>0.40800000000000003</v>
      </c>
      <c r="V595" s="784">
        <v>0.81600000000000006</v>
      </c>
      <c r="W595" s="784">
        <v>2.6519999999999997</v>
      </c>
      <c r="X595" s="784">
        <v>0.81600000000000006</v>
      </c>
      <c r="Y595" s="784">
        <v>2.8559999999999999</v>
      </c>
      <c r="Z595" s="784">
        <v>20.399999999999999</v>
      </c>
      <c r="AA595" s="784">
        <v>12.239999999999998</v>
      </c>
      <c r="AB595" s="784">
        <v>24.479999999999997</v>
      </c>
      <c r="AC595" s="784">
        <v>0.16320000000000001</v>
      </c>
      <c r="AD595" s="784">
        <v>8.1600000000000006E-2</v>
      </c>
      <c r="AE595" s="784">
        <v>4.0800000000000003E-2</v>
      </c>
      <c r="AF595" s="784">
        <v>816</v>
      </c>
      <c r="AG595" s="784">
        <v>122.39999999999999</v>
      </c>
      <c r="AH595" s="784">
        <v>8.16</v>
      </c>
      <c r="AI595" s="784"/>
      <c r="AK595" s="783">
        <f>IFERROR(Tabela1[[#This Row],[EE(g)]]/Tabela1[[#This Row],[CMS(kg)]],0)</f>
        <v>0</v>
      </c>
    </row>
    <row r="596" spans="2:37" hidden="1">
      <c r="B596" s="774">
        <f>ROW()^2+(Tabela1[[#This Row],[ID2]])+ROW()</f>
        <v>355816</v>
      </c>
      <c r="C596" s="794">
        <v>4</v>
      </c>
      <c r="D596" s="794" t="s">
        <v>1273</v>
      </c>
      <c r="E596" s="795" t="s">
        <v>1274</v>
      </c>
      <c r="F596" s="795" t="s">
        <v>1275</v>
      </c>
      <c r="G596" s="795">
        <v>5</v>
      </c>
      <c r="H596" s="795" t="s">
        <v>1</v>
      </c>
      <c r="I596" s="796">
        <v>0</v>
      </c>
      <c r="J596" s="794"/>
      <c r="K596" s="794"/>
      <c r="L596" s="797">
        <v>200</v>
      </c>
      <c r="M596" s="778">
        <v>0.40799999999999997</v>
      </c>
      <c r="N596" s="798">
        <v>1000</v>
      </c>
      <c r="O596" s="798">
        <v>1000</v>
      </c>
      <c r="P596" s="784">
        <v>1</v>
      </c>
      <c r="Q596" s="784">
        <v>1</v>
      </c>
      <c r="R596" s="799">
        <v>20.400000000000002</v>
      </c>
      <c r="S596" s="784">
        <v>10000</v>
      </c>
      <c r="T596" s="784">
        <v>10000</v>
      </c>
      <c r="U596" s="784">
        <v>2.04</v>
      </c>
      <c r="V596" s="784">
        <v>7.3439999999999994</v>
      </c>
      <c r="W596" s="784">
        <v>12.24</v>
      </c>
      <c r="X596" s="784">
        <v>1.6320000000000001</v>
      </c>
      <c r="Y596" s="784">
        <v>10.199999999999999</v>
      </c>
      <c r="Z596" s="784">
        <v>306</v>
      </c>
      <c r="AA596" s="784">
        <v>204</v>
      </c>
      <c r="AB596" s="784">
        <v>408</v>
      </c>
      <c r="AC596" s="784">
        <v>20.399999999999999</v>
      </c>
      <c r="AD596" s="784">
        <v>4.08</v>
      </c>
      <c r="AE596" s="784">
        <v>0.81599999999999995</v>
      </c>
      <c r="AF596" s="784">
        <v>1000000</v>
      </c>
      <c r="AG596" s="784">
        <v>100000</v>
      </c>
      <c r="AH596" s="784">
        <v>100000</v>
      </c>
      <c r="AI596" s="784"/>
      <c r="AK596" s="783">
        <f>IFERROR(Tabela1[[#This Row],[EE(g)]]/Tabela1[[#This Row],[CMS(kg)]],0)</f>
        <v>50.000000000000007</v>
      </c>
    </row>
    <row r="597" spans="2:37" hidden="1">
      <c r="B597" s="774">
        <f>ROW()^2+(Tabela1[[#This Row],[ID2]])+ROW()</f>
        <v>357011</v>
      </c>
      <c r="C597" s="794">
        <v>5</v>
      </c>
      <c r="D597" s="794" t="s">
        <v>1273</v>
      </c>
      <c r="E597" s="795" t="s">
        <v>1274</v>
      </c>
      <c r="F597" s="795" t="s">
        <v>1275</v>
      </c>
      <c r="G597" s="795">
        <v>5</v>
      </c>
      <c r="H597" s="795" t="s">
        <v>0</v>
      </c>
      <c r="I597" s="796">
        <v>0</v>
      </c>
      <c r="J597" s="794"/>
      <c r="K597" s="794"/>
      <c r="L597" s="797">
        <v>300</v>
      </c>
      <c r="M597" s="778">
        <v>0</v>
      </c>
      <c r="N597" s="798">
        <v>99</v>
      </c>
      <c r="O597" s="798">
        <v>44</v>
      </c>
      <c r="P597" s="784">
        <v>0.4</v>
      </c>
      <c r="Q597" s="784">
        <v>0.15400000000000003</v>
      </c>
      <c r="R597" s="799">
        <v>0</v>
      </c>
      <c r="S597" s="784">
        <v>5.5</v>
      </c>
      <c r="T597" s="784">
        <v>3.3000000000000003</v>
      </c>
      <c r="U597" s="784">
        <v>0.55000000000000004</v>
      </c>
      <c r="V597" s="784">
        <v>1.1000000000000001</v>
      </c>
      <c r="W597" s="784">
        <v>3.5749999999999997</v>
      </c>
      <c r="X597" s="784">
        <v>1.1000000000000001</v>
      </c>
      <c r="Y597" s="784">
        <v>3.8500000000000005</v>
      </c>
      <c r="Z597" s="784">
        <v>27.500000000000004</v>
      </c>
      <c r="AA597" s="784">
        <v>16.5</v>
      </c>
      <c r="AB597" s="784">
        <v>33</v>
      </c>
      <c r="AC597" s="784">
        <v>0.22000000000000003</v>
      </c>
      <c r="AD597" s="784">
        <v>0.11000000000000001</v>
      </c>
      <c r="AE597" s="784">
        <v>5.5000000000000007E-2</v>
      </c>
      <c r="AF597" s="784">
        <v>1100</v>
      </c>
      <c r="AG597" s="784">
        <v>165</v>
      </c>
      <c r="AH597" s="784">
        <v>11</v>
      </c>
      <c r="AI597" s="784"/>
      <c r="AK597" s="783">
        <f>IFERROR(Tabela1[[#This Row],[EE(g)]]/Tabela1[[#This Row],[CMS(kg)]],0)</f>
        <v>0</v>
      </c>
    </row>
    <row r="598" spans="2:37" hidden="1">
      <c r="B598" s="774">
        <f>ROW()^2+(Tabela1[[#This Row],[ID2]])+ROW()</f>
        <v>358208</v>
      </c>
      <c r="C598" s="794">
        <v>6</v>
      </c>
      <c r="D598" s="794" t="s">
        <v>1273</v>
      </c>
      <c r="E598" s="795" t="s">
        <v>1274</v>
      </c>
      <c r="F598" s="795" t="s">
        <v>1275</v>
      </c>
      <c r="G598" s="795">
        <v>5</v>
      </c>
      <c r="H598" s="795" t="s">
        <v>1</v>
      </c>
      <c r="I598" s="796">
        <v>0</v>
      </c>
      <c r="J598" s="794"/>
      <c r="K598" s="794"/>
      <c r="L598" s="797">
        <v>300</v>
      </c>
      <c r="M598" s="778">
        <v>0.55000000000000004</v>
      </c>
      <c r="N598" s="798">
        <v>1000</v>
      </c>
      <c r="O598" s="798">
        <v>1000</v>
      </c>
      <c r="P598" s="784">
        <v>1</v>
      </c>
      <c r="Q598" s="784">
        <v>1</v>
      </c>
      <c r="R598" s="799">
        <v>27.5</v>
      </c>
      <c r="S598" s="784">
        <v>10000</v>
      </c>
      <c r="T598" s="784">
        <v>10000</v>
      </c>
      <c r="U598" s="784">
        <v>2.75</v>
      </c>
      <c r="V598" s="784">
        <v>9.8999999999999986</v>
      </c>
      <c r="W598" s="784">
        <v>16.5</v>
      </c>
      <c r="X598" s="784">
        <v>2.2000000000000002</v>
      </c>
      <c r="Y598" s="784">
        <v>13.750000000000002</v>
      </c>
      <c r="Z598" s="784">
        <v>412.50000000000006</v>
      </c>
      <c r="AA598" s="784">
        <v>275</v>
      </c>
      <c r="AB598" s="784">
        <v>550</v>
      </c>
      <c r="AC598" s="784">
        <v>27.500000000000004</v>
      </c>
      <c r="AD598" s="784">
        <v>5.5</v>
      </c>
      <c r="AE598" s="784">
        <v>1.1000000000000001</v>
      </c>
      <c r="AF598" s="784">
        <v>1000000</v>
      </c>
      <c r="AG598" s="784">
        <v>100000</v>
      </c>
      <c r="AH598" s="784">
        <v>100000</v>
      </c>
      <c r="AI598" s="784"/>
      <c r="AK598" s="783">
        <f>IFERROR(Tabela1[[#This Row],[EE(g)]]/Tabela1[[#This Row],[CMS(kg)]],0)</f>
        <v>49.999999999999993</v>
      </c>
    </row>
    <row r="599" spans="2:37" hidden="1">
      <c r="B599" s="774">
        <f>ROW()^2+(Tabela1[[#This Row],[ID2]])+ROW()</f>
        <v>359407</v>
      </c>
      <c r="C599" s="794">
        <v>7</v>
      </c>
      <c r="D599" s="794" t="s">
        <v>1273</v>
      </c>
      <c r="E599" s="795" t="s">
        <v>1274</v>
      </c>
      <c r="F599" s="795" t="s">
        <v>1275</v>
      </c>
      <c r="G599" s="795">
        <v>10</v>
      </c>
      <c r="H599" s="795" t="s">
        <v>0</v>
      </c>
      <c r="I599" s="796">
        <v>0</v>
      </c>
      <c r="J599" s="794"/>
      <c r="K599" s="794"/>
      <c r="L599" s="797">
        <v>100</v>
      </c>
      <c r="M599" s="778">
        <v>0</v>
      </c>
      <c r="N599" s="798">
        <v>64</v>
      </c>
      <c r="O599" s="798">
        <v>35.200000000000003</v>
      </c>
      <c r="P599" s="784">
        <v>0.32</v>
      </c>
      <c r="Q599" s="784">
        <v>0.11200000000000002</v>
      </c>
      <c r="R599" s="799">
        <v>0</v>
      </c>
      <c r="S599" s="784">
        <v>3.5999999999999996</v>
      </c>
      <c r="T599" s="784">
        <v>2.4</v>
      </c>
      <c r="U599" s="784">
        <v>0.4</v>
      </c>
      <c r="V599" s="784">
        <v>0.6</v>
      </c>
      <c r="W599" s="784">
        <v>2.6</v>
      </c>
      <c r="X599" s="784">
        <v>0.8</v>
      </c>
      <c r="Y599" s="784">
        <v>2.8000000000000003</v>
      </c>
      <c r="Z599" s="784">
        <v>20</v>
      </c>
      <c r="AA599" s="784">
        <v>12</v>
      </c>
      <c r="AB599" s="784">
        <v>24</v>
      </c>
      <c r="AC599" s="784">
        <v>0.16000000000000003</v>
      </c>
      <c r="AD599" s="784">
        <v>8.0000000000000016E-2</v>
      </c>
      <c r="AE599" s="784">
        <v>4.0000000000000008E-2</v>
      </c>
      <c r="AF599" s="784">
        <v>800</v>
      </c>
      <c r="AG599" s="784">
        <v>120</v>
      </c>
      <c r="AH599" s="784">
        <v>8</v>
      </c>
      <c r="AI599" s="784"/>
      <c r="AK599" s="783">
        <f>IFERROR(Tabela1[[#This Row],[EE(g)]]/Tabela1[[#This Row],[CMS(kg)]],0)</f>
        <v>0</v>
      </c>
    </row>
    <row r="600" spans="2:37" hidden="1">
      <c r="B600" s="774">
        <f>ROW()^2+(Tabela1[[#This Row],[ID2]])+ROW()</f>
        <v>360608</v>
      </c>
      <c r="C600" s="794">
        <v>8</v>
      </c>
      <c r="D600" s="794" t="s">
        <v>1273</v>
      </c>
      <c r="E600" s="795" t="s">
        <v>1274</v>
      </c>
      <c r="F600" s="795" t="s">
        <v>1275</v>
      </c>
      <c r="G600" s="795">
        <v>10</v>
      </c>
      <c r="H600" s="795" t="s">
        <v>1</v>
      </c>
      <c r="I600" s="796">
        <v>0</v>
      </c>
      <c r="J600" s="794"/>
      <c r="K600" s="794"/>
      <c r="L600" s="797">
        <v>100</v>
      </c>
      <c r="M600" s="778">
        <v>0.4</v>
      </c>
      <c r="N600" s="798">
        <v>1000</v>
      </c>
      <c r="O600" s="798">
        <v>1000</v>
      </c>
      <c r="P600" s="784">
        <v>1</v>
      </c>
      <c r="Q600" s="784">
        <v>1</v>
      </c>
      <c r="R600" s="799">
        <v>20</v>
      </c>
      <c r="S600" s="784">
        <v>10000</v>
      </c>
      <c r="T600" s="784">
        <v>10000</v>
      </c>
      <c r="U600" s="784">
        <v>2</v>
      </c>
      <c r="V600" s="784">
        <v>7.1999999999999993</v>
      </c>
      <c r="W600" s="784">
        <v>12</v>
      </c>
      <c r="X600" s="784">
        <v>1.6</v>
      </c>
      <c r="Y600" s="784">
        <v>10</v>
      </c>
      <c r="Z600" s="784">
        <v>300</v>
      </c>
      <c r="AA600" s="784">
        <v>200</v>
      </c>
      <c r="AB600" s="784">
        <v>400</v>
      </c>
      <c r="AC600" s="784">
        <v>20</v>
      </c>
      <c r="AD600" s="784">
        <v>4</v>
      </c>
      <c r="AE600" s="784">
        <v>0.8</v>
      </c>
      <c r="AF600" s="784">
        <v>1000000</v>
      </c>
      <c r="AG600" s="784">
        <v>100000</v>
      </c>
      <c r="AH600" s="784">
        <v>100000</v>
      </c>
      <c r="AI600" s="784"/>
      <c r="AK600" s="783">
        <f>IFERROR(Tabela1[[#This Row],[EE(g)]]/Tabela1[[#This Row],[CMS(kg)]],0)</f>
        <v>50</v>
      </c>
    </row>
    <row r="601" spans="2:37" hidden="1">
      <c r="B601" s="774">
        <f>ROW()^2+(Tabela1[[#This Row],[ID2]])+ROW()</f>
        <v>361811</v>
      </c>
      <c r="C601" s="794">
        <v>9</v>
      </c>
      <c r="D601" s="794" t="s">
        <v>1273</v>
      </c>
      <c r="E601" s="795" t="s">
        <v>1274</v>
      </c>
      <c r="F601" s="795" t="s">
        <v>1275</v>
      </c>
      <c r="G601" s="795">
        <v>10</v>
      </c>
      <c r="H601" s="795" t="s">
        <v>0</v>
      </c>
      <c r="I601" s="796">
        <v>0</v>
      </c>
      <c r="J601" s="794"/>
      <c r="K601" s="794"/>
      <c r="L601" s="797">
        <v>200</v>
      </c>
      <c r="M601" s="778">
        <v>0</v>
      </c>
      <c r="N601" s="798">
        <v>80</v>
      </c>
      <c r="O601" s="798">
        <v>41.25</v>
      </c>
      <c r="P601" s="784">
        <v>0.375</v>
      </c>
      <c r="Q601" s="784">
        <v>0.14000000000000001</v>
      </c>
      <c r="R601" s="799">
        <v>0</v>
      </c>
      <c r="S601" s="784">
        <v>4.5</v>
      </c>
      <c r="T601" s="784">
        <v>3</v>
      </c>
      <c r="U601" s="784">
        <v>0.5</v>
      </c>
      <c r="V601" s="784">
        <v>0.75</v>
      </c>
      <c r="W601" s="784">
        <v>3.25</v>
      </c>
      <c r="X601" s="784">
        <v>1</v>
      </c>
      <c r="Y601" s="784">
        <v>3.5</v>
      </c>
      <c r="Z601" s="784">
        <v>25</v>
      </c>
      <c r="AA601" s="784">
        <v>15</v>
      </c>
      <c r="AB601" s="784">
        <v>30</v>
      </c>
      <c r="AC601" s="784">
        <v>0.2</v>
      </c>
      <c r="AD601" s="784">
        <v>0.1</v>
      </c>
      <c r="AE601" s="784">
        <v>0.05</v>
      </c>
      <c r="AF601" s="784">
        <v>1000</v>
      </c>
      <c r="AG601" s="784">
        <v>150</v>
      </c>
      <c r="AH601" s="784">
        <v>10</v>
      </c>
      <c r="AI601" s="784"/>
      <c r="AK601" s="783">
        <f>IFERROR(Tabela1[[#This Row],[EE(g)]]/Tabela1[[#This Row],[CMS(kg)]],0)</f>
        <v>0</v>
      </c>
    </row>
    <row r="602" spans="2:37" hidden="1">
      <c r="B602" s="774">
        <f>ROW()^2+(Tabela1[[#This Row],[ID2]])+ROW()</f>
        <v>363016</v>
      </c>
      <c r="C602" s="794">
        <v>10</v>
      </c>
      <c r="D602" s="794" t="s">
        <v>1273</v>
      </c>
      <c r="E602" s="795" t="s">
        <v>1274</v>
      </c>
      <c r="F602" s="795" t="s">
        <v>1275</v>
      </c>
      <c r="G602" s="795">
        <v>10</v>
      </c>
      <c r="H602" s="795" t="s">
        <v>1</v>
      </c>
      <c r="I602" s="796">
        <v>0</v>
      </c>
      <c r="J602" s="794"/>
      <c r="K602" s="794"/>
      <c r="L602" s="797">
        <v>200</v>
      </c>
      <c r="M602" s="778">
        <v>0.5</v>
      </c>
      <c r="N602" s="798">
        <v>1000</v>
      </c>
      <c r="O602" s="798">
        <v>1000</v>
      </c>
      <c r="P602" s="784">
        <v>1</v>
      </c>
      <c r="Q602" s="784">
        <v>1</v>
      </c>
      <c r="R602" s="799">
        <v>25</v>
      </c>
      <c r="S602" s="784">
        <v>10000</v>
      </c>
      <c r="T602" s="784">
        <v>10000</v>
      </c>
      <c r="U602" s="784">
        <v>2.5</v>
      </c>
      <c r="V602" s="784">
        <v>9</v>
      </c>
      <c r="W602" s="784">
        <v>15</v>
      </c>
      <c r="X602" s="784">
        <v>2</v>
      </c>
      <c r="Y602" s="784">
        <v>12.5</v>
      </c>
      <c r="Z602" s="784">
        <v>375</v>
      </c>
      <c r="AA602" s="784">
        <v>250</v>
      </c>
      <c r="AB602" s="784">
        <v>500</v>
      </c>
      <c r="AC602" s="784">
        <v>25</v>
      </c>
      <c r="AD602" s="784">
        <v>5</v>
      </c>
      <c r="AE602" s="784">
        <v>1</v>
      </c>
      <c r="AF602" s="784">
        <v>1000000</v>
      </c>
      <c r="AG602" s="784">
        <v>100000</v>
      </c>
      <c r="AH602" s="784">
        <v>100000</v>
      </c>
      <c r="AI602" s="784"/>
      <c r="AK602" s="783">
        <f>IFERROR(Tabela1[[#This Row],[EE(g)]]/Tabela1[[#This Row],[CMS(kg)]],0)</f>
        <v>50</v>
      </c>
    </row>
    <row r="603" spans="2:37" hidden="1">
      <c r="B603" s="774">
        <f>ROW()^2+(Tabela1[[#This Row],[ID2]])+ROW()</f>
        <v>364223</v>
      </c>
      <c r="C603" s="794">
        <v>11</v>
      </c>
      <c r="D603" s="794" t="s">
        <v>1273</v>
      </c>
      <c r="E603" s="795" t="s">
        <v>1274</v>
      </c>
      <c r="F603" s="795" t="s">
        <v>1275</v>
      </c>
      <c r="G603" s="795">
        <v>10</v>
      </c>
      <c r="H603" s="795" t="s">
        <v>0</v>
      </c>
      <c r="I603" s="796">
        <v>0</v>
      </c>
      <c r="J603" s="794"/>
      <c r="K603" s="794"/>
      <c r="L603" s="797">
        <v>300</v>
      </c>
      <c r="M603" s="778">
        <v>0</v>
      </c>
      <c r="N603" s="798">
        <v>100.8</v>
      </c>
      <c r="O603" s="798">
        <v>51.7</v>
      </c>
      <c r="P603" s="784">
        <v>0.47</v>
      </c>
      <c r="Q603" s="784">
        <v>0.1764</v>
      </c>
      <c r="R603" s="799">
        <v>0</v>
      </c>
      <c r="S603" s="784">
        <v>5.67</v>
      </c>
      <c r="T603" s="784">
        <v>3.7800000000000002</v>
      </c>
      <c r="U603" s="784">
        <v>0.63</v>
      </c>
      <c r="V603" s="784">
        <v>0.94500000000000006</v>
      </c>
      <c r="W603" s="784">
        <v>4.0949999999999998</v>
      </c>
      <c r="X603" s="784">
        <v>1.26</v>
      </c>
      <c r="Y603" s="784">
        <v>2.8559999999999999</v>
      </c>
      <c r="Z603" s="784">
        <v>20.399999999999999</v>
      </c>
      <c r="AA603" s="784">
        <v>12.24</v>
      </c>
      <c r="AB603" s="784">
        <v>24.48</v>
      </c>
      <c r="AC603" s="784">
        <v>0.16320000000000001</v>
      </c>
      <c r="AD603" s="784">
        <v>8.1600000000000006E-2</v>
      </c>
      <c r="AE603" s="784">
        <v>4.0800000000000003E-2</v>
      </c>
      <c r="AF603" s="784">
        <v>816</v>
      </c>
      <c r="AG603" s="784">
        <v>122.4</v>
      </c>
      <c r="AH603" s="784">
        <v>8.16</v>
      </c>
      <c r="AI603" s="784"/>
      <c r="AK603" s="783">
        <f>IFERROR(Tabela1[[#This Row],[EE(g)]]/Tabela1[[#This Row],[CMS(kg)]],0)</f>
        <v>0</v>
      </c>
    </row>
    <row r="604" spans="2:37" hidden="1">
      <c r="B604" s="774">
        <f>ROW()^2+(Tabela1[[#This Row],[ID2]])+ROW()</f>
        <v>365432</v>
      </c>
      <c r="C604" s="794">
        <v>12</v>
      </c>
      <c r="D604" s="794" t="s">
        <v>1273</v>
      </c>
      <c r="E604" s="795" t="s">
        <v>1274</v>
      </c>
      <c r="F604" s="795" t="s">
        <v>1275</v>
      </c>
      <c r="G604" s="795">
        <v>10</v>
      </c>
      <c r="H604" s="795" t="s">
        <v>1</v>
      </c>
      <c r="I604" s="796">
        <v>0</v>
      </c>
      <c r="J604" s="794"/>
      <c r="K604" s="794"/>
      <c r="L604" s="797">
        <v>300</v>
      </c>
      <c r="M604" s="778">
        <v>0.63</v>
      </c>
      <c r="N604" s="798">
        <v>1000</v>
      </c>
      <c r="O604" s="798">
        <v>1000</v>
      </c>
      <c r="P604" s="784">
        <v>1</v>
      </c>
      <c r="Q604" s="784">
        <v>1</v>
      </c>
      <c r="R604" s="799">
        <v>31.5</v>
      </c>
      <c r="S604" s="784">
        <v>10000</v>
      </c>
      <c r="T604" s="784">
        <v>10000</v>
      </c>
      <c r="U604" s="784">
        <v>3.15</v>
      </c>
      <c r="V604" s="784">
        <v>11.34</v>
      </c>
      <c r="W604" s="784">
        <v>18.899999999999999</v>
      </c>
      <c r="X604" s="784">
        <v>2.52</v>
      </c>
      <c r="Y604" s="784">
        <v>15.75</v>
      </c>
      <c r="Z604" s="784">
        <v>472.5</v>
      </c>
      <c r="AA604" s="784">
        <v>315</v>
      </c>
      <c r="AB604" s="784">
        <v>630</v>
      </c>
      <c r="AC604" s="784">
        <v>31.5</v>
      </c>
      <c r="AD604" s="784">
        <v>6.3</v>
      </c>
      <c r="AE604" s="784">
        <v>1.26</v>
      </c>
      <c r="AF604" s="784">
        <v>1000000</v>
      </c>
      <c r="AG604" s="784">
        <v>100000</v>
      </c>
      <c r="AH604" s="784">
        <v>100000</v>
      </c>
      <c r="AI604" s="784"/>
      <c r="AK604" s="783">
        <f>IFERROR(Tabela1[[#This Row],[EE(g)]]/Tabela1[[#This Row],[CMS(kg)]],0)</f>
        <v>50</v>
      </c>
    </row>
    <row r="605" spans="2:37" hidden="1">
      <c r="B605" s="774">
        <f>ROW()^2+(Tabela1[[#This Row],[ID2]])+ROW()</f>
        <v>366643</v>
      </c>
      <c r="C605" s="794">
        <v>13</v>
      </c>
      <c r="D605" s="794" t="s">
        <v>1273</v>
      </c>
      <c r="E605" s="795" t="s">
        <v>1274</v>
      </c>
      <c r="F605" s="795" t="s">
        <v>1275</v>
      </c>
      <c r="G605" s="795">
        <v>10</v>
      </c>
      <c r="H605" s="795" t="s">
        <v>0</v>
      </c>
      <c r="I605" s="796">
        <v>0</v>
      </c>
      <c r="J605" s="794"/>
      <c r="K605" s="794"/>
      <c r="L605" s="797">
        <v>400</v>
      </c>
      <c r="M605" s="778">
        <v>0</v>
      </c>
      <c r="N605" s="798">
        <v>120</v>
      </c>
      <c r="O605" s="798">
        <v>61.6</v>
      </c>
      <c r="P605" s="784">
        <v>0.56000000000000005</v>
      </c>
      <c r="Q605" s="784">
        <v>0.21000000000000002</v>
      </c>
      <c r="R605" s="799">
        <v>0</v>
      </c>
      <c r="S605" s="784">
        <v>6.7499999999999991</v>
      </c>
      <c r="T605" s="784">
        <v>4.5</v>
      </c>
      <c r="U605" s="784">
        <v>0.75</v>
      </c>
      <c r="V605" s="784">
        <v>1.125</v>
      </c>
      <c r="W605" s="784">
        <v>4.875</v>
      </c>
      <c r="X605" s="784">
        <v>1.5</v>
      </c>
      <c r="Y605" s="784">
        <v>2.8559999999999999</v>
      </c>
      <c r="Z605" s="784">
        <v>20.399999999999999</v>
      </c>
      <c r="AA605" s="784">
        <v>12.24</v>
      </c>
      <c r="AB605" s="784">
        <v>24.48</v>
      </c>
      <c r="AC605" s="784">
        <v>0.16320000000000001</v>
      </c>
      <c r="AD605" s="784">
        <v>8.1600000000000006E-2</v>
      </c>
      <c r="AE605" s="784">
        <v>4.0800000000000003E-2</v>
      </c>
      <c r="AF605" s="784">
        <v>816</v>
      </c>
      <c r="AG605" s="784">
        <v>122.4</v>
      </c>
      <c r="AH605" s="784">
        <v>8.16</v>
      </c>
      <c r="AI605" s="784"/>
      <c r="AK605" s="783">
        <f>IFERROR(Tabela1[[#This Row],[EE(g)]]/Tabela1[[#This Row],[CMS(kg)]],0)</f>
        <v>0</v>
      </c>
    </row>
    <row r="606" spans="2:37" hidden="1">
      <c r="B606" s="774">
        <f>ROW()^2+(Tabela1[[#This Row],[ID2]])+ROW()</f>
        <v>367856</v>
      </c>
      <c r="C606" s="794">
        <v>14</v>
      </c>
      <c r="D606" s="794" t="s">
        <v>1273</v>
      </c>
      <c r="E606" s="795" t="s">
        <v>1274</v>
      </c>
      <c r="F606" s="795" t="s">
        <v>1275</v>
      </c>
      <c r="G606" s="795">
        <v>10</v>
      </c>
      <c r="H606" s="795" t="s">
        <v>1</v>
      </c>
      <c r="I606" s="796">
        <v>0</v>
      </c>
      <c r="J606" s="794"/>
      <c r="K606" s="794"/>
      <c r="L606" s="797">
        <v>400</v>
      </c>
      <c r="M606" s="778">
        <v>0.75</v>
      </c>
      <c r="N606" s="798">
        <v>1000</v>
      </c>
      <c r="O606" s="798">
        <v>1000</v>
      </c>
      <c r="P606" s="784">
        <v>1</v>
      </c>
      <c r="Q606" s="784">
        <v>1</v>
      </c>
      <c r="R606" s="799">
        <v>37.5</v>
      </c>
      <c r="S606" s="784">
        <v>10000</v>
      </c>
      <c r="T606" s="784">
        <v>10000</v>
      </c>
      <c r="U606" s="784">
        <v>3.75</v>
      </c>
      <c r="V606" s="784">
        <v>13.499999999999998</v>
      </c>
      <c r="W606" s="784">
        <v>22.5</v>
      </c>
      <c r="X606" s="784">
        <v>3</v>
      </c>
      <c r="Y606" s="784">
        <v>18.75</v>
      </c>
      <c r="Z606" s="784">
        <v>562.5</v>
      </c>
      <c r="AA606" s="784">
        <v>375</v>
      </c>
      <c r="AB606" s="784">
        <v>750</v>
      </c>
      <c r="AC606" s="784">
        <v>37.5</v>
      </c>
      <c r="AD606" s="784">
        <v>7.5</v>
      </c>
      <c r="AE606" s="784">
        <v>1.5</v>
      </c>
      <c r="AF606" s="784">
        <v>1000000</v>
      </c>
      <c r="AG606" s="784">
        <v>100000</v>
      </c>
      <c r="AH606" s="784">
        <v>100000</v>
      </c>
      <c r="AI606" s="784"/>
      <c r="AK606" s="783">
        <f>IFERROR(Tabela1[[#This Row],[EE(g)]]/Tabela1[[#This Row],[CMS(kg)]],0)</f>
        <v>50</v>
      </c>
    </row>
    <row r="607" spans="2:37" hidden="1">
      <c r="B607" s="774">
        <f>ROW()^2+(Tabela1[[#This Row],[ID2]])+ROW()</f>
        <v>369071</v>
      </c>
      <c r="C607" s="794">
        <v>15</v>
      </c>
      <c r="D607" s="794" t="s">
        <v>1273</v>
      </c>
      <c r="E607" s="795" t="s">
        <v>1274</v>
      </c>
      <c r="F607" s="795" t="s">
        <v>1275</v>
      </c>
      <c r="G607" s="795">
        <v>15</v>
      </c>
      <c r="H607" s="795" t="s">
        <v>0</v>
      </c>
      <c r="I607" s="796">
        <v>0</v>
      </c>
      <c r="J607" s="794"/>
      <c r="K607" s="794"/>
      <c r="L607" s="797">
        <v>100</v>
      </c>
      <c r="M607" s="778">
        <v>0</v>
      </c>
      <c r="N607" s="798">
        <v>70</v>
      </c>
      <c r="O607" s="798">
        <v>44</v>
      </c>
      <c r="P607" s="784">
        <v>0.4</v>
      </c>
      <c r="Q607" s="784">
        <v>0.14000000000000001</v>
      </c>
      <c r="R607" s="799">
        <v>0</v>
      </c>
      <c r="S607" s="784">
        <v>4</v>
      </c>
      <c r="T607" s="784">
        <v>2.5</v>
      </c>
      <c r="U607" s="784">
        <v>0.5</v>
      </c>
      <c r="V607" s="784">
        <v>0.75</v>
      </c>
      <c r="W607" s="784">
        <v>3.25</v>
      </c>
      <c r="X607" s="784">
        <v>1</v>
      </c>
      <c r="Y607" s="784">
        <v>2.8559999999999999</v>
      </c>
      <c r="Z607" s="784">
        <v>20.399999999999999</v>
      </c>
      <c r="AA607" s="784">
        <v>12.24</v>
      </c>
      <c r="AB607" s="784">
        <v>24.48</v>
      </c>
      <c r="AC607" s="784">
        <v>0.16320000000000001</v>
      </c>
      <c r="AD607" s="784">
        <v>8.1600000000000006E-2</v>
      </c>
      <c r="AE607" s="784">
        <v>4.0800000000000003E-2</v>
      </c>
      <c r="AF607" s="784">
        <v>816</v>
      </c>
      <c r="AG607" s="784">
        <v>122.4</v>
      </c>
      <c r="AH607" s="784">
        <v>8.16</v>
      </c>
      <c r="AI607" s="784"/>
      <c r="AK607" s="783">
        <f>IFERROR(Tabela1[[#This Row],[EE(g)]]/Tabela1[[#This Row],[CMS(kg)]],0)</f>
        <v>0</v>
      </c>
    </row>
    <row r="608" spans="2:37" hidden="1">
      <c r="B608" s="774">
        <f>ROW()^2+(Tabela1[[#This Row],[ID2]])+ROW()</f>
        <v>370288</v>
      </c>
      <c r="C608" s="794">
        <v>16</v>
      </c>
      <c r="D608" s="794" t="s">
        <v>1273</v>
      </c>
      <c r="E608" s="795" t="s">
        <v>1274</v>
      </c>
      <c r="F608" s="795" t="s">
        <v>1275</v>
      </c>
      <c r="G608" s="795">
        <v>15</v>
      </c>
      <c r="H608" s="795" t="s">
        <v>1</v>
      </c>
      <c r="I608" s="796">
        <v>0</v>
      </c>
      <c r="J608" s="794"/>
      <c r="K608" s="794"/>
      <c r="L608" s="797">
        <v>100</v>
      </c>
      <c r="M608" s="778">
        <v>0.5</v>
      </c>
      <c r="N608" s="798">
        <v>1000</v>
      </c>
      <c r="O608" s="798">
        <v>1000</v>
      </c>
      <c r="P608" s="784">
        <v>1</v>
      </c>
      <c r="Q608" s="784">
        <v>1</v>
      </c>
      <c r="R608" s="799">
        <v>25</v>
      </c>
      <c r="S608" s="784">
        <v>10000</v>
      </c>
      <c r="T608" s="784">
        <v>10000</v>
      </c>
      <c r="U608" s="784">
        <v>2.5</v>
      </c>
      <c r="V608" s="784">
        <v>9</v>
      </c>
      <c r="W608" s="784">
        <v>15</v>
      </c>
      <c r="X608" s="784">
        <v>2</v>
      </c>
      <c r="Y608" s="784">
        <v>12.5</v>
      </c>
      <c r="Z608" s="784">
        <v>375</v>
      </c>
      <c r="AA608" s="784">
        <v>250</v>
      </c>
      <c r="AB608" s="784">
        <v>500</v>
      </c>
      <c r="AC608" s="784">
        <v>25</v>
      </c>
      <c r="AD608" s="784">
        <v>5</v>
      </c>
      <c r="AE608" s="784">
        <v>1</v>
      </c>
      <c r="AF608" s="784">
        <v>1000000</v>
      </c>
      <c r="AG608" s="784">
        <v>100000</v>
      </c>
      <c r="AH608" s="784">
        <v>100000</v>
      </c>
      <c r="AI608" s="784"/>
      <c r="AK608" s="783">
        <f>IFERROR(Tabela1[[#This Row],[EE(g)]]/Tabela1[[#This Row],[CMS(kg)]],0)</f>
        <v>50</v>
      </c>
    </row>
    <row r="609" spans="2:37" hidden="1">
      <c r="B609" s="774">
        <f>ROW()^2+(Tabela1[[#This Row],[ID2]])+ROW()</f>
        <v>371507</v>
      </c>
      <c r="C609" s="794">
        <v>17</v>
      </c>
      <c r="D609" s="794" t="s">
        <v>1273</v>
      </c>
      <c r="E609" s="795" t="s">
        <v>1274</v>
      </c>
      <c r="F609" s="795" t="s">
        <v>1275</v>
      </c>
      <c r="G609" s="795">
        <v>15</v>
      </c>
      <c r="H609" s="795" t="s">
        <v>0</v>
      </c>
      <c r="I609" s="796">
        <v>0</v>
      </c>
      <c r="J609" s="794"/>
      <c r="K609" s="794"/>
      <c r="L609" s="797">
        <v>200</v>
      </c>
      <c r="M609" s="778">
        <v>0</v>
      </c>
      <c r="N609" s="798">
        <v>70</v>
      </c>
      <c r="O609" s="798">
        <v>41.25</v>
      </c>
      <c r="P609" s="784">
        <v>0.375</v>
      </c>
      <c r="Q609" s="784">
        <v>0.14000000000000001</v>
      </c>
      <c r="R609" s="799">
        <v>0</v>
      </c>
      <c r="S609" s="784">
        <v>4</v>
      </c>
      <c r="T609" s="784">
        <v>2.5</v>
      </c>
      <c r="U609" s="784">
        <v>0.5</v>
      </c>
      <c r="V609" s="784">
        <v>0.75</v>
      </c>
      <c r="W609" s="784">
        <v>3.25</v>
      </c>
      <c r="X609" s="784">
        <v>1</v>
      </c>
      <c r="Y609" s="784">
        <v>3.5</v>
      </c>
      <c r="Z609" s="784">
        <v>25</v>
      </c>
      <c r="AA609" s="784">
        <v>15</v>
      </c>
      <c r="AB609" s="784">
        <v>30</v>
      </c>
      <c r="AC609" s="784">
        <v>0.2</v>
      </c>
      <c r="AD609" s="784">
        <v>0.1</v>
      </c>
      <c r="AE609" s="784">
        <v>0.05</v>
      </c>
      <c r="AF609" s="784">
        <v>1000</v>
      </c>
      <c r="AG609" s="784">
        <v>150</v>
      </c>
      <c r="AH609" s="784">
        <v>10</v>
      </c>
      <c r="AI609" s="784"/>
      <c r="AK609" s="783">
        <f>IFERROR(Tabela1[[#This Row],[EE(g)]]/Tabela1[[#This Row],[CMS(kg)]],0)</f>
        <v>0</v>
      </c>
    </row>
    <row r="610" spans="2:37" hidden="1">
      <c r="B610" s="774">
        <f>ROW()^2+(Tabela1[[#This Row],[ID2]])+ROW()</f>
        <v>372728</v>
      </c>
      <c r="C610" s="794">
        <v>18</v>
      </c>
      <c r="D610" s="794" t="s">
        <v>1273</v>
      </c>
      <c r="E610" s="795" t="s">
        <v>1274</v>
      </c>
      <c r="F610" s="795" t="s">
        <v>1275</v>
      </c>
      <c r="G610" s="795">
        <v>15</v>
      </c>
      <c r="H610" s="795" t="s">
        <v>1</v>
      </c>
      <c r="I610" s="796">
        <v>0</v>
      </c>
      <c r="J610" s="794"/>
      <c r="K610" s="794"/>
      <c r="L610" s="797">
        <v>200</v>
      </c>
      <c r="M610" s="778">
        <v>0.5</v>
      </c>
      <c r="N610" s="798">
        <v>1000</v>
      </c>
      <c r="O610" s="798">
        <v>1000</v>
      </c>
      <c r="P610" s="784">
        <v>1</v>
      </c>
      <c r="Q610" s="784">
        <v>1</v>
      </c>
      <c r="R610" s="799">
        <v>25</v>
      </c>
      <c r="S610" s="784">
        <v>10000</v>
      </c>
      <c r="T610" s="784">
        <v>10000</v>
      </c>
      <c r="U610" s="784">
        <v>2.5</v>
      </c>
      <c r="V610" s="784">
        <v>9</v>
      </c>
      <c r="W610" s="784">
        <v>15</v>
      </c>
      <c r="X610" s="784">
        <v>2</v>
      </c>
      <c r="Y610" s="784">
        <v>12.5</v>
      </c>
      <c r="Z610" s="784">
        <v>375</v>
      </c>
      <c r="AA610" s="784">
        <v>250</v>
      </c>
      <c r="AB610" s="784">
        <v>500</v>
      </c>
      <c r="AC610" s="784">
        <v>25</v>
      </c>
      <c r="AD610" s="784">
        <v>5</v>
      </c>
      <c r="AE610" s="784">
        <v>1</v>
      </c>
      <c r="AF610" s="784">
        <v>1000000</v>
      </c>
      <c r="AG610" s="784">
        <v>100000</v>
      </c>
      <c r="AH610" s="784">
        <v>100000</v>
      </c>
      <c r="AI610" s="784"/>
      <c r="AK610" s="783">
        <f>IFERROR(Tabela1[[#This Row],[EE(g)]]/Tabela1[[#This Row],[CMS(kg)]],0)</f>
        <v>50</v>
      </c>
    </row>
    <row r="611" spans="2:37" hidden="1">
      <c r="B611" s="774">
        <f>ROW()^2+(Tabela1[[#This Row],[ID2]])+ROW()</f>
        <v>373951</v>
      </c>
      <c r="C611" s="794">
        <v>19</v>
      </c>
      <c r="D611" s="794" t="s">
        <v>1273</v>
      </c>
      <c r="E611" s="795" t="s">
        <v>1274</v>
      </c>
      <c r="F611" s="795" t="s">
        <v>1275</v>
      </c>
      <c r="G611" s="795">
        <v>15</v>
      </c>
      <c r="H611" s="795" t="s">
        <v>0</v>
      </c>
      <c r="I611" s="796">
        <v>0</v>
      </c>
      <c r="J611" s="794"/>
      <c r="K611" s="794"/>
      <c r="L611" s="797">
        <v>300</v>
      </c>
      <c r="M611" s="778">
        <v>0</v>
      </c>
      <c r="N611" s="798">
        <v>70</v>
      </c>
      <c r="O611" s="798">
        <v>41.25</v>
      </c>
      <c r="P611" s="784">
        <v>0.375</v>
      </c>
      <c r="Q611" s="784">
        <v>0.14000000000000001</v>
      </c>
      <c r="R611" s="799">
        <v>0</v>
      </c>
      <c r="S611" s="784">
        <v>4</v>
      </c>
      <c r="T611" s="784">
        <v>2.5</v>
      </c>
      <c r="U611" s="784">
        <v>0.5</v>
      </c>
      <c r="V611" s="784">
        <v>0.75</v>
      </c>
      <c r="W611" s="784">
        <v>3.25</v>
      </c>
      <c r="X611" s="784">
        <v>1</v>
      </c>
      <c r="Y611" s="784">
        <v>3.5</v>
      </c>
      <c r="Z611" s="784">
        <v>25</v>
      </c>
      <c r="AA611" s="784">
        <v>15</v>
      </c>
      <c r="AB611" s="784">
        <v>30</v>
      </c>
      <c r="AC611" s="784">
        <v>0.2</v>
      </c>
      <c r="AD611" s="784">
        <v>0.1</v>
      </c>
      <c r="AE611" s="784">
        <v>0.05</v>
      </c>
      <c r="AF611" s="784">
        <v>1000</v>
      </c>
      <c r="AG611" s="784">
        <v>150</v>
      </c>
      <c r="AH611" s="784">
        <v>10</v>
      </c>
      <c r="AI611" s="784"/>
      <c r="AK611" s="783">
        <f>IFERROR(Tabela1[[#This Row],[EE(g)]]/Tabela1[[#This Row],[CMS(kg)]],0)</f>
        <v>0</v>
      </c>
    </row>
    <row r="612" spans="2:37" hidden="1">
      <c r="B612" s="774">
        <f>ROW()^2+(Tabela1[[#This Row],[ID2]])+ROW()</f>
        <v>375176</v>
      </c>
      <c r="C612" s="794">
        <v>20</v>
      </c>
      <c r="D612" s="794" t="s">
        <v>1273</v>
      </c>
      <c r="E612" s="795" t="s">
        <v>1274</v>
      </c>
      <c r="F612" s="795" t="s">
        <v>1275</v>
      </c>
      <c r="G612" s="795">
        <v>15</v>
      </c>
      <c r="H612" s="795" t="s">
        <v>1</v>
      </c>
      <c r="I612" s="796">
        <v>0</v>
      </c>
      <c r="J612" s="794"/>
      <c r="K612" s="794"/>
      <c r="L612" s="797">
        <v>300</v>
      </c>
      <c r="M612" s="778">
        <v>0.5</v>
      </c>
      <c r="N612" s="798">
        <v>1000</v>
      </c>
      <c r="O612" s="798">
        <v>1000</v>
      </c>
      <c r="P612" s="784">
        <v>1</v>
      </c>
      <c r="Q612" s="784">
        <v>1</v>
      </c>
      <c r="R612" s="799">
        <v>25</v>
      </c>
      <c r="S612" s="784">
        <v>10000</v>
      </c>
      <c r="T612" s="784">
        <v>10000</v>
      </c>
      <c r="U612" s="784">
        <v>2.5</v>
      </c>
      <c r="V612" s="784">
        <v>9</v>
      </c>
      <c r="W612" s="784">
        <v>15</v>
      </c>
      <c r="X612" s="784">
        <v>2</v>
      </c>
      <c r="Y612" s="784">
        <v>12.5</v>
      </c>
      <c r="Z612" s="784">
        <v>375</v>
      </c>
      <c r="AA612" s="784">
        <v>250</v>
      </c>
      <c r="AB612" s="784">
        <v>500</v>
      </c>
      <c r="AC612" s="784">
        <v>25</v>
      </c>
      <c r="AD612" s="784">
        <v>5</v>
      </c>
      <c r="AE612" s="784">
        <v>1</v>
      </c>
      <c r="AF612" s="784">
        <v>1000000</v>
      </c>
      <c r="AG612" s="784">
        <v>100000</v>
      </c>
      <c r="AH612" s="784">
        <v>100000</v>
      </c>
      <c r="AI612" s="784"/>
      <c r="AK612" s="783">
        <f>IFERROR(Tabela1[[#This Row],[EE(g)]]/Tabela1[[#This Row],[CMS(kg)]],0)</f>
        <v>50</v>
      </c>
    </row>
    <row r="613" spans="2:37" hidden="1">
      <c r="B613" s="774">
        <f>ROW()^2+(Tabela1[[#This Row],[ID2]])+ROW()</f>
        <v>376403</v>
      </c>
      <c r="C613" s="794">
        <v>21</v>
      </c>
      <c r="D613" s="794" t="s">
        <v>1273</v>
      </c>
      <c r="E613" s="795" t="s">
        <v>1274</v>
      </c>
      <c r="F613" s="795" t="s">
        <v>1275</v>
      </c>
      <c r="G613" s="795">
        <v>15</v>
      </c>
      <c r="H613" s="795" t="s">
        <v>0</v>
      </c>
      <c r="I613" s="796">
        <v>0</v>
      </c>
      <c r="J613" s="794"/>
      <c r="K613" s="794"/>
      <c r="L613" s="797">
        <v>400</v>
      </c>
      <c r="M613" s="778">
        <v>0</v>
      </c>
      <c r="N613" s="798">
        <v>70</v>
      </c>
      <c r="O613" s="798">
        <v>41.25</v>
      </c>
      <c r="P613" s="784">
        <v>0.375</v>
      </c>
      <c r="Q613" s="784">
        <v>0.14000000000000001</v>
      </c>
      <c r="R613" s="799">
        <v>0</v>
      </c>
      <c r="S613" s="784">
        <v>4</v>
      </c>
      <c r="T613" s="784">
        <v>2.5</v>
      </c>
      <c r="U613" s="784">
        <v>0.5</v>
      </c>
      <c r="V613" s="784">
        <v>0.75</v>
      </c>
      <c r="W613" s="784">
        <v>3.25</v>
      </c>
      <c r="X613" s="784">
        <v>1</v>
      </c>
      <c r="Y613" s="784">
        <v>3.5</v>
      </c>
      <c r="Z613" s="784">
        <v>25</v>
      </c>
      <c r="AA613" s="784">
        <v>15</v>
      </c>
      <c r="AB613" s="784">
        <v>30</v>
      </c>
      <c r="AC613" s="784">
        <v>0.2</v>
      </c>
      <c r="AD613" s="784">
        <v>0.1</v>
      </c>
      <c r="AE613" s="784">
        <v>0.05</v>
      </c>
      <c r="AF613" s="784">
        <v>1000</v>
      </c>
      <c r="AG613" s="784">
        <v>150</v>
      </c>
      <c r="AH613" s="784">
        <v>10</v>
      </c>
      <c r="AI613" s="784"/>
      <c r="AK613" s="783">
        <f>IFERROR(Tabela1[[#This Row],[EE(g)]]/Tabela1[[#This Row],[CMS(kg)]],0)</f>
        <v>0</v>
      </c>
    </row>
    <row r="614" spans="2:37" hidden="1">
      <c r="B614" s="774">
        <f>ROW()^2+(Tabela1[[#This Row],[ID2]])+ROW()</f>
        <v>377632</v>
      </c>
      <c r="C614" s="794">
        <v>22</v>
      </c>
      <c r="D614" s="794" t="s">
        <v>1273</v>
      </c>
      <c r="E614" s="795" t="s">
        <v>1274</v>
      </c>
      <c r="F614" s="795" t="s">
        <v>1275</v>
      </c>
      <c r="G614" s="795">
        <v>15</v>
      </c>
      <c r="H614" s="795" t="s">
        <v>1</v>
      </c>
      <c r="I614" s="796">
        <v>0</v>
      </c>
      <c r="J614" s="794"/>
      <c r="K614" s="794"/>
      <c r="L614" s="797">
        <v>400</v>
      </c>
      <c r="M614" s="778">
        <v>0.5</v>
      </c>
      <c r="N614" s="798">
        <v>1000</v>
      </c>
      <c r="O614" s="798">
        <v>1000</v>
      </c>
      <c r="P614" s="784">
        <v>1</v>
      </c>
      <c r="Q614" s="784">
        <v>1</v>
      </c>
      <c r="R614" s="799">
        <v>25</v>
      </c>
      <c r="S614" s="784">
        <v>10000</v>
      </c>
      <c r="T614" s="784">
        <v>10000</v>
      </c>
      <c r="U614" s="784">
        <v>2.5</v>
      </c>
      <c r="V614" s="784">
        <v>9</v>
      </c>
      <c r="W614" s="784">
        <v>15</v>
      </c>
      <c r="X614" s="784">
        <v>2</v>
      </c>
      <c r="Y614" s="784">
        <v>12.5</v>
      </c>
      <c r="Z614" s="784">
        <v>375</v>
      </c>
      <c r="AA614" s="784">
        <v>250</v>
      </c>
      <c r="AB614" s="784">
        <v>500</v>
      </c>
      <c r="AC614" s="784">
        <v>25</v>
      </c>
      <c r="AD614" s="784">
        <v>5</v>
      </c>
      <c r="AE614" s="784">
        <v>1</v>
      </c>
      <c r="AF614" s="784">
        <v>1000000</v>
      </c>
      <c r="AG614" s="784">
        <v>100000</v>
      </c>
      <c r="AH614" s="784">
        <v>100000</v>
      </c>
      <c r="AI614" s="784"/>
      <c r="AK614" s="783">
        <f>IFERROR(Tabela1[[#This Row],[EE(g)]]/Tabela1[[#This Row],[CMS(kg)]],0)</f>
        <v>50</v>
      </c>
    </row>
    <row r="615" spans="2:37" hidden="1">
      <c r="B615" s="774">
        <f>ROW()^2+(Tabela1[[#This Row],[ID2]])+ROW()</f>
        <v>378863</v>
      </c>
      <c r="C615" s="794">
        <v>23</v>
      </c>
      <c r="D615" s="794" t="s">
        <v>1273</v>
      </c>
      <c r="E615" s="795" t="s">
        <v>1274</v>
      </c>
      <c r="F615" s="795" t="s">
        <v>1275</v>
      </c>
      <c r="G615" s="795">
        <v>20</v>
      </c>
      <c r="H615" s="795" t="s">
        <v>0</v>
      </c>
      <c r="I615" s="796">
        <v>0</v>
      </c>
      <c r="J615" s="794"/>
      <c r="K615" s="794"/>
      <c r="L615" s="797">
        <v>100</v>
      </c>
      <c r="M615" s="778">
        <v>0</v>
      </c>
      <c r="N615" s="798">
        <v>98.000000000000014</v>
      </c>
      <c r="O615" s="798">
        <v>52.8</v>
      </c>
      <c r="P615" s="784">
        <v>0.48</v>
      </c>
      <c r="Q615" s="784">
        <v>0.19600000000000004</v>
      </c>
      <c r="R615" s="799">
        <v>0</v>
      </c>
      <c r="S615" s="784">
        <v>4.9000000000000004</v>
      </c>
      <c r="T615" s="784">
        <v>2.8000000000000003</v>
      </c>
      <c r="U615" s="784">
        <v>0.70000000000000007</v>
      </c>
      <c r="V615" s="784">
        <v>0.70000000000000007</v>
      </c>
      <c r="W615" s="784">
        <v>4.55</v>
      </c>
      <c r="X615" s="784">
        <v>1.4000000000000001</v>
      </c>
      <c r="Y615" s="784">
        <v>4.8999999999999995</v>
      </c>
      <c r="Z615" s="784">
        <v>35</v>
      </c>
      <c r="AA615" s="784">
        <v>21</v>
      </c>
      <c r="AB615" s="784">
        <v>42</v>
      </c>
      <c r="AC615" s="784">
        <v>0.27999999999999997</v>
      </c>
      <c r="AD615" s="784">
        <v>0.13999999999999999</v>
      </c>
      <c r="AE615" s="784">
        <v>6.9999999999999993E-2</v>
      </c>
      <c r="AF615" s="784">
        <v>1400</v>
      </c>
      <c r="AG615" s="784">
        <v>210</v>
      </c>
      <c r="AH615" s="784">
        <v>14</v>
      </c>
      <c r="AI615" s="784"/>
      <c r="AK615" s="783">
        <f>IFERROR(Tabela1[[#This Row],[EE(g)]]/Tabela1[[#This Row],[CMS(kg)]],0)</f>
        <v>0</v>
      </c>
    </row>
    <row r="616" spans="2:37" hidden="1">
      <c r="B616" s="774">
        <f>ROW()^2+(Tabela1[[#This Row],[ID2]])+ROW()</f>
        <v>380096</v>
      </c>
      <c r="C616" s="794">
        <v>24</v>
      </c>
      <c r="D616" s="794" t="s">
        <v>1273</v>
      </c>
      <c r="E616" s="795" t="s">
        <v>1274</v>
      </c>
      <c r="F616" s="795" t="s">
        <v>1275</v>
      </c>
      <c r="G616" s="795">
        <v>20</v>
      </c>
      <c r="H616" s="795" t="s">
        <v>1</v>
      </c>
      <c r="I616" s="796">
        <v>0</v>
      </c>
      <c r="J616" s="794"/>
      <c r="K616" s="794"/>
      <c r="L616" s="797">
        <v>100</v>
      </c>
      <c r="M616" s="778">
        <v>0.7</v>
      </c>
      <c r="N616" s="798">
        <v>1000</v>
      </c>
      <c r="O616" s="798">
        <v>1000</v>
      </c>
      <c r="P616" s="784">
        <v>1</v>
      </c>
      <c r="Q616" s="784">
        <v>1</v>
      </c>
      <c r="R616" s="799">
        <v>35</v>
      </c>
      <c r="S616" s="784">
        <v>10000</v>
      </c>
      <c r="T616" s="784">
        <v>10000</v>
      </c>
      <c r="U616" s="784">
        <v>3.5</v>
      </c>
      <c r="V616" s="784">
        <v>12.6</v>
      </c>
      <c r="W616" s="784">
        <v>21</v>
      </c>
      <c r="X616" s="784">
        <v>2.8000000000000003</v>
      </c>
      <c r="Y616" s="784">
        <v>17.5</v>
      </c>
      <c r="Z616" s="784">
        <v>525</v>
      </c>
      <c r="AA616" s="784">
        <v>350</v>
      </c>
      <c r="AB616" s="784">
        <v>700</v>
      </c>
      <c r="AC616" s="784">
        <v>35</v>
      </c>
      <c r="AD616" s="784">
        <v>7</v>
      </c>
      <c r="AE616" s="784">
        <v>1.4</v>
      </c>
      <c r="AF616" s="784">
        <v>1000000</v>
      </c>
      <c r="AG616" s="784">
        <v>100000</v>
      </c>
      <c r="AH616" s="784">
        <v>100000</v>
      </c>
      <c r="AI616" s="784"/>
      <c r="AK616" s="783">
        <f>IFERROR(Tabela1[[#This Row],[EE(g)]]/Tabela1[[#This Row],[CMS(kg)]],0)</f>
        <v>50</v>
      </c>
    </row>
    <row r="617" spans="2:37" hidden="1">
      <c r="B617" s="774">
        <f>ROW()^2+(Tabela1[[#This Row],[ID2]])+ROW()</f>
        <v>381331</v>
      </c>
      <c r="C617" s="794">
        <v>25</v>
      </c>
      <c r="D617" s="794" t="s">
        <v>1273</v>
      </c>
      <c r="E617" s="795" t="s">
        <v>1274</v>
      </c>
      <c r="F617" s="795" t="s">
        <v>1275</v>
      </c>
      <c r="G617" s="795">
        <v>20</v>
      </c>
      <c r="H617" s="795" t="s">
        <v>0</v>
      </c>
      <c r="I617" s="796">
        <v>0</v>
      </c>
      <c r="J617" s="794"/>
      <c r="K617" s="794"/>
      <c r="L617" s="797">
        <v>200</v>
      </c>
      <c r="M617" s="778">
        <v>0</v>
      </c>
      <c r="N617" s="798">
        <v>98.000000000000014</v>
      </c>
      <c r="O617" s="798">
        <v>61.6</v>
      </c>
      <c r="P617" s="784">
        <v>0.56000000000000005</v>
      </c>
      <c r="Q617" s="784">
        <v>0.19600000000000004</v>
      </c>
      <c r="R617" s="799">
        <v>0</v>
      </c>
      <c r="S617" s="784">
        <v>4.9000000000000004</v>
      </c>
      <c r="T617" s="784">
        <v>2.8000000000000003</v>
      </c>
      <c r="U617" s="784">
        <v>0.70000000000000007</v>
      </c>
      <c r="V617" s="784">
        <v>0.70000000000000007</v>
      </c>
      <c r="W617" s="784">
        <v>4.55</v>
      </c>
      <c r="X617" s="784">
        <v>1.4000000000000001</v>
      </c>
      <c r="Y617" s="784">
        <v>4.8999999999999995</v>
      </c>
      <c r="Z617" s="784">
        <v>35</v>
      </c>
      <c r="AA617" s="784">
        <v>21</v>
      </c>
      <c r="AB617" s="784">
        <v>42</v>
      </c>
      <c r="AC617" s="784">
        <v>0.27999999999999997</v>
      </c>
      <c r="AD617" s="784">
        <v>0.13999999999999999</v>
      </c>
      <c r="AE617" s="784">
        <v>6.9999999999999993E-2</v>
      </c>
      <c r="AF617" s="784">
        <v>1400</v>
      </c>
      <c r="AG617" s="784">
        <v>210</v>
      </c>
      <c r="AH617" s="784">
        <v>14</v>
      </c>
      <c r="AI617" s="784"/>
      <c r="AK617" s="783">
        <f>IFERROR(Tabela1[[#This Row],[EE(g)]]/Tabela1[[#This Row],[CMS(kg)]],0)</f>
        <v>0</v>
      </c>
    </row>
    <row r="618" spans="2:37" hidden="1">
      <c r="B618" s="774">
        <f>ROW()^2+(Tabela1[[#This Row],[ID2]])+ROW()</f>
        <v>382568</v>
      </c>
      <c r="C618" s="794">
        <v>26</v>
      </c>
      <c r="D618" s="794" t="s">
        <v>1273</v>
      </c>
      <c r="E618" s="795" t="s">
        <v>1274</v>
      </c>
      <c r="F618" s="795" t="s">
        <v>1275</v>
      </c>
      <c r="G618" s="795">
        <v>20</v>
      </c>
      <c r="H618" s="795" t="s">
        <v>1</v>
      </c>
      <c r="I618" s="796">
        <v>0</v>
      </c>
      <c r="J618" s="794"/>
      <c r="K618" s="794"/>
      <c r="L618" s="797">
        <v>200</v>
      </c>
      <c r="M618" s="778">
        <v>0.7</v>
      </c>
      <c r="N618" s="798">
        <v>1000</v>
      </c>
      <c r="O618" s="798">
        <v>1000</v>
      </c>
      <c r="P618" s="784">
        <v>1</v>
      </c>
      <c r="Q618" s="784">
        <v>1</v>
      </c>
      <c r="R618" s="799">
        <v>35</v>
      </c>
      <c r="S618" s="784">
        <v>10000</v>
      </c>
      <c r="T618" s="784">
        <v>10000</v>
      </c>
      <c r="U618" s="784">
        <v>3.5</v>
      </c>
      <c r="V618" s="784">
        <v>12.6</v>
      </c>
      <c r="W618" s="784">
        <v>21</v>
      </c>
      <c r="X618" s="784">
        <v>2.8000000000000003</v>
      </c>
      <c r="Y618" s="784">
        <v>17.5</v>
      </c>
      <c r="Z618" s="784">
        <v>525</v>
      </c>
      <c r="AA618" s="784">
        <v>350</v>
      </c>
      <c r="AB618" s="784">
        <v>700</v>
      </c>
      <c r="AC618" s="784">
        <v>35</v>
      </c>
      <c r="AD618" s="784">
        <v>7</v>
      </c>
      <c r="AE618" s="784">
        <v>1.4</v>
      </c>
      <c r="AF618" s="784">
        <v>1000000</v>
      </c>
      <c r="AG618" s="784">
        <v>100000</v>
      </c>
      <c r="AH618" s="784">
        <v>100000</v>
      </c>
      <c r="AI618" s="784"/>
      <c r="AK618" s="783">
        <f>IFERROR(Tabela1[[#This Row],[EE(g)]]/Tabela1[[#This Row],[CMS(kg)]],0)</f>
        <v>50</v>
      </c>
    </row>
    <row r="619" spans="2:37" hidden="1">
      <c r="B619" s="774">
        <f>ROW()^2+(Tabela1[[#This Row],[ID2]])+ROW()</f>
        <v>383807</v>
      </c>
      <c r="C619" s="794">
        <v>27</v>
      </c>
      <c r="D619" s="794" t="s">
        <v>1273</v>
      </c>
      <c r="E619" s="795" t="s">
        <v>1274</v>
      </c>
      <c r="F619" s="795" t="s">
        <v>1275</v>
      </c>
      <c r="G619" s="795">
        <v>20</v>
      </c>
      <c r="H619" s="795" t="s">
        <v>0</v>
      </c>
      <c r="I619" s="796">
        <v>0</v>
      </c>
      <c r="J619" s="794"/>
      <c r="K619" s="794"/>
      <c r="L619" s="797">
        <v>300</v>
      </c>
      <c r="M619" s="778">
        <v>0</v>
      </c>
      <c r="N619" s="798">
        <v>121.80000000000001</v>
      </c>
      <c r="O619" s="798">
        <v>71.5</v>
      </c>
      <c r="P619" s="784">
        <v>0.65</v>
      </c>
      <c r="Q619" s="784">
        <v>0.24360000000000001</v>
      </c>
      <c r="R619" s="799">
        <v>0</v>
      </c>
      <c r="S619" s="784">
        <v>6.09</v>
      </c>
      <c r="T619" s="784">
        <v>3.48</v>
      </c>
      <c r="U619" s="784">
        <v>0.87</v>
      </c>
      <c r="V619" s="784">
        <v>0.87</v>
      </c>
      <c r="W619" s="784">
        <v>5.6549999999999994</v>
      </c>
      <c r="X619" s="784">
        <v>1.74</v>
      </c>
      <c r="Y619" s="784">
        <v>6.09</v>
      </c>
      <c r="Z619" s="784">
        <v>43.5</v>
      </c>
      <c r="AA619" s="784">
        <v>26.1</v>
      </c>
      <c r="AB619" s="784">
        <v>52.2</v>
      </c>
      <c r="AC619" s="784">
        <v>0.34800000000000003</v>
      </c>
      <c r="AD619" s="784">
        <v>0.17400000000000002</v>
      </c>
      <c r="AE619" s="784">
        <v>8.7000000000000008E-2</v>
      </c>
      <c r="AF619" s="784">
        <v>1740</v>
      </c>
      <c r="AG619" s="784">
        <v>261</v>
      </c>
      <c r="AH619" s="784">
        <v>17.399999999999999</v>
      </c>
      <c r="AI619" s="784"/>
      <c r="AK619" s="783">
        <f>IFERROR(Tabela1[[#This Row],[EE(g)]]/Tabela1[[#This Row],[CMS(kg)]],0)</f>
        <v>0</v>
      </c>
    </row>
    <row r="620" spans="2:37" hidden="1">
      <c r="B620" s="774">
        <f>ROW()^2+(Tabela1[[#This Row],[ID2]])+ROW()</f>
        <v>385048</v>
      </c>
      <c r="C620" s="794">
        <v>28</v>
      </c>
      <c r="D620" s="794" t="s">
        <v>1273</v>
      </c>
      <c r="E620" s="795" t="s">
        <v>1274</v>
      </c>
      <c r="F620" s="795" t="s">
        <v>1275</v>
      </c>
      <c r="G620" s="795">
        <v>20</v>
      </c>
      <c r="H620" s="795" t="s">
        <v>1</v>
      </c>
      <c r="I620" s="796">
        <v>0</v>
      </c>
      <c r="J620" s="794"/>
      <c r="K620" s="794"/>
      <c r="L620" s="797">
        <v>300</v>
      </c>
      <c r="M620" s="778">
        <v>0.87</v>
      </c>
      <c r="N620" s="798">
        <v>1000</v>
      </c>
      <c r="O620" s="798">
        <v>1000</v>
      </c>
      <c r="P620" s="784">
        <v>1</v>
      </c>
      <c r="Q620" s="784">
        <v>1</v>
      </c>
      <c r="R620" s="799">
        <v>43.5</v>
      </c>
      <c r="S620" s="784">
        <v>10000</v>
      </c>
      <c r="T620" s="784">
        <v>10000</v>
      </c>
      <c r="U620" s="784">
        <v>4.3500000000000005</v>
      </c>
      <c r="V620" s="784">
        <v>15.659999999999998</v>
      </c>
      <c r="W620" s="784">
        <v>26.099999999999998</v>
      </c>
      <c r="X620" s="784">
        <v>3.48</v>
      </c>
      <c r="Y620" s="784">
        <v>21.75</v>
      </c>
      <c r="Z620" s="784">
        <v>652.5</v>
      </c>
      <c r="AA620" s="784">
        <v>435</v>
      </c>
      <c r="AB620" s="784">
        <v>870</v>
      </c>
      <c r="AC620" s="784">
        <v>43.5</v>
      </c>
      <c r="AD620" s="784">
        <v>8.6999999999999993</v>
      </c>
      <c r="AE620" s="784">
        <v>1.74</v>
      </c>
      <c r="AF620" s="784">
        <v>1000000</v>
      </c>
      <c r="AG620" s="784">
        <v>100000</v>
      </c>
      <c r="AH620" s="784">
        <v>100000</v>
      </c>
      <c r="AI620" s="784"/>
      <c r="AK620" s="783">
        <f>IFERROR(Tabela1[[#This Row],[EE(g)]]/Tabela1[[#This Row],[CMS(kg)]],0)</f>
        <v>50</v>
      </c>
    </row>
    <row r="621" spans="2:37" hidden="1">
      <c r="B621" s="774">
        <f>ROW()^2+(Tabela1[[#This Row],[ID2]])+ROW()</f>
        <v>386291</v>
      </c>
      <c r="C621" s="794">
        <v>29</v>
      </c>
      <c r="D621" s="794" t="s">
        <v>1273</v>
      </c>
      <c r="E621" s="795" t="s">
        <v>1274</v>
      </c>
      <c r="F621" s="795" t="s">
        <v>1275</v>
      </c>
      <c r="G621" s="795">
        <v>20</v>
      </c>
      <c r="H621" s="795" t="s">
        <v>0</v>
      </c>
      <c r="I621" s="796">
        <v>0</v>
      </c>
      <c r="J621" s="794"/>
      <c r="K621" s="794"/>
      <c r="L621" s="797">
        <v>400</v>
      </c>
      <c r="M621" s="778">
        <v>0</v>
      </c>
      <c r="N621" s="798">
        <v>149.80000000000001</v>
      </c>
      <c r="O621" s="798">
        <v>93.5</v>
      </c>
      <c r="P621" s="784">
        <v>0.85</v>
      </c>
      <c r="Q621" s="784">
        <v>0.29960000000000003</v>
      </c>
      <c r="R621" s="799">
        <v>0</v>
      </c>
      <c r="S621" s="784">
        <v>7.49</v>
      </c>
      <c r="T621" s="784">
        <v>4.28</v>
      </c>
      <c r="U621" s="784">
        <v>1.07</v>
      </c>
      <c r="V621" s="784">
        <v>1.07</v>
      </c>
      <c r="W621" s="784">
        <v>6.9550000000000001</v>
      </c>
      <c r="X621" s="784">
        <v>2.14</v>
      </c>
      <c r="Y621" s="784">
        <v>7.49</v>
      </c>
      <c r="Z621" s="784">
        <v>53.5</v>
      </c>
      <c r="AA621" s="784">
        <v>32.1</v>
      </c>
      <c r="AB621" s="784">
        <v>64.2</v>
      </c>
      <c r="AC621" s="784">
        <v>0.42800000000000005</v>
      </c>
      <c r="AD621" s="784">
        <v>0.21400000000000002</v>
      </c>
      <c r="AE621" s="784">
        <v>0.10700000000000001</v>
      </c>
      <c r="AF621" s="784">
        <v>2140</v>
      </c>
      <c r="AG621" s="784">
        <v>321</v>
      </c>
      <c r="AH621" s="784">
        <v>21.400000000000002</v>
      </c>
      <c r="AI621" s="784"/>
      <c r="AK621" s="783">
        <f>IFERROR(Tabela1[[#This Row],[EE(g)]]/Tabela1[[#This Row],[CMS(kg)]],0)</f>
        <v>0</v>
      </c>
    </row>
    <row r="622" spans="2:37" hidden="1">
      <c r="B622" s="774">
        <f>ROW()^2+(Tabela1[[#This Row],[ID2]])+ROW()</f>
        <v>387536</v>
      </c>
      <c r="C622" s="794">
        <v>30</v>
      </c>
      <c r="D622" s="794" t="s">
        <v>1273</v>
      </c>
      <c r="E622" s="795" t="s">
        <v>1274</v>
      </c>
      <c r="F622" s="795" t="s">
        <v>1275</v>
      </c>
      <c r="G622" s="795">
        <v>20</v>
      </c>
      <c r="H622" s="795" t="s">
        <v>1</v>
      </c>
      <c r="I622" s="796">
        <v>0</v>
      </c>
      <c r="J622" s="794"/>
      <c r="K622" s="794"/>
      <c r="L622" s="797">
        <v>400</v>
      </c>
      <c r="M622" s="778">
        <v>1.07</v>
      </c>
      <c r="N622" s="798">
        <v>1000</v>
      </c>
      <c r="O622" s="798">
        <v>1000</v>
      </c>
      <c r="P622" s="784">
        <v>1.5</v>
      </c>
      <c r="Q622" s="784">
        <v>1</v>
      </c>
      <c r="R622" s="799">
        <v>53.5</v>
      </c>
      <c r="S622" s="784">
        <v>10000</v>
      </c>
      <c r="T622" s="784">
        <v>10000</v>
      </c>
      <c r="U622" s="784">
        <v>5.3500000000000005</v>
      </c>
      <c r="V622" s="784">
        <v>19.259999999999998</v>
      </c>
      <c r="W622" s="784">
        <v>32.1</v>
      </c>
      <c r="X622" s="784">
        <v>4.28</v>
      </c>
      <c r="Y622" s="784">
        <v>26.75</v>
      </c>
      <c r="Z622" s="784">
        <v>802.5</v>
      </c>
      <c r="AA622" s="784">
        <v>535</v>
      </c>
      <c r="AB622" s="784">
        <v>1070</v>
      </c>
      <c r="AC622" s="784">
        <v>53.5</v>
      </c>
      <c r="AD622" s="784">
        <v>10.700000000000001</v>
      </c>
      <c r="AE622" s="784">
        <v>2.14</v>
      </c>
      <c r="AF622" s="784">
        <v>1000000</v>
      </c>
      <c r="AG622" s="784">
        <v>100000</v>
      </c>
      <c r="AH622" s="784">
        <v>100000</v>
      </c>
      <c r="AI622" s="784"/>
      <c r="AK622" s="783">
        <f>IFERROR(Tabela1[[#This Row],[EE(g)]]/Tabela1[[#This Row],[CMS(kg)]],0)</f>
        <v>50</v>
      </c>
    </row>
    <row r="623" spans="2:37" hidden="1">
      <c r="B623" s="774">
        <f>ROW()^2+(Tabela1[[#This Row],[ID2]])+ROW()</f>
        <v>388783</v>
      </c>
      <c r="C623" s="794">
        <v>31</v>
      </c>
      <c r="D623" s="794" t="s">
        <v>1273</v>
      </c>
      <c r="E623" s="795" t="s">
        <v>1274</v>
      </c>
      <c r="F623" s="795" t="s">
        <v>1275</v>
      </c>
      <c r="G623" s="795">
        <v>25</v>
      </c>
      <c r="H623" s="795" t="s">
        <v>0</v>
      </c>
      <c r="I623" s="796">
        <v>0</v>
      </c>
      <c r="J623" s="794"/>
      <c r="K623" s="794"/>
      <c r="L623" s="797">
        <v>100</v>
      </c>
      <c r="M623" s="778">
        <v>0</v>
      </c>
      <c r="N623" s="798">
        <v>100</v>
      </c>
      <c r="O623" s="798">
        <v>59.4</v>
      </c>
      <c r="P623" s="784">
        <v>0.54</v>
      </c>
      <c r="Q623" s="784">
        <v>0.28000000000000003</v>
      </c>
      <c r="R623" s="799">
        <v>0</v>
      </c>
      <c r="S623" s="784">
        <v>6</v>
      </c>
      <c r="T623" s="784">
        <v>3</v>
      </c>
      <c r="U623" s="784">
        <v>1</v>
      </c>
      <c r="V623" s="784">
        <v>1</v>
      </c>
      <c r="W623" s="784">
        <v>6.5</v>
      </c>
      <c r="X623" s="784">
        <v>2</v>
      </c>
      <c r="Y623" s="784">
        <v>7</v>
      </c>
      <c r="Z623" s="784">
        <v>50</v>
      </c>
      <c r="AA623" s="784">
        <v>30</v>
      </c>
      <c r="AB623" s="784">
        <v>60</v>
      </c>
      <c r="AC623" s="784">
        <v>0.4</v>
      </c>
      <c r="AD623" s="784">
        <v>0.2</v>
      </c>
      <c r="AE623" s="784">
        <v>0.1</v>
      </c>
      <c r="AF623" s="784">
        <v>2000</v>
      </c>
      <c r="AG623" s="784">
        <v>300</v>
      </c>
      <c r="AH623" s="784">
        <v>20</v>
      </c>
      <c r="AI623" s="784"/>
      <c r="AK623" s="783">
        <f>IFERROR(Tabela1[[#This Row],[EE(g)]]/Tabela1[[#This Row],[CMS(kg)]],0)</f>
        <v>0</v>
      </c>
    </row>
    <row r="624" spans="2:37" hidden="1">
      <c r="B624" s="774">
        <f>ROW()^2+(Tabela1[[#This Row],[ID2]])+ROW()</f>
        <v>390032</v>
      </c>
      <c r="C624" s="794">
        <v>32</v>
      </c>
      <c r="D624" s="794" t="s">
        <v>1273</v>
      </c>
      <c r="E624" s="795" t="s">
        <v>1274</v>
      </c>
      <c r="F624" s="795" t="s">
        <v>1275</v>
      </c>
      <c r="G624" s="795">
        <v>25</v>
      </c>
      <c r="H624" s="795" t="s">
        <v>1</v>
      </c>
      <c r="I624" s="796">
        <v>0</v>
      </c>
      <c r="J624" s="794"/>
      <c r="K624" s="794"/>
      <c r="L624" s="797">
        <v>100</v>
      </c>
      <c r="M624" s="778">
        <v>1</v>
      </c>
      <c r="N624" s="798">
        <v>1000</v>
      </c>
      <c r="O624" s="798">
        <v>1000</v>
      </c>
      <c r="P624" s="784">
        <v>1</v>
      </c>
      <c r="Q624" s="784">
        <v>1</v>
      </c>
      <c r="R624" s="799">
        <v>50</v>
      </c>
      <c r="S624" s="784">
        <v>10000</v>
      </c>
      <c r="T624" s="784">
        <v>10000</v>
      </c>
      <c r="U624" s="784">
        <v>5</v>
      </c>
      <c r="V624" s="784">
        <v>18</v>
      </c>
      <c r="W624" s="784">
        <v>30</v>
      </c>
      <c r="X624" s="784">
        <v>4</v>
      </c>
      <c r="Y624" s="784">
        <v>25</v>
      </c>
      <c r="Z624" s="784">
        <v>750</v>
      </c>
      <c r="AA624" s="784">
        <v>500</v>
      </c>
      <c r="AB624" s="784">
        <v>1000</v>
      </c>
      <c r="AC624" s="784">
        <v>50</v>
      </c>
      <c r="AD624" s="784">
        <v>10</v>
      </c>
      <c r="AE624" s="784">
        <v>2</v>
      </c>
      <c r="AF624" s="784">
        <v>1000000</v>
      </c>
      <c r="AG624" s="784">
        <v>100000</v>
      </c>
      <c r="AH624" s="784">
        <v>100000</v>
      </c>
      <c r="AI624" s="784"/>
      <c r="AK624" s="783">
        <f>IFERROR(Tabela1[[#This Row],[EE(g)]]/Tabela1[[#This Row],[CMS(kg)]],0)</f>
        <v>50</v>
      </c>
    </row>
    <row r="625" spans="2:37" hidden="1">
      <c r="B625" s="774">
        <f>ROW()^2+(Tabela1[[#This Row],[ID2]])+ROW()</f>
        <v>391283</v>
      </c>
      <c r="C625" s="794">
        <v>33</v>
      </c>
      <c r="D625" s="794" t="s">
        <v>1273</v>
      </c>
      <c r="E625" s="795" t="s">
        <v>1274</v>
      </c>
      <c r="F625" s="795" t="s">
        <v>1275</v>
      </c>
      <c r="G625" s="795">
        <v>25</v>
      </c>
      <c r="H625" s="795" t="s">
        <v>0</v>
      </c>
      <c r="I625" s="796">
        <v>0</v>
      </c>
      <c r="J625" s="794"/>
      <c r="K625" s="794"/>
      <c r="L625" s="797">
        <v>200</v>
      </c>
      <c r="M625" s="778">
        <v>0</v>
      </c>
      <c r="N625" s="798">
        <v>105</v>
      </c>
      <c r="O625" s="798">
        <v>73.7</v>
      </c>
      <c r="P625" s="784">
        <v>0.67</v>
      </c>
      <c r="Q625" s="784">
        <v>0.29399999999999998</v>
      </c>
      <c r="R625" s="799">
        <v>0</v>
      </c>
      <c r="S625" s="784">
        <v>6.3</v>
      </c>
      <c r="T625" s="784">
        <v>3.15</v>
      </c>
      <c r="U625" s="784">
        <v>1.05</v>
      </c>
      <c r="V625" s="784">
        <v>1.05</v>
      </c>
      <c r="W625" s="784">
        <v>6.8249999999999993</v>
      </c>
      <c r="X625" s="784">
        <v>2.1</v>
      </c>
      <c r="Y625" s="784">
        <v>7.3500000000000005</v>
      </c>
      <c r="Z625" s="784">
        <v>52.5</v>
      </c>
      <c r="AA625" s="784">
        <v>31.5</v>
      </c>
      <c r="AB625" s="784">
        <v>63</v>
      </c>
      <c r="AC625" s="784">
        <v>0.42000000000000004</v>
      </c>
      <c r="AD625" s="784">
        <v>0.21000000000000002</v>
      </c>
      <c r="AE625" s="784">
        <v>0.10500000000000001</v>
      </c>
      <c r="AF625" s="784">
        <v>2100</v>
      </c>
      <c r="AG625" s="784">
        <v>315</v>
      </c>
      <c r="AH625" s="784">
        <v>21</v>
      </c>
      <c r="AI625" s="784"/>
      <c r="AK625" s="783">
        <f>IFERROR(Tabela1[[#This Row],[EE(g)]]/Tabela1[[#This Row],[CMS(kg)]],0)</f>
        <v>0</v>
      </c>
    </row>
    <row r="626" spans="2:37" hidden="1">
      <c r="B626" s="774">
        <f>ROW()^2+(Tabela1[[#This Row],[ID2]])+ROW()</f>
        <v>392536</v>
      </c>
      <c r="C626" s="794">
        <v>34</v>
      </c>
      <c r="D626" s="794" t="s">
        <v>1273</v>
      </c>
      <c r="E626" s="795" t="s">
        <v>1274</v>
      </c>
      <c r="F626" s="795" t="s">
        <v>1275</v>
      </c>
      <c r="G626" s="795">
        <v>25</v>
      </c>
      <c r="H626" s="795" t="s">
        <v>1</v>
      </c>
      <c r="I626" s="796">
        <v>0</v>
      </c>
      <c r="J626" s="794"/>
      <c r="K626" s="794"/>
      <c r="L626" s="797">
        <v>200</v>
      </c>
      <c r="M626" s="778">
        <v>1.05</v>
      </c>
      <c r="N626" s="798">
        <v>1000</v>
      </c>
      <c r="O626" s="798">
        <v>1000</v>
      </c>
      <c r="P626" s="784">
        <v>1</v>
      </c>
      <c r="Q626" s="784">
        <v>1</v>
      </c>
      <c r="R626" s="799">
        <v>52.5</v>
      </c>
      <c r="S626" s="784">
        <v>10000</v>
      </c>
      <c r="T626" s="784">
        <v>10000</v>
      </c>
      <c r="U626" s="784">
        <v>5.25</v>
      </c>
      <c r="V626" s="784">
        <v>18.899999999999999</v>
      </c>
      <c r="W626" s="784">
        <v>31.5</v>
      </c>
      <c r="X626" s="784">
        <v>4.2</v>
      </c>
      <c r="Y626" s="784">
        <v>26.25</v>
      </c>
      <c r="Z626" s="784">
        <v>787.5</v>
      </c>
      <c r="AA626" s="784">
        <v>525</v>
      </c>
      <c r="AB626" s="784">
        <v>1050</v>
      </c>
      <c r="AC626" s="784">
        <v>52.5</v>
      </c>
      <c r="AD626" s="784">
        <v>10.5</v>
      </c>
      <c r="AE626" s="784">
        <v>2.1</v>
      </c>
      <c r="AF626" s="784">
        <v>1000000</v>
      </c>
      <c r="AG626" s="784">
        <v>100000</v>
      </c>
      <c r="AH626" s="784">
        <v>100000</v>
      </c>
      <c r="AI626" s="784"/>
      <c r="AK626" s="783">
        <f>IFERROR(Tabela1[[#This Row],[EE(g)]]/Tabela1[[#This Row],[CMS(kg)]],0)</f>
        <v>50</v>
      </c>
    </row>
    <row r="627" spans="2:37" hidden="1">
      <c r="B627" s="774">
        <f>ROW()^2+(Tabela1[[#This Row],[ID2]])+ROW()</f>
        <v>393791</v>
      </c>
      <c r="C627" s="794">
        <v>35</v>
      </c>
      <c r="D627" s="794" t="s">
        <v>1273</v>
      </c>
      <c r="E627" s="795" t="s">
        <v>1274</v>
      </c>
      <c r="F627" s="795" t="s">
        <v>1275</v>
      </c>
      <c r="G627" s="795">
        <v>25</v>
      </c>
      <c r="H627" s="795" t="s">
        <v>0</v>
      </c>
      <c r="I627" s="796">
        <v>0</v>
      </c>
      <c r="J627" s="794"/>
      <c r="K627" s="794"/>
      <c r="L627" s="797">
        <v>300</v>
      </c>
      <c r="M627" s="778">
        <v>0</v>
      </c>
      <c r="N627" s="798">
        <v>132</v>
      </c>
      <c r="O627" s="798">
        <v>94.6</v>
      </c>
      <c r="P627" s="784">
        <v>0.86</v>
      </c>
      <c r="Q627" s="784">
        <v>0.30800000000000005</v>
      </c>
      <c r="R627" s="799">
        <v>0</v>
      </c>
      <c r="S627" s="784">
        <v>6.6000000000000005</v>
      </c>
      <c r="T627" s="784">
        <v>3.3000000000000003</v>
      </c>
      <c r="U627" s="784">
        <v>1.1000000000000001</v>
      </c>
      <c r="V627" s="784">
        <v>1.1000000000000001</v>
      </c>
      <c r="W627" s="784">
        <v>7.1499999999999995</v>
      </c>
      <c r="X627" s="784">
        <v>2.2000000000000002</v>
      </c>
      <c r="Y627" s="784">
        <v>7.7000000000000011</v>
      </c>
      <c r="Z627" s="784">
        <v>55.000000000000007</v>
      </c>
      <c r="AA627" s="784">
        <v>33</v>
      </c>
      <c r="AB627" s="784">
        <v>66</v>
      </c>
      <c r="AC627" s="784">
        <v>0.44000000000000006</v>
      </c>
      <c r="AD627" s="784">
        <v>0.22000000000000003</v>
      </c>
      <c r="AE627" s="784">
        <v>0.11000000000000001</v>
      </c>
      <c r="AF627" s="784">
        <v>2200</v>
      </c>
      <c r="AG627" s="784">
        <v>330</v>
      </c>
      <c r="AH627" s="784">
        <v>22</v>
      </c>
      <c r="AI627" s="784"/>
      <c r="AK627" s="783">
        <f>IFERROR(Tabela1[[#This Row],[EE(g)]]/Tabela1[[#This Row],[CMS(kg)]],0)</f>
        <v>0</v>
      </c>
    </row>
    <row r="628" spans="2:37" hidden="1">
      <c r="B628" s="774">
        <f>ROW()^2+(Tabela1[[#This Row],[ID2]])+ROW()</f>
        <v>395048</v>
      </c>
      <c r="C628" s="794">
        <v>36</v>
      </c>
      <c r="D628" s="794" t="s">
        <v>1273</v>
      </c>
      <c r="E628" s="795" t="s">
        <v>1274</v>
      </c>
      <c r="F628" s="795" t="s">
        <v>1275</v>
      </c>
      <c r="G628" s="795">
        <v>25</v>
      </c>
      <c r="H628" s="795" t="s">
        <v>1</v>
      </c>
      <c r="I628" s="796">
        <v>0</v>
      </c>
      <c r="J628" s="794"/>
      <c r="K628" s="794"/>
      <c r="L628" s="797">
        <v>300</v>
      </c>
      <c r="M628" s="778">
        <v>1.1000000000000001</v>
      </c>
      <c r="N628" s="798">
        <v>1000</v>
      </c>
      <c r="O628" s="798">
        <v>1000</v>
      </c>
      <c r="P628" s="784">
        <v>1.5</v>
      </c>
      <c r="Q628" s="784">
        <v>1</v>
      </c>
      <c r="R628" s="799">
        <v>55</v>
      </c>
      <c r="S628" s="784">
        <v>10000</v>
      </c>
      <c r="T628" s="784">
        <v>10000</v>
      </c>
      <c r="U628" s="784">
        <v>5.5</v>
      </c>
      <c r="V628" s="784">
        <v>19.799999999999997</v>
      </c>
      <c r="W628" s="784">
        <v>33</v>
      </c>
      <c r="X628" s="784">
        <v>4.4000000000000004</v>
      </c>
      <c r="Y628" s="784">
        <v>27.500000000000004</v>
      </c>
      <c r="Z628" s="784">
        <v>825.00000000000011</v>
      </c>
      <c r="AA628" s="784">
        <v>550</v>
      </c>
      <c r="AB628" s="784">
        <v>1100</v>
      </c>
      <c r="AC628" s="784">
        <v>55.000000000000007</v>
      </c>
      <c r="AD628" s="784">
        <v>11</v>
      </c>
      <c r="AE628" s="784">
        <v>2.2000000000000002</v>
      </c>
      <c r="AF628" s="784">
        <v>1000000</v>
      </c>
      <c r="AG628" s="784">
        <v>100000</v>
      </c>
      <c r="AH628" s="784">
        <v>100000</v>
      </c>
      <c r="AI628" s="784"/>
      <c r="AK628" s="783">
        <f>IFERROR(Tabela1[[#This Row],[EE(g)]]/Tabela1[[#This Row],[CMS(kg)]],0)</f>
        <v>49.999999999999993</v>
      </c>
    </row>
    <row r="629" spans="2:37" hidden="1">
      <c r="B629" s="774">
        <f>ROW()^2+(Tabela1[[#This Row],[ID2]])+ROW()</f>
        <v>396307</v>
      </c>
      <c r="C629" s="794">
        <v>37</v>
      </c>
      <c r="D629" s="794" t="s">
        <v>1273</v>
      </c>
      <c r="E629" s="795" t="s">
        <v>1274</v>
      </c>
      <c r="F629" s="795" t="s">
        <v>1275</v>
      </c>
      <c r="G629" s="795">
        <v>25</v>
      </c>
      <c r="H629" s="795" t="s">
        <v>0</v>
      </c>
      <c r="I629" s="796">
        <v>0</v>
      </c>
      <c r="J629" s="794"/>
      <c r="K629" s="794"/>
      <c r="L629" s="797">
        <v>400</v>
      </c>
      <c r="M629" s="778">
        <v>0</v>
      </c>
      <c r="N629" s="798">
        <v>152.4</v>
      </c>
      <c r="O629" s="798">
        <v>104.5</v>
      </c>
      <c r="P629" s="784">
        <v>0.95</v>
      </c>
      <c r="Q629" s="784">
        <v>0.35560000000000003</v>
      </c>
      <c r="R629" s="799">
        <v>0</v>
      </c>
      <c r="S629" s="784">
        <v>7.62</v>
      </c>
      <c r="T629" s="784">
        <v>3.81</v>
      </c>
      <c r="U629" s="784">
        <v>1.27</v>
      </c>
      <c r="V629" s="784">
        <v>1.27</v>
      </c>
      <c r="W629" s="784">
        <v>8.254999999999999</v>
      </c>
      <c r="X629" s="784">
        <v>2.54</v>
      </c>
      <c r="Y629" s="784">
        <v>8.89</v>
      </c>
      <c r="Z629" s="784">
        <v>63.5</v>
      </c>
      <c r="AA629" s="784">
        <v>38.1</v>
      </c>
      <c r="AB629" s="784">
        <v>76.2</v>
      </c>
      <c r="AC629" s="784">
        <v>0.50800000000000001</v>
      </c>
      <c r="AD629" s="784">
        <v>0.254</v>
      </c>
      <c r="AE629" s="784">
        <v>0.127</v>
      </c>
      <c r="AF629" s="784">
        <v>2540</v>
      </c>
      <c r="AG629" s="784">
        <v>381</v>
      </c>
      <c r="AH629" s="784">
        <v>25.4</v>
      </c>
      <c r="AI629" s="784"/>
      <c r="AK629" s="783">
        <f>IFERROR(Tabela1[[#This Row],[EE(g)]]/Tabela1[[#This Row],[CMS(kg)]],0)</f>
        <v>0</v>
      </c>
    </row>
    <row r="630" spans="2:37" hidden="1">
      <c r="B630" s="774">
        <f>ROW()^2+(Tabela1[[#This Row],[ID2]])+ROW()</f>
        <v>397568</v>
      </c>
      <c r="C630" s="794">
        <v>38</v>
      </c>
      <c r="D630" s="794" t="s">
        <v>1273</v>
      </c>
      <c r="E630" s="795" t="s">
        <v>1274</v>
      </c>
      <c r="F630" s="795" t="s">
        <v>1275</v>
      </c>
      <c r="G630" s="795">
        <v>25</v>
      </c>
      <c r="H630" s="795" t="s">
        <v>1</v>
      </c>
      <c r="I630" s="796">
        <v>0</v>
      </c>
      <c r="J630" s="794"/>
      <c r="K630" s="794"/>
      <c r="L630" s="797">
        <v>400</v>
      </c>
      <c r="M630" s="778">
        <v>1.27</v>
      </c>
      <c r="N630" s="798">
        <v>1000</v>
      </c>
      <c r="O630" s="798">
        <v>1000</v>
      </c>
      <c r="P630" s="784">
        <v>2</v>
      </c>
      <c r="Q630" s="784">
        <v>1</v>
      </c>
      <c r="R630" s="799">
        <v>63.5</v>
      </c>
      <c r="S630" s="784">
        <v>10000</v>
      </c>
      <c r="T630" s="784">
        <v>10000</v>
      </c>
      <c r="U630" s="784">
        <v>6.3500000000000005</v>
      </c>
      <c r="V630" s="784">
        <v>22.86</v>
      </c>
      <c r="W630" s="784">
        <v>38.1</v>
      </c>
      <c r="X630" s="784">
        <v>5.08</v>
      </c>
      <c r="Y630" s="784">
        <v>31.75</v>
      </c>
      <c r="Z630" s="784">
        <v>952.5</v>
      </c>
      <c r="AA630" s="784">
        <v>635</v>
      </c>
      <c r="AB630" s="784">
        <v>1270</v>
      </c>
      <c r="AC630" s="784">
        <v>63.5</v>
      </c>
      <c r="AD630" s="784">
        <v>12.7</v>
      </c>
      <c r="AE630" s="784">
        <v>2.54</v>
      </c>
      <c r="AF630" s="784">
        <v>1000000</v>
      </c>
      <c r="AG630" s="784">
        <v>100000</v>
      </c>
      <c r="AH630" s="784">
        <v>100000</v>
      </c>
      <c r="AI630" s="784"/>
      <c r="AK630" s="783">
        <f>IFERROR(Tabela1[[#This Row],[EE(g)]]/Tabela1[[#This Row],[CMS(kg)]],0)</f>
        <v>50</v>
      </c>
    </row>
    <row r="631" spans="2:37" hidden="1">
      <c r="B631" s="774">
        <f>ROW()^2+(Tabela1[[#This Row],[ID2]])+ROW()</f>
        <v>398831</v>
      </c>
      <c r="C631" s="794">
        <v>39</v>
      </c>
      <c r="D631" s="794" t="s">
        <v>1273</v>
      </c>
      <c r="E631" s="795" t="s">
        <v>1274</v>
      </c>
      <c r="F631" s="795" t="s">
        <v>1275</v>
      </c>
      <c r="G631" s="795">
        <v>30</v>
      </c>
      <c r="H631" s="795" t="s">
        <v>0</v>
      </c>
      <c r="I631" s="796">
        <v>0</v>
      </c>
      <c r="J631" s="794"/>
      <c r="K631" s="794"/>
      <c r="L631" s="797">
        <v>100</v>
      </c>
      <c r="M631" s="778">
        <v>0</v>
      </c>
      <c r="N631" s="798">
        <v>106.8</v>
      </c>
      <c r="O631" s="798">
        <v>66</v>
      </c>
      <c r="P631" s="784">
        <v>0.6</v>
      </c>
      <c r="Q631" s="784">
        <v>0.33600000000000008</v>
      </c>
      <c r="R631" s="799">
        <v>0</v>
      </c>
      <c r="S631" s="784">
        <v>7.2</v>
      </c>
      <c r="T631" s="784">
        <v>3.6</v>
      </c>
      <c r="U631" s="784">
        <v>1.2</v>
      </c>
      <c r="V631" s="784">
        <v>1.2</v>
      </c>
      <c r="W631" s="784">
        <v>7.8</v>
      </c>
      <c r="X631" s="784">
        <v>2.4</v>
      </c>
      <c r="Y631" s="784">
        <v>8.4</v>
      </c>
      <c r="Z631" s="784">
        <v>60</v>
      </c>
      <c r="AA631" s="784">
        <v>36</v>
      </c>
      <c r="AB631" s="784">
        <v>72</v>
      </c>
      <c r="AC631" s="784">
        <v>0.48</v>
      </c>
      <c r="AD631" s="784">
        <v>0.24</v>
      </c>
      <c r="AE631" s="784">
        <v>0.12</v>
      </c>
      <c r="AF631" s="784">
        <v>2400</v>
      </c>
      <c r="AG631" s="784">
        <v>360</v>
      </c>
      <c r="AH631" s="784">
        <v>24</v>
      </c>
      <c r="AI631" s="784"/>
      <c r="AK631" s="783">
        <f>IFERROR(Tabela1[[#This Row],[EE(g)]]/Tabela1[[#This Row],[CMS(kg)]],0)</f>
        <v>0</v>
      </c>
    </row>
    <row r="632" spans="2:37" hidden="1">
      <c r="B632" s="774">
        <f>ROW()^2+(Tabela1[[#This Row],[ID2]])+ROW()</f>
        <v>400096</v>
      </c>
      <c r="C632" s="794">
        <v>40</v>
      </c>
      <c r="D632" s="794" t="s">
        <v>1273</v>
      </c>
      <c r="E632" s="795" t="s">
        <v>1274</v>
      </c>
      <c r="F632" s="795" t="s">
        <v>1275</v>
      </c>
      <c r="G632" s="795">
        <v>30</v>
      </c>
      <c r="H632" s="795" t="s">
        <v>1</v>
      </c>
      <c r="I632" s="796">
        <v>0</v>
      </c>
      <c r="J632" s="794"/>
      <c r="K632" s="794"/>
      <c r="L632" s="797">
        <v>100</v>
      </c>
      <c r="M632" s="778">
        <v>1.2</v>
      </c>
      <c r="N632" s="798">
        <v>1000</v>
      </c>
      <c r="O632" s="798">
        <v>1000</v>
      </c>
      <c r="P632" s="784">
        <v>1</v>
      </c>
      <c r="Q632" s="784">
        <v>1</v>
      </c>
      <c r="R632" s="799">
        <v>60</v>
      </c>
      <c r="S632" s="784">
        <v>10000</v>
      </c>
      <c r="T632" s="784">
        <v>10000</v>
      </c>
      <c r="U632" s="784">
        <v>6</v>
      </c>
      <c r="V632" s="784">
        <v>21.599999999999998</v>
      </c>
      <c r="W632" s="784">
        <v>36</v>
      </c>
      <c r="X632" s="784">
        <v>4.8</v>
      </c>
      <c r="Y632" s="784">
        <v>30</v>
      </c>
      <c r="Z632" s="784">
        <v>900</v>
      </c>
      <c r="AA632" s="784">
        <v>600</v>
      </c>
      <c r="AB632" s="784">
        <v>1200</v>
      </c>
      <c r="AC632" s="784">
        <v>60</v>
      </c>
      <c r="AD632" s="784">
        <v>12</v>
      </c>
      <c r="AE632" s="784">
        <v>2.4</v>
      </c>
      <c r="AF632" s="784">
        <v>1000000</v>
      </c>
      <c r="AG632" s="784">
        <v>100000</v>
      </c>
      <c r="AH632" s="784">
        <v>100000</v>
      </c>
      <c r="AI632" s="784"/>
      <c r="AK632" s="783">
        <f>IFERROR(Tabela1[[#This Row],[EE(g)]]/Tabela1[[#This Row],[CMS(kg)]],0)</f>
        <v>50</v>
      </c>
    </row>
    <row r="633" spans="2:37" hidden="1">
      <c r="B633" s="774">
        <f>ROW()^2+(Tabela1[[#This Row],[ID2]])+ROW()</f>
        <v>401363</v>
      </c>
      <c r="C633" s="794">
        <v>41</v>
      </c>
      <c r="D633" s="794" t="s">
        <v>1273</v>
      </c>
      <c r="E633" s="795" t="s">
        <v>1274</v>
      </c>
      <c r="F633" s="795" t="s">
        <v>1275</v>
      </c>
      <c r="G633" s="795">
        <v>30</v>
      </c>
      <c r="H633" s="795" t="s">
        <v>0</v>
      </c>
      <c r="I633" s="796">
        <v>0</v>
      </c>
      <c r="J633" s="794"/>
      <c r="K633" s="794"/>
      <c r="L633" s="797">
        <v>200</v>
      </c>
      <c r="M633" s="778">
        <v>0</v>
      </c>
      <c r="N633" s="798">
        <v>111.25</v>
      </c>
      <c r="O633" s="798">
        <v>84.7</v>
      </c>
      <c r="P633" s="784">
        <v>0.77</v>
      </c>
      <c r="Q633" s="784">
        <v>0.35000000000000003</v>
      </c>
      <c r="R633" s="799">
        <v>0</v>
      </c>
      <c r="S633" s="784">
        <v>7.5</v>
      </c>
      <c r="T633" s="784">
        <v>3.75</v>
      </c>
      <c r="U633" s="784">
        <v>1.25</v>
      </c>
      <c r="V633" s="784">
        <v>1.25</v>
      </c>
      <c r="W633" s="784">
        <v>8.125</v>
      </c>
      <c r="X633" s="784">
        <v>2.5</v>
      </c>
      <c r="Y633" s="784">
        <v>8.75</v>
      </c>
      <c r="Z633" s="784">
        <v>62.5</v>
      </c>
      <c r="AA633" s="784">
        <v>37.5</v>
      </c>
      <c r="AB633" s="784">
        <v>75</v>
      </c>
      <c r="AC633" s="784">
        <v>0.5</v>
      </c>
      <c r="AD633" s="784">
        <v>0.25</v>
      </c>
      <c r="AE633" s="784">
        <v>0.125</v>
      </c>
      <c r="AF633" s="784">
        <v>2500</v>
      </c>
      <c r="AG633" s="784">
        <v>375</v>
      </c>
      <c r="AH633" s="784">
        <v>25</v>
      </c>
      <c r="AI633" s="784"/>
      <c r="AK633" s="783">
        <f>IFERROR(Tabela1[[#This Row],[EE(g)]]/Tabela1[[#This Row],[CMS(kg)]],0)</f>
        <v>0</v>
      </c>
    </row>
    <row r="634" spans="2:37" hidden="1">
      <c r="B634" s="774">
        <f>ROW()^2+(Tabela1[[#This Row],[ID2]])+ROW()</f>
        <v>402632</v>
      </c>
      <c r="C634" s="794">
        <v>42</v>
      </c>
      <c r="D634" s="794" t="s">
        <v>1273</v>
      </c>
      <c r="E634" s="795" t="s">
        <v>1274</v>
      </c>
      <c r="F634" s="795" t="s">
        <v>1275</v>
      </c>
      <c r="G634" s="795">
        <v>30</v>
      </c>
      <c r="H634" s="795" t="s">
        <v>1</v>
      </c>
      <c r="I634" s="796">
        <v>0</v>
      </c>
      <c r="J634" s="794"/>
      <c r="K634" s="794"/>
      <c r="L634" s="797">
        <v>200</v>
      </c>
      <c r="M634" s="778">
        <v>1.25</v>
      </c>
      <c r="N634" s="798">
        <v>1000</v>
      </c>
      <c r="O634" s="798">
        <v>1000</v>
      </c>
      <c r="P634" s="784">
        <v>1</v>
      </c>
      <c r="Q634" s="784">
        <v>1</v>
      </c>
      <c r="R634" s="799">
        <v>62.5</v>
      </c>
      <c r="S634" s="784">
        <v>10000</v>
      </c>
      <c r="T634" s="784">
        <v>10000</v>
      </c>
      <c r="U634" s="784">
        <v>6.25</v>
      </c>
      <c r="V634" s="784">
        <v>22.5</v>
      </c>
      <c r="W634" s="784">
        <v>37.5</v>
      </c>
      <c r="X634" s="784">
        <v>5</v>
      </c>
      <c r="Y634" s="784">
        <v>31.25</v>
      </c>
      <c r="Z634" s="784">
        <v>937.5</v>
      </c>
      <c r="AA634" s="784">
        <v>625</v>
      </c>
      <c r="AB634" s="784">
        <v>1250</v>
      </c>
      <c r="AC634" s="784">
        <v>62.5</v>
      </c>
      <c r="AD634" s="784">
        <v>12.5</v>
      </c>
      <c r="AE634" s="784">
        <v>2.5</v>
      </c>
      <c r="AF634" s="784">
        <v>1000000</v>
      </c>
      <c r="AG634" s="784">
        <v>100000</v>
      </c>
      <c r="AH634" s="784">
        <v>100000</v>
      </c>
      <c r="AI634" s="784"/>
      <c r="AK634" s="783">
        <f>IFERROR(Tabela1[[#This Row],[EE(g)]]/Tabela1[[#This Row],[CMS(kg)]],0)</f>
        <v>50</v>
      </c>
    </row>
    <row r="635" spans="2:37" hidden="1">
      <c r="B635" s="774">
        <f>ROW()^2+(Tabela1[[#This Row],[ID2]])+ROW()</f>
        <v>403903</v>
      </c>
      <c r="C635" s="794">
        <v>43</v>
      </c>
      <c r="D635" s="794" t="s">
        <v>1273</v>
      </c>
      <c r="E635" s="795" t="s">
        <v>1274</v>
      </c>
      <c r="F635" s="795" t="s">
        <v>1275</v>
      </c>
      <c r="G635" s="795">
        <v>30</v>
      </c>
      <c r="H635" s="795" t="s">
        <v>0</v>
      </c>
      <c r="I635" s="796">
        <v>0</v>
      </c>
      <c r="J635" s="794"/>
      <c r="K635" s="794"/>
      <c r="L635" s="797">
        <v>300</v>
      </c>
      <c r="M635" s="778">
        <v>0</v>
      </c>
      <c r="N635" s="798">
        <v>162</v>
      </c>
      <c r="O635" s="798">
        <v>108.9</v>
      </c>
      <c r="P635" s="784">
        <v>0.99</v>
      </c>
      <c r="Q635" s="784">
        <v>0.37800000000000006</v>
      </c>
      <c r="R635" s="799">
        <v>0</v>
      </c>
      <c r="S635" s="784">
        <v>8.1</v>
      </c>
      <c r="T635" s="784">
        <v>4.05</v>
      </c>
      <c r="U635" s="784">
        <v>1.35</v>
      </c>
      <c r="V635" s="784">
        <v>1.35</v>
      </c>
      <c r="W635" s="784">
        <v>8.7750000000000004</v>
      </c>
      <c r="X635" s="784">
        <v>2.7</v>
      </c>
      <c r="Y635" s="784">
        <v>9.4500000000000011</v>
      </c>
      <c r="Z635" s="784">
        <v>67.5</v>
      </c>
      <c r="AA635" s="784">
        <v>40.5</v>
      </c>
      <c r="AB635" s="784">
        <v>81</v>
      </c>
      <c r="AC635" s="784">
        <v>0.54</v>
      </c>
      <c r="AD635" s="784">
        <v>0.27</v>
      </c>
      <c r="AE635" s="784">
        <v>0.13500000000000001</v>
      </c>
      <c r="AF635" s="784">
        <v>2700</v>
      </c>
      <c r="AG635" s="784">
        <v>405</v>
      </c>
      <c r="AH635" s="784">
        <v>27</v>
      </c>
      <c r="AI635" s="784"/>
      <c r="AK635" s="783">
        <f>IFERROR(Tabela1[[#This Row],[EE(g)]]/Tabela1[[#This Row],[CMS(kg)]],0)</f>
        <v>0</v>
      </c>
    </row>
    <row r="636" spans="2:37" hidden="1">
      <c r="B636" s="774">
        <f>ROW()^2+(Tabela1[[#This Row],[ID2]])+ROW()</f>
        <v>405176</v>
      </c>
      <c r="C636" s="794">
        <v>44</v>
      </c>
      <c r="D636" s="794" t="s">
        <v>1273</v>
      </c>
      <c r="E636" s="795" t="s">
        <v>1274</v>
      </c>
      <c r="F636" s="795" t="s">
        <v>1275</v>
      </c>
      <c r="G636" s="795">
        <v>30</v>
      </c>
      <c r="H636" s="795" t="s">
        <v>1</v>
      </c>
      <c r="I636" s="796">
        <v>0</v>
      </c>
      <c r="J636" s="794"/>
      <c r="K636" s="794"/>
      <c r="L636" s="797">
        <v>300</v>
      </c>
      <c r="M636" s="778">
        <v>1.35</v>
      </c>
      <c r="N636" s="798">
        <v>1000</v>
      </c>
      <c r="O636" s="798">
        <v>1000</v>
      </c>
      <c r="P636" s="784">
        <v>1.5</v>
      </c>
      <c r="Q636" s="784">
        <v>1</v>
      </c>
      <c r="R636" s="799">
        <v>67.5</v>
      </c>
      <c r="S636" s="784">
        <v>10000</v>
      </c>
      <c r="T636" s="784">
        <v>10000</v>
      </c>
      <c r="U636" s="784">
        <v>6.75</v>
      </c>
      <c r="V636" s="784">
        <v>24.299999999999997</v>
      </c>
      <c r="W636" s="784">
        <v>40.5</v>
      </c>
      <c r="X636" s="784">
        <v>5.4</v>
      </c>
      <c r="Y636" s="784">
        <v>33.75</v>
      </c>
      <c r="Z636" s="784">
        <v>1012.5000000000001</v>
      </c>
      <c r="AA636" s="784">
        <v>675</v>
      </c>
      <c r="AB636" s="784">
        <v>1350</v>
      </c>
      <c r="AC636" s="784">
        <v>67.5</v>
      </c>
      <c r="AD636" s="784">
        <v>13.5</v>
      </c>
      <c r="AE636" s="784">
        <v>2.7</v>
      </c>
      <c r="AF636" s="784">
        <v>1000000</v>
      </c>
      <c r="AG636" s="784">
        <v>100000</v>
      </c>
      <c r="AH636" s="784">
        <v>100000</v>
      </c>
      <c r="AI636" s="784"/>
      <c r="AK636" s="783">
        <f>IFERROR(Tabela1[[#This Row],[EE(g)]]/Tabela1[[#This Row],[CMS(kg)]],0)</f>
        <v>50</v>
      </c>
    </row>
    <row r="637" spans="2:37" hidden="1">
      <c r="B637" s="774">
        <f>ROW()^2+(Tabela1[[#This Row],[ID2]])+ROW()</f>
        <v>406451</v>
      </c>
      <c r="C637" s="794">
        <v>45</v>
      </c>
      <c r="D637" s="794" t="s">
        <v>1273</v>
      </c>
      <c r="E637" s="795" t="s">
        <v>1274</v>
      </c>
      <c r="F637" s="795" t="s">
        <v>1275</v>
      </c>
      <c r="G637" s="795">
        <v>30</v>
      </c>
      <c r="H637" s="795" t="s">
        <v>0</v>
      </c>
      <c r="I637" s="796">
        <v>0</v>
      </c>
      <c r="J637" s="794"/>
      <c r="K637" s="794"/>
      <c r="L637" s="797">
        <v>400</v>
      </c>
      <c r="M637" s="778">
        <v>0</v>
      </c>
      <c r="N637" s="798">
        <v>174</v>
      </c>
      <c r="O637" s="798">
        <v>119.57000000000001</v>
      </c>
      <c r="P637" s="784">
        <v>1.087</v>
      </c>
      <c r="Q637" s="784">
        <v>0.40600000000000008</v>
      </c>
      <c r="R637" s="799">
        <v>0</v>
      </c>
      <c r="S637" s="784">
        <v>8.7000000000000011</v>
      </c>
      <c r="T637" s="784">
        <v>4.3500000000000005</v>
      </c>
      <c r="U637" s="784">
        <v>1.45</v>
      </c>
      <c r="V637" s="784">
        <v>1.45</v>
      </c>
      <c r="W637" s="784">
        <v>9.4249999999999989</v>
      </c>
      <c r="X637" s="784">
        <v>2.9</v>
      </c>
      <c r="Y637" s="784">
        <v>10.15</v>
      </c>
      <c r="Z637" s="784">
        <v>72.5</v>
      </c>
      <c r="AA637" s="784">
        <v>43.5</v>
      </c>
      <c r="AB637" s="784">
        <v>87</v>
      </c>
      <c r="AC637" s="784">
        <v>0.57999999999999996</v>
      </c>
      <c r="AD637" s="784">
        <v>0.28999999999999998</v>
      </c>
      <c r="AE637" s="784">
        <v>0.14499999999999999</v>
      </c>
      <c r="AF637" s="784">
        <v>2900</v>
      </c>
      <c r="AG637" s="784">
        <v>435</v>
      </c>
      <c r="AH637" s="784">
        <v>29</v>
      </c>
      <c r="AI637" s="784"/>
      <c r="AK637" s="783">
        <f>IFERROR(Tabela1[[#This Row],[EE(g)]]/Tabela1[[#This Row],[CMS(kg)]],0)</f>
        <v>0</v>
      </c>
    </row>
    <row r="638" spans="2:37" hidden="1">
      <c r="B638" s="774">
        <f>ROW()^2+(Tabela1[[#This Row],[ID2]])+ROW()</f>
        <v>407728</v>
      </c>
      <c r="C638" s="794">
        <v>46</v>
      </c>
      <c r="D638" s="794" t="s">
        <v>1273</v>
      </c>
      <c r="E638" s="795" t="s">
        <v>1274</v>
      </c>
      <c r="F638" s="795" t="s">
        <v>1275</v>
      </c>
      <c r="G638" s="795">
        <v>30</v>
      </c>
      <c r="H638" s="795" t="s">
        <v>1</v>
      </c>
      <c r="I638" s="796">
        <v>0</v>
      </c>
      <c r="J638" s="794"/>
      <c r="K638" s="794"/>
      <c r="L638" s="797">
        <v>400</v>
      </c>
      <c r="M638" s="778">
        <v>1.45</v>
      </c>
      <c r="N638" s="798">
        <v>1000</v>
      </c>
      <c r="O638" s="798">
        <v>1000</v>
      </c>
      <c r="P638" s="784">
        <v>1.5</v>
      </c>
      <c r="Q638" s="784">
        <v>1</v>
      </c>
      <c r="R638" s="799">
        <v>72.5</v>
      </c>
      <c r="S638" s="784">
        <v>10000</v>
      </c>
      <c r="T638" s="784">
        <v>10000</v>
      </c>
      <c r="U638" s="784">
        <v>7.25</v>
      </c>
      <c r="V638" s="784">
        <v>26.099999999999998</v>
      </c>
      <c r="W638" s="784">
        <v>43.5</v>
      </c>
      <c r="X638" s="784">
        <v>5.8</v>
      </c>
      <c r="Y638" s="784">
        <v>36.25</v>
      </c>
      <c r="Z638" s="784">
        <v>1087.5</v>
      </c>
      <c r="AA638" s="784">
        <v>725</v>
      </c>
      <c r="AB638" s="784">
        <v>1450</v>
      </c>
      <c r="AC638" s="784">
        <v>72.5</v>
      </c>
      <c r="AD638" s="784">
        <v>14.5</v>
      </c>
      <c r="AE638" s="784">
        <v>2.9</v>
      </c>
      <c r="AF638" s="784">
        <v>1000000</v>
      </c>
      <c r="AG638" s="784">
        <v>100000</v>
      </c>
      <c r="AH638" s="784">
        <v>100000</v>
      </c>
      <c r="AI638" s="784"/>
      <c r="AK638" s="783">
        <f>IFERROR(Tabela1[[#This Row],[EE(g)]]/Tabela1[[#This Row],[CMS(kg)]],0)</f>
        <v>50</v>
      </c>
    </row>
    <row r="639" spans="2:37" hidden="1">
      <c r="B639" s="774">
        <f>ROW()^2+(Tabela1[[#This Row],[ID2]])+ROW()</f>
        <v>409007</v>
      </c>
      <c r="C639" s="794">
        <v>47</v>
      </c>
      <c r="D639" s="794" t="s">
        <v>1273</v>
      </c>
      <c r="E639" s="795" t="s">
        <v>1274</v>
      </c>
      <c r="F639" s="795" t="s">
        <v>1275</v>
      </c>
      <c r="G639" s="795">
        <v>40</v>
      </c>
      <c r="H639" s="795" t="s">
        <v>0</v>
      </c>
      <c r="I639" s="796">
        <v>0</v>
      </c>
      <c r="J639" s="794"/>
      <c r="K639" s="794"/>
      <c r="L639" s="797">
        <v>100</v>
      </c>
      <c r="M639" s="778">
        <v>0</v>
      </c>
      <c r="N639" s="798">
        <v>133.5</v>
      </c>
      <c r="O639" s="798">
        <v>73.7</v>
      </c>
      <c r="P639" s="784">
        <v>0.67</v>
      </c>
      <c r="Q639" s="784">
        <v>0.42000000000000004</v>
      </c>
      <c r="R639" s="799">
        <v>0</v>
      </c>
      <c r="S639" s="784">
        <v>9</v>
      </c>
      <c r="T639" s="784">
        <v>4.5</v>
      </c>
      <c r="U639" s="784">
        <v>1.5</v>
      </c>
      <c r="V639" s="784">
        <v>1.5</v>
      </c>
      <c r="W639" s="784">
        <v>9.75</v>
      </c>
      <c r="X639" s="784">
        <v>3</v>
      </c>
      <c r="Y639" s="784">
        <v>10.5</v>
      </c>
      <c r="Z639" s="784">
        <v>75</v>
      </c>
      <c r="AA639" s="784">
        <v>45</v>
      </c>
      <c r="AB639" s="784">
        <v>90</v>
      </c>
      <c r="AC639" s="784">
        <v>0.60000000000000009</v>
      </c>
      <c r="AD639" s="784">
        <v>0.30000000000000004</v>
      </c>
      <c r="AE639" s="784">
        <v>0.15000000000000002</v>
      </c>
      <c r="AF639" s="784">
        <v>3000</v>
      </c>
      <c r="AG639" s="784">
        <v>450</v>
      </c>
      <c r="AH639" s="784">
        <v>30</v>
      </c>
      <c r="AI639" s="784"/>
      <c r="AK639" s="783">
        <f>IFERROR(Tabela1[[#This Row],[EE(g)]]/Tabela1[[#This Row],[CMS(kg)]],0)</f>
        <v>0</v>
      </c>
    </row>
    <row r="640" spans="2:37" hidden="1">
      <c r="B640" s="774">
        <f>ROW()^2+(Tabela1[[#This Row],[ID2]])+ROW()</f>
        <v>410288</v>
      </c>
      <c r="C640" s="794">
        <v>48</v>
      </c>
      <c r="D640" s="794" t="s">
        <v>1273</v>
      </c>
      <c r="E640" s="795" t="s">
        <v>1274</v>
      </c>
      <c r="F640" s="795" t="s">
        <v>1275</v>
      </c>
      <c r="G640" s="795">
        <v>40</v>
      </c>
      <c r="H640" s="795" t="s">
        <v>1</v>
      </c>
      <c r="I640" s="796">
        <v>0</v>
      </c>
      <c r="J640" s="794"/>
      <c r="K640" s="794"/>
      <c r="L640" s="797">
        <v>100</v>
      </c>
      <c r="M640" s="778">
        <v>1.5</v>
      </c>
      <c r="N640" s="798">
        <v>1000</v>
      </c>
      <c r="O640" s="798">
        <v>1000</v>
      </c>
      <c r="P640" s="784">
        <v>1</v>
      </c>
      <c r="Q640" s="784">
        <v>1</v>
      </c>
      <c r="R640" s="799">
        <v>75</v>
      </c>
      <c r="S640" s="784">
        <v>10000</v>
      </c>
      <c r="T640" s="784">
        <v>10000</v>
      </c>
      <c r="U640" s="784">
        <v>7.5</v>
      </c>
      <c r="V640" s="784">
        <v>26.999999999999996</v>
      </c>
      <c r="W640" s="784">
        <v>45</v>
      </c>
      <c r="X640" s="784">
        <v>6</v>
      </c>
      <c r="Y640" s="784">
        <v>37.5</v>
      </c>
      <c r="Z640" s="784">
        <v>1125</v>
      </c>
      <c r="AA640" s="784">
        <v>750</v>
      </c>
      <c r="AB640" s="784">
        <v>1500</v>
      </c>
      <c r="AC640" s="784">
        <v>75</v>
      </c>
      <c r="AD640" s="784">
        <v>15</v>
      </c>
      <c r="AE640" s="784">
        <v>3</v>
      </c>
      <c r="AF640" s="784">
        <v>1000000</v>
      </c>
      <c r="AG640" s="784">
        <v>100000</v>
      </c>
      <c r="AH640" s="784">
        <v>100000</v>
      </c>
      <c r="AI640" s="784"/>
      <c r="AK640" s="783">
        <f>IFERROR(Tabela1[[#This Row],[EE(g)]]/Tabela1[[#This Row],[CMS(kg)]],0)</f>
        <v>50</v>
      </c>
    </row>
    <row r="641" spans="2:37" hidden="1">
      <c r="B641" s="774">
        <f>ROW()^2+(Tabela1[[#This Row],[ID2]])+ROW()</f>
        <v>411571</v>
      </c>
      <c r="C641" s="794">
        <v>49</v>
      </c>
      <c r="D641" s="794" t="s">
        <v>1273</v>
      </c>
      <c r="E641" s="795" t="s">
        <v>1274</v>
      </c>
      <c r="F641" s="795" t="s">
        <v>1275</v>
      </c>
      <c r="G641" s="795">
        <v>40</v>
      </c>
      <c r="H641" s="795" t="s">
        <v>0</v>
      </c>
      <c r="I641" s="796">
        <v>0</v>
      </c>
      <c r="J641" s="794"/>
      <c r="K641" s="794"/>
      <c r="L641" s="797">
        <v>200</v>
      </c>
      <c r="M641" s="778">
        <v>0</v>
      </c>
      <c r="N641" s="798">
        <v>137.94999999999999</v>
      </c>
      <c r="O641" s="798">
        <v>103.4</v>
      </c>
      <c r="P641" s="784">
        <v>0.94</v>
      </c>
      <c r="Q641" s="784">
        <v>0.43400000000000005</v>
      </c>
      <c r="R641" s="799">
        <v>0</v>
      </c>
      <c r="S641" s="784">
        <v>9.3000000000000007</v>
      </c>
      <c r="T641" s="784">
        <v>4.6500000000000004</v>
      </c>
      <c r="U641" s="784">
        <v>1.55</v>
      </c>
      <c r="V641" s="784">
        <v>1.55</v>
      </c>
      <c r="W641" s="784">
        <v>10.074999999999999</v>
      </c>
      <c r="X641" s="784">
        <v>3.1</v>
      </c>
      <c r="Y641" s="784">
        <v>10.85</v>
      </c>
      <c r="Z641" s="784">
        <v>77.5</v>
      </c>
      <c r="AA641" s="784">
        <v>46.5</v>
      </c>
      <c r="AB641" s="784">
        <v>93</v>
      </c>
      <c r="AC641" s="784">
        <v>0.62000000000000011</v>
      </c>
      <c r="AD641" s="784">
        <v>0.31000000000000005</v>
      </c>
      <c r="AE641" s="784">
        <v>0.15500000000000003</v>
      </c>
      <c r="AF641" s="784">
        <v>3100</v>
      </c>
      <c r="AG641" s="784">
        <v>465</v>
      </c>
      <c r="AH641" s="784">
        <v>31</v>
      </c>
      <c r="AI641" s="784"/>
      <c r="AK641" s="783">
        <f>IFERROR(Tabela1[[#This Row],[EE(g)]]/Tabela1[[#This Row],[CMS(kg)]],0)</f>
        <v>0</v>
      </c>
    </row>
    <row r="642" spans="2:37" hidden="1">
      <c r="B642" s="774">
        <f>ROW()^2+(Tabela1[[#This Row],[ID2]])+ROW()</f>
        <v>412856</v>
      </c>
      <c r="C642" s="794">
        <v>50</v>
      </c>
      <c r="D642" s="794" t="s">
        <v>1273</v>
      </c>
      <c r="E642" s="795" t="s">
        <v>1274</v>
      </c>
      <c r="F642" s="795" t="s">
        <v>1275</v>
      </c>
      <c r="G642" s="795">
        <v>40</v>
      </c>
      <c r="H642" s="795" t="s">
        <v>1</v>
      </c>
      <c r="I642" s="796">
        <v>0</v>
      </c>
      <c r="J642" s="794"/>
      <c r="K642" s="794"/>
      <c r="L642" s="797">
        <v>200</v>
      </c>
      <c r="M642" s="778">
        <v>1.55</v>
      </c>
      <c r="N642" s="798">
        <v>1000</v>
      </c>
      <c r="O642" s="798">
        <v>1000</v>
      </c>
      <c r="P642" s="784">
        <v>1.5</v>
      </c>
      <c r="Q642" s="784">
        <v>1</v>
      </c>
      <c r="R642" s="799">
        <v>77.5</v>
      </c>
      <c r="S642" s="784">
        <v>10000</v>
      </c>
      <c r="T642" s="784">
        <v>10000</v>
      </c>
      <c r="U642" s="784">
        <v>7.75</v>
      </c>
      <c r="V642" s="784">
        <v>27.9</v>
      </c>
      <c r="W642" s="784">
        <v>46.5</v>
      </c>
      <c r="X642" s="784">
        <v>6.2</v>
      </c>
      <c r="Y642" s="784">
        <v>38.75</v>
      </c>
      <c r="Z642" s="784">
        <v>1162.5</v>
      </c>
      <c r="AA642" s="784">
        <v>775</v>
      </c>
      <c r="AB642" s="784">
        <v>1550</v>
      </c>
      <c r="AC642" s="784">
        <v>77.5</v>
      </c>
      <c r="AD642" s="784">
        <v>15.5</v>
      </c>
      <c r="AE642" s="784">
        <v>3.1</v>
      </c>
      <c r="AF642" s="784">
        <v>1000000</v>
      </c>
      <c r="AG642" s="784">
        <v>100000</v>
      </c>
      <c r="AH642" s="784">
        <v>100000</v>
      </c>
      <c r="AI642" s="784"/>
      <c r="AK642" s="783">
        <f>IFERROR(Tabela1[[#This Row],[EE(g)]]/Tabela1[[#This Row],[CMS(kg)]],0)</f>
        <v>50</v>
      </c>
    </row>
    <row r="643" spans="2:37" hidden="1">
      <c r="B643" s="774">
        <f>ROW()^2+(Tabela1[[#This Row],[ID2]])+ROW()</f>
        <v>414143</v>
      </c>
      <c r="C643" s="794">
        <v>51</v>
      </c>
      <c r="D643" s="794" t="s">
        <v>1273</v>
      </c>
      <c r="E643" s="795" t="s">
        <v>1274</v>
      </c>
      <c r="F643" s="795" t="s">
        <v>1275</v>
      </c>
      <c r="G643" s="795">
        <v>40</v>
      </c>
      <c r="H643" s="795" t="s">
        <v>0</v>
      </c>
      <c r="I643" s="796">
        <v>0</v>
      </c>
      <c r="J643" s="794"/>
      <c r="K643" s="794"/>
      <c r="L643" s="797">
        <v>300</v>
      </c>
      <c r="M643" s="778">
        <v>0</v>
      </c>
      <c r="N643" s="798">
        <v>181.5</v>
      </c>
      <c r="O643" s="798">
        <v>134.19999999999999</v>
      </c>
      <c r="P643" s="784">
        <v>1.22</v>
      </c>
      <c r="Q643" s="784">
        <v>0.46200000000000008</v>
      </c>
      <c r="R643" s="799">
        <v>0</v>
      </c>
      <c r="S643" s="784">
        <v>9.9</v>
      </c>
      <c r="T643" s="784">
        <v>4.95</v>
      </c>
      <c r="U643" s="784">
        <v>1.6500000000000001</v>
      </c>
      <c r="V643" s="784">
        <v>1.6500000000000001</v>
      </c>
      <c r="W643" s="784">
        <v>10.725</v>
      </c>
      <c r="X643" s="784">
        <v>3.3000000000000003</v>
      </c>
      <c r="Y643" s="784">
        <v>11.549999999999999</v>
      </c>
      <c r="Z643" s="784">
        <v>82.5</v>
      </c>
      <c r="AA643" s="784">
        <v>49.5</v>
      </c>
      <c r="AB643" s="784">
        <v>99</v>
      </c>
      <c r="AC643" s="784">
        <v>0.66</v>
      </c>
      <c r="AD643" s="784">
        <v>0.33</v>
      </c>
      <c r="AE643" s="784">
        <v>0.16500000000000001</v>
      </c>
      <c r="AF643" s="784">
        <v>3300</v>
      </c>
      <c r="AG643" s="784">
        <v>495</v>
      </c>
      <c r="AH643" s="784">
        <v>33</v>
      </c>
      <c r="AI643" s="784"/>
      <c r="AK643" s="783">
        <f>IFERROR(Tabela1[[#This Row],[EE(g)]]/Tabela1[[#This Row],[CMS(kg)]],0)</f>
        <v>0</v>
      </c>
    </row>
    <row r="644" spans="2:37" hidden="1">
      <c r="B644" s="774">
        <f>ROW()^2+(Tabela1[[#This Row],[ID2]])+ROW()</f>
        <v>415432</v>
      </c>
      <c r="C644" s="794">
        <v>52</v>
      </c>
      <c r="D644" s="794" t="s">
        <v>1273</v>
      </c>
      <c r="E644" s="795" t="s">
        <v>1274</v>
      </c>
      <c r="F644" s="795" t="s">
        <v>1275</v>
      </c>
      <c r="G644" s="795">
        <v>40</v>
      </c>
      <c r="H644" s="795" t="s">
        <v>1</v>
      </c>
      <c r="I644" s="796">
        <v>0</v>
      </c>
      <c r="J644" s="794"/>
      <c r="K644" s="794"/>
      <c r="L644" s="797">
        <v>300</v>
      </c>
      <c r="M644" s="778">
        <v>1.65</v>
      </c>
      <c r="N644" s="798">
        <v>1000</v>
      </c>
      <c r="O644" s="798">
        <v>1000</v>
      </c>
      <c r="P644" s="784">
        <v>1.5</v>
      </c>
      <c r="Q644" s="784">
        <v>1</v>
      </c>
      <c r="R644" s="799">
        <v>82.5</v>
      </c>
      <c r="S644" s="784">
        <v>10000</v>
      </c>
      <c r="T644" s="784">
        <v>10000</v>
      </c>
      <c r="U644" s="784">
        <v>8.25</v>
      </c>
      <c r="V644" s="784">
        <v>29.7</v>
      </c>
      <c r="W644" s="784">
        <v>49.5</v>
      </c>
      <c r="X644" s="784">
        <v>6.6000000000000005</v>
      </c>
      <c r="Y644" s="784">
        <v>41.25</v>
      </c>
      <c r="Z644" s="784">
        <v>1237.5</v>
      </c>
      <c r="AA644" s="784">
        <v>825</v>
      </c>
      <c r="AB644" s="784">
        <v>1650</v>
      </c>
      <c r="AC644" s="784">
        <v>82.5</v>
      </c>
      <c r="AD644" s="784">
        <v>16.5</v>
      </c>
      <c r="AE644" s="784">
        <v>3.3</v>
      </c>
      <c r="AF644" s="784">
        <v>1000000</v>
      </c>
      <c r="AG644" s="784">
        <v>100000</v>
      </c>
      <c r="AH644" s="784">
        <v>100000</v>
      </c>
      <c r="AI644" s="784"/>
      <c r="AK644" s="783">
        <f>IFERROR(Tabela1[[#This Row],[EE(g)]]/Tabela1[[#This Row],[CMS(kg)]],0)</f>
        <v>50</v>
      </c>
    </row>
    <row r="645" spans="2:37" hidden="1">
      <c r="B645" s="774">
        <f>ROW()^2+(Tabela1[[#This Row],[ID2]])+ROW()</f>
        <v>416723</v>
      </c>
      <c r="C645" s="794">
        <v>53</v>
      </c>
      <c r="D645" s="794" t="s">
        <v>1273</v>
      </c>
      <c r="E645" s="795" t="s">
        <v>1274</v>
      </c>
      <c r="F645" s="795" t="s">
        <v>1275</v>
      </c>
      <c r="G645" s="795">
        <v>40</v>
      </c>
      <c r="H645" s="795" t="s">
        <v>0</v>
      </c>
      <c r="I645" s="796">
        <v>0</v>
      </c>
      <c r="J645" s="794"/>
      <c r="K645" s="794"/>
      <c r="L645" s="797">
        <v>400</v>
      </c>
      <c r="M645" s="778">
        <v>0</v>
      </c>
      <c r="N645" s="798">
        <v>216</v>
      </c>
      <c r="O645" s="798">
        <v>148.5</v>
      </c>
      <c r="P645" s="784">
        <v>1.35</v>
      </c>
      <c r="Q645" s="784">
        <v>0.504</v>
      </c>
      <c r="R645" s="799">
        <v>0</v>
      </c>
      <c r="S645" s="784">
        <v>10.8</v>
      </c>
      <c r="T645" s="784">
        <v>5.4</v>
      </c>
      <c r="U645" s="784">
        <v>1.8</v>
      </c>
      <c r="V645" s="784">
        <v>1.8</v>
      </c>
      <c r="W645" s="784">
        <v>11.7</v>
      </c>
      <c r="X645" s="784">
        <v>3.6</v>
      </c>
      <c r="Y645" s="784">
        <v>12.6</v>
      </c>
      <c r="Z645" s="784">
        <v>90</v>
      </c>
      <c r="AA645" s="784">
        <v>54</v>
      </c>
      <c r="AB645" s="784">
        <v>108</v>
      </c>
      <c r="AC645" s="784">
        <v>0.72000000000000008</v>
      </c>
      <c r="AD645" s="784">
        <v>0.36000000000000004</v>
      </c>
      <c r="AE645" s="784">
        <v>0.18000000000000002</v>
      </c>
      <c r="AF645" s="784">
        <v>3600</v>
      </c>
      <c r="AG645" s="784">
        <v>540</v>
      </c>
      <c r="AH645" s="784">
        <v>36</v>
      </c>
      <c r="AI645" s="784"/>
      <c r="AK645" s="783">
        <f>IFERROR(Tabela1[[#This Row],[EE(g)]]/Tabela1[[#This Row],[CMS(kg)]],0)</f>
        <v>0</v>
      </c>
    </row>
    <row r="646" spans="2:37" hidden="1">
      <c r="B646" s="774">
        <f>ROW()^2+(Tabela1[[#This Row],[ID2]])+ROW()</f>
        <v>418016</v>
      </c>
      <c r="C646" s="794">
        <v>54</v>
      </c>
      <c r="D646" s="794" t="s">
        <v>1273</v>
      </c>
      <c r="E646" s="795" t="s">
        <v>1274</v>
      </c>
      <c r="F646" s="795" t="s">
        <v>1275</v>
      </c>
      <c r="G646" s="795">
        <v>40</v>
      </c>
      <c r="H646" s="795" t="s">
        <v>1</v>
      </c>
      <c r="I646" s="796">
        <v>0</v>
      </c>
      <c r="J646" s="794"/>
      <c r="K646" s="794"/>
      <c r="L646" s="797">
        <v>400</v>
      </c>
      <c r="M646" s="778">
        <v>1.8</v>
      </c>
      <c r="N646" s="798">
        <v>1000</v>
      </c>
      <c r="O646" s="798">
        <v>1000</v>
      </c>
      <c r="P646" s="784">
        <v>1.8</v>
      </c>
      <c r="Q646" s="784">
        <v>1</v>
      </c>
      <c r="R646" s="799">
        <v>90</v>
      </c>
      <c r="S646" s="784">
        <v>10000</v>
      </c>
      <c r="T646" s="784">
        <v>10000</v>
      </c>
      <c r="U646" s="784">
        <v>9</v>
      </c>
      <c r="V646" s="784">
        <v>32.4</v>
      </c>
      <c r="W646" s="784">
        <v>54</v>
      </c>
      <c r="X646" s="784">
        <v>7.2</v>
      </c>
      <c r="Y646" s="784">
        <v>45</v>
      </c>
      <c r="Z646" s="784">
        <v>1350</v>
      </c>
      <c r="AA646" s="784">
        <v>900</v>
      </c>
      <c r="AB646" s="784">
        <v>1800</v>
      </c>
      <c r="AC646" s="784">
        <v>90</v>
      </c>
      <c r="AD646" s="784">
        <v>18</v>
      </c>
      <c r="AE646" s="784">
        <v>3.6</v>
      </c>
      <c r="AF646" s="784">
        <v>1000000</v>
      </c>
      <c r="AG646" s="784">
        <v>100000</v>
      </c>
      <c r="AH646" s="784">
        <v>100000</v>
      </c>
      <c r="AI646" s="784"/>
      <c r="AK646" s="783">
        <f>IFERROR(Tabela1[[#This Row],[EE(g)]]/Tabela1[[#This Row],[CMS(kg)]],0)</f>
        <v>50</v>
      </c>
    </row>
    <row r="647" spans="2:37" hidden="1">
      <c r="B647" s="774">
        <f>ROW()^2+(Tabela1[[#This Row],[ID2]])+ROW()</f>
        <v>419311</v>
      </c>
      <c r="C647" s="794">
        <v>55</v>
      </c>
      <c r="D647" s="794" t="s">
        <v>1273</v>
      </c>
      <c r="E647" s="795" t="s">
        <v>1274</v>
      </c>
      <c r="F647" s="795" t="s">
        <v>1275</v>
      </c>
      <c r="G647" s="795">
        <v>50</v>
      </c>
      <c r="H647" s="795" t="s">
        <v>0</v>
      </c>
      <c r="I647" s="796">
        <v>0</v>
      </c>
      <c r="J647" s="794"/>
      <c r="K647" s="794"/>
      <c r="L647" s="797">
        <v>100</v>
      </c>
      <c r="M647" s="778">
        <v>0</v>
      </c>
      <c r="N647" s="798">
        <v>136</v>
      </c>
      <c r="O647" s="798">
        <v>83.6</v>
      </c>
      <c r="P647" s="784">
        <v>0.76</v>
      </c>
      <c r="Q647" s="784">
        <v>0.47600000000000003</v>
      </c>
      <c r="R647" s="799">
        <v>0</v>
      </c>
      <c r="S647" s="784">
        <v>10.200000000000001</v>
      </c>
      <c r="T647" s="784">
        <v>5.1000000000000005</v>
      </c>
      <c r="U647" s="784">
        <v>1.7</v>
      </c>
      <c r="V647" s="784">
        <v>1.7</v>
      </c>
      <c r="W647" s="784">
        <v>11.049999999999999</v>
      </c>
      <c r="X647" s="784">
        <v>3.4</v>
      </c>
      <c r="Y647" s="784">
        <v>11.9</v>
      </c>
      <c r="Z647" s="784">
        <v>85</v>
      </c>
      <c r="AA647" s="784">
        <v>51</v>
      </c>
      <c r="AB647" s="784">
        <v>102</v>
      </c>
      <c r="AC647" s="784">
        <v>0.68</v>
      </c>
      <c r="AD647" s="784">
        <v>0.34</v>
      </c>
      <c r="AE647" s="784">
        <v>0.17</v>
      </c>
      <c r="AF647" s="784">
        <v>3400</v>
      </c>
      <c r="AG647" s="784">
        <v>510</v>
      </c>
      <c r="AH647" s="784">
        <v>34</v>
      </c>
      <c r="AI647" s="784"/>
      <c r="AK647" s="783">
        <f>IFERROR(Tabela1[[#This Row],[EE(g)]]/Tabela1[[#This Row],[CMS(kg)]],0)</f>
        <v>0</v>
      </c>
    </row>
    <row r="648" spans="2:37" hidden="1">
      <c r="B648" s="774">
        <f>ROW()^2+(Tabela1[[#This Row],[ID2]])+ROW()</f>
        <v>420608</v>
      </c>
      <c r="C648" s="794">
        <v>56</v>
      </c>
      <c r="D648" s="794" t="s">
        <v>1273</v>
      </c>
      <c r="E648" s="795" t="s">
        <v>1274</v>
      </c>
      <c r="F648" s="795" t="s">
        <v>1275</v>
      </c>
      <c r="G648" s="795">
        <v>50</v>
      </c>
      <c r="H648" s="795" t="s">
        <v>1</v>
      </c>
      <c r="I648" s="796">
        <v>0</v>
      </c>
      <c r="J648" s="794"/>
      <c r="K648" s="794"/>
      <c r="L648" s="797">
        <v>100</v>
      </c>
      <c r="M648" s="778">
        <v>1.7</v>
      </c>
      <c r="N648" s="798">
        <v>1000</v>
      </c>
      <c r="O648" s="798">
        <v>1000</v>
      </c>
      <c r="P648" s="784">
        <v>1</v>
      </c>
      <c r="Q648" s="784">
        <v>1</v>
      </c>
      <c r="R648" s="799">
        <v>85</v>
      </c>
      <c r="S648" s="784">
        <v>10000</v>
      </c>
      <c r="T648" s="784">
        <v>10000</v>
      </c>
      <c r="U648" s="784">
        <v>8.5</v>
      </c>
      <c r="V648" s="784">
        <v>30.599999999999998</v>
      </c>
      <c r="W648" s="784">
        <v>51</v>
      </c>
      <c r="X648" s="784">
        <v>6.8</v>
      </c>
      <c r="Y648" s="784">
        <v>42.5</v>
      </c>
      <c r="Z648" s="784">
        <v>1275</v>
      </c>
      <c r="AA648" s="784">
        <v>850</v>
      </c>
      <c r="AB648" s="784">
        <v>1700</v>
      </c>
      <c r="AC648" s="784">
        <v>85</v>
      </c>
      <c r="AD648" s="784">
        <v>17</v>
      </c>
      <c r="AE648" s="784">
        <v>3.4</v>
      </c>
      <c r="AF648" s="784">
        <v>1000000</v>
      </c>
      <c r="AG648" s="784">
        <v>100000</v>
      </c>
      <c r="AH648" s="784">
        <v>100000</v>
      </c>
      <c r="AI648" s="784"/>
      <c r="AK648" s="783">
        <f>IFERROR(Tabela1[[#This Row],[EE(g)]]/Tabela1[[#This Row],[CMS(kg)]],0)</f>
        <v>50</v>
      </c>
    </row>
    <row r="649" spans="2:37" hidden="1">
      <c r="B649" s="774">
        <f>ROW()^2+(Tabela1[[#This Row],[ID2]])+ROW()</f>
        <v>421907</v>
      </c>
      <c r="C649" s="794">
        <v>57</v>
      </c>
      <c r="D649" s="794" t="s">
        <v>1273</v>
      </c>
      <c r="E649" s="795" t="s">
        <v>1274</v>
      </c>
      <c r="F649" s="795" t="s">
        <v>1275</v>
      </c>
      <c r="G649" s="795">
        <v>50</v>
      </c>
      <c r="H649" s="795" t="s">
        <v>0</v>
      </c>
      <c r="I649" s="796">
        <v>0</v>
      </c>
      <c r="J649" s="794"/>
      <c r="K649" s="794"/>
      <c r="L649" s="797">
        <v>200</v>
      </c>
      <c r="M649" s="778">
        <v>0</v>
      </c>
      <c r="N649" s="798">
        <v>140</v>
      </c>
      <c r="O649" s="798">
        <v>119.9</v>
      </c>
      <c r="P649" s="784">
        <v>1.0900000000000001</v>
      </c>
      <c r="Q649" s="784">
        <v>0.49000000000000005</v>
      </c>
      <c r="R649" s="799">
        <v>0</v>
      </c>
      <c r="S649" s="784">
        <v>10.5</v>
      </c>
      <c r="T649" s="784">
        <v>5.25</v>
      </c>
      <c r="U649" s="784">
        <v>1.75</v>
      </c>
      <c r="V649" s="784">
        <v>1.75</v>
      </c>
      <c r="W649" s="784">
        <v>11.375</v>
      </c>
      <c r="X649" s="784">
        <v>3.5</v>
      </c>
      <c r="Y649" s="784">
        <v>12.25</v>
      </c>
      <c r="Z649" s="784">
        <v>87.5</v>
      </c>
      <c r="AA649" s="784">
        <v>52.5</v>
      </c>
      <c r="AB649" s="784">
        <v>105</v>
      </c>
      <c r="AC649" s="784">
        <v>0.70000000000000007</v>
      </c>
      <c r="AD649" s="784">
        <v>0.35000000000000003</v>
      </c>
      <c r="AE649" s="784">
        <v>0.17500000000000002</v>
      </c>
      <c r="AF649" s="784">
        <v>3500</v>
      </c>
      <c r="AG649" s="784">
        <v>525</v>
      </c>
      <c r="AH649" s="784">
        <v>35</v>
      </c>
      <c r="AI649" s="784"/>
      <c r="AK649" s="783">
        <f>IFERROR(Tabela1[[#This Row],[EE(g)]]/Tabela1[[#This Row],[CMS(kg)]],0)</f>
        <v>0</v>
      </c>
    </row>
    <row r="650" spans="2:37" hidden="1">
      <c r="B650" s="774">
        <f>ROW()^2+(Tabela1[[#This Row],[ID2]])+ROW()</f>
        <v>423208</v>
      </c>
      <c r="C650" s="794">
        <v>58</v>
      </c>
      <c r="D650" s="794" t="s">
        <v>1273</v>
      </c>
      <c r="E650" s="795" t="s">
        <v>1274</v>
      </c>
      <c r="F650" s="795" t="s">
        <v>1275</v>
      </c>
      <c r="G650" s="795">
        <v>50</v>
      </c>
      <c r="H650" s="795" t="s">
        <v>1</v>
      </c>
      <c r="I650" s="796">
        <v>0</v>
      </c>
      <c r="J650" s="794"/>
      <c r="K650" s="794"/>
      <c r="L650" s="797">
        <v>200</v>
      </c>
      <c r="M650" s="778">
        <v>1.75</v>
      </c>
      <c r="N650" s="798">
        <v>1000</v>
      </c>
      <c r="O650" s="798">
        <v>1000</v>
      </c>
      <c r="P650" s="784">
        <v>1.5</v>
      </c>
      <c r="Q650" s="784">
        <v>1</v>
      </c>
      <c r="R650" s="799">
        <v>87.5</v>
      </c>
      <c r="S650" s="784">
        <v>10000</v>
      </c>
      <c r="T650" s="784">
        <v>10000</v>
      </c>
      <c r="U650" s="784">
        <v>8.75</v>
      </c>
      <c r="V650" s="784">
        <v>31.499999999999996</v>
      </c>
      <c r="W650" s="784">
        <v>52.5</v>
      </c>
      <c r="X650" s="784">
        <v>7</v>
      </c>
      <c r="Y650" s="784">
        <v>43.75</v>
      </c>
      <c r="Z650" s="784">
        <v>1312.5</v>
      </c>
      <c r="AA650" s="784">
        <v>875</v>
      </c>
      <c r="AB650" s="784">
        <v>1750</v>
      </c>
      <c r="AC650" s="784">
        <v>87.5</v>
      </c>
      <c r="AD650" s="784">
        <v>17.5</v>
      </c>
      <c r="AE650" s="784">
        <v>3.5</v>
      </c>
      <c r="AF650" s="784">
        <v>1000000</v>
      </c>
      <c r="AG650" s="784">
        <v>100000</v>
      </c>
      <c r="AH650" s="784">
        <v>100000</v>
      </c>
      <c r="AI650" s="784"/>
      <c r="AK650" s="783">
        <f>IFERROR(Tabela1[[#This Row],[EE(g)]]/Tabela1[[#This Row],[CMS(kg)]],0)</f>
        <v>50</v>
      </c>
    </row>
    <row r="651" spans="2:37" hidden="1">
      <c r="B651" s="774">
        <f>ROW()^2+(Tabela1[[#This Row],[ID2]])+ROW()</f>
        <v>424511</v>
      </c>
      <c r="C651" s="794">
        <v>59</v>
      </c>
      <c r="D651" s="794" t="s">
        <v>1273</v>
      </c>
      <c r="E651" s="795" t="s">
        <v>1274</v>
      </c>
      <c r="F651" s="795" t="s">
        <v>1275</v>
      </c>
      <c r="G651" s="795">
        <v>50</v>
      </c>
      <c r="H651" s="795" t="s">
        <v>0</v>
      </c>
      <c r="I651" s="796">
        <v>0</v>
      </c>
      <c r="J651" s="794"/>
      <c r="K651" s="794"/>
      <c r="L651" s="797">
        <v>300</v>
      </c>
      <c r="M651" s="778">
        <v>0</v>
      </c>
      <c r="N651" s="798">
        <v>198</v>
      </c>
      <c r="O651" s="798">
        <v>155.1</v>
      </c>
      <c r="P651" s="784">
        <v>1.41</v>
      </c>
      <c r="Q651" s="784">
        <v>0.504</v>
      </c>
      <c r="R651" s="799">
        <v>0</v>
      </c>
      <c r="S651" s="784">
        <v>10.8</v>
      </c>
      <c r="T651" s="784">
        <v>5.4</v>
      </c>
      <c r="U651" s="784">
        <v>1.8</v>
      </c>
      <c r="V651" s="784">
        <v>1.8</v>
      </c>
      <c r="W651" s="784">
        <v>11.7</v>
      </c>
      <c r="X651" s="784">
        <v>3.6</v>
      </c>
      <c r="Y651" s="784">
        <v>12.6</v>
      </c>
      <c r="Z651" s="784">
        <v>90</v>
      </c>
      <c r="AA651" s="784">
        <v>54</v>
      </c>
      <c r="AB651" s="784">
        <v>108</v>
      </c>
      <c r="AC651" s="784">
        <v>0.72000000000000008</v>
      </c>
      <c r="AD651" s="784">
        <v>0.36000000000000004</v>
      </c>
      <c r="AE651" s="784">
        <v>0.18000000000000002</v>
      </c>
      <c r="AF651" s="784">
        <v>3600</v>
      </c>
      <c r="AG651" s="784">
        <v>540</v>
      </c>
      <c r="AH651" s="784">
        <v>36</v>
      </c>
      <c r="AI651" s="784"/>
      <c r="AK651" s="783">
        <f>IFERROR(Tabela1[[#This Row],[EE(g)]]/Tabela1[[#This Row],[CMS(kg)]],0)</f>
        <v>0</v>
      </c>
    </row>
    <row r="652" spans="2:37" hidden="1">
      <c r="B652" s="774">
        <f>ROW()^2+(Tabela1[[#This Row],[ID2]])+ROW()</f>
        <v>425816</v>
      </c>
      <c r="C652" s="794">
        <v>60</v>
      </c>
      <c r="D652" s="794" t="s">
        <v>1273</v>
      </c>
      <c r="E652" s="795" t="s">
        <v>1274</v>
      </c>
      <c r="F652" s="795" t="s">
        <v>1275</v>
      </c>
      <c r="G652" s="795">
        <v>50</v>
      </c>
      <c r="H652" s="795" t="s">
        <v>1</v>
      </c>
      <c r="I652" s="796">
        <v>0</v>
      </c>
      <c r="J652" s="794"/>
      <c r="K652" s="794"/>
      <c r="L652" s="797">
        <v>300</v>
      </c>
      <c r="M652" s="778">
        <v>1.8</v>
      </c>
      <c r="N652" s="798">
        <v>1000</v>
      </c>
      <c r="O652" s="798">
        <v>1000</v>
      </c>
      <c r="P652" s="784">
        <v>2</v>
      </c>
      <c r="Q652" s="784">
        <v>1</v>
      </c>
      <c r="R652" s="799">
        <v>90</v>
      </c>
      <c r="S652" s="784">
        <v>10000</v>
      </c>
      <c r="T652" s="784">
        <v>10000</v>
      </c>
      <c r="U652" s="784">
        <v>9</v>
      </c>
      <c r="V652" s="784">
        <v>32.4</v>
      </c>
      <c r="W652" s="784">
        <v>54</v>
      </c>
      <c r="X652" s="784">
        <v>7.2</v>
      </c>
      <c r="Y652" s="784">
        <v>45</v>
      </c>
      <c r="Z652" s="784">
        <v>1350</v>
      </c>
      <c r="AA652" s="784">
        <v>900</v>
      </c>
      <c r="AB652" s="784">
        <v>1800</v>
      </c>
      <c r="AC652" s="784">
        <v>90</v>
      </c>
      <c r="AD652" s="784">
        <v>18</v>
      </c>
      <c r="AE652" s="784">
        <v>3.6</v>
      </c>
      <c r="AF652" s="784">
        <v>1000000</v>
      </c>
      <c r="AG652" s="784">
        <v>100000</v>
      </c>
      <c r="AH652" s="784">
        <v>100000</v>
      </c>
      <c r="AI652" s="784"/>
      <c r="AK652" s="783">
        <f>IFERROR(Tabela1[[#This Row],[EE(g)]]/Tabela1[[#This Row],[CMS(kg)]],0)</f>
        <v>50</v>
      </c>
    </row>
    <row r="653" spans="2:37" hidden="1">
      <c r="B653" s="774">
        <f>ROW()^2+(Tabela1[[#This Row],[ID2]])+ROW()</f>
        <v>427123</v>
      </c>
      <c r="C653" s="794">
        <v>61</v>
      </c>
      <c r="D653" s="794" t="s">
        <v>1273</v>
      </c>
      <c r="E653" s="795" t="s">
        <v>1274</v>
      </c>
      <c r="F653" s="795" t="s">
        <v>1275</v>
      </c>
      <c r="G653" s="795">
        <v>50</v>
      </c>
      <c r="H653" s="795" t="s">
        <v>0</v>
      </c>
      <c r="I653" s="796">
        <v>0</v>
      </c>
      <c r="J653" s="794"/>
      <c r="K653" s="794"/>
      <c r="L653" s="797">
        <v>400</v>
      </c>
      <c r="M653" s="778">
        <v>0</v>
      </c>
      <c r="N653" s="798">
        <v>231</v>
      </c>
      <c r="O653" s="798">
        <v>176</v>
      </c>
      <c r="P653" s="784">
        <v>1.6</v>
      </c>
      <c r="Q653" s="784">
        <v>0.58799999999999997</v>
      </c>
      <c r="R653" s="799">
        <v>0</v>
      </c>
      <c r="S653" s="784">
        <v>12.6</v>
      </c>
      <c r="T653" s="784">
        <v>6.3</v>
      </c>
      <c r="U653" s="784">
        <v>2.1</v>
      </c>
      <c r="V653" s="784">
        <v>2.1</v>
      </c>
      <c r="W653" s="784">
        <v>13.649999999999999</v>
      </c>
      <c r="X653" s="784">
        <v>4.2</v>
      </c>
      <c r="Y653" s="784">
        <v>14.700000000000001</v>
      </c>
      <c r="Z653" s="784">
        <v>105</v>
      </c>
      <c r="AA653" s="784">
        <v>63</v>
      </c>
      <c r="AB653" s="784">
        <v>126</v>
      </c>
      <c r="AC653" s="784">
        <v>0.84000000000000008</v>
      </c>
      <c r="AD653" s="784">
        <v>0.42000000000000004</v>
      </c>
      <c r="AE653" s="784">
        <v>0.21000000000000002</v>
      </c>
      <c r="AF653" s="784">
        <v>4200</v>
      </c>
      <c r="AG653" s="784">
        <v>630</v>
      </c>
      <c r="AH653" s="784">
        <v>42</v>
      </c>
      <c r="AI653" s="784"/>
      <c r="AK653" s="783">
        <f>IFERROR(Tabela1[[#This Row],[EE(g)]]/Tabela1[[#This Row],[CMS(kg)]],0)</f>
        <v>0</v>
      </c>
    </row>
    <row r="654" spans="2:37" hidden="1">
      <c r="B654" s="774">
        <f>ROW()^2+(Tabela1[[#This Row],[ID2]])+ROW()</f>
        <v>428432</v>
      </c>
      <c r="C654" s="794">
        <v>62</v>
      </c>
      <c r="D654" s="794" t="s">
        <v>1273</v>
      </c>
      <c r="E654" s="795" t="s">
        <v>1274</v>
      </c>
      <c r="F654" s="795" t="s">
        <v>1275</v>
      </c>
      <c r="G654" s="795">
        <v>50</v>
      </c>
      <c r="H654" s="795" t="s">
        <v>1</v>
      </c>
      <c r="I654" s="796">
        <v>0</v>
      </c>
      <c r="J654" s="794"/>
      <c r="K654" s="794"/>
      <c r="L654" s="797">
        <v>400</v>
      </c>
      <c r="M654" s="778">
        <v>2.1</v>
      </c>
      <c r="N654" s="798">
        <v>1000</v>
      </c>
      <c r="O654" s="798">
        <v>1000</v>
      </c>
      <c r="P654" s="784">
        <v>2.1</v>
      </c>
      <c r="Q654" s="784">
        <v>1</v>
      </c>
      <c r="R654" s="799">
        <v>105</v>
      </c>
      <c r="S654" s="784">
        <v>10000</v>
      </c>
      <c r="T654" s="784">
        <v>10000</v>
      </c>
      <c r="U654" s="784">
        <v>10.5</v>
      </c>
      <c r="V654" s="784">
        <v>37.799999999999997</v>
      </c>
      <c r="W654" s="784">
        <v>63</v>
      </c>
      <c r="X654" s="784">
        <v>8.4</v>
      </c>
      <c r="Y654" s="784">
        <v>52.5</v>
      </c>
      <c r="Z654" s="784">
        <v>1575</v>
      </c>
      <c r="AA654" s="784">
        <v>1050</v>
      </c>
      <c r="AB654" s="784">
        <v>2100</v>
      </c>
      <c r="AC654" s="784">
        <v>105</v>
      </c>
      <c r="AD654" s="784">
        <v>21</v>
      </c>
      <c r="AE654" s="784">
        <v>4.2</v>
      </c>
      <c r="AF654" s="784">
        <v>1000000</v>
      </c>
      <c r="AG654" s="784">
        <v>100000</v>
      </c>
      <c r="AH654" s="784">
        <v>100000</v>
      </c>
      <c r="AI654" s="784"/>
      <c r="AK654" s="783">
        <f>IFERROR(Tabela1[[#This Row],[EE(g)]]/Tabela1[[#This Row],[CMS(kg)]],0)</f>
        <v>50</v>
      </c>
    </row>
    <row r="655" spans="2:37" hidden="1">
      <c r="B655" s="774">
        <f>ROW()^2+(Tabela1[[#This Row],[ID2]])+ROW()</f>
        <v>429743</v>
      </c>
      <c r="C655" s="794">
        <v>63</v>
      </c>
      <c r="D655" s="794" t="s">
        <v>1273</v>
      </c>
      <c r="E655" s="795" t="s">
        <v>1274</v>
      </c>
      <c r="F655" s="795" t="s">
        <v>1275</v>
      </c>
      <c r="G655" s="795">
        <v>60</v>
      </c>
      <c r="H655" s="795" t="s">
        <v>0</v>
      </c>
      <c r="I655" s="796">
        <v>0</v>
      </c>
      <c r="J655" s="794"/>
      <c r="K655" s="794"/>
      <c r="L655" s="797">
        <v>100</v>
      </c>
      <c r="M655" s="778">
        <v>0</v>
      </c>
      <c r="N655" s="798">
        <v>136</v>
      </c>
      <c r="O655" s="798">
        <v>94.6</v>
      </c>
      <c r="P655" s="784">
        <v>0.86</v>
      </c>
      <c r="Q655" s="784">
        <v>0.47600000000000003</v>
      </c>
      <c r="R655" s="799">
        <v>0</v>
      </c>
      <c r="S655" s="784">
        <v>10.200000000000001</v>
      </c>
      <c r="T655" s="784">
        <v>5.1000000000000005</v>
      </c>
      <c r="U655" s="784">
        <v>1.7</v>
      </c>
      <c r="V655" s="784">
        <v>1.7</v>
      </c>
      <c r="W655" s="784">
        <v>11.049999999999999</v>
      </c>
      <c r="X655" s="784">
        <v>3.4</v>
      </c>
      <c r="Y655" s="784">
        <v>11.9</v>
      </c>
      <c r="Z655" s="784">
        <v>85</v>
      </c>
      <c r="AA655" s="784">
        <v>51</v>
      </c>
      <c r="AB655" s="784">
        <v>102</v>
      </c>
      <c r="AC655" s="784">
        <v>0.68</v>
      </c>
      <c r="AD655" s="784">
        <v>0.34</v>
      </c>
      <c r="AE655" s="784">
        <v>0.17</v>
      </c>
      <c r="AF655" s="784">
        <v>3400</v>
      </c>
      <c r="AG655" s="784">
        <v>510</v>
      </c>
      <c r="AH655" s="784">
        <v>34</v>
      </c>
      <c r="AI655" s="784"/>
      <c r="AK655" s="783">
        <f>IFERROR(Tabela1[[#This Row],[EE(g)]]/Tabela1[[#This Row],[CMS(kg)]],0)</f>
        <v>0</v>
      </c>
    </row>
    <row r="656" spans="2:37" hidden="1">
      <c r="B656" s="774">
        <f>ROW()^2+(Tabela1[[#This Row],[ID2]])+ROW()</f>
        <v>431056</v>
      </c>
      <c r="C656" s="794">
        <v>64</v>
      </c>
      <c r="D656" s="794" t="s">
        <v>1273</v>
      </c>
      <c r="E656" s="795" t="s">
        <v>1274</v>
      </c>
      <c r="F656" s="795" t="s">
        <v>1275</v>
      </c>
      <c r="G656" s="795">
        <v>60</v>
      </c>
      <c r="H656" s="795" t="s">
        <v>1</v>
      </c>
      <c r="I656" s="796">
        <v>0</v>
      </c>
      <c r="J656" s="794"/>
      <c r="K656" s="794"/>
      <c r="L656" s="797">
        <v>100</v>
      </c>
      <c r="M656" s="778">
        <v>1.7</v>
      </c>
      <c r="N656" s="798">
        <v>1000</v>
      </c>
      <c r="O656" s="798">
        <v>1000</v>
      </c>
      <c r="P656" s="784">
        <v>1.5</v>
      </c>
      <c r="Q656" s="784">
        <v>1</v>
      </c>
      <c r="R656" s="799">
        <v>85</v>
      </c>
      <c r="S656" s="784">
        <v>10000</v>
      </c>
      <c r="T656" s="784">
        <v>10000</v>
      </c>
      <c r="U656" s="784">
        <v>8.5</v>
      </c>
      <c r="V656" s="784">
        <v>30.599999999999998</v>
      </c>
      <c r="W656" s="784">
        <v>51</v>
      </c>
      <c r="X656" s="784">
        <v>6.8</v>
      </c>
      <c r="Y656" s="784">
        <v>42.5</v>
      </c>
      <c r="Z656" s="784">
        <v>1275</v>
      </c>
      <c r="AA656" s="784">
        <v>850</v>
      </c>
      <c r="AB656" s="784">
        <v>1700</v>
      </c>
      <c r="AC656" s="784">
        <v>85</v>
      </c>
      <c r="AD656" s="784">
        <v>17</v>
      </c>
      <c r="AE656" s="784">
        <v>3.4</v>
      </c>
      <c r="AF656" s="784">
        <v>1000000</v>
      </c>
      <c r="AG656" s="784">
        <v>100000</v>
      </c>
      <c r="AH656" s="784">
        <v>100000</v>
      </c>
      <c r="AI656" s="784"/>
      <c r="AK656" s="783">
        <f>IFERROR(Tabela1[[#This Row],[EE(g)]]/Tabela1[[#This Row],[CMS(kg)]],0)</f>
        <v>50</v>
      </c>
    </row>
    <row r="657" spans="2:37" hidden="1">
      <c r="B657" s="774">
        <f>ROW()^2+(Tabela1[[#This Row],[ID2]])+ROW()</f>
        <v>432371</v>
      </c>
      <c r="C657" s="794">
        <v>65</v>
      </c>
      <c r="D657" s="794" t="s">
        <v>1273</v>
      </c>
      <c r="E657" s="795" t="s">
        <v>1274</v>
      </c>
      <c r="F657" s="795" t="s">
        <v>1275</v>
      </c>
      <c r="G657" s="795">
        <v>60</v>
      </c>
      <c r="H657" s="795" t="s">
        <v>0</v>
      </c>
      <c r="I657" s="796">
        <v>0</v>
      </c>
      <c r="J657" s="794"/>
      <c r="K657" s="794"/>
      <c r="L657" s="797">
        <v>200</v>
      </c>
      <c r="M657" s="778">
        <v>0</v>
      </c>
      <c r="N657" s="798">
        <v>144</v>
      </c>
      <c r="O657" s="798">
        <v>135.30000000000001</v>
      </c>
      <c r="P657" s="784">
        <v>1.23</v>
      </c>
      <c r="Q657" s="784">
        <v>0.504</v>
      </c>
      <c r="R657" s="799">
        <v>0</v>
      </c>
      <c r="S657" s="784">
        <v>10.8</v>
      </c>
      <c r="T657" s="784">
        <v>5.4</v>
      </c>
      <c r="U657" s="784">
        <v>1.8</v>
      </c>
      <c r="V657" s="784">
        <v>1.8</v>
      </c>
      <c r="W657" s="784">
        <v>11.7</v>
      </c>
      <c r="X657" s="784">
        <v>3.6</v>
      </c>
      <c r="Y657" s="784">
        <v>12.6</v>
      </c>
      <c r="Z657" s="784">
        <v>90</v>
      </c>
      <c r="AA657" s="784">
        <v>54</v>
      </c>
      <c r="AB657" s="784">
        <v>108</v>
      </c>
      <c r="AC657" s="784">
        <v>0.72000000000000008</v>
      </c>
      <c r="AD657" s="784">
        <v>0.36000000000000004</v>
      </c>
      <c r="AE657" s="784">
        <v>0.18000000000000002</v>
      </c>
      <c r="AF657" s="784">
        <v>3600</v>
      </c>
      <c r="AG657" s="784">
        <v>540</v>
      </c>
      <c r="AH657" s="784">
        <v>36</v>
      </c>
      <c r="AI657" s="784"/>
      <c r="AK657" s="783">
        <f>IFERROR(Tabela1[[#This Row],[EE(g)]]/Tabela1[[#This Row],[CMS(kg)]],0)</f>
        <v>0</v>
      </c>
    </row>
    <row r="658" spans="2:37" hidden="1">
      <c r="B658" s="774">
        <f>ROW()^2+(Tabela1[[#This Row],[ID2]])+ROW()</f>
        <v>433688</v>
      </c>
      <c r="C658" s="794">
        <v>66</v>
      </c>
      <c r="D658" s="794" t="s">
        <v>1273</v>
      </c>
      <c r="E658" s="795" t="s">
        <v>1274</v>
      </c>
      <c r="F658" s="795" t="s">
        <v>1275</v>
      </c>
      <c r="G658" s="795">
        <v>60</v>
      </c>
      <c r="H658" s="795" t="s">
        <v>1</v>
      </c>
      <c r="I658" s="796">
        <v>0</v>
      </c>
      <c r="J658" s="794"/>
      <c r="K658" s="794"/>
      <c r="L658" s="797">
        <v>200</v>
      </c>
      <c r="M658" s="778">
        <v>1.8</v>
      </c>
      <c r="N658" s="798">
        <v>1000</v>
      </c>
      <c r="O658" s="798">
        <v>1000</v>
      </c>
      <c r="P658" s="784">
        <v>1.5</v>
      </c>
      <c r="Q658" s="784">
        <v>1</v>
      </c>
      <c r="R658" s="799">
        <v>90</v>
      </c>
      <c r="S658" s="784">
        <v>10000</v>
      </c>
      <c r="T658" s="784">
        <v>10000</v>
      </c>
      <c r="U658" s="784">
        <v>9</v>
      </c>
      <c r="V658" s="784">
        <v>32.4</v>
      </c>
      <c r="W658" s="784">
        <v>54</v>
      </c>
      <c r="X658" s="784">
        <v>7.2</v>
      </c>
      <c r="Y658" s="784">
        <v>45</v>
      </c>
      <c r="Z658" s="784">
        <v>1350</v>
      </c>
      <c r="AA658" s="784">
        <v>900</v>
      </c>
      <c r="AB658" s="784">
        <v>1800</v>
      </c>
      <c r="AC658" s="784">
        <v>90</v>
      </c>
      <c r="AD658" s="784">
        <v>18</v>
      </c>
      <c r="AE658" s="784">
        <v>3.6</v>
      </c>
      <c r="AF658" s="784">
        <v>1000000</v>
      </c>
      <c r="AG658" s="784">
        <v>100000</v>
      </c>
      <c r="AH658" s="784">
        <v>100000</v>
      </c>
      <c r="AI658" s="784"/>
      <c r="AK658" s="783">
        <f>IFERROR(Tabela1[[#This Row],[EE(g)]]/Tabela1[[#This Row],[CMS(kg)]],0)</f>
        <v>50</v>
      </c>
    </row>
    <row r="659" spans="2:37" hidden="1">
      <c r="B659" s="774">
        <f>ROW()^2+(Tabela1[[#This Row],[ID2]])+ROW()</f>
        <v>435007</v>
      </c>
      <c r="C659" s="794">
        <v>67</v>
      </c>
      <c r="D659" s="794" t="s">
        <v>1273</v>
      </c>
      <c r="E659" s="795" t="s">
        <v>1274</v>
      </c>
      <c r="F659" s="795" t="s">
        <v>1275</v>
      </c>
      <c r="G659" s="795">
        <v>60</v>
      </c>
      <c r="H659" s="795" t="s">
        <v>0</v>
      </c>
      <c r="I659" s="796">
        <v>0</v>
      </c>
      <c r="J659" s="794"/>
      <c r="K659" s="794"/>
      <c r="L659" s="797">
        <v>300</v>
      </c>
      <c r="M659" s="778">
        <v>0</v>
      </c>
      <c r="N659" s="798">
        <v>209</v>
      </c>
      <c r="O659" s="798">
        <v>159.5</v>
      </c>
      <c r="P659" s="784">
        <v>1.45</v>
      </c>
      <c r="Q659" s="784">
        <v>0.53200000000000003</v>
      </c>
      <c r="R659" s="799">
        <v>0</v>
      </c>
      <c r="S659" s="784">
        <v>11.4</v>
      </c>
      <c r="T659" s="784">
        <v>5.7</v>
      </c>
      <c r="U659" s="784">
        <v>1.9000000000000001</v>
      </c>
      <c r="V659" s="784">
        <v>1.9000000000000001</v>
      </c>
      <c r="W659" s="784">
        <v>12.35</v>
      </c>
      <c r="X659" s="784">
        <v>3.8000000000000003</v>
      </c>
      <c r="Y659" s="784">
        <v>13.299999999999999</v>
      </c>
      <c r="Z659" s="784">
        <v>95</v>
      </c>
      <c r="AA659" s="784">
        <v>57</v>
      </c>
      <c r="AB659" s="784">
        <v>114</v>
      </c>
      <c r="AC659" s="784">
        <v>0.76</v>
      </c>
      <c r="AD659" s="784">
        <v>0.38</v>
      </c>
      <c r="AE659" s="784">
        <v>0.19</v>
      </c>
      <c r="AF659" s="784">
        <v>3800</v>
      </c>
      <c r="AG659" s="784">
        <v>570</v>
      </c>
      <c r="AH659" s="784">
        <v>38</v>
      </c>
      <c r="AI659" s="784"/>
      <c r="AK659" s="783">
        <f>IFERROR(Tabela1[[#This Row],[EE(g)]]/Tabela1[[#This Row],[CMS(kg)]],0)</f>
        <v>0</v>
      </c>
    </row>
    <row r="660" spans="2:37" hidden="1">
      <c r="B660" s="774">
        <f>ROW()^2+(Tabela1[[#This Row],[ID2]])+ROW()</f>
        <v>436328</v>
      </c>
      <c r="C660" s="794">
        <v>68</v>
      </c>
      <c r="D660" s="794" t="s">
        <v>1273</v>
      </c>
      <c r="E660" s="795" t="s">
        <v>1274</v>
      </c>
      <c r="F660" s="795" t="s">
        <v>1275</v>
      </c>
      <c r="G660" s="795">
        <v>60</v>
      </c>
      <c r="H660" s="795" t="s">
        <v>1</v>
      </c>
      <c r="I660" s="796">
        <v>0</v>
      </c>
      <c r="J660" s="794"/>
      <c r="K660" s="794"/>
      <c r="L660" s="797">
        <v>300</v>
      </c>
      <c r="M660" s="778">
        <v>1.9</v>
      </c>
      <c r="N660" s="798">
        <v>1000</v>
      </c>
      <c r="O660" s="798">
        <v>1000</v>
      </c>
      <c r="P660" s="784">
        <v>2</v>
      </c>
      <c r="Q660" s="784">
        <v>1</v>
      </c>
      <c r="R660" s="799">
        <v>95</v>
      </c>
      <c r="S660" s="784">
        <v>10000</v>
      </c>
      <c r="T660" s="784">
        <v>10000</v>
      </c>
      <c r="U660" s="784">
        <v>9.5</v>
      </c>
      <c r="V660" s="784">
        <v>34.199999999999996</v>
      </c>
      <c r="W660" s="784">
        <v>57</v>
      </c>
      <c r="X660" s="784">
        <v>7.6000000000000005</v>
      </c>
      <c r="Y660" s="784">
        <v>47.5</v>
      </c>
      <c r="Z660" s="784">
        <v>1425</v>
      </c>
      <c r="AA660" s="784">
        <v>950</v>
      </c>
      <c r="AB660" s="784">
        <v>1900</v>
      </c>
      <c r="AC660" s="784">
        <v>95</v>
      </c>
      <c r="AD660" s="784">
        <v>19</v>
      </c>
      <c r="AE660" s="784">
        <v>3.8</v>
      </c>
      <c r="AF660" s="784">
        <v>1000000</v>
      </c>
      <c r="AG660" s="784">
        <v>100000</v>
      </c>
      <c r="AH660" s="784">
        <v>100000</v>
      </c>
      <c r="AI660" s="784"/>
      <c r="AK660" s="783">
        <f>IFERROR(Tabela1[[#This Row],[EE(g)]]/Tabela1[[#This Row],[CMS(kg)]],0)</f>
        <v>50</v>
      </c>
    </row>
    <row r="661" spans="2:37" hidden="1">
      <c r="B661" s="774">
        <f>ROW()^2+(Tabela1[[#This Row],[ID2]])+ROW()</f>
        <v>437651</v>
      </c>
      <c r="C661" s="794">
        <v>69</v>
      </c>
      <c r="D661" s="794" t="s">
        <v>1273</v>
      </c>
      <c r="E661" s="795" t="s">
        <v>1274</v>
      </c>
      <c r="F661" s="795" t="s">
        <v>1275</v>
      </c>
      <c r="G661" s="795">
        <v>60</v>
      </c>
      <c r="H661" s="795" t="s">
        <v>0</v>
      </c>
      <c r="I661" s="796">
        <v>0</v>
      </c>
      <c r="J661" s="794"/>
      <c r="K661" s="794"/>
      <c r="L661" s="797">
        <v>400</v>
      </c>
      <c r="M661" s="778">
        <v>0</v>
      </c>
      <c r="N661" s="798">
        <v>253</v>
      </c>
      <c r="O661" s="798">
        <v>195.8</v>
      </c>
      <c r="P661" s="784">
        <v>1.78</v>
      </c>
      <c r="Q661" s="784">
        <v>0.64400000000000013</v>
      </c>
      <c r="R661" s="799">
        <v>0</v>
      </c>
      <c r="S661" s="784">
        <v>13.8</v>
      </c>
      <c r="T661" s="784">
        <v>6.9</v>
      </c>
      <c r="U661" s="784">
        <v>2.3000000000000003</v>
      </c>
      <c r="V661" s="784">
        <v>2.3000000000000003</v>
      </c>
      <c r="W661" s="784">
        <v>14.95</v>
      </c>
      <c r="X661" s="784">
        <v>4.6000000000000005</v>
      </c>
      <c r="Y661" s="784">
        <v>16.099999999999998</v>
      </c>
      <c r="Z661" s="784">
        <v>114.99999999999999</v>
      </c>
      <c r="AA661" s="784">
        <v>69</v>
      </c>
      <c r="AB661" s="784">
        <v>138</v>
      </c>
      <c r="AC661" s="784">
        <v>0.91999999999999993</v>
      </c>
      <c r="AD661" s="784">
        <v>0.45999999999999996</v>
      </c>
      <c r="AE661" s="784">
        <v>0.22999999999999998</v>
      </c>
      <c r="AF661" s="784">
        <v>4600</v>
      </c>
      <c r="AG661" s="784">
        <v>690</v>
      </c>
      <c r="AH661" s="784">
        <v>46</v>
      </c>
      <c r="AI661" s="784"/>
      <c r="AK661" s="783">
        <f>IFERROR(Tabela1[[#This Row],[EE(g)]]/Tabela1[[#This Row],[CMS(kg)]],0)</f>
        <v>0</v>
      </c>
    </row>
    <row r="662" spans="2:37" hidden="1">
      <c r="B662" s="774">
        <f>ROW()^2+(Tabela1[[#This Row],[ID2]])+ROW()</f>
        <v>438976</v>
      </c>
      <c r="C662" s="794">
        <v>70</v>
      </c>
      <c r="D662" s="794" t="s">
        <v>1273</v>
      </c>
      <c r="E662" s="795" t="s">
        <v>1274</v>
      </c>
      <c r="F662" s="795" t="s">
        <v>1275</v>
      </c>
      <c r="G662" s="795">
        <v>60</v>
      </c>
      <c r="H662" s="795" t="s">
        <v>1</v>
      </c>
      <c r="I662" s="796">
        <v>0</v>
      </c>
      <c r="J662" s="794"/>
      <c r="K662" s="794"/>
      <c r="L662" s="797">
        <v>400</v>
      </c>
      <c r="M662" s="778">
        <v>2.2999999999999998</v>
      </c>
      <c r="N662" s="798">
        <v>1000</v>
      </c>
      <c r="O662" s="798">
        <v>1000</v>
      </c>
      <c r="P662" s="784">
        <v>2.5</v>
      </c>
      <c r="Q662" s="784">
        <v>1</v>
      </c>
      <c r="R662" s="799">
        <v>115</v>
      </c>
      <c r="S662" s="784">
        <v>10000</v>
      </c>
      <c r="T662" s="784">
        <v>10000</v>
      </c>
      <c r="U662" s="784">
        <v>11.5</v>
      </c>
      <c r="V662" s="784">
        <v>41.4</v>
      </c>
      <c r="W662" s="784">
        <v>69</v>
      </c>
      <c r="X662" s="784">
        <v>9.2000000000000011</v>
      </c>
      <c r="Y662" s="784">
        <v>57.499999999999993</v>
      </c>
      <c r="Z662" s="784">
        <v>1724.9999999999998</v>
      </c>
      <c r="AA662" s="784">
        <v>1150</v>
      </c>
      <c r="AB662" s="784">
        <v>2300</v>
      </c>
      <c r="AC662" s="784">
        <v>114.99999999999999</v>
      </c>
      <c r="AD662" s="784">
        <v>23</v>
      </c>
      <c r="AE662" s="784">
        <v>4.5999999999999996</v>
      </c>
      <c r="AF662" s="784">
        <v>1000000</v>
      </c>
      <c r="AG662" s="784">
        <v>100000</v>
      </c>
      <c r="AH662" s="784">
        <v>100000</v>
      </c>
      <c r="AI662" s="784"/>
      <c r="AK662" s="783">
        <f>IFERROR(Tabela1[[#This Row],[EE(g)]]/Tabela1[[#This Row],[CMS(kg)]],0)</f>
        <v>50.000000000000007</v>
      </c>
    </row>
    <row r="663" spans="2:37" hidden="1">
      <c r="B663" s="774">
        <f>ROW()^2+(Tabela1[[#This Row],[ID2]])+ROW()</f>
        <v>440303</v>
      </c>
      <c r="C663" s="794">
        <v>71</v>
      </c>
      <c r="D663" s="794" t="s">
        <v>1273</v>
      </c>
      <c r="E663" s="795" t="s">
        <v>1274</v>
      </c>
      <c r="F663" s="795" t="s">
        <v>1275</v>
      </c>
      <c r="G663" s="795">
        <v>70</v>
      </c>
      <c r="H663" s="795" t="s">
        <v>0</v>
      </c>
      <c r="I663" s="796">
        <v>0</v>
      </c>
      <c r="J663" s="794"/>
      <c r="K663" s="794"/>
      <c r="L663" s="797">
        <v>100</v>
      </c>
      <c r="M663" s="778">
        <v>0</v>
      </c>
      <c r="N663" s="798">
        <v>136</v>
      </c>
      <c r="O663" s="798">
        <v>104.5</v>
      </c>
      <c r="P663" s="784">
        <v>0.95</v>
      </c>
      <c r="Q663" s="784">
        <v>0.47600000000000003</v>
      </c>
      <c r="R663" s="799">
        <v>0</v>
      </c>
      <c r="S663" s="784">
        <v>10.200000000000001</v>
      </c>
      <c r="T663" s="784">
        <v>5.1000000000000005</v>
      </c>
      <c r="U663" s="784">
        <v>1.7</v>
      </c>
      <c r="V663" s="784">
        <v>1.7</v>
      </c>
      <c r="W663" s="784">
        <v>11.049999999999999</v>
      </c>
      <c r="X663" s="784">
        <v>3.4</v>
      </c>
      <c r="Y663" s="784">
        <v>11.9</v>
      </c>
      <c r="Z663" s="784">
        <v>85</v>
      </c>
      <c r="AA663" s="784">
        <v>51</v>
      </c>
      <c r="AB663" s="784">
        <v>102</v>
      </c>
      <c r="AC663" s="784">
        <v>0.68</v>
      </c>
      <c r="AD663" s="784">
        <v>0.34</v>
      </c>
      <c r="AE663" s="784">
        <v>0.17</v>
      </c>
      <c r="AF663" s="784">
        <v>3400</v>
      </c>
      <c r="AG663" s="784">
        <v>510</v>
      </c>
      <c r="AH663" s="784">
        <v>34</v>
      </c>
      <c r="AI663" s="784"/>
      <c r="AK663" s="783">
        <f>IFERROR(Tabela1[[#This Row],[EE(g)]]/Tabela1[[#This Row],[CMS(kg)]],0)</f>
        <v>0</v>
      </c>
    </row>
    <row r="664" spans="2:37" hidden="1">
      <c r="B664" s="774">
        <f>ROW()^2+(Tabela1[[#This Row],[ID2]])+ROW()</f>
        <v>441632</v>
      </c>
      <c r="C664" s="794">
        <v>72</v>
      </c>
      <c r="D664" s="794" t="s">
        <v>1273</v>
      </c>
      <c r="E664" s="795" t="s">
        <v>1274</v>
      </c>
      <c r="F664" s="795" t="s">
        <v>1275</v>
      </c>
      <c r="G664" s="795">
        <v>70</v>
      </c>
      <c r="H664" s="795" t="s">
        <v>1</v>
      </c>
      <c r="I664" s="796">
        <v>0</v>
      </c>
      <c r="J664" s="794"/>
      <c r="K664" s="794"/>
      <c r="L664" s="797">
        <v>100</v>
      </c>
      <c r="M664" s="778">
        <v>1.7</v>
      </c>
      <c r="N664" s="798">
        <v>1000</v>
      </c>
      <c r="O664" s="798">
        <v>1000</v>
      </c>
      <c r="P664" s="784">
        <v>1.5</v>
      </c>
      <c r="Q664" s="784">
        <v>1</v>
      </c>
      <c r="R664" s="799">
        <v>85</v>
      </c>
      <c r="S664" s="784">
        <v>10000</v>
      </c>
      <c r="T664" s="784">
        <v>10000</v>
      </c>
      <c r="U664" s="784">
        <v>8.5</v>
      </c>
      <c r="V664" s="784">
        <v>30.599999999999998</v>
      </c>
      <c r="W664" s="784">
        <v>51</v>
      </c>
      <c r="X664" s="784">
        <v>6.8</v>
      </c>
      <c r="Y664" s="784">
        <v>42.5</v>
      </c>
      <c r="Z664" s="784">
        <v>1275</v>
      </c>
      <c r="AA664" s="784">
        <v>850</v>
      </c>
      <c r="AB664" s="784">
        <v>1700</v>
      </c>
      <c r="AC664" s="784">
        <v>85</v>
      </c>
      <c r="AD664" s="784">
        <v>17</v>
      </c>
      <c r="AE664" s="784">
        <v>3.4</v>
      </c>
      <c r="AF664" s="784">
        <v>1000000</v>
      </c>
      <c r="AG664" s="784">
        <v>100000</v>
      </c>
      <c r="AH664" s="784">
        <v>100000</v>
      </c>
      <c r="AI664" s="784"/>
      <c r="AK664" s="783">
        <f>IFERROR(Tabela1[[#This Row],[EE(g)]]/Tabela1[[#This Row],[CMS(kg)]],0)</f>
        <v>50</v>
      </c>
    </row>
    <row r="665" spans="2:37" hidden="1">
      <c r="B665" s="774">
        <f>ROW()^2+(Tabela1[[#This Row],[ID2]])+ROW()</f>
        <v>442963</v>
      </c>
      <c r="C665" s="794">
        <v>73</v>
      </c>
      <c r="D665" s="794" t="s">
        <v>1273</v>
      </c>
      <c r="E665" s="795" t="s">
        <v>1274</v>
      </c>
      <c r="F665" s="795" t="s">
        <v>1275</v>
      </c>
      <c r="G665" s="795">
        <v>70</v>
      </c>
      <c r="H665" s="795" t="s">
        <v>0</v>
      </c>
      <c r="I665" s="796">
        <v>0</v>
      </c>
      <c r="J665" s="794"/>
      <c r="K665" s="794"/>
      <c r="L665" s="797">
        <v>200</v>
      </c>
      <c r="M665" s="778">
        <v>0</v>
      </c>
      <c r="N665" s="798">
        <v>162</v>
      </c>
      <c r="O665" s="798">
        <v>143</v>
      </c>
      <c r="P665" s="784">
        <v>1.3</v>
      </c>
      <c r="Q665" s="784">
        <v>0.504</v>
      </c>
      <c r="R665" s="799">
        <v>0</v>
      </c>
      <c r="S665" s="784">
        <v>10.8</v>
      </c>
      <c r="T665" s="784">
        <v>5.4</v>
      </c>
      <c r="U665" s="784">
        <v>1.8</v>
      </c>
      <c r="V665" s="784">
        <v>1.8</v>
      </c>
      <c r="W665" s="784">
        <v>11.7</v>
      </c>
      <c r="X665" s="784">
        <v>3.6</v>
      </c>
      <c r="Y665" s="784">
        <v>12.6</v>
      </c>
      <c r="Z665" s="784">
        <v>90</v>
      </c>
      <c r="AA665" s="784">
        <v>54</v>
      </c>
      <c r="AB665" s="784">
        <v>108</v>
      </c>
      <c r="AC665" s="784">
        <v>0.72000000000000008</v>
      </c>
      <c r="AD665" s="784">
        <v>0.36000000000000004</v>
      </c>
      <c r="AE665" s="784">
        <v>0.18000000000000002</v>
      </c>
      <c r="AF665" s="784">
        <v>3600</v>
      </c>
      <c r="AG665" s="784">
        <v>540</v>
      </c>
      <c r="AH665" s="784">
        <v>36</v>
      </c>
      <c r="AI665" s="784"/>
      <c r="AK665" s="783">
        <f>IFERROR(Tabela1[[#This Row],[EE(g)]]/Tabela1[[#This Row],[CMS(kg)]],0)</f>
        <v>0</v>
      </c>
    </row>
    <row r="666" spans="2:37" hidden="1">
      <c r="B666" s="774">
        <f>ROW()^2+(Tabela1[[#This Row],[ID2]])+ROW()</f>
        <v>444296</v>
      </c>
      <c r="C666" s="794">
        <v>74</v>
      </c>
      <c r="D666" s="794" t="s">
        <v>1273</v>
      </c>
      <c r="E666" s="795" t="s">
        <v>1274</v>
      </c>
      <c r="F666" s="795" t="s">
        <v>1275</v>
      </c>
      <c r="G666" s="795">
        <v>70</v>
      </c>
      <c r="H666" s="795" t="s">
        <v>1</v>
      </c>
      <c r="I666" s="796">
        <v>0</v>
      </c>
      <c r="J666" s="794"/>
      <c r="K666" s="794"/>
      <c r="L666" s="797">
        <v>200</v>
      </c>
      <c r="M666" s="778">
        <v>1.8</v>
      </c>
      <c r="N666" s="798">
        <v>1000</v>
      </c>
      <c r="O666" s="798">
        <v>1000</v>
      </c>
      <c r="P666" s="784">
        <v>2</v>
      </c>
      <c r="Q666" s="784">
        <v>1</v>
      </c>
      <c r="R666" s="799">
        <v>90</v>
      </c>
      <c r="S666" s="784">
        <v>10000</v>
      </c>
      <c r="T666" s="784">
        <v>10000</v>
      </c>
      <c r="U666" s="784">
        <v>9</v>
      </c>
      <c r="V666" s="784">
        <v>32.4</v>
      </c>
      <c r="W666" s="784">
        <v>54</v>
      </c>
      <c r="X666" s="784">
        <v>7.2</v>
      </c>
      <c r="Y666" s="784">
        <v>45</v>
      </c>
      <c r="Z666" s="784">
        <v>1350</v>
      </c>
      <c r="AA666" s="784">
        <v>900</v>
      </c>
      <c r="AB666" s="784">
        <v>1800</v>
      </c>
      <c r="AC666" s="784">
        <v>90</v>
      </c>
      <c r="AD666" s="784">
        <v>18</v>
      </c>
      <c r="AE666" s="784">
        <v>3.6</v>
      </c>
      <c r="AF666" s="784">
        <v>1000000</v>
      </c>
      <c r="AG666" s="784">
        <v>100000</v>
      </c>
      <c r="AH666" s="784">
        <v>100000</v>
      </c>
      <c r="AI666" s="784"/>
      <c r="AK666" s="783">
        <f>IFERROR(Tabela1[[#This Row],[EE(g)]]/Tabela1[[#This Row],[CMS(kg)]],0)</f>
        <v>50</v>
      </c>
    </row>
    <row r="667" spans="2:37" hidden="1">
      <c r="B667" s="774">
        <f>ROW()^2+(Tabela1[[#This Row],[ID2]])+ROW()</f>
        <v>445631</v>
      </c>
      <c r="C667" s="794">
        <v>75</v>
      </c>
      <c r="D667" s="794" t="s">
        <v>1273</v>
      </c>
      <c r="E667" s="795" t="s">
        <v>1274</v>
      </c>
      <c r="F667" s="795" t="s">
        <v>1275</v>
      </c>
      <c r="G667" s="795">
        <v>70</v>
      </c>
      <c r="H667" s="795" t="s">
        <v>0</v>
      </c>
      <c r="I667" s="796">
        <v>0</v>
      </c>
      <c r="J667" s="794"/>
      <c r="K667" s="794"/>
      <c r="L667" s="797">
        <v>300</v>
      </c>
      <c r="M667" s="778">
        <v>0</v>
      </c>
      <c r="N667" s="798">
        <v>215</v>
      </c>
      <c r="O667" s="798">
        <v>178.2</v>
      </c>
      <c r="P667" s="784">
        <v>1.62</v>
      </c>
      <c r="Q667" s="784">
        <v>0.60200000000000009</v>
      </c>
      <c r="R667" s="799">
        <v>0</v>
      </c>
      <c r="S667" s="784">
        <v>12.9</v>
      </c>
      <c r="T667" s="784">
        <v>6.45</v>
      </c>
      <c r="U667" s="784">
        <v>2.15</v>
      </c>
      <c r="V667" s="784">
        <v>2.15</v>
      </c>
      <c r="W667" s="784">
        <v>13.975</v>
      </c>
      <c r="X667" s="784">
        <v>4.3</v>
      </c>
      <c r="Y667" s="784">
        <v>15.049999999999999</v>
      </c>
      <c r="Z667" s="784">
        <v>107.5</v>
      </c>
      <c r="AA667" s="784">
        <v>64.5</v>
      </c>
      <c r="AB667" s="784">
        <v>129</v>
      </c>
      <c r="AC667" s="784">
        <v>0.86</v>
      </c>
      <c r="AD667" s="784">
        <v>0.43</v>
      </c>
      <c r="AE667" s="784">
        <v>0.215</v>
      </c>
      <c r="AF667" s="784">
        <v>4300</v>
      </c>
      <c r="AG667" s="784">
        <v>645</v>
      </c>
      <c r="AH667" s="784">
        <v>43</v>
      </c>
      <c r="AI667" s="784"/>
      <c r="AK667" s="783">
        <f>IFERROR(Tabela1[[#This Row],[EE(g)]]/Tabela1[[#This Row],[CMS(kg)]],0)</f>
        <v>0</v>
      </c>
    </row>
    <row r="668" spans="2:37" hidden="1">
      <c r="B668" s="774">
        <f>ROW()^2+(Tabela1[[#This Row],[ID2]])+ROW()</f>
        <v>446968</v>
      </c>
      <c r="C668" s="794">
        <v>76</v>
      </c>
      <c r="D668" s="794" t="s">
        <v>1273</v>
      </c>
      <c r="E668" s="795" t="s">
        <v>1274</v>
      </c>
      <c r="F668" s="795" t="s">
        <v>1275</v>
      </c>
      <c r="G668" s="795">
        <v>70</v>
      </c>
      <c r="H668" s="795" t="s">
        <v>1</v>
      </c>
      <c r="I668" s="796">
        <v>0</v>
      </c>
      <c r="J668" s="794"/>
      <c r="K668" s="794"/>
      <c r="L668" s="797">
        <v>300</v>
      </c>
      <c r="M668" s="778">
        <v>2.15</v>
      </c>
      <c r="N668" s="798">
        <v>1000</v>
      </c>
      <c r="O668" s="798">
        <v>1000</v>
      </c>
      <c r="P668" s="784">
        <v>2.5</v>
      </c>
      <c r="Q668" s="784">
        <v>1</v>
      </c>
      <c r="R668" s="799">
        <v>107.5</v>
      </c>
      <c r="S668" s="784">
        <v>10000</v>
      </c>
      <c r="T668" s="784">
        <v>10000</v>
      </c>
      <c r="U668" s="784">
        <v>10.75</v>
      </c>
      <c r="V668" s="784">
        <v>38.699999999999996</v>
      </c>
      <c r="W668" s="784">
        <v>64.5</v>
      </c>
      <c r="X668" s="784">
        <v>8.6</v>
      </c>
      <c r="Y668" s="784">
        <v>53.75</v>
      </c>
      <c r="Z668" s="784">
        <v>1612.5</v>
      </c>
      <c r="AA668" s="784">
        <v>1075</v>
      </c>
      <c r="AB668" s="784">
        <v>2150</v>
      </c>
      <c r="AC668" s="784">
        <v>107.5</v>
      </c>
      <c r="AD668" s="784">
        <v>21.5</v>
      </c>
      <c r="AE668" s="784">
        <v>4.3</v>
      </c>
      <c r="AF668" s="784">
        <v>1000000</v>
      </c>
      <c r="AG668" s="784">
        <v>100000</v>
      </c>
      <c r="AH668" s="784">
        <v>100000</v>
      </c>
      <c r="AI668" s="784"/>
      <c r="AK668" s="783">
        <f>IFERROR(Tabela1[[#This Row],[EE(g)]]/Tabela1[[#This Row],[CMS(kg)]],0)</f>
        <v>50</v>
      </c>
    </row>
    <row r="669" spans="2:37" hidden="1">
      <c r="B669" s="774">
        <f>ROW()^2+(Tabela1[[#This Row],[ID2]])+ROW()</f>
        <v>448307</v>
      </c>
      <c r="C669" s="794">
        <v>77</v>
      </c>
      <c r="D669" s="794" t="s">
        <v>1273</v>
      </c>
      <c r="E669" s="795" t="s">
        <v>1274</v>
      </c>
      <c r="F669" s="795" t="s">
        <v>1275</v>
      </c>
      <c r="G669" s="795">
        <v>80</v>
      </c>
      <c r="H669" s="795" t="s">
        <v>0</v>
      </c>
      <c r="I669" s="796">
        <v>0</v>
      </c>
      <c r="J669" s="794"/>
      <c r="K669" s="794"/>
      <c r="L669" s="797">
        <v>100</v>
      </c>
      <c r="M669" s="778">
        <v>0</v>
      </c>
      <c r="N669" s="798">
        <v>153</v>
      </c>
      <c r="O669" s="798">
        <v>114.4</v>
      </c>
      <c r="P669" s="784">
        <v>1.04</v>
      </c>
      <c r="Q669" s="784">
        <v>0.47600000000000003</v>
      </c>
      <c r="R669" s="799">
        <v>0</v>
      </c>
      <c r="S669" s="784">
        <v>10.200000000000001</v>
      </c>
      <c r="T669" s="784">
        <v>5.1000000000000005</v>
      </c>
      <c r="U669" s="784">
        <v>1.7</v>
      </c>
      <c r="V669" s="784">
        <v>1.7</v>
      </c>
      <c r="W669" s="784">
        <v>11.049999999999999</v>
      </c>
      <c r="X669" s="784">
        <v>3.4</v>
      </c>
      <c r="Y669" s="784">
        <v>11.9</v>
      </c>
      <c r="Z669" s="784">
        <v>85</v>
      </c>
      <c r="AA669" s="784">
        <v>51</v>
      </c>
      <c r="AB669" s="784">
        <v>102</v>
      </c>
      <c r="AC669" s="784">
        <v>0.68</v>
      </c>
      <c r="AD669" s="784">
        <v>0.34</v>
      </c>
      <c r="AE669" s="784">
        <v>0.17</v>
      </c>
      <c r="AF669" s="784">
        <v>3400</v>
      </c>
      <c r="AG669" s="784">
        <v>510</v>
      </c>
      <c r="AH669" s="784">
        <v>34</v>
      </c>
      <c r="AI669" s="784"/>
      <c r="AK669" s="783">
        <f>IFERROR(Tabela1[[#This Row],[EE(g)]]/Tabela1[[#This Row],[CMS(kg)]],0)</f>
        <v>0</v>
      </c>
    </row>
    <row r="670" spans="2:37" hidden="1">
      <c r="B670" s="774">
        <f>ROW()^2+(Tabela1[[#This Row],[ID2]])+ROW()</f>
        <v>449648</v>
      </c>
      <c r="C670" s="794">
        <v>78</v>
      </c>
      <c r="D670" s="794" t="s">
        <v>1273</v>
      </c>
      <c r="E670" s="795" t="s">
        <v>1274</v>
      </c>
      <c r="F670" s="795" t="s">
        <v>1275</v>
      </c>
      <c r="G670" s="795">
        <v>80</v>
      </c>
      <c r="H670" s="795" t="s">
        <v>1</v>
      </c>
      <c r="I670" s="796">
        <v>0</v>
      </c>
      <c r="J670" s="794"/>
      <c r="K670" s="794"/>
      <c r="L670" s="797">
        <v>100</v>
      </c>
      <c r="M670" s="778">
        <v>1.7</v>
      </c>
      <c r="N670" s="798">
        <v>1000</v>
      </c>
      <c r="O670" s="798">
        <v>1000</v>
      </c>
      <c r="P670" s="784">
        <v>1.5</v>
      </c>
      <c r="Q670" s="784">
        <v>1</v>
      </c>
      <c r="R670" s="799">
        <v>85</v>
      </c>
      <c r="S670" s="784">
        <v>10000</v>
      </c>
      <c r="T670" s="784">
        <v>10000</v>
      </c>
      <c r="U670" s="784">
        <v>8.5</v>
      </c>
      <c r="V670" s="784">
        <v>30.599999999999998</v>
      </c>
      <c r="W670" s="784">
        <v>51</v>
      </c>
      <c r="X670" s="784">
        <v>6.8</v>
      </c>
      <c r="Y670" s="784">
        <v>42.5</v>
      </c>
      <c r="Z670" s="784">
        <v>1275</v>
      </c>
      <c r="AA670" s="784">
        <v>850</v>
      </c>
      <c r="AB670" s="784">
        <v>1700</v>
      </c>
      <c r="AC670" s="784">
        <v>85</v>
      </c>
      <c r="AD670" s="784">
        <v>17</v>
      </c>
      <c r="AE670" s="784">
        <v>3.4</v>
      </c>
      <c r="AF670" s="784">
        <v>1000000</v>
      </c>
      <c r="AG670" s="784">
        <v>100000</v>
      </c>
      <c r="AH670" s="784">
        <v>100000</v>
      </c>
      <c r="AI670" s="784"/>
      <c r="AK670" s="783">
        <f>IFERROR(Tabela1[[#This Row],[EE(g)]]/Tabela1[[#This Row],[CMS(kg)]],0)</f>
        <v>50</v>
      </c>
    </row>
    <row r="671" spans="2:37" hidden="1">
      <c r="B671" s="774">
        <f>ROW()^2+(Tabela1[[#This Row],[ID2]])+ROW()</f>
        <v>450991</v>
      </c>
      <c r="C671" s="794">
        <v>79</v>
      </c>
      <c r="D671" s="794" t="s">
        <v>1273</v>
      </c>
      <c r="E671" s="795" t="s">
        <v>1274</v>
      </c>
      <c r="F671" s="795" t="s">
        <v>1275</v>
      </c>
      <c r="G671" s="795">
        <v>80</v>
      </c>
      <c r="H671" s="795" t="s">
        <v>0</v>
      </c>
      <c r="I671" s="796">
        <v>0</v>
      </c>
      <c r="J671" s="794"/>
      <c r="K671" s="794"/>
      <c r="L671" s="797">
        <v>200</v>
      </c>
      <c r="M671" s="778">
        <v>0</v>
      </c>
      <c r="N671" s="798">
        <v>162</v>
      </c>
      <c r="O671" s="798">
        <v>154</v>
      </c>
      <c r="P671" s="784">
        <v>1.4</v>
      </c>
      <c r="Q671" s="784">
        <v>0.504</v>
      </c>
      <c r="R671" s="799">
        <v>0</v>
      </c>
      <c r="S671" s="784">
        <v>10.8</v>
      </c>
      <c r="T671" s="784">
        <v>5.4</v>
      </c>
      <c r="U671" s="784">
        <v>1.8</v>
      </c>
      <c r="V671" s="784">
        <v>1.8</v>
      </c>
      <c r="W671" s="784">
        <v>11.7</v>
      </c>
      <c r="X671" s="784">
        <v>3.6</v>
      </c>
      <c r="Y671" s="784">
        <v>12.6</v>
      </c>
      <c r="Z671" s="784">
        <v>90</v>
      </c>
      <c r="AA671" s="784">
        <v>54</v>
      </c>
      <c r="AB671" s="784">
        <v>108</v>
      </c>
      <c r="AC671" s="784">
        <v>0.72000000000000008</v>
      </c>
      <c r="AD671" s="784">
        <v>0.36000000000000004</v>
      </c>
      <c r="AE671" s="784">
        <v>0.18000000000000002</v>
      </c>
      <c r="AF671" s="784">
        <v>3600</v>
      </c>
      <c r="AG671" s="784">
        <v>540</v>
      </c>
      <c r="AH671" s="784">
        <v>36</v>
      </c>
      <c r="AI671" s="784"/>
      <c r="AK671" s="783">
        <f>IFERROR(Tabela1[[#This Row],[EE(g)]]/Tabela1[[#This Row],[CMS(kg)]],0)</f>
        <v>0</v>
      </c>
    </row>
    <row r="672" spans="2:37" hidden="1">
      <c r="B672" s="774">
        <f>ROW()^2+(Tabela1[[#This Row],[ID2]])+ROW()</f>
        <v>452336</v>
      </c>
      <c r="C672" s="794">
        <v>80</v>
      </c>
      <c r="D672" s="794" t="s">
        <v>1273</v>
      </c>
      <c r="E672" s="795" t="s">
        <v>1274</v>
      </c>
      <c r="F672" s="795" t="s">
        <v>1275</v>
      </c>
      <c r="G672" s="795">
        <v>80</v>
      </c>
      <c r="H672" s="795" t="s">
        <v>1</v>
      </c>
      <c r="I672" s="796">
        <v>0</v>
      </c>
      <c r="J672" s="794"/>
      <c r="K672" s="794"/>
      <c r="L672" s="797">
        <v>200</v>
      </c>
      <c r="M672" s="778">
        <v>1.8</v>
      </c>
      <c r="N672" s="798">
        <v>1000</v>
      </c>
      <c r="O672" s="798">
        <v>1000</v>
      </c>
      <c r="P672" s="784">
        <v>2</v>
      </c>
      <c r="Q672" s="784">
        <v>1</v>
      </c>
      <c r="R672" s="799">
        <v>90</v>
      </c>
      <c r="S672" s="784">
        <v>10000</v>
      </c>
      <c r="T672" s="784">
        <v>10000</v>
      </c>
      <c r="U672" s="784">
        <v>9</v>
      </c>
      <c r="V672" s="784">
        <v>32.4</v>
      </c>
      <c r="W672" s="784">
        <v>54</v>
      </c>
      <c r="X672" s="784">
        <v>7.2</v>
      </c>
      <c r="Y672" s="784">
        <v>45</v>
      </c>
      <c r="Z672" s="784">
        <v>1350</v>
      </c>
      <c r="AA672" s="784">
        <v>900</v>
      </c>
      <c r="AB672" s="784">
        <v>1800</v>
      </c>
      <c r="AC672" s="784">
        <v>90</v>
      </c>
      <c r="AD672" s="784">
        <v>18</v>
      </c>
      <c r="AE672" s="784">
        <v>3.6</v>
      </c>
      <c r="AF672" s="784">
        <v>1000000</v>
      </c>
      <c r="AG672" s="784">
        <v>100000</v>
      </c>
      <c r="AH672" s="784">
        <v>100000</v>
      </c>
      <c r="AI672" s="784"/>
      <c r="AK672" s="783">
        <f>IFERROR(Tabela1[[#This Row],[EE(g)]]/Tabela1[[#This Row],[CMS(kg)]],0)</f>
        <v>50</v>
      </c>
    </row>
    <row r="673" spans="2:37" hidden="1">
      <c r="B673" s="774">
        <f>ROW()^2+(Tabela1[[#This Row],[ID2]])+ROW()</f>
        <v>453683</v>
      </c>
      <c r="C673" s="794">
        <v>81</v>
      </c>
      <c r="D673" s="794" t="s">
        <v>1273</v>
      </c>
      <c r="E673" s="795" t="s">
        <v>1274</v>
      </c>
      <c r="F673" s="795" t="s">
        <v>1275</v>
      </c>
      <c r="G673" s="795">
        <v>90</v>
      </c>
      <c r="H673" s="795" t="s">
        <v>0</v>
      </c>
      <c r="I673" s="796">
        <v>0</v>
      </c>
      <c r="J673" s="794"/>
      <c r="K673" s="794"/>
      <c r="L673" s="797">
        <v>100</v>
      </c>
      <c r="M673" s="778">
        <v>0</v>
      </c>
      <c r="N673" s="798">
        <v>136</v>
      </c>
      <c r="O673" s="798">
        <v>123.2</v>
      </c>
      <c r="P673" s="784">
        <v>1.1200000000000001</v>
      </c>
      <c r="Q673" s="784">
        <v>0.47600000000000003</v>
      </c>
      <c r="R673" s="799">
        <v>0</v>
      </c>
      <c r="S673" s="784">
        <v>10.200000000000001</v>
      </c>
      <c r="T673" s="784">
        <v>5.1000000000000005</v>
      </c>
      <c r="U673" s="784">
        <v>1.7</v>
      </c>
      <c r="V673" s="784">
        <v>1.7</v>
      </c>
      <c r="W673" s="784">
        <v>11.049999999999999</v>
      </c>
      <c r="X673" s="784">
        <v>3.4</v>
      </c>
      <c r="Y673" s="784">
        <v>11.9</v>
      </c>
      <c r="Z673" s="784">
        <v>85</v>
      </c>
      <c r="AA673" s="784">
        <v>51</v>
      </c>
      <c r="AB673" s="784">
        <v>102</v>
      </c>
      <c r="AC673" s="784">
        <v>0.68</v>
      </c>
      <c r="AD673" s="784">
        <v>0.34</v>
      </c>
      <c r="AE673" s="784">
        <v>0.17</v>
      </c>
      <c r="AF673" s="784">
        <v>3400</v>
      </c>
      <c r="AG673" s="784">
        <v>510</v>
      </c>
      <c r="AH673" s="784">
        <v>34</v>
      </c>
      <c r="AI673" s="784"/>
      <c r="AK673" s="783">
        <f>IFERROR(Tabela1[[#This Row],[EE(g)]]/Tabela1[[#This Row],[CMS(kg)]],0)</f>
        <v>0</v>
      </c>
    </row>
    <row r="674" spans="2:37" hidden="1">
      <c r="B674" s="774">
        <f>ROW()^2+(Tabela1[[#This Row],[ID2]])+ROW()</f>
        <v>455032</v>
      </c>
      <c r="C674" s="794">
        <v>82</v>
      </c>
      <c r="D674" s="794" t="s">
        <v>1273</v>
      </c>
      <c r="E674" s="795" t="s">
        <v>1274</v>
      </c>
      <c r="F674" s="795" t="s">
        <v>1275</v>
      </c>
      <c r="G674" s="795">
        <v>90</v>
      </c>
      <c r="H674" s="795" t="s">
        <v>1</v>
      </c>
      <c r="I674" s="796">
        <v>0</v>
      </c>
      <c r="J674" s="794"/>
      <c r="K674" s="794"/>
      <c r="L674" s="797">
        <v>100</v>
      </c>
      <c r="M674" s="778">
        <v>1.7</v>
      </c>
      <c r="N674" s="798">
        <v>1000</v>
      </c>
      <c r="O674" s="798">
        <v>1000</v>
      </c>
      <c r="P674" s="784">
        <v>1.5</v>
      </c>
      <c r="Q674" s="784">
        <v>1</v>
      </c>
      <c r="R674" s="799">
        <v>85</v>
      </c>
      <c r="S674" s="784">
        <v>10000</v>
      </c>
      <c r="T674" s="784">
        <v>10000</v>
      </c>
      <c r="U674" s="784">
        <v>8.5</v>
      </c>
      <c r="V674" s="784">
        <v>30.599999999999998</v>
      </c>
      <c r="W674" s="784">
        <v>51</v>
      </c>
      <c r="X674" s="784">
        <v>6.8</v>
      </c>
      <c r="Y674" s="784">
        <v>42.5</v>
      </c>
      <c r="Z674" s="784">
        <v>1275</v>
      </c>
      <c r="AA674" s="784">
        <v>850</v>
      </c>
      <c r="AB674" s="784">
        <v>1700</v>
      </c>
      <c r="AC674" s="784">
        <v>85</v>
      </c>
      <c r="AD674" s="784">
        <v>17</v>
      </c>
      <c r="AE674" s="784">
        <v>3.4</v>
      </c>
      <c r="AF674" s="784">
        <v>1000000</v>
      </c>
      <c r="AG674" s="784">
        <v>100000</v>
      </c>
      <c r="AH674" s="784">
        <v>100000</v>
      </c>
      <c r="AI674" s="784"/>
      <c r="AK674" s="783">
        <f>IFERROR(Tabela1[[#This Row],[EE(g)]]/Tabela1[[#This Row],[CMS(kg)]],0)</f>
        <v>50</v>
      </c>
    </row>
    <row r="675" spans="2:37" hidden="1">
      <c r="B675" s="774">
        <f>ROW()^2+(Tabela1[[#This Row],[ID2]])+ROW()</f>
        <v>456383</v>
      </c>
      <c r="C675" s="794">
        <v>83</v>
      </c>
      <c r="D675" s="794" t="s">
        <v>1273</v>
      </c>
      <c r="E675" s="795" t="s">
        <v>1274</v>
      </c>
      <c r="F675" s="795" t="s">
        <v>1258</v>
      </c>
      <c r="G675" s="795">
        <v>40</v>
      </c>
      <c r="H675" s="795" t="s">
        <v>0</v>
      </c>
      <c r="I675" s="796">
        <v>0</v>
      </c>
      <c r="J675" s="794"/>
      <c r="K675" s="794"/>
      <c r="L675" s="797">
        <v>0</v>
      </c>
      <c r="M675" s="778">
        <v>0</v>
      </c>
      <c r="N675" s="798">
        <v>80</v>
      </c>
      <c r="O675" s="798">
        <v>40.700000000000003</v>
      </c>
      <c r="P675" s="784">
        <v>0.37</v>
      </c>
      <c r="Q675" s="784">
        <v>0.28000000000000003</v>
      </c>
      <c r="R675" s="799">
        <v>0</v>
      </c>
      <c r="S675" s="784">
        <v>5</v>
      </c>
      <c r="T675" s="784">
        <v>3.5</v>
      </c>
      <c r="U675" s="784">
        <v>1.5</v>
      </c>
      <c r="V675" s="784">
        <v>1</v>
      </c>
      <c r="W675" s="784">
        <v>6.5</v>
      </c>
      <c r="X675" s="784">
        <v>2</v>
      </c>
      <c r="Y675" s="784">
        <v>7</v>
      </c>
      <c r="Z675" s="784">
        <v>50</v>
      </c>
      <c r="AA675" s="784">
        <v>30</v>
      </c>
      <c r="AB675" s="784">
        <v>60</v>
      </c>
      <c r="AC675" s="784">
        <v>0.4</v>
      </c>
      <c r="AD675" s="784">
        <v>0.2</v>
      </c>
      <c r="AE675" s="784">
        <v>0.1</v>
      </c>
      <c r="AF675" s="784">
        <v>2000</v>
      </c>
      <c r="AG675" s="784">
        <v>300</v>
      </c>
      <c r="AH675" s="784">
        <v>20</v>
      </c>
      <c r="AI675" s="784"/>
      <c r="AK675" s="783">
        <f>IFERROR(Tabela1[[#This Row],[EE(g)]]/Tabela1[[#This Row],[CMS(kg)]],0)</f>
        <v>0</v>
      </c>
    </row>
    <row r="676" spans="2:37" hidden="1">
      <c r="B676" s="774">
        <f>ROW()^2+(Tabela1[[#This Row],[ID2]])+ROW()</f>
        <v>457736</v>
      </c>
      <c r="C676" s="794">
        <v>84</v>
      </c>
      <c r="D676" s="794" t="s">
        <v>1273</v>
      </c>
      <c r="E676" s="795" t="s">
        <v>1274</v>
      </c>
      <c r="F676" s="795" t="s">
        <v>1258</v>
      </c>
      <c r="G676" s="795">
        <v>40</v>
      </c>
      <c r="H676" s="795" t="s">
        <v>1</v>
      </c>
      <c r="I676" s="796">
        <v>0</v>
      </c>
      <c r="J676" s="794"/>
      <c r="K676" s="794"/>
      <c r="L676" s="797">
        <v>0</v>
      </c>
      <c r="M676" s="778">
        <v>1</v>
      </c>
      <c r="N676" s="798">
        <v>1000</v>
      </c>
      <c r="O676" s="798">
        <v>1000</v>
      </c>
      <c r="P676" s="784">
        <v>1</v>
      </c>
      <c r="Q676" s="784">
        <v>1</v>
      </c>
      <c r="R676" s="799">
        <v>50</v>
      </c>
      <c r="S676" s="784">
        <v>10000</v>
      </c>
      <c r="T676" s="784">
        <v>10000</v>
      </c>
      <c r="U676" s="784">
        <v>5</v>
      </c>
      <c r="V676" s="784">
        <v>18</v>
      </c>
      <c r="W676" s="784">
        <v>30</v>
      </c>
      <c r="X676" s="784">
        <v>4</v>
      </c>
      <c r="Y676" s="784">
        <v>25</v>
      </c>
      <c r="Z676" s="784">
        <v>750</v>
      </c>
      <c r="AA676" s="784">
        <v>500</v>
      </c>
      <c r="AB676" s="784">
        <v>1000</v>
      </c>
      <c r="AC676" s="784">
        <v>50</v>
      </c>
      <c r="AD676" s="784">
        <v>10</v>
      </c>
      <c r="AE676" s="784">
        <v>2</v>
      </c>
      <c r="AF676" s="784">
        <v>1000000</v>
      </c>
      <c r="AG676" s="784">
        <v>100000</v>
      </c>
      <c r="AH676" s="784">
        <v>100000</v>
      </c>
      <c r="AI676" s="784"/>
      <c r="AK676" s="783">
        <f>IFERROR(Tabela1[[#This Row],[EE(g)]]/Tabela1[[#This Row],[CMS(kg)]],0)</f>
        <v>50</v>
      </c>
    </row>
    <row r="677" spans="2:37" hidden="1">
      <c r="B677" s="774">
        <f>ROW()^2+(Tabela1[[#This Row],[ID2]])+ROW()</f>
        <v>459091</v>
      </c>
      <c r="C677" s="794">
        <v>85</v>
      </c>
      <c r="D677" s="794" t="s">
        <v>1273</v>
      </c>
      <c r="E677" s="795" t="s">
        <v>1274</v>
      </c>
      <c r="F677" s="795" t="s">
        <v>1258</v>
      </c>
      <c r="G677" s="795">
        <v>50</v>
      </c>
      <c r="H677" s="795" t="s">
        <v>0</v>
      </c>
      <c r="I677" s="796">
        <v>0</v>
      </c>
      <c r="J677" s="794"/>
      <c r="K677" s="794"/>
      <c r="L677" s="797">
        <v>0</v>
      </c>
      <c r="M677" s="778">
        <v>0</v>
      </c>
      <c r="N677" s="798">
        <v>88</v>
      </c>
      <c r="O677" s="798">
        <v>47.3</v>
      </c>
      <c r="P677" s="784">
        <v>0.43</v>
      </c>
      <c r="Q677" s="784">
        <v>0.30800000000000005</v>
      </c>
      <c r="R677" s="799">
        <v>0</v>
      </c>
      <c r="S677" s="784">
        <v>5.5</v>
      </c>
      <c r="T677" s="784">
        <v>3.85</v>
      </c>
      <c r="U677" s="784">
        <v>1.6500000000000001</v>
      </c>
      <c r="V677" s="784">
        <v>1.1000000000000001</v>
      </c>
      <c r="W677" s="784">
        <v>7.1499999999999995</v>
      </c>
      <c r="X677" s="784">
        <v>2.2000000000000002</v>
      </c>
      <c r="Y677" s="784">
        <v>7.7000000000000011</v>
      </c>
      <c r="Z677" s="784">
        <v>55.000000000000007</v>
      </c>
      <c r="AA677" s="784">
        <v>33</v>
      </c>
      <c r="AB677" s="784">
        <v>66</v>
      </c>
      <c r="AC677" s="784">
        <v>0.44000000000000006</v>
      </c>
      <c r="AD677" s="784">
        <v>0.22000000000000003</v>
      </c>
      <c r="AE677" s="784">
        <v>0.11000000000000001</v>
      </c>
      <c r="AF677" s="784">
        <v>2200</v>
      </c>
      <c r="AG677" s="784">
        <v>330</v>
      </c>
      <c r="AH677" s="784">
        <v>22</v>
      </c>
      <c r="AI677" s="784"/>
      <c r="AK677" s="783">
        <f>IFERROR(Tabela1[[#This Row],[EE(g)]]/Tabela1[[#This Row],[CMS(kg)]],0)</f>
        <v>0</v>
      </c>
    </row>
    <row r="678" spans="2:37" hidden="1">
      <c r="B678" s="774">
        <f>ROW()^2+(Tabela1[[#This Row],[ID2]])+ROW()</f>
        <v>460448</v>
      </c>
      <c r="C678" s="794">
        <v>86</v>
      </c>
      <c r="D678" s="794" t="s">
        <v>1273</v>
      </c>
      <c r="E678" s="795" t="s">
        <v>1274</v>
      </c>
      <c r="F678" s="795" t="s">
        <v>1258</v>
      </c>
      <c r="G678" s="795">
        <v>50</v>
      </c>
      <c r="H678" s="795" t="s">
        <v>1</v>
      </c>
      <c r="I678" s="796">
        <v>0</v>
      </c>
      <c r="J678" s="794"/>
      <c r="K678" s="794"/>
      <c r="L678" s="797">
        <v>0</v>
      </c>
      <c r="M678" s="778">
        <v>1.1000000000000001</v>
      </c>
      <c r="N678" s="798">
        <v>1000</v>
      </c>
      <c r="O678" s="798">
        <v>1000</v>
      </c>
      <c r="P678" s="784">
        <v>1</v>
      </c>
      <c r="Q678" s="784">
        <v>1</v>
      </c>
      <c r="R678" s="799">
        <v>55</v>
      </c>
      <c r="S678" s="784">
        <v>10000</v>
      </c>
      <c r="T678" s="784">
        <v>10000</v>
      </c>
      <c r="U678" s="784">
        <v>5.5</v>
      </c>
      <c r="V678" s="784">
        <v>19.799999999999997</v>
      </c>
      <c r="W678" s="784">
        <v>33</v>
      </c>
      <c r="X678" s="784">
        <v>4.4000000000000004</v>
      </c>
      <c r="Y678" s="784">
        <v>27.500000000000004</v>
      </c>
      <c r="Z678" s="784">
        <v>825.00000000000011</v>
      </c>
      <c r="AA678" s="784">
        <v>550</v>
      </c>
      <c r="AB678" s="784">
        <v>1100</v>
      </c>
      <c r="AC678" s="784">
        <v>55.000000000000007</v>
      </c>
      <c r="AD678" s="784">
        <v>11</v>
      </c>
      <c r="AE678" s="784">
        <v>2.2000000000000002</v>
      </c>
      <c r="AF678" s="784">
        <v>1000000</v>
      </c>
      <c r="AG678" s="784">
        <v>100000</v>
      </c>
      <c r="AH678" s="784">
        <v>100000</v>
      </c>
      <c r="AI678" s="784"/>
      <c r="AK678" s="783">
        <f>IFERROR(Tabela1[[#This Row],[EE(g)]]/Tabela1[[#This Row],[CMS(kg)]],0)</f>
        <v>49.999999999999993</v>
      </c>
    </row>
    <row r="679" spans="2:37" hidden="1">
      <c r="B679" s="774">
        <f>ROW()^2+(Tabela1[[#This Row],[ID2]])+ROW()</f>
        <v>461807</v>
      </c>
      <c r="C679" s="794">
        <v>87</v>
      </c>
      <c r="D679" s="794" t="s">
        <v>1273</v>
      </c>
      <c r="E679" s="795" t="s">
        <v>1274</v>
      </c>
      <c r="F679" s="795" t="s">
        <v>1258</v>
      </c>
      <c r="G679" s="795">
        <v>60</v>
      </c>
      <c r="H679" s="795" t="s">
        <v>0</v>
      </c>
      <c r="I679" s="796">
        <v>0</v>
      </c>
      <c r="J679" s="794"/>
      <c r="K679" s="794"/>
      <c r="L679" s="797">
        <v>0</v>
      </c>
      <c r="M679" s="778">
        <v>0</v>
      </c>
      <c r="N679" s="798">
        <v>104</v>
      </c>
      <c r="O679" s="798">
        <v>52.8</v>
      </c>
      <c r="P679" s="784">
        <v>0.48</v>
      </c>
      <c r="Q679" s="784">
        <v>0.36400000000000005</v>
      </c>
      <c r="R679" s="799">
        <v>0</v>
      </c>
      <c r="S679" s="784">
        <v>6.5</v>
      </c>
      <c r="T679" s="784">
        <v>4.55</v>
      </c>
      <c r="U679" s="784">
        <v>1.95</v>
      </c>
      <c r="V679" s="784">
        <v>1.3</v>
      </c>
      <c r="W679" s="784">
        <v>8.4499999999999993</v>
      </c>
      <c r="X679" s="784">
        <v>2.6</v>
      </c>
      <c r="Y679" s="784">
        <v>9.1</v>
      </c>
      <c r="Z679" s="784">
        <v>65</v>
      </c>
      <c r="AA679" s="784">
        <v>39</v>
      </c>
      <c r="AB679" s="784">
        <v>78</v>
      </c>
      <c r="AC679" s="784">
        <v>0.52</v>
      </c>
      <c r="AD679" s="784">
        <v>0.26</v>
      </c>
      <c r="AE679" s="784">
        <v>0.13</v>
      </c>
      <c r="AF679" s="784">
        <v>2600</v>
      </c>
      <c r="AG679" s="784">
        <v>390</v>
      </c>
      <c r="AH679" s="784">
        <v>26</v>
      </c>
      <c r="AI679" s="784"/>
      <c r="AK679" s="783">
        <f>IFERROR(Tabela1[[#This Row],[EE(g)]]/Tabela1[[#This Row],[CMS(kg)]],0)</f>
        <v>0</v>
      </c>
    </row>
    <row r="680" spans="2:37" hidden="1">
      <c r="B680" s="774">
        <f>ROW()^2+(Tabela1[[#This Row],[ID2]])+ROW()</f>
        <v>463168</v>
      </c>
      <c r="C680" s="794">
        <v>88</v>
      </c>
      <c r="D680" s="794" t="s">
        <v>1273</v>
      </c>
      <c r="E680" s="795" t="s">
        <v>1274</v>
      </c>
      <c r="F680" s="795" t="s">
        <v>1258</v>
      </c>
      <c r="G680" s="795">
        <v>60</v>
      </c>
      <c r="H680" s="795" t="s">
        <v>1</v>
      </c>
      <c r="I680" s="796">
        <v>0</v>
      </c>
      <c r="J680" s="794"/>
      <c r="K680" s="794"/>
      <c r="L680" s="797">
        <v>0</v>
      </c>
      <c r="M680" s="778">
        <v>1.3</v>
      </c>
      <c r="N680" s="798">
        <v>1000</v>
      </c>
      <c r="O680" s="798">
        <v>1000</v>
      </c>
      <c r="P680" s="784">
        <v>1</v>
      </c>
      <c r="Q680" s="784">
        <v>1</v>
      </c>
      <c r="R680" s="799">
        <v>65</v>
      </c>
      <c r="S680" s="784">
        <v>10000</v>
      </c>
      <c r="T680" s="784">
        <v>10000</v>
      </c>
      <c r="U680" s="784">
        <v>6.5</v>
      </c>
      <c r="V680" s="784">
        <v>23.4</v>
      </c>
      <c r="W680" s="784">
        <v>39</v>
      </c>
      <c r="X680" s="784">
        <v>5.2</v>
      </c>
      <c r="Y680" s="784">
        <v>32.5</v>
      </c>
      <c r="Z680" s="784">
        <v>975</v>
      </c>
      <c r="AA680" s="784">
        <v>650</v>
      </c>
      <c r="AB680" s="784">
        <v>1300</v>
      </c>
      <c r="AC680" s="784">
        <v>65</v>
      </c>
      <c r="AD680" s="784">
        <v>13</v>
      </c>
      <c r="AE680" s="784">
        <v>2.6</v>
      </c>
      <c r="AF680" s="784">
        <v>1000000</v>
      </c>
      <c r="AG680" s="784">
        <v>100000</v>
      </c>
      <c r="AH680" s="784">
        <v>100000</v>
      </c>
      <c r="AI680" s="784"/>
      <c r="AK680" s="783">
        <f>IFERROR(Tabela1[[#This Row],[EE(g)]]/Tabela1[[#This Row],[CMS(kg)]],0)</f>
        <v>50</v>
      </c>
    </row>
    <row r="681" spans="2:37" hidden="1">
      <c r="B681" s="774">
        <f>ROW()^2+(Tabela1[[#This Row],[ID2]])+ROW()</f>
        <v>464531</v>
      </c>
      <c r="C681" s="794">
        <v>89</v>
      </c>
      <c r="D681" s="794" t="s">
        <v>1273</v>
      </c>
      <c r="E681" s="795" t="s">
        <v>1274</v>
      </c>
      <c r="F681" s="795" t="s">
        <v>1258</v>
      </c>
      <c r="G681" s="795">
        <v>70</v>
      </c>
      <c r="H681" s="795" t="s">
        <v>0</v>
      </c>
      <c r="I681" s="796">
        <v>0</v>
      </c>
      <c r="J681" s="794"/>
      <c r="K681" s="794"/>
      <c r="L681" s="797">
        <v>0</v>
      </c>
      <c r="M681" s="778">
        <v>0</v>
      </c>
      <c r="N681" s="798">
        <v>136</v>
      </c>
      <c r="O681" s="798">
        <v>59.4</v>
      </c>
      <c r="P681" s="784">
        <v>0.54</v>
      </c>
      <c r="Q681" s="784">
        <v>0.39200000000000007</v>
      </c>
      <c r="R681" s="799">
        <v>0</v>
      </c>
      <c r="S681" s="784">
        <v>7</v>
      </c>
      <c r="T681" s="784">
        <v>4.9000000000000004</v>
      </c>
      <c r="U681" s="784">
        <v>2.1</v>
      </c>
      <c r="V681" s="784">
        <v>1.4000000000000001</v>
      </c>
      <c r="W681" s="784">
        <v>9.1</v>
      </c>
      <c r="X681" s="784">
        <v>2.8000000000000003</v>
      </c>
      <c r="Y681" s="784">
        <v>9.7999999999999989</v>
      </c>
      <c r="Z681" s="784">
        <v>70</v>
      </c>
      <c r="AA681" s="784">
        <v>42</v>
      </c>
      <c r="AB681" s="784">
        <v>84</v>
      </c>
      <c r="AC681" s="784">
        <v>0.55999999999999994</v>
      </c>
      <c r="AD681" s="784">
        <v>0.27999999999999997</v>
      </c>
      <c r="AE681" s="784">
        <v>0.13999999999999999</v>
      </c>
      <c r="AF681" s="784">
        <v>2800</v>
      </c>
      <c r="AG681" s="784">
        <v>420</v>
      </c>
      <c r="AH681" s="784">
        <v>28</v>
      </c>
      <c r="AI681" s="784"/>
      <c r="AK681" s="783">
        <f>IFERROR(Tabela1[[#This Row],[EE(g)]]/Tabela1[[#This Row],[CMS(kg)]],0)</f>
        <v>0</v>
      </c>
    </row>
    <row r="682" spans="2:37" hidden="1">
      <c r="B682" s="774">
        <f>ROW()^2+(Tabela1[[#This Row],[ID2]])+ROW()</f>
        <v>465896</v>
      </c>
      <c r="C682" s="794">
        <v>90</v>
      </c>
      <c r="D682" s="794" t="s">
        <v>1273</v>
      </c>
      <c r="E682" s="795" t="s">
        <v>1274</v>
      </c>
      <c r="F682" s="795" t="s">
        <v>1258</v>
      </c>
      <c r="G682" s="795">
        <v>70</v>
      </c>
      <c r="H682" s="795" t="s">
        <v>1</v>
      </c>
      <c r="I682" s="796">
        <v>0</v>
      </c>
      <c r="J682" s="794"/>
      <c r="K682" s="794"/>
      <c r="L682" s="797">
        <v>0</v>
      </c>
      <c r="M682" s="778">
        <v>1.4</v>
      </c>
      <c r="N682" s="798">
        <v>1000</v>
      </c>
      <c r="O682" s="798">
        <v>1000</v>
      </c>
      <c r="P682" s="784">
        <v>1</v>
      </c>
      <c r="Q682" s="784">
        <v>1</v>
      </c>
      <c r="R682" s="799">
        <v>70</v>
      </c>
      <c r="S682" s="784">
        <v>10000</v>
      </c>
      <c r="T682" s="784">
        <v>10000</v>
      </c>
      <c r="U682" s="784">
        <v>10000</v>
      </c>
      <c r="V682" s="784">
        <v>10000</v>
      </c>
      <c r="W682" s="784">
        <v>10000</v>
      </c>
      <c r="X682" s="784">
        <v>10000</v>
      </c>
      <c r="Y682" s="784">
        <v>35</v>
      </c>
      <c r="Z682" s="784">
        <v>10000</v>
      </c>
      <c r="AA682" s="784">
        <v>10000</v>
      </c>
      <c r="AB682" s="784">
        <v>10000</v>
      </c>
      <c r="AC682" s="784">
        <v>10000</v>
      </c>
      <c r="AD682" s="784">
        <v>10000</v>
      </c>
      <c r="AE682" s="784">
        <v>10000</v>
      </c>
      <c r="AF682" s="784">
        <v>1000000</v>
      </c>
      <c r="AG682" s="784">
        <v>100000</v>
      </c>
      <c r="AH682" s="784">
        <v>100000</v>
      </c>
      <c r="AI682" s="784"/>
      <c r="AK682" s="783">
        <f>IFERROR(Tabela1[[#This Row],[EE(g)]]/Tabela1[[#This Row],[CMS(kg)]],0)</f>
        <v>50</v>
      </c>
    </row>
    <row r="683" spans="2:37" hidden="1">
      <c r="B683" s="774">
        <f>ROW()^2+(Tabela1[[#This Row],[ID2]])+ROW()</f>
        <v>467263</v>
      </c>
      <c r="C683" s="794">
        <v>91</v>
      </c>
      <c r="D683" s="794" t="s">
        <v>1273</v>
      </c>
      <c r="E683" s="795" t="s">
        <v>1274</v>
      </c>
      <c r="F683" s="795" t="s">
        <v>1258</v>
      </c>
      <c r="G683" s="795">
        <v>80</v>
      </c>
      <c r="H683" s="795" t="s">
        <v>0</v>
      </c>
      <c r="I683" s="796">
        <v>0</v>
      </c>
      <c r="J683" s="794"/>
      <c r="K683" s="794"/>
      <c r="L683" s="797">
        <v>0</v>
      </c>
      <c r="M683" s="778">
        <v>0</v>
      </c>
      <c r="N683" s="798">
        <v>120</v>
      </c>
      <c r="O683" s="798">
        <v>66</v>
      </c>
      <c r="P683" s="784">
        <v>0.6</v>
      </c>
      <c r="Q683" s="784">
        <v>0.42000000000000004</v>
      </c>
      <c r="R683" s="799">
        <v>0</v>
      </c>
      <c r="S683" s="784">
        <v>7.5</v>
      </c>
      <c r="T683" s="784">
        <v>5.25</v>
      </c>
      <c r="U683" s="784">
        <v>2.25</v>
      </c>
      <c r="V683" s="784">
        <v>1.5</v>
      </c>
      <c r="W683" s="784">
        <v>9.75</v>
      </c>
      <c r="X683" s="784">
        <v>3</v>
      </c>
      <c r="Y683" s="784">
        <v>10.5</v>
      </c>
      <c r="Z683" s="784">
        <v>75</v>
      </c>
      <c r="AA683" s="784">
        <v>45</v>
      </c>
      <c r="AB683" s="784">
        <v>90</v>
      </c>
      <c r="AC683" s="784">
        <v>0.60000000000000009</v>
      </c>
      <c r="AD683" s="784">
        <v>0.30000000000000004</v>
      </c>
      <c r="AE683" s="784">
        <v>0.15000000000000002</v>
      </c>
      <c r="AF683" s="784">
        <v>3000</v>
      </c>
      <c r="AG683" s="784">
        <v>450</v>
      </c>
      <c r="AH683" s="784">
        <v>30</v>
      </c>
      <c r="AI683" s="784"/>
      <c r="AK683" s="783">
        <f>IFERROR(Tabela1[[#This Row],[EE(g)]]/Tabela1[[#This Row],[CMS(kg)]],0)</f>
        <v>0</v>
      </c>
    </row>
    <row r="684" spans="2:37" hidden="1">
      <c r="B684" s="774">
        <f>ROW()^2+(Tabela1[[#This Row],[ID2]])+ROW()</f>
        <v>468632</v>
      </c>
      <c r="C684" s="794">
        <v>92</v>
      </c>
      <c r="D684" s="794" t="s">
        <v>1273</v>
      </c>
      <c r="E684" s="795" t="s">
        <v>1274</v>
      </c>
      <c r="F684" s="795" t="s">
        <v>1258</v>
      </c>
      <c r="G684" s="795">
        <v>80</v>
      </c>
      <c r="H684" s="795" t="s">
        <v>1</v>
      </c>
      <c r="I684" s="796">
        <v>0</v>
      </c>
      <c r="J684" s="794"/>
      <c r="K684" s="794"/>
      <c r="L684" s="797">
        <v>0</v>
      </c>
      <c r="M684" s="778">
        <v>1.5</v>
      </c>
      <c r="N684" s="798">
        <v>1000</v>
      </c>
      <c r="O684" s="798">
        <v>1000</v>
      </c>
      <c r="P684" s="784">
        <v>1</v>
      </c>
      <c r="Q684" s="784">
        <v>1</v>
      </c>
      <c r="R684" s="799">
        <v>75</v>
      </c>
      <c r="S684" s="784">
        <v>10000</v>
      </c>
      <c r="T684" s="784">
        <v>10000</v>
      </c>
      <c r="U684" s="784">
        <v>10000</v>
      </c>
      <c r="V684" s="784">
        <v>10000</v>
      </c>
      <c r="W684" s="784">
        <v>10000</v>
      </c>
      <c r="X684" s="784">
        <v>10000</v>
      </c>
      <c r="Y684" s="784">
        <v>37.5</v>
      </c>
      <c r="Z684" s="784">
        <v>10000</v>
      </c>
      <c r="AA684" s="784">
        <v>10000</v>
      </c>
      <c r="AB684" s="784">
        <v>10000</v>
      </c>
      <c r="AC684" s="784">
        <v>10000</v>
      </c>
      <c r="AD684" s="784">
        <v>10000</v>
      </c>
      <c r="AE684" s="784">
        <v>10000</v>
      </c>
      <c r="AF684" s="784">
        <v>1000000</v>
      </c>
      <c r="AG684" s="784">
        <v>100000</v>
      </c>
      <c r="AH684" s="784">
        <v>100000</v>
      </c>
      <c r="AI684" s="784"/>
      <c r="AK684" s="783">
        <f>IFERROR(Tabela1[[#This Row],[EE(g)]]/Tabela1[[#This Row],[CMS(kg)]],0)</f>
        <v>50</v>
      </c>
    </row>
    <row r="685" spans="2:37" hidden="1">
      <c r="B685" s="774">
        <f>ROW()^2+(Tabela1[[#This Row],[ID2]])+ROW()</f>
        <v>470003</v>
      </c>
      <c r="C685" s="794">
        <v>93</v>
      </c>
      <c r="D685" s="794" t="s">
        <v>1273</v>
      </c>
      <c r="E685" s="795" t="s">
        <v>1274</v>
      </c>
      <c r="F685" s="795" t="s">
        <v>1258</v>
      </c>
      <c r="G685" s="795">
        <v>90</v>
      </c>
      <c r="H685" s="795" t="s">
        <v>0</v>
      </c>
      <c r="I685" s="796">
        <v>0</v>
      </c>
      <c r="J685" s="794"/>
      <c r="K685" s="794"/>
      <c r="L685" s="797">
        <v>0</v>
      </c>
      <c r="M685" s="778">
        <v>0</v>
      </c>
      <c r="N685" s="798">
        <v>128</v>
      </c>
      <c r="O685" s="798">
        <v>72.599999999999994</v>
      </c>
      <c r="P685" s="784">
        <v>0.66</v>
      </c>
      <c r="Q685" s="784">
        <v>0.44800000000000006</v>
      </c>
      <c r="R685" s="799">
        <v>0</v>
      </c>
      <c r="S685" s="784">
        <v>8</v>
      </c>
      <c r="T685" s="784">
        <v>5.6000000000000005</v>
      </c>
      <c r="U685" s="784">
        <v>2.4</v>
      </c>
      <c r="V685" s="784">
        <v>1.6</v>
      </c>
      <c r="W685" s="784">
        <v>10.4</v>
      </c>
      <c r="X685" s="784">
        <v>3.2</v>
      </c>
      <c r="Y685" s="784">
        <v>11.200000000000001</v>
      </c>
      <c r="Z685" s="784">
        <v>80</v>
      </c>
      <c r="AA685" s="784">
        <v>48</v>
      </c>
      <c r="AB685" s="784">
        <v>96</v>
      </c>
      <c r="AC685" s="784">
        <v>0.64000000000000012</v>
      </c>
      <c r="AD685" s="784">
        <v>0.32000000000000006</v>
      </c>
      <c r="AE685" s="784">
        <v>0.16000000000000003</v>
      </c>
      <c r="AF685" s="784">
        <v>3200</v>
      </c>
      <c r="AG685" s="784">
        <v>480</v>
      </c>
      <c r="AH685" s="784">
        <v>32</v>
      </c>
      <c r="AI685" s="784"/>
      <c r="AK685" s="783">
        <f>IFERROR(Tabela1[[#This Row],[EE(g)]]/Tabela1[[#This Row],[CMS(kg)]],0)</f>
        <v>0</v>
      </c>
    </row>
    <row r="686" spans="2:37" hidden="1">
      <c r="B686" s="774">
        <f>ROW()^2+(Tabela1[[#This Row],[ID2]])+ROW()</f>
        <v>471376</v>
      </c>
      <c r="C686" s="794">
        <v>94</v>
      </c>
      <c r="D686" s="794" t="s">
        <v>1273</v>
      </c>
      <c r="E686" s="795" t="s">
        <v>1274</v>
      </c>
      <c r="F686" s="795" t="s">
        <v>1258</v>
      </c>
      <c r="G686" s="795">
        <v>90</v>
      </c>
      <c r="H686" s="795" t="s">
        <v>1</v>
      </c>
      <c r="I686" s="796">
        <v>0</v>
      </c>
      <c r="J686" s="794"/>
      <c r="K686" s="794"/>
      <c r="L686" s="797">
        <v>0</v>
      </c>
      <c r="M686" s="778">
        <v>1.6</v>
      </c>
      <c r="N686" s="798">
        <v>1000</v>
      </c>
      <c r="O686" s="798">
        <v>1000</v>
      </c>
      <c r="P686" s="784">
        <v>1</v>
      </c>
      <c r="Q686" s="784">
        <v>1</v>
      </c>
      <c r="R686" s="799">
        <v>80</v>
      </c>
      <c r="S686" s="784">
        <v>10000</v>
      </c>
      <c r="T686" s="784">
        <v>10000</v>
      </c>
      <c r="U686" s="784">
        <v>10000</v>
      </c>
      <c r="V686" s="784">
        <v>10000</v>
      </c>
      <c r="W686" s="784">
        <v>10000</v>
      </c>
      <c r="X686" s="784">
        <v>10000</v>
      </c>
      <c r="Y686" s="784">
        <v>40</v>
      </c>
      <c r="Z686" s="784">
        <v>10000</v>
      </c>
      <c r="AA686" s="784">
        <v>10000</v>
      </c>
      <c r="AB686" s="784">
        <v>10000</v>
      </c>
      <c r="AC686" s="784">
        <v>10000</v>
      </c>
      <c r="AD686" s="784">
        <v>10000</v>
      </c>
      <c r="AE686" s="784">
        <v>10000</v>
      </c>
      <c r="AF686" s="784">
        <v>1000000</v>
      </c>
      <c r="AG686" s="784">
        <v>100000</v>
      </c>
      <c r="AH686" s="784">
        <v>100000</v>
      </c>
      <c r="AI686" s="784"/>
      <c r="AK686" s="783">
        <f>IFERROR(Tabela1[[#This Row],[EE(g)]]/Tabela1[[#This Row],[CMS(kg)]],0)</f>
        <v>50</v>
      </c>
    </row>
    <row r="687" spans="2:37" hidden="1">
      <c r="B687" s="774">
        <f>ROW()^2+(Tabela1[[#This Row],[ID2]])+ROW()</f>
        <v>472751</v>
      </c>
      <c r="C687" s="794">
        <v>95</v>
      </c>
      <c r="D687" s="794" t="s">
        <v>1273</v>
      </c>
      <c r="E687" s="795" t="s">
        <v>1274</v>
      </c>
      <c r="F687" s="795" t="s">
        <v>1258</v>
      </c>
      <c r="G687" s="795">
        <v>100</v>
      </c>
      <c r="H687" s="795" t="s">
        <v>0</v>
      </c>
      <c r="I687" s="796">
        <v>0</v>
      </c>
      <c r="J687" s="794"/>
      <c r="K687" s="794"/>
      <c r="L687" s="797">
        <v>0</v>
      </c>
      <c r="M687" s="778">
        <v>0</v>
      </c>
      <c r="N687" s="798">
        <v>136</v>
      </c>
      <c r="O687" s="798">
        <v>78.099999999999994</v>
      </c>
      <c r="P687" s="784">
        <v>0.71</v>
      </c>
      <c r="Q687" s="784">
        <v>0.47600000000000003</v>
      </c>
      <c r="R687" s="799">
        <v>0</v>
      </c>
      <c r="S687" s="784">
        <v>8.5</v>
      </c>
      <c r="T687" s="784">
        <v>5.95</v>
      </c>
      <c r="U687" s="784">
        <v>2.5500000000000003</v>
      </c>
      <c r="V687" s="784">
        <v>1.7</v>
      </c>
      <c r="W687" s="784">
        <v>11.049999999999999</v>
      </c>
      <c r="X687" s="784">
        <v>3.4</v>
      </c>
      <c r="Y687" s="784">
        <v>11.9</v>
      </c>
      <c r="Z687" s="784">
        <v>85</v>
      </c>
      <c r="AA687" s="784">
        <v>51</v>
      </c>
      <c r="AB687" s="784">
        <v>102</v>
      </c>
      <c r="AC687" s="784">
        <v>0.68</v>
      </c>
      <c r="AD687" s="784">
        <v>0.34</v>
      </c>
      <c r="AE687" s="784">
        <v>0.17</v>
      </c>
      <c r="AF687" s="784">
        <v>3400</v>
      </c>
      <c r="AG687" s="784">
        <v>510</v>
      </c>
      <c r="AH687" s="784">
        <v>34</v>
      </c>
      <c r="AI687" s="784"/>
      <c r="AK687" s="783">
        <f>IFERROR(Tabela1[[#This Row],[EE(g)]]/Tabela1[[#This Row],[CMS(kg)]],0)</f>
        <v>0</v>
      </c>
    </row>
    <row r="688" spans="2:37" hidden="1">
      <c r="B688" s="774">
        <f>ROW()^2+(Tabela1[[#This Row],[ID2]])+ROW()</f>
        <v>474128</v>
      </c>
      <c r="C688" s="794">
        <v>96</v>
      </c>
      <c r="D688" s="794" t="s">
        <v>1273</v>
      </c>
      <c r="E688" s="795" t="s">
        <v>1274</v>
      </c>
      <c r="F688" s="795" t="s">
        <v>1258</v>
      </c>
      <c r="G688" s="795">
        <v>100</v>
      </c>
      <c r="H688" s="795" t="s">
        <v>1</v>
      </c>
      <c r="I688" s="796">
        <v>0</v>
      </c>
      <c r="J688" s="794"/>
      <c r="K688" s="794"/>
      <c r="L688" s="797">
        <v>0</v>
      </c>
      <c r="M688" s="778">
        <v>1.7</v>
      </c>
      <c r="N688" s="798">
        <v>1000</v>
      </c>
      <c r="O688" s="798">
        <v>1000</v>
      </c>
      <c r="P688" s="784">
        <v>1</v>
      </c>
      <c r="Q688" s="784">
        <v>1</v>
      </c>
      <c r="R688" s="799">
        <v>85</v>
      </c>
      <c r="S688" s="784">
        <v>10000</v>
      </c>
      <c r="T688" s="784">
        <v>10000</v>
      </c>
      <c r="U688" s="784">
        <v>8.5</v>
      </c>
      <c r="V688" s="784">
        <v>30.599999999999998</v>
      </c>
      <c r="W688" s="784">
        <v>51</v>
      </c>
      <c r="X688" s="784">
        <v>6.8</v>
      </c>
      <c r="Y688" s="784">
        <v>42.5</v>
      </c>
      <c r="Z688" s="784">
        <v>1275</v>
      </c>
      <c r="AA688" s="784">
        <v>850</v>
      </c>
      <c r="AB688" s="784">
        <v>1700</v>
      </c>
      <c r="AC688" s="784">
        <v>85</v>
      </c>
      <c r="AD688" s="784">
        <v>17</v>
      </c>
      <c r="AE688" s="784">
        <v>3.4</v>
      </c>
      <c r="AF688" s="784">
        <v>1000000</v>
      </c>
      <c r="AG688" s="784">
        <v>100000</v>
      </c>
      <c r="AH688" s="784">
        <v>100000</v>
      </c>
      <c r="AI688" s="784"/>
      <c r="AK688" s="783">
        <f>IFERROR(Tabela1[[#This Row],[EE(g)]]/Tabela1[[#This Row],[CMS(kg)]],0)</f>
        <v>50</v>
      </c>
    </row>
    <row r="689" spans="2:37" hidden="1">
      <c r="B689" s="774">
        <f>ROW()^2+(Tabela1[[#This Row],[ID2]])+ROW()</f>
        <v>475507</v>
      </c>
      <c r="C689" s="794">
        <v>97</v>
      </c>
      <c r="D689" s="794" t="s">
        <v>1273</v>
      </c>
      <c r="E689" s="795" t="s">
        <v>1276</v>
      </c>
      <c r="F689" s="795" t="s">
        <v>1277</v>
      </c>
      <c r="G689" s="795">
        <v>40</v>
      </c>
      <c r="H689" s="795" t="s">
        <v>0</v>
      </c>
      <c r="I689" s="796" t="s">
        <v>1266</v>
      </c>
      <c r="J689" s="794"/>
      <c r="K689" s="794"/>
      <c r="L689" s="797">
        <v>0</v>
      </c>
      <c r="M689" s="778">
        <v>0</v>
      </c>
      <c r="N689" s="798">
        <v>108</v>
      </c>
      <c r="O689" s="798">
        <v>56.1</v>
      </c>
      <c r="P689" s="784">
        <v>0.51</v>
      </c>
      <c r="Q689" s="784">
        <v>0.33600000000000008</v>
      </c>
      <c r="R689" s="799">
        <v>0</v>
      </c>
      <c r="S689" s="784">
        <v>8.4</v>
      </c>
      <c r="T689" s="784">
        <v>6</v>
      </c>
      <c r="U689" s="784">
        <v>1.8</v>
      </c>
      <c r="V689" s="784">
        <v>1.8</v>
      </c>
      <c r="W689" s="784">
        <v>7.8</v>
      </c>
      <c r="X689" s="784">
        <v>2.4</v>
      </c>
      <c r="Y689" s="784">
        <v>8.4</v>
      </c>
      <c r="Z689" s="784">
        <v>60</v>
      </c>
      <c r="AA689" s="784">
        <v>36</v>
      </c>
      <c r="AB689" s="784">
        <v>72</v>
      </c>
      <c r="AC689" s="784">
        <v>0.48</v>
      </c>
      <c r="AD689" s="784">
        <v>0.24</v>
      </c>
      <c r="AE689" s="784">
        <v>0.12</v>
      </c>
      <c r="AF689" s="784">
        <v>4200</v>
      </c>
      <c r="AG689" s="784">
        <v>360</v>
      </c>
      <c r="AH689" s="784">
        <v>24</v>
      </c>
      <c r="AI689" s="784"/>
      <c r="AK689" s="783">
        <f>IFERROR(Tabela1[[#This Row],[EE(g)]]/Tabela1[[#This Row],[CMS(kg)]],0)</f>
        <v>0</v>
      </c>
    </row>
    <row r="690" spans="2:37" hidden="1">
      <c r="B690" s="774">
        <f>ROW()^2+(Tabela1[[#This Row],[ID2]])+ROW()</f>
        <v>476888</v>
      </c>
      <c r="C690" s="794">
        <v>98</v>
      </c>
      <c r="D690" s="794" t="s">
        <v>1273</v>
      </c>
      <c r="E690" s="795" t="s">
        <v>1276</v>
      </c>
      <c r="F690" s="795" t="s">
        <v>1277</v>
      </c>
      <c r="G690" s="795">
        <v>40</v>
      </c>
      <c r="H690" s="795" t="s">
        <v>1</v>
      </c>
      <c r="I690" s="796" t="s">
        <v>1266</v>
      </c>
      <c r="J690" s="794"/>
      <c r="K690" s="794"/>
      <c r="L690" s="797">
        <v>0</v>
      </c>
      <c r="M690" s="778">
        <v>1.2</v>
      </c>
      <c r="N690" s="798">
        <v>1000</v>
      </c>
      <c r="O690" s="798">
        <v>1000</v>
      </c>
      <c r="P690" s="784">
        <v>1</v>
      </c>
      <c r="Q690" s="784">
        <v>1</v>
      </c>
      <c r="R690" s="799">
        <v>60</v>
      </c>
      <c r="S690" s="784">
        <v>10000</v>
      </c>
      <c r="T690" s="784">
        <v>10000</v>
      </c>
      <c r="U690" s="784">
        <v>6</v>
      </c>
      <c r="V690" s="784">
        <v>21.599999999999998</v>
      </c>
      <c r="W690" s="784">
        <v>36</v>
      </c>
      <c r="X690" s="784">
        <v>4.8</v>
      </c>
      <c r="Y690" s="784">
        <v>30</v>
      </c>
      <c r="Z690" s="784">
        <v>900</v>
      </c>
      <c r="AA690" s="784">
        <v>600</v>
      </c>
      <c r="AB690" s="784">
        <v>1200</v>
      </c>
      <c r="AC690" s="784">
        <v>60</v>
      </c>
      <c r="AD690" s="784">
        <v>12</v>
      </c>
      <c r="AE690" s="784">
        <v>2.4</v>
      </c>
      <c r="AF690" s="784">
        <v>1000000</v>
      </c>
      <c r="AG690" s="784">
        <v>100000</v>
      </c>
      <c r="AH690" s="784">
        <v>100000</v>
      </c>
      <c r="AI690" s="784"/>
      <c r="AK690" s="783">
        <f>IFERROR(Tabela1[[#This Row],[EE(g)]]/Tabela1[[#This Row],[CMS(kg)]],0)</f>
        <v>50</v>
      </c>
    </row>
    <row r="691" spans="2:37" hidden="1">
      <c r="B691" s="774">
        <f>ROW()^2+(Tabela1[[#This Row],[ID2]])+ROW()</f>
        <v>478271</v>
      </c>
      <c r="C691" s="794">
        <v>99</v>
      </c>
      <c r="D691" s="794" t="s">
        <v>1273</v>
      </c>
      <c r="E691" s="795" t="s">
        <v>1276</v>
      </c>
      <c r="F691" s="795" t="s">
        <v>1277</v>
      </c>
      <c r="G691" s="795">
        <v>40</v>
      </c>
      <c r="H691" s="795" t="s">
        <v>0</v>
      </c>
      <c r="I691" s="796" t="s">
        <v>1285</v>
      </c>
      <c r="J691" s="794"/>
      <c r="K691" s="794"/>
      <c r="L691" s="797">
        <v>0</v>
      </c>
      <c r="M691" s="778">
        <v>0</v>
      </c>
      <c r="N691" s="798">
        <v>120</v>
      </c>
      <c r="O691" s="798">
        <v>60.5</v>
      </c>
      <c r="P691" s="784">
        <v>0.55000000000000004</v>
      </c>
      <c r="Q691" s="784">
        <v>0.33600000000000008</v>
      </c>
      <c r="R691" s="799">
        <v>0</v>
      </c>
      <c r="S691" s="784">
        <v>8.4</v>
      </c>
      <c r="T691" s="784">
        <v>6</v>
      </c>
      <c r="U691" s="784">
        <v>1.8</v>
      </c>
      <c r="V691" s="784">
        <v>1.8</v>
      </c>
      <c r="W691" s="784">
        <v>7.8</v>
      </c>
      <c r="X691" s="784">
        <v>2.4</v>
      </c>
      <c r="Y691" s="784">
        <v>8.4</v>
      </c>
      <c r="Z691" s="784">
        <v>60</v>
      </c>
      <c r="AA691" s="784">
        <v>36</v>
      </c>
      <c r="AB691" s="784">
        <v>72</v>
      </c>
      <c r="AC691" s="784">
        <v>0.48</v>
      </c>
      <c r="AD691" s="784">
        <v>0.24</v>
      </c>
      <c r="AE691" s="784">
        <v>0.12</v>
      </c>
      <c r="AF691" s="784">
        <v>4200</v>
      </c>
      <c r="AG691" s="784">
        <v>360</v>
      </c>
      <c r="AH691" s="784">
        <v>24</v>
      </c>
      <c r="AI691" s="784"/>
      <c r="AK691" s="783">
        <f>IFERROR(Tabela1[[#This Row],[EE(g)]]/Tabela1[[#This Row],[CMS(kg)]],0)</f>
        <v>0</v>
      </c>
    </row>
    <row r="692" spans="2:37" hidden="1">
      <c r="B692" s="774">
        <f>ROW()^2+(Tabela1[[#This Row],[ID2]])+ROW()</f>
        <v>479656</v>
      </c>
      <c r="C692" s="794">
        <v>100</v>
      </c>
      <c r="D692" s="794" t="s">
        <v>1273</v>
      </c>
      <c r="E692" s="795" t="s">
        <v>1276</v>
      </c>
      <c r="F692" s="795" t="s">
        <v>1277</v>
      </c>
      <c r="G692" s="795">
        <v>40</v>
      </c>
      <c r="H692" s="795" t="s">
        <v>1</v>
      </c>
      <c r="I692" s="796" t="s">
        <v>1285</v>
      </c>
      <c r="J692" s="794"/>
      <c r="K692" s="794"/>
      <c r="L692" s="797">
        <v>0</v>
      </c>
      <c r="M692" s="778">
        <v>1.2</v>
      </c>
      <c r="N692" s="798">
        <v>1000</v>
      </c>
      <c r="O692" s="798">
        <v>1000</v>
      </c>
      <c r="P692" s="784">
        <v>1</v>
      </c>
      <c r="Q692" s="784">
        <v>1</v>
      </c>
      <c r="R692" s="799">
        <v>60</v>
      </c>
      <c r="S692" s="784">
        <v>10000</v>
      </c>
      <c r="T692" s="784">
        <v>10000</v>
      </c>
      <c r="U692" s="784">
        <v>6</v>
      </c>
      <c r="V692" s="784">
        <v>21.599999999999998</v>
      </c>
      <c r="W692" s="784">
        <v>36</v>
      </c>
      <c r="X692" s="784">
        <v>4.8</v>
      </c>
      <c r="Y692" s="784">
        <v>30</v>
      </c>
      <c r="Z692" s="784">
        <v>900</v>
      </c>
      <c r="AA692" s="784">
        <v>600</v>
      </c>
      <c r="AB692" s="784">
        <v>1200</v>
      </c>
      <c r="AC692" s="784">
        <v>60</v>
      </c>
      <c r="AD692" s="784">
        <v>12</v>
      </c>
      <c r="AE692" s="784">
        <v>2.4</v>
      </c>
      <c r="AF692" s="784">
        <v>1000000</v>
      </c>
      <c r="AG692" s="784">
        <v>100000</v>
      </c>
      <c r="AH692" s="784">
        <v>100000</v>
      </c>
      <c r="AI692" s="784"/>
      <c r="AK692" s="783">
        <f>IFERROR(Tabela1[[#This Row],[EE(g)]]/Tabela1[[#This Row],[CMS(kg)]],0)</f>
        <v>50</v>
      </c>
    </row>
    <row r="693" spans="2:37" hidden="1">
      <c r="B693" s="774">
        <f>ROW()^2+(Tabela1[[#This Row],[ID2]])+ROW()</f>
        <v>481043</v>
      </c>
      <c r="C693" s="794">
        <v>101</v>
      </c>
      <c r="D693" s="794" t="s">
        <v>1273</v>
      </c>
      <c r="E693" s="795" t="s">
        <v>1276</v>
      </c>
      <c r="F693" s="795" t="s">
        <v>1277</v>
      </c>
      <c r="G693" s="795">
        <v>40</v>
      </c>
      <c r="H693" s="795" t="s">
        <v>0</v>
      </c>
      <c r="I693" s="796" t="s">
        <v>1286</v>
      </c>
      <c r="J693" s="794"/>
      <c r="K693" s="794"/>
      <c r="L693" s="797">
        <v>0</v>
      </c>
      <c r="M693" s="778">
        <v>0</v>
      </c>
      <c r="N693" s="798">
        <v>120</v>
      </c>
      <c r="O693" s="798">
        <v>63.8</v>
      </c>
      <c r="P693" s="784">
        <v>0.57999999999999996</v>
      </c>
      <c r="Q693" s="784">
        <v>0.33600000000000008</v>
      </c>
      <c r="R693" s="799">
        <v>0</v>
      </c>
      <c r="S693" s="784">
        <v>8.4</v>
      </c>
      <c r="T693" s="784">
        <v>6</v>
      </c>
      <c r="U693" s="784">
        <v>1.8</v>
      </c>
      <c r="V693" s="784">
        <v>1.8</v>
      </c>
      <c r="W693" s="784">
        <v>7.8</v>
      </c>
      <c r="X693" s="784">
        <v>2.4</v>
      </c>
      <c r="Y693" s="784">
        <v>8.4</v>
      </c>
      <c r="Z693" s="784">
        <v>60</v>
      </c>
      <c r="AA693" s="784">
        <v>36</v>
      </c>
      <c r="AB693" s="784">
        <v>72</v>
      </c>
      <c r="AC693" s="784">
        <v>0.48</v>
      </c>
      <c r="AD693" s="784">
        <v>0.24</v>
      </c>
      <c r="AE693" s="784">
        <v>0.12</v>
      </c>
      <c r="AF693" s="784">
        <v>4200</v>
      </c>
      <c r="AG693" s="784">
        <v>360</v>
      </c>
      <c r="AH693" s="784">
        <v>24</v>
      </c>
      <c r="AI693" s="784"/>
      <c r="AK693" s="783">
        <f>IFERROR(Tabela1[[#This Row],[EE(g)]]/Tabela1[[#This Row],[CMS(kg)]],0)</f>
        <v>0</v>
      </c>
    </row>
    <row r="694" spans="2:37" hidden="1">
      <c r="B694" s="774">
        <f>ROW()^2+(Tabela1[[#This Row],[ID2]])+ROW()</f>
        <v>482432</v>
      </c>
      <c r="C694" s="794">
        <v>102</v>
      </c>
      <c r="D694" s="794" t="s">
        <v>1273</v>
      </c>
      <c r="E694" s="795" t="s">
        <v>1276</v>
      </c>
      <c r="F694" s="795" t="s">
        <v>1277</v>
      </c>
      <c r="G694" s="795">
        <v>40</v>
      </c>
      <c r="H694" s="795" t="s">
        <v>1</v>
      </c>
      <c r="I694" s="796" t="s">
        <v>1286</v>
      </c>
      <c r="J694" s="794"/>
      <c r="K694" s="794"/>
      <c r="L694" s="797">
        <v>0</v>
      </c>
      <c r="M694" s="778">
        <v>1.2</v>
      </c>
      <c r="N694" s="798">
        <v>1000</v>
      </c>
      <c r="O694" s="798">
        <v>1000</v>
      </c>
      <c r="P694" s="784">
        <v>1</v>
      </c>
      <c r="Q694" s="784">
        <v>1</v>
      </c>
      <c r="R694" s="799">
        <v>60</v>
      </c>
      <c r="S694" s="784">
        <v>10000</v>
      </c>
      <c r="T694" s="784">
        <v>10000</v>
      </c>
      <c r="U694" s="784">
        <v>6</v>
      </c>
      <c r="V694" s="784">
        <v>21.599999999999998</v>
      </c>
      <c r="W694" s="784">
        <v>36</v>
      </c>
      <c r="X694" s="784">
        <v>4.8</v>
      </c>
      <c r="Y694" s="784">
        <v>30</v>
      </c>
      <c r="Z694" s="784">
        <v>900</v>
      </c>
      <c r="AA694" s="784">
        <v>600</v>
      </c>
      <c r="AB694" s="784">
        <v>1200</v>
      </c>
      <c r="AC694" s="784">
        <v>60</v>
      </c>
      <c r="AD694" s="784">
        <v>12</v>
      </c>
      <c r="AE694" s="784">
        <v>2.4</v>
      </c>
      <c r="AF694" s="784">
        <v>1000000</v>
      </c>
      <c r="AG694" s="784">
        <v>100000</v>
      </c>
      <c r="AH694" s="784">
        <v>100000</v>
      </c>
      <c r="AI694" s="784"/>
      <c r="AK694" s="783">
        <f>IFERROR(Tabela1[[#This Row],[EE(g)]]/Tabela1[[#This Row],[CMS(kg)]],0)</f>
        <v>50</v>
      </c>
    </row>
    <row r="695" spans="2:37" hidden="1">
      <c r="B695" s="774">
        <f>ROW()^2+(Tabela1[[#This Row],[ID2]])+ROW()</f>
        <v>483823</v>
      </c>
      <c r="C695" s="794">
        <v>103</v>
      </c>
      <c r="D695" s="794" t="s">
        <v>1273</v>
      </c>
      <c r="E695" s="795" t="s">
        <v>1276</v>
      </c>
      <c r="F695" s="795" t="s">
        <v>1277</v>
      </c>
      <c r="G695" s="795">
        <v>50</v>
      </c>
      <c r="H695" s="795" t="s">
        <v>0</v>
      </c>
      <c r="I695" s="796" t="s">
        <v>1266</v>
      </c>
      <c r="J695" s="794"/>
      <c r="K695" s="794"/>
      <c r="L695" s="797">
        <v>0</v>
      </c>
      <c r="M695" s="778">
        <v>0</v>
      </c>
      <c r="N695" s="798">
        <v>140</v>
      </c>
      <c r="O695" s="798">
        <v>60.5</v>
      </c>
      <c r="P695" s="784">
        <v>0.55000000000000004</v>
      </c>
      <c r="Q695" s="784">
        <v>0.39200000000000007</v>
      </c>
      <c r="R695" s="799">
        <v>0</v>
      </c>
      <c r="S695" s="784">
        <v>9.8000000000000007</v>
      </c>
      <c r="T695" s="784">
        <v>7</v>
      </c>
      <c r="U695" s="784">
        <v>2.1</v>
      </c>
      <c r="V695" s="784">
        <v>2.1</v>
      </c>
      <c r="W695" s="784">
        <v>9.1</v>
      </c>
      <c r="X695" s="784">
        <v>2.8000000000000003</v>
      </c>
      <c r="Y695" s="784">
        <v>9.7999999999999989</v>
      </c>
      <c r="Z695" s="784">
        <v>70</v>
      </c>
      <c r="AA695" s="784">
        <v>42</v>
      </c>
      <c r="AB695" s="784">
        <v>84</v>
      </c>
      <c r="AC695" s="784">
        <v>0.55999999999999994</v>
      </c>
      <c r="AD695" s="784">
        <v>0.27999999999999997</v>
      </c>
      <c r="AE695" s="784">
        <v>0.13999999999999999</v>
      </c>
      <c r="AF695" s="784">
        <v>4900</v>
      </c>
      <c r="AG695" s="784">
        <v>420</v>
      </c>
      <c r="AH695" s="784">
        <v>28</v>
      </c>
      <c r="AI695" s="784"/>
      <c r="AK695" s="783">
        <f>IFERROR(Tabela1[[#This Row],[EE(g)]]/Tabela1[[#This Row],[CMS(kg)]],0)</f>
        <v>0</v>
      </c>
    </row>
    <row r="696" spans="2:37" hidden="1">
      <c r="B696" s="774">
        <f>ROW()^2+(Tabela1[[#This Row],[ID2]])+ROW()</f>
        <v>485216</v>
      </c>
      <c r="C696" s="794">
        <v>104</v>
      </c>
      <c r="D696" s="794" t="s">
        <v>1273</v>
      </c>
      <c r="E696" s="795" t="s">
        <v>1276</v>
      </c>
      <c r="F696" s="795" t="s">
        <v>1277</v>
      </c>
      <c r="G696" s="795">
        <v>50</v>
      </c>
      <c r="H696" s="795" t="s">
        <v>1</v>
      </c>
      <c r="I696" s="796" t="s">
        <v>1266</v>
      </c>
      <c r="J696" s="794"/>
      <c r="K696" s="794"/>
      <c r="L696" s="797">
        <v>0</v>
      </c>
      <c r="M696" s="778">
        <v>1.4</v>
      </c>
      <c r="N696" s="798">
        <v>1000</v>
      </c>
      <c r="O696" s="798">
        <v>1000</v>
      </c>
      <c r="P696" s="784">
        <v>1</v>
      </c>
      <c r="Q696" s="784">
        <v>1</v>
      </c>
      <c r="R696" s="799">
        <v>70</v>
      </c>
      <c r="S696" s="784">
        <v>10000</v>
      </c>
      <c r="T696" s="784">
        <v>10000</v>
      </c>
      <c r="U696" s="784">
        <v>7</v>
      </c>
      <c r="V696" s="784">
        <v>25.2</v>
      </c>
      <c r="W696" s="784">
        <v>42</v>
      </c>
      <c r="X696" s="784">
        <v>5.6000000000000005</v>
      </c>
      <c r="Y696" s="784">
        <v>35</v>
      </c>
      <c r="Z696" s="784">
        <v>1050</v>
      </c>
      <c r="AA696" s="784">
        <v>700</v>
      </c>
      <c r="AB696" s="784">
        <v>1400</v>
      </c>
      <c r="AC696" s="784">
        <v>70</v>
      </c>
      <c r="AD696" s="784">
        <v>14</v>
      </c>
      <c r="AE696" s="784">
        <v>2.8</v>
      </c>
      <c r="AF696" s="784">
        <v>1000000</v>
      </c>
      <c r="AG696" s="784">
        <v>100000</v>
      </c>
      <c r="AH696" s="784">
        <v>100000</v>
      </c>
      <c r="AI696" s="784"/>
      <c r="AK696" s="783">
        <f>IFERROR(Tabela1[[#This Row],[EE(g)]]/Tabela1[[#This Row],[CMS(kg)]],0)</f>
        <v>50</v>
      </c>
    </row>
    <row r="697" spans="2:37" hidden="1">
      <c r="B697" s="774">
        <f>ROW()^2+(Tabela1[[#This Row],[ID2]])+ROW()</f>
        <v>486611</v>
      </c>
      <c r="C697" s="794">
        <v>105</v>
      </c>
      <c r="D697" s="794" t="s">
        <v>1273</v>
      </c>
      <c r="E697" s="795" t="s">
        <v>1276</v>
      </c>
      <c r="F697" s="795" t="s">
        <v>1277</v>
      </c>
      <c r="G697" s="795">
        <v>50</v>
      </c>
      <c r="H697" s="795" t="s">
        <v>0</v>
      </c>
      <c r="I697" s="796" t="s">
        <v>1285</v>
      </c>
      <c r="J697" s="794"/>
      <c r="K697" s="794"/>
      <c r="L697" s="797">
        <v>0</v>
      </c>
      <c r="M697" s="778">
        <v>0</v>
      </c>
      <c r="N697" s="798">
        <v>140</v>
      </c>
      <c r="O697" s="798">
        <v>70.400000000000006</v>
      </c>
      <c r="P697" s="784">
        <v>0.64</v>
      </c>
      <c r="Q697" s="784">
        <v>0.39200000000000007</v>
      </c>
      <c r="R697" s="799">
        <v>0</v>
      </c>
      <c r="S697" s="784">
        <v>9.8000000000000007</v>
      </c>
      <c r="T697" s="784">
        <v>7</v>
      </c>
      <c r="U697" s="784">
        <v>2.1</v>
      </c>
      <c r="V697" s="784">
        <v>2.1</v>
      </c>
      <c r="W697" s="784">
        <v>9.1</v>
      </c>
      <c r="X697" s="784">
        <v>2.8000000000000003</v>
      </c>
      <c r="Y697" s="784">
        <v>9.7999999999999989</v>
      </c>
      <c r="Z697" s="784">
        <v>70</v>
      </c>
      <c r="AA697" s="784">
        <v>42</v>
      </c>
      <c r="AB697" s="784">
        <v>84</v>
      </c>
      <c r="AC697" s="784">
        <v>0.55999999999999994</v>
      </c>
      <c r="AD697" s="784">
        <v>0.27999999999999997</v>
      </c>
      <c r="AE697" s="784">
        <v>0.13999999999999999</v>
      </c>
      <c r="AF697" s="784">
        <v>4900</v>
      </c>
      <c r="AG697" s="784">
        <v>420</v>
      </c>
      <c r="AH697" s="784">
        <v>28</v>
      </c>
      <c r="AI697" s="784"/>
      <c r="AK697" s="783">
        <f>IFERROR(Tabela1[[#This Row],[EE(g)]]/Tabela1[[#This Row],[CMS(kg)]],0)</f>
        <v>0</v>
      </c>
    </row>
    <row r="698" spans="2:37" hidden="1">
      <c r="B698" s="774">
        <f>ROW()^2+(Tabela1[[#This Row],[ID2]])+ROW()</f>
        <v>488008</v>
      </c>
      <c r="C698" s="794">
        <v>106</v>
      </c>
      <c r="D698" s="794" t="s">
        <v>1273</v>
      </c>
      <c r="E698" s="795" t="s">
        <v>1276</v>
      </c>
      <c r="F698" s="795" t="s">
        <v>1277</v>
      </c>
      <c r="G698" s="795">
        <v>50</v>
      </c>
      <c r="H698" s="795" t="s">
        <v>1</v>
      </c>
      <c r="I698" s="796" t="s">
        <v>1285</v>
      </c>
      <c r="J698" s="794"/>
      <c r="K698" s="794"/>
      <c r="L698" s="797">
        <v>0</v>
      </c>
      <c r="M698" s="778">
        <v>1.4</v>
      </c>
      <c r="N698" s="798">
        <v>1000</v>
      </c>
      <c r="O698" s="798">
        <v>1000</v>
      </c>
      <c r="P698" s="784">
        <v>1</v>
      </c>
      <c r="Q698" s="784">
        <v>1</v>
      </c>
      <c r="R698" s="799">
        <v>70</v>
      </c>
      <c r="S698" s="784">
        <v>10000</v>
      </c>
      <c r="T698" s="784">
        <v>10000</v>
      </c>
      <c r="U698" s="784">
        <v>7</v>
      </c>
      <c r="V698" s="784">
        <v>25.2</v>
      </c>
      <c r="W698" s="784">
        <v>42</v>
      </c>
      <c r="X698" s="784">
        <v>5.6000000000000005</v>
      </c>
      <c r="Y698" s="784">
        <v>35</v>
      </c>
      <c r="Z698" s="784">
        <v>1050</v>
      </c>
      <c r="AA698" s="784">
        <v>700</v>
      </c>
      <c r="AB698" s="784">
        <v>1400</v>
      </c>
      <c r="AC698" s="784">
        <v>70</v>
      </c>
      <c r="AD698" s="784">
        <v>14</v>
      </c>
      <c r="AE698" s="784">
        <v>2.8</v>
      </c>
      <c r="AF698" s="784">
        <v>1000000</v>
      </c>
      <c r="AG698" s="784">
        <v>100000</v>
      </c>
      <c r="AH698" s="784">
        <v>100000</v>
      </c>
      <c r="AI698" s="784"/>
      <c r="AK698" s="783">
        <f>IFERROR(Tabela1[[#This Row],[EE(g)]]/Tabela1[[#This Row],[CMS(kg)]],0)</f>
        <v>50</v>
      </c>
    </row>
    <row r="699" spans="2:37" hidden="1">
      <c r="B699" s="774">
        <f>ROW()^2+(Tabela1[[#This Row],[ID2]])+ROW()</f>
        <v>489407</v>
      </c>
      <c r="C699" s="794">
        <v>107</v>
      </c>
      <c r="D699" s="794" t="s">
        <v>1273</v>
      </c>
      <c r="E699" s="795" t="s">
        <v>1276</v>
      </c>
      <c r="F699" s="795" t="s">
        <v>1277</v>
      </c>
      <c r="G699" s="795">
        <v>50</v>
      </c>
      <c r="H699" s="795" t="s">
        <v>0</v>
      </c>
      <c r="I699" s="796" t="s">
        <v>1286</v>
      </c>
      <c r="J699" s="794"/>
      <c r="K699" s="794"/>
      <c r="L699" s="797">
        <v>0</v>
      </c>
      <c r="M699" s="778">
        <v>0</v>
      </c>
      <c r="N699" s="798">
        <v>140</v>
      </c>
      <c r="O699" s="798">
        <v>75.900000000000006</v>
      </c>
      <c r="P699" s="784">
        <v>0.69</v>
      </c>
      <c r="Q699" s="784">
        <v>0.39200000000000007</v>
      </c>
      <c r="R699" s="799">
        <v>0</v>
      </c>
      <c r="S699" s="784">
        <v>9.8000000000000007</v>
      </c>
      <c r="T699" s="784">
        <v>7</v>
      </c>
      <c r="U699" s="784">
        <v>2.1</v>
      </c>
      <c r="V699" s="784">
        <v>2.1</v>
      </c>
      <c r="W699" s="784">
        <v>9.1</v>
      </c>
      <c r="X699" s="784">
        <v>2.8000000000000003</v>
      </c>
      <c r="Y699" s="784">
        <v>9.7999999999999989</v>
      </c>
      <c r="Z699" s="784">
        <v>70</v>
      </c>
      <c r="AA699" s="784">
        <v>42</v>
      </c>
      <c r="AB699" s="784">
        <v>84</v>
      </c>
      <c r="AC699" s="784">
        <v>0.55999999999999994</v>
      </c>
      <c r="AD699" s="784">
        <v>0.27999999999999997</v>
      </c>
      <c r="AE699" s="784">
        <v>0.13999999999999999</v>
      </c>
      <c r="AF699" s="784">
        <v>4900</v>
      </c>
      <c r="AG699" s="784">
        <v>420</v>
      </c>
      <c r="AH699" s="784">
        <v>28</v>
      </c>
      <c r="AI699" s="784"/>
      <c r="AK699" s="783">
        <f>IFERROR(Tabela1[[#This Row],[EE(g)]]/Tabela1[[#This Row],[CMS(kg)]],0)</f>
        <v>0</v>
      </c>
    </row>
    <row r="700" spans="2:37" hidden="1">
      <c r="B700" s="774">
        <f>ROW()^2+(Tabela1[[#This Row],[ID2]])+ROW()</f>
        <v>490808</v>
      </c>
      <c r="C700" s="794">
        <v>108</v>
      </c>
      <c r="D700" s="794" t="s">
        <v>1273</v>
      </c>
      <c r="E700" s="795" t="s">
        <v>1276</v>
      </c>
      <c r="F700" s="795" t="s">
        <v>1277</v>
      </c>
      <c r="G700" s="795">
        <v>50</v>
      </c>
      <c r="H700" s="795" t="s">
        <v>1</v>
      </c>
      <c r="I700" s="796" t="s">
        <v>1286</v>
      </c>
      <c r="J700" s="794"/>
      <c r="K700" s="794"/>
      <c r="L700" s="797">
        <v>0</v>
      </c>
      <c r="M700" s="778">
        <v>1.4</v>
      </c>
      <c r="N700" s="798">
        <v>1000</v>
      </c>
      <c r="O700" s="798">
        <v>1000</v>
      </c>
      <c r="P700" s="784">
        <v>1</v>
      </c>
      <c r="Q700" s="784">
        <v>1</v>
      </c>
      <c r="R700" s="799">
        <v>70</v>
      </c>
      <c r="S700" s="784">
        <v>10000</v>
      </c>
      <c r="T700" s="784">
        <v>10000</v>
      </c>
      <c r="U700" s="784">
        <v>7</v>
      </c>
      <c r="V700" s="784">
        <v>25.2</v>
      </c>
      <c r="W700" s="784">
        <v>42</v>
      </c>
      <c r="X700" s="784">
        <v>5.6000000000000005</v>
      </c>
      <c r="Y700" s="784">
        <v>35</v>
      </c>
      <c r="Z700" s="784">
        <v>1050</v>
      </c>
      <c r="AA700" s="784">
        <v>700</v>
      </c>
      <c r="AB700" s="784">
        <v>1400</v>
      </c>
      <c r="AC700" s="784">
        <v>70</v>
      </c>
      <c r="AD700" s="784">
        <v>14</v>
      </c>
      <c r="AE700" s="784">
        <v>2.8</v>
      </c>
      <c r="AF700" s="784">
        <v>1000000</v>
      </c>
      <c r="AG700" s="784">
        <v>100000</v>
      </c>
      <c r="AH700" s="784">
        <v>100000</v>
      </c>
      <c r="AI700" s="784"/>
      <c r="AK700" s="783">
        <f>IFERROR(Tabela1[[#This Row],[EE(g)]]/Tabela1[[#This Row],[CMS(kg)]],0)</f>
        <v>50</v>
      </c>
    </row>
    <row r="701" spans="2:37" hidden="1">
      <c r="B701" s="774">
        <f>ROW()^2+(Tabela1[[#This Row],[ID2]])+ROW()</f>
        <v>492211</v>
      </c>
      <c r="C701" s="794">
        <v>109</v>
      </c>
      <c r="D701" s="794" t="s">
        <v>1273</v>
      </c>
      <c r="E701" s="795" t="s">
        <v>1276</v>
      </c>
      <c r="F701" s="795" t="s">
        <v>1277</v>
      </c>
      <c r="G701" s="795">
        <v>60</v>
      </c>
      <c r="H701" s="795" t="s">
        <v>0</v>
      </c>
      <c r="I701" s="796" t="s">
        <v>1266</v>
      </c>
      <c r="J701" s="794"/>
      <c r="K701" s="794"/>
      <c r="L701" s="797">
        <v>0</v>
      </c>
      <c r="M701" s="778">
        <v>0</v>
      </c>
      <c r="N701" s="798">
        <v>150</v>
      </c>
      <c r="O701" s="798">
        <v>66</v>
      </c>
      <c r="P701" s="784">
        <v>0.6</v>
      </c>
      <c r="Q701" s="784">
        <v>0.42000000000000004</v>
      </c>
      <c r="R701" s="799">
        <v>0</v>
      </c>
      <c r="S701" s="784">
        <v>10.5</v>
      </c>
      <c r="T701" s="784">
        <v>7.5</v>
      </c>
      <c r="U701" s="784">
        <v>2.25</v>
      </c>
      <c r="V701" s="784">
        <v>2.25</v>
      </c>
      <c r="W701" s="784">
        <v>9.75</v>
      </c>
      <c r="X701" s="784">
        <v>3</v>
      </c>
      <c r="Y701" s="784">
        <v>10.5</v>
      </c>
      <c r="Z701" s="784">
        <v>75</v>
      </c>
      <c r="AA701" s="784">
        <v>45</v>
      </c>
      <c r="AB701" s="784">
        <v>90</v>
      </c>
      <c r="AC701" s="784">
        <v>0.60000000000000009</v>
      </c>
      <c r="AD701" s="784">
        <v>0.30000000000000004</v>
      </c>
      <c r="AE701" s="784">
        <v>0.15000000000000002</v>
      </c>
      <c r="AF701" s="784">
        <v>5250</v>
      </c>
      <c r="AG701" s="784">
        <v>450</v>
      </c>
      <c r="AH701" s="784">
        <v>30</v>
      </c>
      <c r="AI701" s="784"/>
      <c r="AK701" s="783">
        <f>IFERROR(Tabela1[[#This Row],[EE(g)]]/Tabela1[[#This Row],[CMS(kg)]],0)</f>
        <v>0</v>
      </c>
    </row>
    <row r="702" spans="2:37" hidden="1">
      <c r="B702" s="774">
        <f>ROW()^2+(Tabela1[[#This Row],[ID2]])+ROW()</f>
        <v>493616</v>
      </c>
      <c r="C702" s="794">
        <v>110</v>
      </c>
      <c r="D702" s="794" t="s">
        <v>1273</v>
      </c>
      <c r="E702" s="795" t="s">
        <v>1276</v>
      </c>
      <c r="F702" s="795" t="s">
        <v>1277</v>
      </c>
      <c r="G702" s="795">
        <v>60</v>
      </c>
      <c r="H702" s="795" t="s">
        <v>1</v>
      </c>
      <c r="I702" s="796" t="s">
        <v>1266</v>
      </c>
      <c r="J702" s="794"/>
      <c r="K702" s="794"/>
      <c r="L702" s="797">
        <v>0</v>
      </c>
      <c r="M702" s="778">
        <v>1.5</v>
      </c>
      <c r="N702" s="798">
        <v>1000</v>
      </c>
      <c r="O702" s="798">
        <v>1000</v>
      </c>
      <c r="P702" s="784">
        <v>1</v>
      </c>
      <c r="Q702" s="784">
        <v>1</v>
      </c>
      <c r="R702" s="799">
        <v>75</v>
      </c>
      <c r="S702" s="784">
        <v>10000</v>
      </c>
      <c r="T702" s="784">
        <v>10000</v>
      </c>
      <c r="U702" s="784">
        <v>7.5</v>
      </c>
      <c r="V702" s="784">
        <v>26.999999999999996</v>
      </c>
      <c r="W702" s="784">
        <v>45</v>
      </c>
      <c r="X702" s="784">
        <v>6</v>
      </c>
      <c r="Y702" s="784">
        <v>37.5</v>
      </c>
      <c r="Z702" s="784">
        <v>1125</v>
      </c>
      <c r="AA702" s="784">
        <v>750</v>
      </c>
      <c r="AB702" s="784">
        <v>1500</v>
      </c>
      <c r="AC702" s="784">
        <v>75</v>
      </c>
      <c r="AD702" s="784">
        <v>15</v>
      </c>
      <c r="AE702" s="784">
        <v>3</v>
      </c>
      <c r="AF702" s="784">
        <v>1000000</v>
      </c>
      <c r="AG702" s="784">
        <v>100000</v>
      </c>
      <c r="AH702" s="784">
        <v>100000</v>
      </c>
      <c r="AI702" s="784"/>
      <c r="AK702" s="783">
        <f>IFERROR(Tabela1[[#This Row],[EE(g)]]/Tabela1[[#This Row],[CMS(kg)]],0)</f>
        <v>50</v>
      </c>
    </row>
    <row r="703" spans="2:37" hidden="1">
      <c r="B703" s="774">
        <f>ROW()^2+(Tabela1[[#This Row],[ID2]])+ROW()</f>
        <v>495023</v>
      </c>
      <c r="C703" s="794">
        <v>111</v>
      </c>
      <c r="D703" s="794" t="s">
        <v>1273</v>
      </c>
      <c r="E703" s="795" t="s">
        <v>1276</v>
      </c>
      <c r="F703" s="795" t="s">
        <v>1277</v>
      </c>
      <c r="G703" s="795">
        <v>60</v>
      </c>
      <c r="H703" s="795" t="s">
        <v>0</v>
      </c>
      <c r="I703" s="796" t="s">
        <v>1285</v>
      </c>
      <c r="J703" s="794"/>
      <c r="K703" s="794"/>
      <c r="L703" s="797">
        <v>0</v>
      </c>
      <c r="M703" s="778">
        <v>0</v>
      </c>
      <c r="N703" s="798">
        <v>150</v>
      </c>
      <c r="O703" s="798">
        <v>78.099999999999994</v>
      </c>
      <c r="P703" s="784">
        <v>0.71</v>
      </c>
      <c r="Q703" s="784">
        <v>0.42000000000000004</v>
      </c>
      <c r="R703" s="799">
        <v>0</v>
      </c>
      <c r="S703" s="784">
        <v>10.5</v>
      </c>
      <c r="T703" s="784">
        <v>7.5</v>
      </c>
      <c r="U703" s="784">
        <v>2.25</v>
      </c>
      <c r="V703" s="784">
        <v>2.25</v>
      </c>
      <c r="W703" s="784">
        <v>9.75</v>
      </c>
      <c r="X703" s="784">
        <v>3</v>
      </c>
      <c r="Y703" s="784">
        <v>10.5</v>
      </c>
      <c r="Z703" s="784">
        <v>75</v>
      </c>
      <c r="AA703" s="784">
        <v>45</v>
      </c>
      <c r="AB703" s="784">
        <v>90</v>
      </c>
      <c r="AC703" s="784">
        <v>0.60000000000000009</v>
      </c>
      <c r="AD703" s="784">
        <v>0.30000000000000004</v>
      </c>
      <c r="AE703" s="784">
        <v>0.15000000000000002</v>
      </c>
      <c r="AF703" s="784">
        <v>5250</v>
      </c>
      <c r="AG703" s="784">
        <v>450</v>
      </c>
      <c r="AH703" s="784">
        <v>30</v>
      </c>
      <c r="AI703" s="784"/>
      <c r="AK703" s="783">
        <f>IFERROR(Tabela1[[#This Row],[EE(g)]]/Tabela1[[#This Row],[CMS(kg)]],0)</f>
        <v>0</v>
      </c>
    </row>
    <row r="704" spans="2:37" hidden="1">
      <c r="B704" s="774">
        <f>ROW()^2+(Tabela1[[#This Row],[ID2]])+ROW()</f>
        <v>496432</v>
      </c>
      <c r="C704" s="794">
        <v>112</v>
      </c>
      <c r="D704" s="794" t="s">
        <v>1273</v>
      </c>
      <c r="E704" s="795" t="s">
        <v>1276</v>
      </c>
      <c r="F704" s="795" t="s">
        <v>1277</v>
      </c>
      <c r="G704" s="795">
        <v>60</v>
      </c>
      <c r="H704" s="795" t="s">
        <v>1</v>
      </c>
      <c r="I704" s="796" t="s">
        <v>1285</v>
      </c>
      <c r="J704" s="794"/>
      <c r="K704" s="794"/>
      <c r="L704" s="797">
        <v>0</v>
      </c>
      <c r="M704" s="778">
        <v>1.5</v>
      </c>
      <c r="N704" s="798">
        <v>1000</v>
      </c>
      <c r="O704" s="798">
        <v>1000</v>
      </c>
      <c r="P704" s="784">
        <v>1</v>
      </c>
      <c r="Q704" s="784">
        <v>1</v>
      </c>
      <c r="R704" s="799">
        <v>75</v>
      </c>
      <c r="S704" s="784">
        <v>10000</v>
      </c>
      <c r="T704" s="784">
        <v>10000</v>
      </c>
      <c r="U704" s="784">
        <v>7.5</v>
      </c>
      <c r="V704" s="784">
        <v>26.999999999999996</v>
      </c>
      <c r="W704" s="784">
        <v>45</v>
      </c>
      <c r="X704" s="784">
        <v>6</v>
      </c>
      <c r="Y704" s="784">
        <v>37.5</v>
      </c>
      <c r="Z704" s="784">
        <v>1125</v>
      </c>
      <c r="AA704" s="784">
        <v>750</v>
      </c>
      <c r="AB704" s="784">
        <v>1500</v>
      </c>
      <c r="AC704" s="784">
        <v>75</v>
      </c>
      <c r="AD704" s="784">
        <v>15</v>
      </c>
      <c r="AE704" s="784">
        <v>3</v>
      </c>
      <c r="AF704" s="784">
        <v>1000000</v>
      </c>
      <c r="AG704" s="784">
        <v>100000</v>
      </c>
      <c r="AH704" s="784">
        <v>100000</v>
      </c>
      <c r="AI704" s="784"/>
      <c r="AK704" s="783">
        <f>IFERROR(Tabela1[[#This Row],[EE(g)]]/Tabela1[[#This Row],[CMS(kg)]],0)</f>
        <v>50</v>
      </c>
    </row>
    <row r="705" spans="2:37" hidden="1">
      <c r="B705" s="774">
        <f>ROW()^2+(Tabela1[[#This Row],[ID2]])+ROW()</f>
        <v>497843</v>
      </c>
      <c r="C705" s="794">
        <v>113</v>
      </c>
      <c r="D705" s="794" t="s">
        <v>1273</v>
      </c>
      <c r="E705" s="795" t="s">
        <v>1276</v>
      </c>
      <c r="F705" s="795" t="s">
        <v>1277</v>
      </c>
      <c r="G705" s="795">
        <v>60</v>
      </c>
      <c r="H705" s="795" t="s">
        <v>0</v>
      </c>
      <c r="I705" s="796" t="s">
        <v>1286</v>
      </c>
      <c r="J705" s="794"/>
      <c r="K705" s="794"/>
      <c r="L705" s="797">
        <v>0</v>
      </c>
      <c r="M705" s="778">
        <v>0</v>
      </c>
      <c r="N705" s="798">
        <v>150</v>
      </c>
      <c r="O705" s="798">
        <v>85.8</v>
      </c>
      <c r="P705" s="784">
        <v>0.78</v>
      </c>
      <c r="Q705" s="784">
        <v>0.42000000000000004</v>
      </c>
      <c r="R705" s="799">
        <v>0</v>
      </c>
      <c r="S705" s="784">
        <v>10.5</v>
      </c>
      <c r="T705" s="784">
        <v>7.5</v>
      </c>
      <c r="U705" s="784">
        <v>2.25</v>
      </c>
      <c r="V705" s="784">
        <v>2.25</v>
      </c>
      <c r="W705" s="784">
        <v>9.75</v>
      </c>
      <c r="X705" s="784">
        <v>3</v>
      </c>
      <c r="Y705" s="784">
        <v>10.5</v>
      </c>
      <c r="Z705" s="784">
        <v>75</v>
      </c>
      <c r="AA705" s="784">
        <v>45</v>
      </c>
      <c r="AB705" s="784">
        <v>90</v>
      </c>
      <c r="AC705" s="784">
        <v>0.60000000000000009</v>
      </c>
      <c r="AD705" s="784">
        <v>0.30000000000000004</v>
      </c>
      <c r="AE705" s="784">
        <v>0.15000000000000002</v>
      </c>
      <c r="AF705" s="784">
        <v>5250</v>
      </c>
      <c r="AG705" s="784">
        <v>450</v>
      </c>
      <c r="AH705" s="784">
        <v>30</v>
      </c>
      <c r="AI705" s="784"/>
      <c r="AK705" s="783">
        <f>IFERROR(Tabela1[[#This Row],[EE(g)]]/Tabela1[[#This Row],[CMS(kg)]],0)</f>
        <v>0</v>
      </c>
    </row>
    <row r="706" spans="2:37" hidden="1">
      <c r="B706" s="774">
        <f>ROW()^2+(Tabela1[[#This Row],[ID2]])+ROW()</f>
        <v>499256</v>
      </c>
      <c r="C706" s="794">
        <v>114</v>
      </c>
      <c r="D706" s="794" t="s">
        <v>1273</v>
      </c>
      <c r="E706" s="795" t="s">
        <v>1276</v>
      </c>
      <c r="F706" s="795" t="s">
        <v>1277</v>
      </c>
      <c r="G706" s="795">
        <v>60</v>
      </c>
      <c r="H706" s="795" t="s">
        <v>1</v>
      </c>
      <c r="I706" s="796" t="s">
        <v>1286</v>
      </c>
      <c r="J706" s="794"/>
      <c r="K706" s="794"/>
      <c r="L706" s="797">
        <v>0</v>
      </c>
      <c r="M706" s="778">
        <v>1.5</v>
      </c>
      <c r="N706" s="798">
        <v>1000</v>
      </c>
      <c r="O706" s="798">
        <v>1000</v>
      </c>
      <c r="P706" s="784">
        <v>1</v>
      </c>
      <c r="Q706" s="784">
        <v>1</v>
      </c>
      <c r="R706" s="799">
        <v>75</v>
      </c>
      <c r="S706" s="784">
        <v>10000</v>
      </c>
      <c r="T706" s="784">
        <v>10000</v>
      </c>
      <c r="U706" s="784">
        <v>7.5</v>
      </c>
      <c r="V706" s="784">
        <v>26.999999999999996</v>
      </c>
      <c r="W706" s="784">
        <v>45</v>
      </c>
      <c r="X706" s="784">
        <v>6</v>
      </c>
      <c r="Y706" s="784">
        <v>37.5</v>
      </c>
      <c r="Z706" s="784">
        <v>1125</v>
      </c>
      <c r="AA706" s="784">
        <v>750</v>
      </c>
      <c r="AB706" s="784">
        <v>1500</v>
      </c>
      <c r="AC706" s="784">
        <v>75</v>
      </c>
      <c r="AD706" s="784">
        <v>15</v>
      </c>
      <c r="AE706" s="784">
        <v>3</v>
      </c>
      <c r="AF706" s="784">
        <v>1000000</v>
      </c>
      <c r="AG706" s="784">
        <v>100000</v>
      </c>
      <c r="AH706" s="784">
        <v>100000</v>
      </c>
      <c r="AI706" s="784"/>
      <c r="AK706" s="783">
        <f>IFERROR(Tabela1[[#This Row],[EE(g)]]/Tabela1[[#This Row],[CMS(kg)]],0)</f>
        <v>50</v>
      </c>
    </row>
    <row r="707" spans="2:37" hidden="1">
      <c r="B707" s="774">
        <f>ROW()^2+(Tabela1[[#This Row],[ID2]])+ROW()</f>
        <v>500671</v>
      </c>
      <c r="C707" s="794">
        <v>115</v>
      </c>
      <c r="D707" s="794" t="s">
        <v>1273</v>
      </c>
      <c r="E707" s="795" t="s">
        <v>1276</v>
      </c>
      <c r="F707" s="795" t="s">
        <v>1277</v>
      </c>
      <c r="G707" s="795">
        <v>70</v>
      </c>
      <c r="H707" s="795" t="s">
        <v>0</v>
      </c>
      <c r="I707" s="796" t="s">
        <v>1266</v>
      </c>
      <c r="J707" s="794"/>
      <c r="K707" s="794"/>
      <c r="L707" s="797">
        <v>0</v>
      </c>
      <c r="M707" s="778">
        <v>0</v>
      </c>
      <c r="N707" s="798">
        <v>160</v>
      </c>
      <c r="O707" s="798">
        <v>72.599999999999994</v>
      </c>
      <c r="P707" s="784">
        <v>0.66</v>
      </c>
      <c r="Q707" s="784">
        <v>0.44800000000000006</v>
      </c>
      <c r="R707" s="799">
        <v>0</v>
      </c>
      <c r="S707" s="784">
        <v>11.200000000000001</v>
      </c>
      <c r="T707" s="784">
        <v>8</v>
      </c>
      <c r="U707" s="784">
        <v>2.4</v>
      </c>
      <c r="V707" s="784">
        <v>2.4</v>
      </c>
      <c r="W707" s="784">
        <v>10.4</v>
      </c>
      <c r="X707" s="784">
        <v>3.2</v>
      </c>
      <c r="Y707" s="784">
        <v>11.200000000000001</v>
      </c>
      <c r="Z707" s="784">
        <v>80</v>
      </c>
      <c r="AA707" s="784">
        <v>48</v>
      </c>
      <c r="AB707" s="784">
        <v>96</v>
      </c>
      <c r="AC707" s="784">
        <v>0.64000000000000012</v>
      </c>
      <c r="AD707" s="784">
        <v>0.32000000000000006</v>
      </c>
      <c r="AE707" s="784">
        <v>0.16000000000000003</v>
      </c>
      <c r="AF707" s="784">
        <v>5600</v>
      </c>
      <c r="AG707" s="784">
        <v>480</v>
      </c>
      <c r="AH707" s="784">
        <v>32</v>
      </c>
      <c r="AI707" s="784"/>
      <c r="AK707" s="783">
        <f>IFERROR(Tabela1[[#This Row],[EE(g)]]/Tabela1[[#This Row],[CMS(kg)]],0)</f>
        <v>0</v>
      </c>
    </row>
    <row r="708" spans="2:37" hidden="1">
      <c r="B708" s="774">
        <f>ROW()^2+(Tabela1[[#This Row],[ID2]])+ROW()</f>
        <v>502088</v>
      </c>
      <c r="C708" s="794">
        <v>116</v>
      </c>
      <c r="D708" s="794" t="s">
        <v>1273</v>
      </c>
      <c r="E708" s="795" t="s">
        <v>1276</v>
      </c>
      <c r="F708" s="795" t="s">
        <v>1277</v>
      </c>
      <c r="G708" s="795">
        <v>70</v>
      </c>
      <c r="H708" s="795" t="s">
        <v>1</v>
      </c>
      <c r="I708" s="796" t="s">
        <v>1266</v>
      </c>
      <c r="J708" s="794"/>
      <c r="K708" s="794"/>
      <c r="L708" s="797">
        <v>0</v>
      </c>
      <c r="M708" s="778">
        <v>1.6</v>
      </c>
      <c r="N708" s="798">
        <v>1000</v>
      </c>
      <c r="O708" s="798">
        <v>1000</v>
      </c>
      <c r="P708" s="784">
        <v>1</v>
      </c>
      <c r="Q708" s="784">
        <v>1</v>
      </c>
      <c r="R708" s="799">
        <v>80</v>
      </c>
      <c r="S708" s="784">
        <v>10000</v>
      </c>
      <c r="T708" s="784">
        <v>10000</v>
      </c>
      <c r="U708" s="784">
        <v>8</v>
      </c>
      <c r="V708" s="784">
        <v>28.799999999999997</v>
      </c>
      <c r="W708" s="784">
        <v>48</v>
      </c>
      <c r="X708" s="784">
        <v>6.4</v>
      </c>
      <c r="Y708" s="784">
        <v>40</v>
      </c>
      <c r="Z708" s="784">
        <v>1200</v>
      </c>
      <c r="AA708" s="784">
        <v>800</v>
      </c>
      <c r="AB708" s="784">
        <v>1600</v>
      </c>
      <c r="AC708" s="784">
        <v>80</v>
      </c>
      <c r="AD708" s="784">
        <v>16</v>
      </c>
      <c r="AE708" s="784">
        <v>3.2</v>
      </c>
      <c r="AF708" s="784">
        <v>1000000</v>
      </c>
      <c r="AG708" s="784">
        <v>100000</v>
      </c>
      <c r="AH708" s="784">
        <v>100000</v>
      </c>
      <c r="AI708" s="784"/>
      <c r="AK708" s="783">
        <f>IFERROR(Tabela1[[#This Row],[EE(g)]]/Tabela1[[#This Row],[CMS(kg)]],0)</f>
        <v>50</v>
      </c>
    </row>
    <row r="709" spans="2:37" hidden="1">
      <c r="B709" s="774">
        <f>ROW()^2+(Tabela1[[#This Row],[ID2]])+ROW()</f>
        <v>503507</v>
      </c>
      <c r="C709" s="794">
        <v>117</v>
      </c>
      <c r="D709" s="794" t="s">
        <v>1273</v>
      </c>
      <c r="E709" s="795" t="s">
        <v>1276</v>
      </c>
      <c r="F709" s="795" t="s">
        <v>1277</v>
      </c>
      <c r="G709" s="795">
        <v>70</v>
      </c>
      <c r="H709" s="795" t="s">
        <v>0</v>
      </c>
      <c r="I709" s="796" t="s">
        <v>1285</v>
      </c>
      <c r="J709" s="794"/>
      <c r="K709" s="794"/>
      <c r="L709" s="797">
        <v>0</v>
      </c>
      <c r="M709" s="778">
        <v>0</v>
      </c>
      <c r="N709" s="798">
        <v>160</v>
      </c>
      <c r="O709" s="798">
        <v>85.8</v>
      </c>
      <c r="P709" s="784">
        <v>0.78</v>
      </c>
      <c r="Q709" s="784">
        <v>0.44800000000000006</v>
      </c>
      <c r="R709" s="799">
        <v>0</v>
      </c>
      <c r="S709" s="784">
        <v>11.200000000000001</v>
      </c>
      <c r="T709" s="784">
        <v>8</v>
      </c>
      <c r="U709" s="784">
        <v>2.4</v>
      </c>
      <c r="V709" s="784">
        <v>2.4</v>
      </c>
      <c r="W709" s="784">
        <v>10.4</v>
      </c>
      <c r="X709" s="784">
        <v>3.2</v>
      </c>
      <c r="Y709" s="784">
        <v>11.200000000000001</v>
      </c>
      <c r="Z709" s="784">
        <v>80</v>
      </c>
      <c r="AA709" s="784">
        <v>48</v>
      </c>
      <c r="AB709" s="784">
        <v>96</v>
      </c>
      <c r="AC709" s="784">
        <v>0.64000000000000012</v>
      </c>
      <c r="AD709" s="784">
        <v>0.32000000000000006</v>
      </c>
      <c r="AE709" s="784">
        <v>0.16000000000000003</v>
      </c>
      <c r="AF709" s="784">
        <v>5600</v>
      </c>
      <c r="AG709" s="784">
        <v>480</v>
      </c>
      <c r="AH709" s="784">
        <v>32</v>
      </c>
      <c r="AI709" s="784"/>
      <c r="AK709" s="783">
        <f>IFERROR(Tabela1[[#This Row],[EE(g)]]/Tabela1[[#This Row],[CMS(kg)]],0)</f>
        <v>0</v>
      </c>
    </row>
    <row r="710" spans="2:37" hidden="1">
      <c r="B710" s="774">
        <f>ROW()^2+(Tabela1[[#This Row],[ID2]])+ROW()</f>
        <v>504928</v>
      </c>
      <c r="C710" s="794">
        <v>118</v>
      </c>
      <c r="D710" s="794" t="s">
        <v>1273</v>
      </c>
      <c r="E710" s="795" t="s">
        <v>1276</v>
      </c>
      <c r="F710" s="795" t="s">
        <v>1277</v>
      </c>
      <c r="G710" s="795">
        <v>70</v>
      </c>
      <c r="H710" s="795" t="s">
        <v>1</v>
      </c>
      <c r="I710" s="796" t="s">
        <v>1285</v>
      </c>
      <c r="J710" s="794"/>
      <c r="K710" s="794"/>
      <c r="L710" s="797">
        <v>0</v>
      </c>
      <c r="M710" s="778">
        <v>1.6</v>
      </c>
      <c r="N710" s="798">
        <v>1000</v>
      </c>
      <c r="O710" s="798">
        <v>1000</v>
      </c>
      <c r="P710" s="784">
        <v>1</v>
      </c>
      <c r="Q710" s="784">
        <v>1</v>
      </c>
      <c r="R710" s="799">
        <v>80</v>
      </c>
      <c r="S710" s="784">
        <v>10000</v>
      </c>
      <c r="T710" s="784">
        <v>10000</v>
      </c>
      <c r="U710" s="784">
        <v>8</v>
      </c>
      <c r="V710" s="784">
        <v>28.799999999999997</v>
      </c>
      <c r="W710" s="784">
        <v>48</v>
      </c>
      <c r="X710" s="784">
        <v>6.4</v>
      </c>
      <c r="Y710" s="784">
        <v>40</v>
      </c>
      <c r="Z710" s="784">
        <v>1200</v>
      </c>
      <c r="AA710" s="784">
        <v>800</v>
      </c>
      <c r="AB710" s="784">
        <v>1600</v>
      </c>
      <c r="AC710" s="784">
        <v>80</v>
      </c>
      <c r="AD710" s="784">
        <v>16</v>
      </c>
      <c r="AE710" s="784">
        <v>3.2</v>
      </c>
      <c r="AF710" s="784">
        <v>1000000</v>
      </c>
      <c r="AG710" s="784">
        <v>100000</v>
      </c>
      <c r="AH710" s="784">
        <v>100000</v>
      </c>
      <c r="AI710" s="784"/>
      <c r="AK710" s="783">
        <f>IFERROR(Tabela1[[#This Row],[EE(g)]]/Tabela1[[#This Row],[CMS(kg)]],0)</f>
        <v>50</v>
      </c>
    </row>
    <row r="711" spans="2:37" hidden="1">
      <c r="B711" s="774">
        <f>ROW()^2+(Tabela1[[#This Row],[ID2]])+ROW()</f>
        <v>506351</v>
      </c>
      <c r="C711" s="794">
        <v>119</v>
      </c>
      <c r="D711" s="794" t="s">
        <v>1273</v>
      </c>
      <c r="E711" s="795" t="s">
        <v>1276</v>
      </c>
      <c r="F711" s="795" t="s">
        <v>1277</v>
      </c>
      <c r="G711" s="795">
        <v>70</v>
      </c>
      <c r="H711" s="795" t="s">
        <v>0</v>
      </c>
      <c r="I711" s="796" t="s">
        <v>1286</v>
      </c>
      <c r="J711" s="794"/>
      <c r="K711" s="794"/>
      <c r="L711" s="797">
        <v>0</v>
      </c>
      <c r="M711" s="778">
        <v>0</v>
      </c>
      <c r="N711" s="798">
        <v>160</v>
      </c>
      <c r="O711" s="798">
        <v>95.7</v>
      </c>
      <c r="P711" s="784">
        <v>0.87</v>
      </c>
      <c r="Q711" s="784">
        <v>0.44800000000000006</v>
      </c>
      <c r="R711" s="799">
        <v>0</v>
      </c>
      <c r="S711" s="784">
        <v>11.200000000000001</v>
      </c>
      <c r="T711" s="784">
        <v>8</v>
      </c>
      <c r="U711" s="784">
        <v>2.4</v>
      </c>
      <c r="V711" s="784">
        <v>2.4</v>
      </c>
      <c r="W711" s="784">
        <v>10.4</v>
      </c>
      <c r="X711" s="784">
        <v>3.2</v>
      </c>
      <c r="Y711" s="784">
        <v>11.200000000000001</v>
      </c>
      <c r="Z711" s="784">
        <v>80</v>
      </c>
      <c r="AA711" s="784">
        <v>48</v>
      </c>
      <c r="AB711" s="784">
        <v>96</v>
      </c>
      <c r="AC711" s="784">
        <v>0.64000000000000012</v>
      </c>
      <c r="AD711" s="784">
        <v>0.32000000000000006</v>
      </c>
      <c r="AE711" s="784">
        <v>0.16000000000000003</v>
      </c>
      <c r="AF711" s="784">
        <v>5600</v>
      </c>
      <c r="AG711" s="784">
        <v>480</v>
      </c>
      <c r="AH711" s="784">
        <v>32</v>
      </c>
      <c r="AI711" s="784"/>
      <c r="AK711" s="783">
        <f>IFERROR(Tabela1[[#This Row],[EE(g)]]/Tabela1[[#This Row],[CMS(kg)]],0)</f>
        <v>0</v>
      </c>
    </row>
    <row r="712" spans="2:37" hidden="1">
      <c r="B712" s="774">
        <f>ROW()^2+(Tabela1[[#This Row],[ID2]])+ROW()</f>
        <v>507776</v>
      </c>
      <c r="C712" s="794">
        <v>120</v>
      </c>
      <c r="D712" s="794" t="s">
        <v>1273</v>
      </c>
      <c r="E712" s="795" t="s">
        <v>1276</v>
      </c>
      <c r="F712" s="795" t="s">
        <v>1277</v>
      </c>
      <c r="G712" s="795">
        <v>70</v>
      </c>
      <c r="H712" s="795" t="s">
        <v>1</v>
      </c>
      <c r="I712" s="796" t="s">
        <v>1286</v>
      </c>
      <c r="J712" s="794"/>
      <c r="K712" s="794"/>
      <c r="L712" s="797">
        <v>0</v>
      </c>
      <c r="M712" s="778">
        <v>1.6</v>
      </c>
      <c r="N712" s="798">
        <v>1000</v>
      </c>
      <c r="O712" s="798">
        <v>1000</v>
      </c>
      <c r="P712" s="784">
        <v>1</v>
      </c>
      <c r="Q712" s="784">
        <v>1</v>
      </c>
      <c r="R712" s="799">
        <v>80</v>
      </c>
      <c r="S712" s="784">
        <v>10000</v>
      </c>
      <c r="T712" s="784">
        <v>10000</v>
      </c>
      <c r="U712" s="784">
        <v>8</v>
      </c>
      <c r="V712" s="784">
        <v>28.799999999999997</v>
      </c>
      <c r="W712" s="784">
        <v>48</v>
      </c>
      <c r="X712" s="784">
        <v>6.4</v>
      </c>
      <c r="Y712" s="784">
        <v>40</v>
      </c>
      <c r="Z712" s="784">
        <v>1200</v>
      </c>
      <c r="AA712" s="784">
        <v>800</v>
      </c>
      <c r="AB712" s="784">
        <v>1600</v>
      </c>
      <c r="AC712" s="784">
        <v>80</v>
      </c>
      <c r="AD712" s="784">
        <v>16</v>
      </c>
      <c r="AE712" s="784">
        <v>3.2</v>
      </c>
      <c r="AF712" s="784">
        <v>1000000</v>
      </c>
      <c r="AG712" s="784">
        <v>100000</v>
      </c>
      <c r="AH712" s="784">
        <v>100000</v>
      </c>
      <c r="AI712" s="784"/>
      <c r="AK712" s="783">
        <f>IFERROR(Tabela1[[#This Row],[EE(g)]]/Tabela1[[#This Row],[CMS(kg)]],0)</f>
        <v>50</v>
      </c>
    </row>
    <row r="713" spans="2:37" hidden="1">
      <c r="B713" s="774">
        <f>ROW()^2+(Tabela1[[#This Row],[ID2]])+ROW()</f>
        <v>509203</v>
      </c>
      <c r="C713" s="794">
        <v>121</v>
      </c>
      <c r="D713" s="794" t="s">
        <v>1273</v>
      </c>
      <c r="E713" s="795" t="s">
        <v>1276</v>
      </c>
      <c r="F713" s="795" t="s">
        <v>1277</v>
      </c>
      <c r="G713" s="795">
        <v>80</v>
      </c>
      <c r="H713" s="795" t="s">
        <v>0</v>
      </c>
      <c r="I713" s="796" t="s">
        <v>1266</v>
      </c>
      <c r="J713" s="794"/>
      <c r="K713" s="794"/>
      <c r="L713" s="797">
        <v>0</v>
      </c>
      <c r="M713" s="778">
        <v>0</v>
      </c>
      <c r="N713" s="798">
        <v>170</v>
      </c>
      <c r="O713" s="798">
        <v>81.400000000000006</v>
      </c>
      <c r="P713" s="784">
        <v>0.74</v>
      </c>
      <c r="Q713" s="784">
        <v>0.47600000000000003</v>
      </c>
      <c r="R713" s="799">
        <v>0</v>
      </c>
      <c r="S713" s="784">
        <v>11.9</v>
      </c>
      <c r="T713" s="784">
        <v>8.5</v>
      </c>
      <c r="U713" s="784">
        <v>2.5500000000000003</v>
      </c>
      <c r="V713" s="784">
        <v>2.5500000000000003</v>
      </c>
      <c r="W713" s="784">
        <v>11.049999999999999</v>
      </c>
      <c r="X713" s="784">
        <v>3.4</v>
      </c>
      <c r="Y713" s="784">
        <v>11.9</v>
      </c>
      <c r="Z713" s="784">
        <v>85</v>
      </c>
      <c r="AA713" s="784">
        <v>51</v>
      </c>
      <c r="AB713" s="784">
        <v>102</v>
      </c>
      <c r="AC713" s="784">
        <v>0.68</v>
      </c>
      <c r="AD713" s="784">
        <v>0.34</v>
      </c>
      <c r="AE713" s="784">
        <v>0.17</v>
      </c>
      <c r="AF713" s="784">
        <v>5950</v>
      </c>
      <c r="AG713" s="784">
        <v>510</v>
      </c>
      <c r="AH713" s="784">
        <v>34</v>
      </c>
      <c r="AI713" s="784"/>
      <c r="AK713" s="783">
        <f>IFERROR(Tabela1[[#This Row],[EE(g)]]/Tabela1[[#This Row],[CMS(kg)]],0)</f>
        <v>0</v>
      </c>
    </row>
    <row r="714" spans="2:37" hidden="1">
      <c r="B714" s="774">
        <f>ROW()^2+(Tabela1[[#This Row],[ID2]])+ROW()</f>
        <v>510632</v>
      </c>
      <c r="C714" s="794">
        <v>122</v>
      </c>
      <c r="D714" s="794" t="s">
        <v>1273</v>
      </c>
      <c r="E714" s="795" t="s">
        <v>1276</v>
      </c>
      <c r="F714" s="795" t="s">
        <v>1277</v>
      </c>
      <c r="G714" s="795">
        <v>80</v>
      </c>
      <c r="H714" s="795" t="s">
        <v>1</v>
      </c>
      <c r="I714" s="796" t="s">
        <v>1266</v>
      </c>
      <c r="J714" s="794"/>
      <c r="K714" s="794"/>
      <c r="L714" s="797">
        <v>0</v>
      </c>
      <c r="M714" s="778">
        <v>1.7</v>
      </c>
      <c r="N714" s="798">
        <v>1000</v>
      </c>
      <c r="O714" s="798">
        <v>1000</v>
      </c>
      <c r="P714" s="784">
        <v>1</v>
      </c>
      <c r="Q714" s="784">
        <v>1</v>
      </c>
      <c r="R714" s="799">
        <v>85</v>
      </c>
      <c r="S714" s="784">
        <v>10000</v>
      </c>
      <c r="T714" s="784">
        <v>10000</v>
      </c>
      <c r="U714" s="784">
        <v>8.5</v>
      </c>
      <c r="V714" s="784">
        <v>30.599999999999998</v>
      </c>
      <c r="W714" s="784">
        <v>51</v>
      </c>
      <c r="X714" s="784">
        <v>6.8</v>
      </c>
      <c r="Y714" s="784">
        <v>42.5</v>
      </c>
      <c r="Z714" s="784">
        <v>1275</v>
      </c>
      <c r="AA714" s="784">
        <v>850</v>
      </c>
      <c r="AB714" s="784">
        <v>1700</v>
      </c>
      <c r="AC714" s="784">
        <v>85</v>
      </c>
      <c r="AD714" s="784">
        <v>17</v>
      </c>
      <c r="AE714" s="784">
        <v>3.4</v>
      </c>
      <c r="AF714" s="784">
        <v>1000000</v>
      </c>
      <c r="AG714" s="784">
        <v>100000</v>
      </c>
      <c r="AH714" s="784">
        <v>100000</v>
      </c>
      <c r="AI714" s="784"/>
      <c r="AK714" s="783">
        <f>IFERROR(Tabela1[[#This Row],[EE(g)]]/Tabela1[[#This Row],[CMS(kg)]],0)</f>
        <v>50</v>
      </c>
    </row>
    <row r="715" spans="2:37" hidden="1">
      <c r="B715" s="774">
        <f>ROW()^2+(Tabela1[[#This Row],[ID2]])+ROW()</f>
        <v>512063</v>
      </c>
      <c r="C715" s="794">
        <v>123</v>
      </c>
      <c r="D715" s="794" t="s">
        <v>1273</v>
      </c>
      <c r="E715" s="795" t="s">
        <v>1276</v>
      </c>
      <c r="F715" s="795" t="s">
        <v>1277</v>
      </c>
      <c r="G715" s="795">
        <v>80</v>
      </c>
      <c r="H715" s="795" t="s">
        <v>0</v>
      </c>
      <c r="I715" s="796" t="s">
        <v>1285</v>
      </c>
      <c r="J715" s="794"/>
      <c r="K715" s="794"/>
      <c r="L715" s="797">
        <v>0</v>
      </c>
      <c r="M715" s="778">
        <v>0</v>
      </c>
      <c r="N715" s="798">
        <v>170</v>
      </c>
      <c r="O715" s="798">
        <v>95.7</v>
      </c>
      <c r="P715" s="784">
        <v>0.87</v>
      </c>
      <c r="Q715" s="784">
        <v>0.47600000000000003</v>
      </c>
      <c r="R715" s="799">
        <v>0</v>
      </c>
      <c r="S715" s="784">
        <v>11.9</v>
      </c>
      <c r="T715" s="784">
        <v>8.5</v>
      </c>
      <c r="U715" s="784">
        <v>2.5500000000000003</v>
      </c>
      <c r="V715" s="784">
        <v>2.5500000000000003</v>
      </c>
      <c r="W715" s="784">
        <v>11.049999999999999</v>
      </c>
      <c r="X715" s="784">
        <v>3.4</v>
      </c>
      <c r="Y715" s="784">
        <v>11.9</v>
      </c>
      <c r="Z715" s="784">
        <v>85</v>
      </c>
      <c r="AA715" s="784">
        <v>51</v>
      </c>
      <c r="AB715" s="784">
        <v>102</v>
      </c>
      <c r="AC715" s="784">
        <v>0.68</v>
      </c>
      <c r="AD715" s="784">
        <v>0.34</v>
      </c>
      <c r="AE715" s="784">
        <v>0.17</v>
      </c>
      <c r="AF715" s="784">
        <v>5950</v>
      </c>
      <c r="AG715" s="784">
        <v>510</v>
      </c>
      <c r="AH715" s="784">
        <v>34</v>
      </c>
      <c r="AI715" s="784"/>
      <c r="AK715" s="783">
        <f>IFERROR(Tabela1[[#This Row],[EE(g)]]/Tabela1[[#This Row],[CMS(kg)]],0)</f>
        <v>0</v>
      </c>
    </row>
    <row r="716" spans="2:37" hidden="1">
      <c r="B716" s="774">
        <f>ROW()^2+(Tabela1[[#This Row],[ID2]])+ROW()</f>
        <v>513496</v>
      </c>
      <c r="C716" s="794">
        <v>124</v>
      </c>
      <c r="D716" s="794" t="s">
        <v>1273</v>
      </c>
      <c r="E716" s="795" t="s">
        <v>1276</v>
      </c>
      <c r="F716" s="795" t="s">
        <v>1277</v>
      </c>
      <c r="G716" s="795">
        <v>80</v>
      </c>
      <c r="H716" s="795" t="s">
        <v>1</v>
      </c>
      <c r="I716" s="796" t="s">
        <v>1285</v>
      </c>
      <c r="J716" s="794"/>
      <c r="K716" s="794"/>
      <c r="L716" s="797">
        <v>0</v>
      </c>
      <c r="M716" s="778">
        <v>1.7</v>
      </c>
      <c r="N716" s="798">
        <v>1000</v>
      </c>
      <c r="O716" s="798">
        <v>1000</v>
      </c>
      <c r="P716" s="784">
        <v>1</v>
      </c>
      <c r="Q716" s="784">
        <v>1</v>
      </c>
      <c r="R716" s="799">
        <v>85</v>
      </c>
      <c r="S716" s="784">
        <v>10000</v>
      </c>
      <c r="T716" s="784">
        <v>10000</v>
      </c>
      <c r="U716" s="784">
        <v>8.5</v>
      </c>
      <c r="V716" s="784">
        <v>30.599999999999998</v>
      </c>
      <c r="W716" s="784">
        <v>51</v>
      </c>
      <c r="X716" s="784">
        <v>6.8</v>
      </c>
      <c r="Y716" s="784">
        <v>42.5</v>
      </c>
      <c r="Z716" s="784">
        <v>1275</v>
      </c>
      <c r="AA716" s="784">
        <v>850</v>
      </c>
      <c r="AB716" s="784">
        <v>1700</v>
      </c>
      <c r="AC716" s="784">
        <v>85</v>
      </c>
      <c r="AD716" s="784">
        <v>17</v>
      </c>
      <c r="AE716" s="784">
        <v>3.4</v>
      </c>
      <c r="AF716" s="784">
        <v>1000000</v>
      </c>
      <c r="AG716" s="784">
        <v>100000</v>
      </c>
      <c r="AH716" s="784">
        <v>100000</v>
      </c>
      <c r="AI716" s="784"/>
      <c r="AK716" s="783">
        <f>IFERROR(Tabela1[[#This Row],[EE(g)]]/Tabela1[[#This Row],[CMS(kg)]],0)</f>
        <v>50</v>
      </c>
    </row>
    <row r="717" spans="2:37" hidden="1">
      <c r="B717" s="774">
        <f>ROW()^2+(Tabela1[[#This Row],[ID2]])+ROW()</f>
        <v>514931</v>
      </c>
      <c r="C717" s="794">
        <v>125</v>
      </c>
      <c r="D717" s="794" t="s">
        <v>1273</v>
      </c>
      <c r="E717" s="795" t="s">
        <v>1276</v>
      </c>
      <c r="F717" s="795" t="s">
        <v>1277</v>
      </c>
      <c r="G717" s="795">
        <v>80</v>
      </c>
      <c r="H717" s="795" t="s">
        <v>0</v>
      </c>
      <c r="I717" s="796" t="s">
        <v>1286</v>
      </c>
      <c r="J717" s="794"/>
      <c r="K717" s="794"/>
      <c r="L717" s="797">
        <v>0</v>
      </c>
      <c r="M717" s="778">
        <v>0</v>
      </c>
      <c r="N717" s="798">
        <v>170</v>
      </c>
      <c r="O717" s="798">
        <v>106.7</v>
      </c>
      <c r="P717" s="784">
        <v>0.97</v>
      </c>
      <c r="Q717" s="784">
        <v>0.47600000000000003</v>
      </c>
      <c r="R717" s="799">
        <v>0</v>
      </c>
      <c r="S717" s="784">
        <v>11.9</v>
      </c>
      <c r="T717" s="784">
        <v>8.5</v>
      </c>
      <c r="U717" s="784">
        <v>2.5500000000000003</v>
      </c>
      <c r="V717" s="784">
        <v>2.5500000000000003</v>
      </c>
      <c r="W717" s="784">
        <v>11.049999999999999</v>
      </c>
      <c r="X717" s="784">
        <v>3.4</v>
      </c>
      <c r="Y717" s="784">
        <v>11.9</v>
      </c>
      <c r="Z717" s="784">
        <v>85</v>
      </c>
      <c r="AA717" s="784">
        <v>51</v>
      </c>
      <c r="AB717" s="784">
        <v>102</v>
      </c>
      <c r="AC717" s="784">
        <v>0.68</v>
      </c>
      <c r="AD717" s="784">
        <v>0.34</v>
      </c>
      <c r="AE717" s="784">
        <v>0.17</v>
      </c>
      <c r="AF717" s="784">
        <v>5950</v>
      </c>
      <c r="AG717" s="784">
        <v>510</v>
      </c>
      <c r="AH717" s="784">
        <v>34</v>
      </c>
      <c r="AI717" s="784"/>
      <c r="AK717" s="783">
        <f>IFERROR(Tabela1[[#This Row],[EE(g)]]/Tabela1[[#This Row],[CMS(kg)]],0)</f>
        <v>0</v>
      </c>
    </row>
    <row r="718" spans="2:37" hidden="1">
      <c r="B718" s="774">
        <f>ROW()^2+(Tabela1[[#This Row],[ID2]])+ROW()</f>
        <v>516368</v>
      </c>
      <c r="C718" s="794">
        <v>126</v>
      </c>
      <c r="D718" s="794" t="s">
        <v>1273</v>
      </c>
      <c r="E718" s="795" t="s">
        <v>1276</v>
      </c>
      <c r="F718" s="795" t="s">
        <v>1277</v>
      </c>
      <c r="G718" s="795">
        <v>80</v>
      </c>
      <c r="H718" s="795" t="s">
        <v>1</v>
      </c>
      <c r="I718" s="796" t="s">
        <v>1286</v>
      </c>
      <c r="J718" s="794"/>
      <c r="K718" s="794"/>
      <c r="L718" s="797">
        <v>0</v>
      </c>
      <c r="M718" s="778">
        <v>1.7</v>
      </c>
      <c r="N718" s="798">
        <v>1000</v>
      </c>
      <c r="O718" s="798">
        <v>1000</v>
      </c>
      <c r="P718" s="784">
        <v>1.5</v>
      </c>
      <c r="Q718" s="784">
        <v>10</v>
      </c>
      <c r="R718" s="799">
        <v>85</v>
      </c>
      <c r="S718" s="784">
        <v>10000</v>
      </c>
      <c r="T718" s="784">
        <v>10000</v>
      </c>
      <c r="U718" s="784">
        <v>8.5</v>
      </c>
      <c r="V718" s="784">
        <v>30.599999999999998</v>
      </c>
      <c r="W718" s="784">
        <v>51</v>
      </c>
      <c r="X718" s="784">
        <v>6.8</v>
      </c>
      <c r="Y718" s="784">
        <v>42.5</v>
      </c>
      <c r="Z718" s="784">
        <v>1275</v>
      </c>
      <c r="AA718" s="784">
        <v>850</v>
      </c>
      <c r="AB718" s="784">
        <v>1700</v>
      </c>
      <c r="AC718" s="784">
        <v>85</v>
      </c>
      <c r="AD718" s="784">
        <v>17</v>
      </c>
      <c r="AE718" s="784">
        <v>3.4</v>
      </c>
      <c r="AF718" s="784">
        <v>1000000</v>
      </c>
      <c r="AG718" s="784">
        <v>100000</v>
      </c>
      <c r="AH718" s="784">
        <v>100000</v>
      </c>
      <c r="AI718" s="784"/>
      <c r="AK718" s="783">
        <f>IFERROR(Tabela1[[#This Row],[EE(g)]]/Tabela1[[#This Row],[CMS(kg)]],0)</f>
        <v>50</v>
      </c>
    </row>
    <row r="719" spans="2:37" hidden="1">
      <c r="B719" s="774">
        <f>ROW()^2+(Tabela1[[#This Row],[ID2]])+ROW()</f>
        <v>517807</v>
      </c>
      <c r="C719" s="794">
        <v>127</v>
      </c>
      <c r="D719" s="794" t="s">
        <v>1273</v>
      </c>
      <c r="E719" s="795" t="s">
        <v>1276</v>
      </c>
      <c r="F719" s="795" t="s">
        <v>1277</v>
      </c>
      <c r="G719" s="795">
        <v>90</v>
      </c>
      <c r="H719" s="795" t="s">
        <v>0</v>
      </c>
      <c r="I719" s="796" t="s">
        <v>1266</v>
      </c>
      <c r="J719" s="794"/>
      <c r="K719" s="794"/>
      <c r="L719" s="797">
        <v>0</v>
      </c>
      <c r="M719" s="778">
        <v>0</v>
      </c>
      <c r="N719" s="798">
        <v>180</v>
      </c>
      <c r="O719" s="798">
        <v>91.3</v>
      </c>
      <c r="P719" s="784">
        <v>0.83</v>
      </c>
      <c r="Q719" s="784">
        <v>0.504</v>
      </c>
      <c r="R719" s="799">
        <v>0</v>
      </c>
      <c r="S719" s="784">
        <v>12.6</v>
      </c>
      <c r="T719" s="784">
        <v>9</v>
      </c>
      <c r="U719" s="784">
        <v>2.7</v>
      </c>
      <c r="V719" s="784">
        <v>2.7</v>
      </c>
      <c r="W719" s="784">
        <v>11.7</v>
      </c>
      <c r="X719" s="784">
        <v>3.6</v>
      </c>
      <c r="Y719" s="784">
        <v>12.6</v>
      </c>
      <c r="Z719" s="784">
        <v>90</v>
      </c>
      <c r="AA719" s="784">
        <v>54</v>
      </c>
      <c r="AB719" s="784">
        <v>108</v>
      </c>
      <c r="AC719" s="784">
        <v>0.72000000000000008</v>
      </c>
      <c r="AD719" s="784">
        <v>0.36000000000000004</v>
      </c>
      <c r="AE719" s="784">
        <v>0.18000000000000002</v>
      </c>
      <c r="AF719" s="784">
        <v>6300</v>
      </c>
      <c r="AG719" s="784">
        <v>540</v>
      </c>
      <c r="AH719" s="784">
        <v>36</v>
      </c>
      <c r="AI719" s="784"/>
      <c r="AK719" s="783">
        <f>IFERROR(Tabela1[[#This Row],[EE(g)]]/Tabela1[[#This Row],[CMS(kg)]],0)</f>
        <v>0</v>
      </c>
    </row>
    <row r="720" spans="2:37" hidden="1">
      <c r="B720" s="774">
        <f>ROW()^2+(Tabela1[[#This Row],[ID2]])+ROW()</f>
        <v>519248</v>
      </c>
      <c r="C720" s="794">
        <v>128</v>
      </c>
      <c r="D720" s="794" t="s">
        <v>1273</v>
      </c>
      <c r="E720" s="795" t="s">
        <v>1276</v>
      </c>
      <c r="F720" s="795" t="s">
        <v>1277</v>
      </c>
      <c r="G720" s="795">
        <v>90</v>
      </c>
      <c r="H720" s="795" t="s">
        <v>1</v>
      </c>
      <c r="I720" s="796" t="s">
        <v>1266</v>
      </c>
      <c r="J720" s="794"/>
      <c r="K720" s="794"/>
      <c r="L720" s="797">
        <v>0</v>
      </c>
      <c r="M720" s="778">
        <v>1.8</v>
      </c>
      <c r="N720" s="798">
        <v>1000</v>
      </c>
      <c r="O720" s="798">
        <v>1000</v>
      </c>
      <c r="P720" s="784">
        <v>1</v>
      </c>
      <c r="Q720" s="784">
        <v>10</v>
      </c>
      <c r="R720" s="799">
        <v>90</v>
      </c>
      <c r="S720" s="784">
        <v>10000</v>
      </c>
      <c r="T720" s="784">
        <v>10000</v>
      </c>
      <c r="U720" s="784">
        <v>9</v>
      </c>
      <c r="V720" s="784">
        <v>32.4</v>
      </c>
      <c r="W720" s="784">
        <v>54</v>
      </c>
      <c r="X720" s="784">
        <v>7.2</v>
      </c>
      <c r="Y720" s="784">
        <v>45</v>
      </c>
      <c r="Z720" s="784">
        <v>1350</v>
      </c>
      <c r="AA720" s="784">
        <v>900</v>
      </c>
      <c r="AB720" s="784">
        <v>1800</v>
      </c>
      <c r="AC720" s="784">
        <v>90</v>
      </c>
      <c r="AD720" s="784">
        <v>18</v>
      </c>
      <c r="AE720" s="784">
        <v>3.6</v>
      </c>
      <c r="AF720" s="784">
        <v>1000000</v>
      </c>
      <c r="AG720" s="784">
        <v>100000</v>
      </c>
      <c r="AH720" s="784">
        <v>100000</v>
      </c>
      <c r="AI720" s="784"/>
      <c r="AK720" s="783">
        <f>IFERROR(Tabela1[[#This Row],[EE(g)]]/Tabela1[[#This Row],[CMS(kg)]],0)</f>
        <v>50</v>
      </c>
    </row>
    <row r="721" spans="2:37" hidden="1">
      <c r="B721" s="774">
        <f>ROW()^2+(Tabela1[[#This Row],[ID2]])+ROW()</f>
        <v>520691</v>
      </c>
      <c r="C721" s="794">
        <v>129</v>
      </c>
      <c r="D721" s="794" t="s">
        <v>1273</v>
      </c>
      <c r="E721" s="795" t="s">
        <v>1276</v>
      </c>
      <c r="F721" s="795" t="s">
        <v>1277</v>
      </c>
      <c r="G721" s="795">
        <v>90</v>
      </c>
      <c r="H721" s="795" t="s">
        <v>0</v>
      </c>
      <c r="I721" s="796" t="s">
        <v>1285</v>
      </c>
      <c r="J721" s="794"/>
      <c r="K721" s="794"/>
      <c r="L721" s="797">
        <v>0</v>
      </c>
      <c r="M721" s="778">
        <v>0</v>
      </c>
      <c r="N721" s="798">
        <v>180</v>
      </c>
      <c r="O721" s="798">
        <v>106.7</v>
      </c>
      <c r="P721" s="784">
        <v>0.97</v>
      </c>
      <c r="Q721" s="784">
        <v>0.504</v>
      </c>
      <c r="R721" s="799">
        <v>0</v>
      </c>
      <c r="S721" s="784">
        <v>12.6</v>
      </c>
      <c r="T721" s="784">
        <v>9</v>
      </c>
      <c r="U721" s="784">
        <v>2.7</v>
      </c>
      <c r="V721" s="784">
        <v>2.7</v>
      </c>
      <c r="W721" s="784">
        <v>11.7</v>
      </c>
      <c r="X721" s="784">
        <v>3.6</v>
      </c>
      <c r="Y721" s="784">
        <v>12.6</v>
      </c>
      <c r="Z721" s="784">
        <v>90</v>
      </c>
      <c r="AA721" s="784">
        <v>54</v>
      </c>
      <c r="AB721" s="784">
        <v>108</v>
      </c>
      <c r="AC721" s="784">
        <v>0.72000000000000008</v>
      </c>
      <c r="AD721" s="784">
        <v>0.36000000000000004</v>
      </c>
      <c r="AE721" s="784">
        <v>0.18000000000000002</v>
      </c>
      <c r="AF721" s="784">
        <v>6300</v>
      </c>
      <c r="AG721" s="784">
        <v>540</v>
      </c>
      <c r="AH721" s="784">
        <v>36</v>
      </c>
      <c r="AI721" s="784"/>
      <c r="AK721" s="783">
        <f>IFERROR(Tabela1[[#This Row],[EE(g)]]/Tabela1[[#This Row],[CMS(kg)]],0)</f>
        <v>0</v>
      </c>
    </row>
    <row r="722" spans="2:37" hidden="1">
      <c r="B722" s="774">
        <f>ROW()^2+(Tabela1[[#This Row],[ID2]])+ROW()</f>
        <v>522136</v>
      </c>
      <c r="C722" s="794">
        <v>130</v>
      </c>
      <c r="D722" s="794" t="s">
        <v>1273</v>
      </c>
      <c r="E722" s="795" t="s">
        <v>1276</v>
      </c>
      <c r="F722" s="795" t="s">
        <v>1277</v>
      </c>
      <c r="G722" s="795">
        <v>90</v>
      </c>
      <c r="H722" s="795" t="s">
        <v>1</v>
      </c>
      <c r="I722" s="796" t="s">
        <v>1285</v>
      </c>
      <c r="J722" s="794"/>
      <c r="K722" s="794"/>
      <c r="L722" s="797">
        <v>0</v>
      </c>
      <c r="M722" s="778">
        <v>1.8</v>
      </c>
      <c r="N722" s="798">
        <v>1000</v>
      </c>
      <c r="O722" s="798">
        <v>1000</v>
      </c>
      <c r="P722" s="784">
        <v>1.5</v>
      </c>
      <c r="Q722" s="784">
        <v>10</v>
      </c>
      <c r="R722" s="799">
        <v>90</v>
      </c>
      <c r="S722" s="784">
        <v>10000</v>
      </c>
      <c r="T722" s="784">
        <v>10000</v>
      </c>
      <c r="U722" s="784">
        <v>9</v>
      </c>
      <c r="V722" s="784">
        <v>32.4</v>
      </c>
      <c r="W722" s="784">
        <v>54</v>
      </c>
      <c r="X722" s="784">
        <v>7.2</v>
      </c>
      <c r="Y722" s="784">
        <v>45</v>
      </c>
      <c r="Z722" s="784">
        <v>1350</v>
      </c>
      <c r="AA722" s="784">
        <v>900</v>
      </c>
      <c r="AB722" s="784">
        <v>1800</v>
      </c>
      <c r="AC722" s="784">
        <v>90</v>
      </c>
      <c r="AD722" s="784">
        <v>18</v>
      </c>
      <c r="AE722" s="784">
        <v>3.6</v>
      </c>
      <c r="AF722" s="784">
        <v>1000000</v>
      </c>
      <c r="AG722" s="784">
        <v>100000</v>
      </c>
      <c r="AH722" s="784">
        <v>100000</v>
      </c>
      <c r="AI722" s="784"/>
      <c r="AK722" s="783">
        <f>IFERROR(Tabela1[[#This Row],[EE(g)]]/Tabela1[[#This Row],[CMS(kg)]],0)</f>
        <v>50</v>
      </c>
    </row>
    <row r="723" spans="2:37" hidden="1">
      <c r="B723" s="774">
        <f>ROW()^2+(Tabela1[[#This Row],[ID2]])+ROW()</f>
        <v>523583</v>
      </c>
      <c r="C723" s="794">
        <v>131</v>
      </c>
      <c r="D723" s="794" t="s">
        <v>1273</v>
      </c>
      <c r="E723" s="795" t="s">
        <v>1276</v>
      </c>
      <c r="F723" s="795" t="s">
        <v>1277</v>
      </c>
      <c r="G723" s="795">
        <v>90</v>
      </c>
      <c r="H723" s="795" t="s">
        <v>0</v>
      </c>
      <c r="I723" s="796" t="s">
        <v>1286</v>
      </c>
      <c r="J723" s="794"/>
      <c r="K723" s="794"/>
      <c r="L723" s="797">
        <v>0</v>
      </c>
      <c r="M723" s="778">
        <v>0</v>
      </c>
      <c r="N723" s="798">
        <v>180</v>
      </c>
      <c r="O723" s="798">
        <v>116.6</v>
      </c>
      <c r="P723" s="784">
        <v>1.06</v>
      </c>
      <c r="Q723" s="784">
        <v>0.504</v>
      </c>
      <c r="R723" s="799">
        <v>0</v>
      </c>
      <c r="S723" s="784">
        <v>12.6</v>
      </c>
      <c r="T723" s="784">
        <v>9</v>
      </c>
      <c r="U723" s="784">
        <v>2.7</v>
      </c>
      <c r="V723" s="784">
        <v>2.7</v>
      </c>
      <c r="W723" s="784">
        <v>11.7</v>
      </c>
      <c r="X723" s="784">
        <v>3.6</v>
      </c>
      <c r="Y723" s="784">
        <v>12.6</v>
      </c>
      <c r="Z723" s="784">
        <v>90</v>
      </c>
      <c r="AA723" s="784">
        <v>54</v>
      </c>
      <c r="AB723" s="784">
        <v>108</v>
      </c>
      <c r="AC723" s="784">
        <v>0.72000000000000008</v>
      </c>
      <c r="AD723" s="784">
        <v>0.36000000000000004</v>
      </c>
      <c r="AE723" s="784">
        <v>0.18000000000000002</v>
      </c>
      <c r="AF723" s="784">
        <v>6300</v>
      </c>
      <c r="AG723" s="784">
        <v>540</v>
      </c>
      <c r="AH723" s="784">
        <v>36</v>
      </c>
      <c r="AI723" s="784"/>
      <c r="AK723" s="783">
        <f>IFERROR(Tabela1[[#This Row],[EE(g)]]/Tabela1[[#This Row],[CMS(kg)]],0)</f>
        <v>0</v>
      </c>
    </row>
    <row r="724" spans="2:37" hidden="1">
      <c r="B724" s="774">
        <f>ROW()^2+(Tabela1[[#This Row],[ID2]])+ROW()</f>
        <v>525032</v>
      </c>
      <c r="C724" s="794">
        <v>132</v>
      </c>
      <c r="D724" s="794" t="s">
        <v>1273</v>
      </c>
      <c r="E724" s="795" t="s">
        <v>1276</v>
      </c>
      <c r="F724" s="795" t="s">
        <v>1277</v>
      </c>
      <c r="G724" s="795">
        <v>90</v>
      </c>
      <c r="H724" s="795" t="s">
        <v>1</v>
      </c>
      <c r="I724" s="796" t="s">
        <v>1286</v>
      </c>
      <c r="J724" s="794"/>
      <c r="K724" s="794"/>
      <c r="L724" s="797">
        <v>0</v>
      </c>
      <c r="M724" s="778">
        <v>1.8</v>
      </c>
      <c r="N724" s="798">
        <v>1000</v>
      </c>
      <c r="O724" s="798">
        <v>1000</v>
      </c>
      <c r="P724" s="784">
        <v>1.5</v>
      </c>
      <c r="Q724" s="784">
        <v>10</v>
      </c>
      <c r="R724" s="799">
        <v>90</v>
      </c>
      <c r="S724" s="784">
        <v>10000</v>
      </c>
      <c r="T724" s="784">
        <v>10000</v>
      </c>
      <c r="U724" s="784">
        <v>9</v>
      </c>
      <c r="V724" s="784">
        <v>32.4</v>
      </c>
      <c r="W724" s="784">
        <v>54</v>
      </c>
      <c r="X724" s="784">
        <v>7.2</v>
      </c>
      <c r="Y724" s="784">
        <v>45</v>
      </c>
      <c r="Z724" s="784">
        <v>1350</v>
      </c>
      <c r="AA724" s="784">
        <v>900</v>
      </c>
      <c r="AB724" s="784">
        <v>1800</v>
      </c>
      <c r="AC724" s="784">
        <v>90</v>
      </c>
      <c r="AD724" s="784">
        <v>18</v>
      </c>
      <c r="AE724" s="784">
        <v>3.6</v>
      </c>
      <c r="AF724" s="784">
        <v>1000000</v>
      </c>
      <c r="AG724" s="784">
        <v>100000</v>
      </c>
      <c r="AH724" s="784">
        <v>100000</v>
      </c>
      <c r="AI724" s="784"/>
      <c r="AK724" s="783">
        <f>IFERROR(Tabela1[[#This Row],[EE(g)]]/Tabela1[[#This Row],[CMS(kg)]],0)</f>
        <v>50</v>
      </c>
    </row>
    <row r="725" spans="2:37" hidden="1">
      <c r="B725" s="774">
        <f>ROW()^2+(Tabela1[[#This Row],[ID2]])+ROW()</f>
        <v>526483</v>
      </c>
      <c r="C725" s="794">
        <v>133</v>
      </c>
      <c r="D725" s="794" t="s">
        <v>1273</v>
      </c>
      <c r="E725" s="795" t="s">
        <v>1276</v>
      </c>
      <c r="F725" s="795" t="s">
        <v>1277</v>
      </c>
      <c r="G725" s="795">
        <v>100</v>
      </c>
      <c r="H725" s="795" t="s">
        <v>0</v>
      </c>
      <c r="I725" s="796" t="s">
        <v>1266</v>
      </c>
      <c r="J725" s="794"/>
      <c r="K725" s="794"/>
      <c r="L725" s="797">
        <v>0</v>
      </c>
      <c r="M725" s="778">
        <v>0</v>
      </c>
      <c r="N725" s="798">
        <v>190</v>
      </c>
      <c r="O725" s="798">
        <v>101.2</v>
      </c>
      <c r="P725" s="784">
        <v>0.92</v>
      </c>
      <c r="Q725" s="784">
        <v>0.53200000000000003</v>
      </c>
      <c r="R725" s="799">
        <v>0</v>
      </c>
      <c r="S725" s="784">
        <v>13.3</v>
      </c>
      <c r="T725" s="784">
        <v>9.5</v>
      </c>
      <c r="U725" s="784">
        <v>2.85</v>
      </c>
      <c r="V725" s="784">
        <v>2.85</v>
      </c>
      <c r="W725" s="784">
        <v>12.35</v>
      </c>
      <c r="X725" s="784">
        <v>3.8000000000000003</v>
      </c>
      <c r="Y725" s="784">
        <v>13.299999999999999</v>
      </c>
      <c r="Z725" s="784">
        <v>95</v>
      </c>
      <c r="AA725" s="784">
        <v>57</v>
      </c>
      <c r="AB725" s="784">
        <v>114</v>
      </c>
      <c r="AC725" s="784">
        <v>0.76</v>
      </c>
      <c r="AD725" s="784">
        <v>0.38</v>
      </c>
      <c r="AE725" s="784">
        <v>0.19</v>
      </c>
      <c r="AF725" s="784">
        <v>6650</v>
      </c>
      <c r="AG725" s="784">
        <v>570</v>
      </c>
      <c r="AH725" s="784">
        <v>38</v>
      </c>
      <c r="AI725" s="784"/>
      <c r="AK725" s="783">
        <f>IFERROR(Tabela1[[#This Row],[EE(g)]]/Tabela1[[#This Row],[CMS(kg)]],0)</f>
        <v>0</v>
      </c>
    </row>
    <row r="726" spans="2:37" hidden="1">
      <c r="B726" s="774">
        <f>ROW()^2+(Tabela1[[#This Row],[ID2]])+ROW()</f>
        <v>527936</v>
      </c>
      <c r="C726" s="794">
        <v>134</v>
      </c>
      <c r="D726" s="794" t="s">
        <v>1273</v>
      </c>
      <c r="E726" s="795" t="s">
        <v>1276</v>
      </c>
      <c r="F726" s="795" t="s">
        <v>1277</v>
      </c>
      <c r="G726" s="795">
        <v>100</v>
      </c>
      <c r="H726" s="795" t="s">
        <v>1</v>
      </c>
      <c r="I726" s="796" t="s">
        <v>1266</v>
      </c>
      <c r="J726" s="794"/>
      <c r="K726" s="794"/>
      <c r="L726" s="797">
        <v>0</v>
      </c>
      <c r="M726" s="778">
        <v>1.9</v>
      </c>
      <c r="N726" s="798">
        <v>1000</v>
      </c>
      <c r="O726" s="798">
        <v>1000</v>
      </c>
      <c r="P726" s="784">
        <v>1.2</v>
      </c>
      <c r="Q726" s="784">
        <v>10</v>
      </c>
      <c r="R726" s="799">
        <v>95</v>
      </c>
      <c r="S726" s="784">
        <v>10000</v>
      </c>
      <c r="T726" s="784">
        <v>10000</v>
      </c>
      <c r="U726" s="784">
        <v>9.5</v>
      </c>
      <c r="V726" s="784">
        <v>34.199999999999996</v>
      </c>
      <c r="W726" s="784">
        <v>57</v>
      </c>
      <c r="X726" s="784">
        <v>7.6000000000000005</v>
      </c>
      <c r="Y726" s="784">
        <v>47.5</v>
      </c>
      <c r="Z726" s="784">
        <v>1425</v>
      </c>
      <c r="AA726" s="784">
        <v>950</v>
      </c>
      <c r="AB726" s="784">
        <v>1900</v>
      </c>
      <c r="AC726" s="784">
        <v>95</v>
      </c>
      <c r="AD726" s="784">
        <v>19</v>
      </c>
      <c r="AE726" s="784">
        <v>3.8</v>
      </c>
      <c r="AF726" s="784">
        <v>1000000</v>
      </c>
      <c r="AG726" s="784">
        <v>100000</v>
      </c>
      <c r="AH726" s="784">
        <v>100000</v>
      </c>
      <c r="AI726" s="784"/>
      <c r="AK726" s="783">
        <f>IFERROR(Tabela1[[#This Row],[EE(g)]]/Tabela1[[#This Row],[CMS(kg)]],0)</f>
        <v>50</v>
      </c>
    </row>
    <row r="727" spans="2:37" hidden="1">
      <c r="B727" s="774">
        <f>ROW()^2+(Tabela1[[#This Row],[ID2]])+ROW()</f>
        <v>529391</v>
      </c>
      <c r="C727" s="794">
        <v>135</v>
      </c>
      <c r="D727" s="794" t="s">
        <v>1273</v>
      </c>
      <c r="E727" s="795" t="s">
        <v>1276</v>
      </c>
      <c r="F727" s="795" t="s">
        <v>1277</v>
      </c>
      <c r="G727" s="795">
        <v>100</v>
      </c>
      <c r="H727" s="795" t="s">
        <v>0</v>
      </c>
      <c r="I727" s="796" t="s">
        <v>1285</v>
      </c>
      <c r="J727" s="794"/>
      <c r="K727" s="794"/>
      <c r="L727" s="797">
        <v>0</v>
      </c>
      <c r="M727" s="778">
        <v>0</v>
      </c>
      <c r="N727" s="798">
        <v>190</v>
      </c>
      <c r="O727" s="798">
        <v>116.6</v>
      </c>
      <c r="P727" s="784">
        <v>1.06</v>
      </c>
      <c r="Q727" s="784">
        <v>0.53200000000000003</v>
      </c>
      <c r="R727" s="799">
        <v>0</v>
      </c>
      <c r="S727" s="784">
        <v>13.3</v>
      </c>
      <c r="T727" s="784">
        <v>9.5</v>
      </c>
      <c r="U727" s="784">
        <v>2.85</v>
      </c>
      <c r="V727" s="784">
        <v>2.85</v>
      </c>
      <c r="W727" s="784">
        <v>12.35</v>
      </c>
      <c r="X727" s="784">
        <v>3.8000000000000003</v>
      </c>
      <c r="Y727" s="784">
        <v>13.299999999999999</v>
      </c>
      <c r="Z727" s="784">
        <v>95</v>
      </c>
      <c r="AA727" s="784">
        <v>57</v>
      </c>
      <c r="AB727" s="784">
        <v>114</v>
      </c>
      <c r="AC727" s="784">
        <v>0.76</v>
      </c>
      <c r="AD727" s="784">
        <v>0.38</v>
      </c>
      <c r="AE727" s="784">
        <v>0.19</v>
      </c>
      <c r="AF727" s="784">
        <v>6650</v>
      </c>
      <c r="AG727" s="784">
        <v>570</v>
      </c>
      <c r="AH727" s="784">
        <v>38</v>
      </c>
      <c r="AI727" s="784"/>
      <c r="AK727" s="783">
        <f>IFERROR(Tabela1[[#This Row],[EE(g)]]/Tabela1[[#This Row],[CMS(kg)]],0)</f>
        <v>0</v>
      </c>
    </row>
    <row r="728" spans="2:37" hidden="1">
      <c r="B728" s="774">
        <f>ROW()^2+(Tabela1[[#This Row],[ID2]])+ROW()</f>
        <v>530848</v>
      </c>
      <c r="C728" s="794">
        <v>136</v>
      </c>
      <c r="D728" s="794" t="s">
        <v>1273</v>
      </c>
      <c r="E728" s="795" t="s">
        <v>1276</v>
      </c>
      <c r="F728" s="795" t="s">
        <v>1277</v>
      </c>
      <c r="G728" s="795">
        <v>100</v>
      </c>
      <c r="H728" s="795" t="s">
        <v>1</v>
      </c>
      <c r="I728" s="796" t="s">
        <v>1285</v>
      </c>
      <c r="J728" s="794"/>
      <c r="K728" s="794"/>
      <c r="L728" s="797">
        <v>0</v>
      </c>
      <c r="M728" s="778">
        <v>1.9</v>
      </c>
      <c r="N728" s="798">
        <v>1000</v>
      </c>
      <c r="O728" s="798">
        <v>1000</v>
      </c>
      <c r="P728" s="784">
        <v>1.2</v>
      </c>
      <c r="Q728" s="784">
        <v>10</v>
      </c>
      <c r="R728" s="799">
        <v>95</v>
      </c>
      <c r="S728" s="784">
        <v>10000</v>
      </c>
      <c r="T728" s="784">
        <v>10000</v>
      </c>
      <c r="U728" s="784">
        <v>9.5</v>
      </c>
      <c r="V728" s="784">
        <v>34.199999999999996</v>
      </c>
      <c r="W728" s="784">
        <v>57</v>
      </c>
      <c r="X728" s="784">
        <v>7.6000000000000005</v>
      </c>
      <c r="Y728" s="784">
        <v>47.5</v>
      </c>
      <c r="Z728" s="784">
        <v>1425</v>
      </c>
      <c r="AA728" s="784">
        <v>950</v>
      </c>
      <c r="AB728" s="784">
        <v>1900</v>
      </c>
      <c r="AC728" s="784">
        <v>95</v>
      </c>
      <c r="AD728" s="784">
        <v>19</v>
      </c>
      <c r="AE728" s="784">
        <v>3.8</v>
      </c>
      <c r="AF728" s="784">
        <v>1000000</v>
      </c>
      <c r="AG728" s="784">
        <v>100000</v>
      </c>
      <c r="AH728" s="784">
        <v>100000</v>
      </c>
      <c r="AI728" s="784"/>
      <c r="AK728" s="783">
        <f>IFERROR(Tabela1[[#This Row],[EE(g)]]/Tabela1[[#This Row],[CMS(kg)]],0)</f>
        <v>50</v>
      </c>
    </row>
    <row r="729" spans="2:37" hidden="1">
      <c r="B729" s="774">
        <f>ROW()^2+(Tabela1[[#This Row],[ID2]])+ROW()</f>
        <v>532307</v>
      </c>
      <c r="C729" s="794">
        <v>137</v>
      </c>
      <c r="D729" s="794" t="s">
        <v>1273</v>
      </c>
      <c r="E729" s="795" t="s">
        <v>1276</v>
      </c>
      <c r="F729" s="795" t="s">
        <v>1277</v>
      </c>
      <c r="G729" s="795">
        <v>100</v>
      </c>
      <c r="H729" s="795" t="s">
        <v>0</v>
      </c>
      <c r="I729" s="796" t="s">
        <v>1286</v>
      </c>
      <c r="J729" s="794"/>
      <c r="K729" s="794"/>
      <c r="L729" s="797">
        <v>0</v>
      </c>
      <c r="M729" s="778">
        <v>0</v>
      </c>
      <c r="N729" s="798">
        <v>190</v>
      </c>
      <c r="O729" s="798">
        <v>126.5</v>
      </c>
      <c r="P729" s="784">
        <v>1.1499999999999999</v>
      </c>
      <c r="Q729" s="784">
        <v>0.53200000000000003</v>
      </c>
      <c r="R729" s="799">
        <v>0</v>
      </c>
      <c r="S729" s="784">
        <v>13.3</v>
      </c>
      <c r="T729" s="784">
        <v>9.5</v>
      </c>
      <c r="U729" s="784">
        <v>2.85</v>
      </c>
      <c r="V729" s="784">
        <v>2.85</v>
      </c>
      <c r="W729" s="784">
        <v>12.35</v>
      </c>
      <c r="X729" s="784">
        <v>3.8000000000000003</v>
      </c>
      <c r="Y729" s="784">
        <v>13.299999999999999</v>
      </c>
      <c r="Z729" s="784">
        <v>95</v>
      </c>
      <c r="AA729" s="784">
        <v>57</v>
      </c>
      <c r="AB729" s="784">
        <v>114</v>
      </c>
      <c r="AC729" s="784">
        <v>0.76</v>
      </c>
      <c r="AD729" s="784">
        <v>0.38</v>
      </c>
      <c r="AE729" s="784">
        <v>0.19</v>
      </c>
      <c r="AF729" s="784">
        <v>6650</v>
      </c>
      <c r="AG729" s="784">
        <v>570</v>
      </c>
      <c r="AH729" s="784">
        <v>38</v>
      </c>
      <c r="AI729" s="784"/>
      <c r="AK729" s="783">
        <f>IFERROR(Tabela1[[#This Row],[EE(g)]]/Tabela1[[#This Row],[CMS(kg)]],0)</f>
        <v>0</v>
      </c>
    </row>
    <row r="730" spans="2:37" hidden="1">
      <c r="B730" s="774">
        <f>ROW()^2+(Tabela1[[#This Row],[ID2]])+ROW()</f>
        <v>533768</v>
      </c>
      <c r="C730" s="794">
        <v>138</v>
      </c>
      <c r="D730" s="794" t="s">
        <v>1273</v>
      </c>
      <c r="E730" s="795" t="s">
        <v>1276</v>
      </c>
      <c r="F730" s="795" t="s">
        <v>1277</v>
      </c>
      <c r="G730" s="795">
        <v>100</v>
      </c>
      <c r="H730" s="795" t="s">
        <v>1</v>
      </c>
      <c r="I730" s="796" t="s">
        <v>1286</v>
      </c>
      <c r="J730" s="794"/>
      <c r="K730" s="794"/>
      <c r="L730" s="797">
        <v>0</v>
      </c>
      <c r="M730" s="778">
        <v>1.9</v>
      </c>
      <c r="N730" s="798">
        <v>1000</v>
      </c>
      <c r="O730" s="798">
        <v>1000</v>
      </c>
      <c r="P730" s="784">
        <v>1.4</v>
      </c>
      <c r="Q730" s="784">
        <v>10</v>
      </c>
      <c r="R730" s="799">
        <v>95</v>
      </c>
      <c r="S730" s="784">
        <v>10000</v>
      </c>
      <c r="T730" s="784">
        <v>10000</v>
      </c>
      <c r="U730" s="784">
        <v>9.5</v>
      </c>
      <c r="V730" s="784">
        <v>34.199999999999996</v>
      </c>
      <c r="W730" s="784">
        <v>57</v>
      </c>
      <c r="X730" s="784">
        <v>7.6000000000000005</v>
      </c>
      <c r="Y730" s="784">
        <v>47.5</v>
      </c>
      <c r="Z730" s="784">
        <v>1425</v>
      </c>
      <c r="AA730" s="784">
        <v>950</v>
      </c>
      <c r="AB730" s="784">
        <v>1900</v>
      </c>
      <c r="AC730" s="784">
        <v>95</v>
      </c>
      <c r="AD730" s="784">
        <v>19</v>
      </c>
      <c r="AE730" s="784">
        <v>3.8</v>
      </c>
      <c r="AF730" s="784">
        <v>1000000</v>
      </c>
      <c r="AG730" s="784">
        <v>100000</v>
      </c>
      <c r="AH730" s="784">
        <v>100000</v>
      </c>
      <c r="AI730" s="784"/>
      <c r="AK730" s="783">
        <f>IFERROR(Tabela1[[#This Row],[EE(g)]]/Tabela1[[#This Row],[CMS(kg)]],0)</f>
        <v>50</v>
      </c>
    </row>
    <row r="731" spans="2:37" hidden="1">
      <c r="B731" s="774">
        <f>ROW()^2+(Tabela1[[#This Row],[ID2]])+ROW()</f>
        <v>535231</v>
      </c>
      <c r="C731" s="794">
        <v>139</v>
      </c>
      <c r="D731" s="794" t="s">
        <v>1273</v>
      </c>
      <c r="E731" s="795" t="s">
        <v>1276</v>
      </c>
      <c r="F731" s="795" t="s">
        <v>1277</v>
      </c>
      <c r="G731" s="795">
        <v>110</v>
      </c>
      <c r="H731" s="795" t="s">
        <v>0</v>
      </c>
      <c r="I731" s="796" t="s">
        <v>1266</v>
      </c>
      <c r="J731" s="794"/>
      <c r="K731" s="794"/>
      <c r="L731" s="797">
        <v>0</v>
      </c>
      <c r="M731" s="778">
        <v>0</v>
      </c>
      <c r="N731" s="798">
        <v>200</v>
      </c>
      <c r="O731" s="798">
        <v>108.9</v>
      </c>
      <c r="P731" s="784">
        <v>0.99</v>
      </c>
      <c r="Q731" s="784">
        <v>0.56000000000000005</v>
      </c>
      <c r="R731" s="799">
        <v>0</v>
      </c>
      <c r="S731" s="784">
        <v>14</v>
      </c>
      <c r="T731" s="784">
        <v>10</v>
      </c>
      <c r="U731" s="784">
        <v>3</v>
      </c>
      <c r="V731" s="784">
        <v>3</v>
      </c>
      <c r="W731" s="784">
        <v>13</v>
      </c>
      <c r="X731" s="784">
        <v>4</v>
      </c>
      <c r="Y731" s="784">
        <v>14</v>
      </c>
      <c r="Z731" s="784">
        <v>100</v>
      </c>
      <c r="AA731" s="784">
        <v>60</v>
      </c>
      <c r="AB731" s="784">
        <v>120</v>
      </c>
      <c r="AC731" s="784">
        <v>0.8</v>
      </c>
      <c r="AD731" s="784">
        <v>0.4</v>
      </c>
      <c r="AE731" s="784">
        <v>0.2</v>
      </c>
      <c r="AF731" s="784">
        <v>7000</v>
      </c>
      <c r="AG731" s="784">
        <v>600</v>
      </c>
      <c r="AH731" s="784">
        <v>40</v>
      </c>
      <c r="AI731" s="784"/>
      <c r="AK731" s="783">
        <f>IFERROR(Tabela1[[#This Row],[EE(g)]]/Tabela1[[#This Row],[CMS(kg)]],0)</f>
        <v>0</v>
      </c>
    </row>
    <row r="732" spans="2:37" hidden="1">
      <c r="B732" s="774">
        <f>ROW()^2+(Tabela1[[#This Row],[ID2]])+ROW()</f>
        <v>536696</v>
      </c>
      <c r="C732" s="794">
        <v>140</v>
      </c>
      <c r="D732" s="794" t="s">
        <v>1273</v>
      </c>
      <c r="E732" s="795" t="s">
        <v>1276</v>
      </c>
      <c r="F732" s="795" t="s">
        <v>1277</v>
      </c>
      <c r="G732" s="795">
        <v>110</v>
      </c>
      <c r="H732" s="795" t="s">
        <v>1</v>
      </c>
      <c r="I732" s="796" t="s">
        <v>1266</v>
      </c>
      <c r="J732" s="794"/>
      <c r="K732" s="794"/>
      <c r="L732" s="797">
        <v>0</v>
      </c>
      <c r="M732" s="778">
        <v>2</v>
      </c>
      <c r="N732" s="798">
        <v>1000</v>
      </c>
      <c r="O732" s="798">
        <v>1000</v>
      </c>
      <c r="P732" s="784">
        <v>1.4</v>
      </c>
      <c r="Q732" s="784">
        <v>10</v>
      </c>
      <c r="R732" s="799">
        <v>100</v>
      </c>
      <c r="S732" s="784">
        <v>10000</v>
      </c>
      <c r="T732" s="784">
        <v>10000</v>
      </c>
      <c r="U732" s="784">
        <v>10</v>
      </c>
      <c r="V732" s="784">
        <v>36</v>
      </c>
      <c r="W732" s="784">
        <v>60</v>
      </c>
      <c r="X732" s="784">
        <v>8</v>
      </c>
      <c r="Y732" s="784">
        <v>50</v>
      </c>
      <c r="Z732" s="784">
        <v>1500</v>
      </c>
      <c r="AA732" s="784">
        <v>1000</v>
      </c>
      <c r="AB732" s="784">
        <v>2000</v>
      </c>
      <c r="AC732" s="784">
        <v>100</v>
      </c>
      <c r="AD732" s="784">
        <v>20</v>
      </c>
      <c r="AE732" s="784">
        <v>4</v>
      </c>
      <c r="AF732" s="784">
        <v>1000000</v>
      </c>
      <c r="AG732" s="784">
        <v>100000</v>
      </c>
      <c r="AH732" s="784">
        <v>100000</v>
      </c>
      <c r="AI732" s="784"/>
      <c r="AK732" s="783">
        <f>IFERROR(Tabela1[[#This Row],[EE(g)]]/Tabela1[[#This Row],[CMS(kg)]],0)</f>
        <v>50</v>
      </c>
    </row>
    <row r="733" spans="2:37" hidden="1">
      <c r="B733" s="774">
        <f>ROW()^2+(Tabela1[[#This Row],[ID2]])+ROW()</f>
        <v>538163</v>
      </c>
      <c r="C733" s="794">
        <v>141</v>
      </c>
      <c r="D733" s="794" t="s">
        <v>1273</v>
      </c>
      <c r="E733" s="795" t="s">
        <v>1276</v>
      </c>
      <c r="F733" s="795" t="s">
        <v>1277</v>
      </c>
      <c r="G733" s="795">
        <v>110</v>
      </c>
      <c r="H733" s="795" t="s">
        <v>0</v>
      </c>
      <c r="I733" s="796" t="s">
        <v>1285</v>
      </c>
      <c r="J733" s="794"/>
      <c r="K733" s="794"/>
      <c r="L733" s="797">
        <v>0</v>
      </c>
      <c r="M733" s="778">
        <v>0</v>
      </c>
      <c r="N733" s="798">
        <v>200</v>
      </c>
      <c r="O733" s="798">
        <v>126.5</v>
      </c>
      <c r="P733" s="784">
        <v>1.1499999999999999</v>
      </c>
      <c r="Q733" s="784">
        <v>0.56000000000000005</v>
      </c>
      <c r="R733" s="799">
        <v>0</v>
      </c>
      <c r="S733" s="784">
        <v>14</v>
      </c>
      <c r="T733" s="784">
        <v>10</v>
      </c>
      <c r="U733" s="784">
        <v>3</v>
      </c>
      <c r="V733" s="784">
        <v>3</v>
      </c>
      <c r="W733" s="784">
        <v>13</v>
      </c>
      <c r="X733" s="784">
        <v>4</v>
      </c>
      <c r="Y733" s="784">
        <v>14</v>
      </c>
      <c r="Z733" s="784">
        <v>100</v>
      </c>
      <c r="AA733" s="784">
        <v>60</v>
      </c>
      <c r="AB733" s="784">
        <v>120</v>
      </c>
      <c r="AC733" s="784">
        <v>0.8</v>
      </c>
      <c r="AD733" s="784">
        <v>0.4</v>
      </c>
      <c r="AE733" s="784">
        <v>0.2</v>
      </c>
      <c r="AF733" s="784">
        <v>7000</v>
      </c>
      <c r="AG733" s="784">
        <v>600</v>
      </c>
      <c r="AH733" s="784">
        <v>40</v>
      </c>
      <c r="AI733" s="784"/>
      <c r="AK733" s="783">
        <f>IFERROR(Tabela1[[#This Row],[EE(g)]]/Tabela1[[#This Row],[CMS(kg)]],0)</f>
        <v>0</v>
      </c>
    </row>
    <row r="734" spans="2:37" hidden="1">
      <c r="B734" s="774">
        <f>ROW()^2+(Tabela1[[#This Row],[ID2]])+ROW()</f>
        <v>539632</v>
      </c>
      <c r="C734" s="794">
        <v>142</v>
      </c>
      <c r="D734" s="794" t="s">
        <v>1273</v>
      </c>
      <c r="E734" s="795" t="s">
        <v>1276</v>
      </c>
      <c r="F734" s="795" t="s">
        <v>1277</v>
      </c>
      <c r="G734" s="795">
        <v>110</v>
      </c>
      <c r="H734" s="795" t="s">
        <v>1</v>
      </c>
      <c r="I734" s="796" t="s">
        <v>1285</v>
      </c>
      <c r="J734" s="794"/>
      <c r="K734" s="794"/>
      <c r="L734" s="797">
        <v>0</v>
      </c>
      <c r="M734" s="778">
        <v>2</v>
      </c>
      <c r="N734" s="798">
        <v>1000</v>
      </c>
      <c r="O734" s="798">
        <v>1000</v>
      </c>
      <c r="P734" s="784">
        <v>1.4</v>
      </c>
      <c r="Q734" s="784">
        <v>10</v>
      </c>
      <c r="R734" s="799">
        <v>100</v>
      </c>
      <c r="S734" s="784">
        <v>10000</v>
      </c>
      <c r="T734" s="784">
        <v>10000</v>
      </c>
      <c r="U734" s="784">
        <v>10</v>
      </c>
      <c r="V734" s="784">
        <v>36</v>
      </c>
      <c r="W734" s="784">
        <v>60</v>
      </c>
      <c r="X734" s="784">
        <v>8</v>
      </c>
      <c r="Y734" s="784">
        <v>50</v>
      </c>
      <c r="Z734" s="784">
        <v>1500</v>
      </c>
      <c r="AA734" s="784">
        <v>1000</v>
      </c>
      <c r="AB734" s="784">
        <v>2000</v>
      </c>
      <c r="AC734" s="784">
        <v>100</v>
      </c>
      <c r="AD734" s="784">
        <v>20</v>
      </c>
      <c r="AE734" s="784">
        <v>4</v>
      </c>
      <c r="AF734" s="784">
        <v>1000000</v>
      </c>
      <c r="AG734" s="784">
        <v>100000</v>
      </c>
      <c r="AH734" s="784">
        <v>100000</v>
      </c>
      <c r="AI734" s="784"/>
      <c r="AK734" s="783">
        <f>IFERROR(Tabela1[[#This Row],[EE(g)]]/Tabela1[[#This Row],[CMS(kg)]],0)</f>
        <v>50</v>
      </c>
    </row>
    <row r="735" spans="2:37" hidden="1">
      <c r="B735" s="774">
        <f>ROW()^2+(Tabela1[[#This Row],[ID2]])+ROW()</f>
        <v>541103</v>
      </c>
      <c r="C735" s="794">
        <v>143</v>
      </c>
      <c r="D735" s="794" t="s">
        <v>1273</v>
      </c>
      <c r="E735" s="795" t="s">
        <v>1276</v>
      </c>
      <c r="F735" s="795" t="s">
        <v>1277</v>
      </c>
      <c r="G735" s="795">
        <v>110</v>
      </c>
      <c r="H735" s="795" t="s">
        <v>0</v>
      </c>
      <c r="I735" s="796" t="s">
        <v>1286</v>
      </c>
      <c r="J735" s="794"/>
      <c r="K735" s="794"/>
      <c r="L735" s="797">
        <v>0</v>
      </c>
      <c r="M735" s="778">
        <v>0</v>
      </c>
      <c r="N735" s="798">
        <v>200</v>
      </c>
      <c r="O735" s="798">
        <v>135.30000000000001</v>
      </c>
      <c r="P735" s="784">
        <v>1.23</v>
      </c>
      <c r="Q735" s="784">
        <v>0.56000000000000005</v>
      </c>
      <c r="R735" s="799">
        <v>0</v>
      </c>
      <c r="S735" s="784">
        <v>14</v>
      </c>
      <c r="T735" s="784">
        <v>10</v>
      </c>
      <c r="U735" s="784">
        <v>3</v>
      </c>
      <c r="V735" s="784">
        <v>3</v>
      </c>
      <c r="W735" s="784">
        <v>13</v>
      </c>
      <c r="X735" s="784">
        <v>4</v>
      </c>
      <c r="Y735" s="784">
        <v>14</v>
      </c>
      <c r="Z735" s="784">
        <v>100</v>
      </c>
      <c r="AA735" s="784">
        <v>60</v>
      </c>
      <c r="AB735" s="784">
        <v>120</v>
      </c>
      <c r="AC735" s="784">
        <v>0.8</v>
      </c>
      <c r="AD735" s="784">
        <v>0.4</v>
      </c>
      <c r="AE735" s="784">
        <v>0.2</v>
      </c>
      <c r="AF735" s="784">
        <v>7000</v>
      </c>
      <c r="AG735" s="784">
        <v>600</v>
      </c>
      <c r="AH735" s="784">
        <v>40</v>
      </c>
      <c r="AI735" s="784"/>
      <c r="AK735" s="783">
        <f>IFERROR(Tabela1[[#This Row],[EE(g)]]/Tabela1[[#This Row],[CMS(kg)]],0)</f>
        <v>0</v>
      </c>
    </row>
    <row r="736" spans="2:37" hidden="1">
      <c r="B736" s="774">
        <f>ROW()^2+(Tabela1[[#This Row],[ID2]])+ROW()</f>
        <v>542576</v>
      </c>
      <c r="C736" s="794">
        <v>144</v>
      </c>
      <c r="D736" s="794" t="s">
        <v>1273</v>
      </c>
      <c r="E736" s="795" t="s">
        <v>1276</v>
      </c>
      <c r="F736" s="795" t="s">
        <v>1277</v>
      </c>
      <c r="G736" s="795">
        <v>110</v>
      </c>
      <c r="H736" s="795" t="s">
        <v>1</v>
      </c>
      <c r="I736" s="796" t="s">
        <v>1286</v>
      </c>
      <c r="J736" s="794"/>
      <c r="K736" s="794"/>
      <c r="L736" s="797">
        <v>0</v>
      </c>
      <c r="M736" s="778">
        <v>2</v>
      </c>
      <c r="N736" s="798">
        <v>1000</v>
      </c>
      <c r="O736" s="798">
        <v>1000</v>
      </c>
      <c r="P736" s="784">
        <v>1.4</v>
      </c>
      <c r="Q736" s="784">
        <v>10</v>
      </c>
      <c r="R736" s="799">
        <v>100</v>
      </c>
      <c r="S736" s="784">
        <v>10000</v>
      </c>
      <c r="T736" s="784">
        <v>10000</v>
      </c>
      <c r="U736" s="784">
        <v>10</v>
      </c>
      <c r="V736" s="784">
        <v>36</v>
      </c>
      <c r="W736" s="784">
        <v>60</v>
      </c>
      <c r="X736" s="784">
        <v>8</v>
      </c>
      <c r="Y736" s="784">
        <v>50</v>
      </c>
      <c r="Z736" s="784">
        <v>1500</v>
      </c>
      <c r="AA736" s="784">
        <v>1000</v>
      </c>
      <c r="AB736" s="784">
        <v>2000</v>
      </c>
      <c r="AC736" s="784">
        <v>100</v>
      </c>
      <c r="AD736" s="784">
        <v>20</v>
      </c>
      <c r="AE736" s="784">
        <v>4</v>
      </c>
      <c r="AF736" s="784">
        <v>1000000</v>
      </c>
      <c r="AG736" s="784">
        <v>100000</v>
      </c>
      <c r="AH736" s="784">
        <v>100000</v>
      </c>
      <c r="AI736" s="784"/>
      <c r="AK736" s="783">
        <f>IFERROR(Tabela1[[#This Row],[EE(g)]]/Tabela1[[#This Row],[CMS(kg)]],0)</f>
        <v>50</v>
      </c>
    </row>
    <row r="737" spans="2:37" hidden="1">
      <c r="B737" s="774">
        <f>ROW()^2+(Tabela1[[#This Row],[ID2]])+ROW()</f>
        <v>544051</v>
      </c>
      <c r="C737" s="794">
        <v>145</v>
      </c>
      <c r="D737" s="794" t="s">
        <v>1273</v>
      </c>
      <c r="E737" s="795" t="s">
        <v>1276</v>
      </c>
      <c r="F737" s="795" t="s">
        <v>1278</v>
      </c>
      <c r="G737" s="795">
        <v>40</v>
      </c>
      <c r="H737" s="795" t="s">
        <v>0</v>
      </c>
      <c r="I737" s="789" t="s">
        <v>1266</v>
      </c>
      <c r="J737" s="794"/>
      <c r="K737" s="794"/>
      <c r="L737" s="797">
        <v>0</v>
      </c>
      <c r="M737" s="778">
        <v>0</v>
      </c>
      <c r="N737" s="798">
        <v>184</v>
      </c>
      <c r="O737" s="798">
        <v>88</v>
      </c>
      <c r="P737" s="784">
        <v>0.8</v>
      </c>
      <c r="Q737" s="784">
        <v>0.44800000000000006</v>
      </c>
      <c r="R737" s="799">
        <v>0</v>
      </c>
      <c r="S737" s="784">
        <v>11.200000000000001</v>
      </c>
      <c r="T737" s="784">
        <v>6.4</v>
      </c>
      <c r="U737" s="784">
        <v>3.2</v>
      </c>
      <c r="V737" s="784">
        <v>2.4</v>
      </c>
      <c r="W737" s="784">
        <v>10.4</v>
      </c>
      <c r="X737" s="784">
        <v>3.2</v>
      </c>
      <c r="Y737" s="784">
        <v>11.200000000000001</v>
      </c>
      <c r="Z737" s="784">
        <v>80</v>
      </c>
      <c r="AA737" s="784">
        <v>48</v>
      </c>
      <c r="AB737" s="784">
        <v>96</v>
      </c>
      <c r="AC737" s="784">
        <v>0.64000000000000012</v>
      </c>
      <c r="AD737" s="784">
        <v>0.32000000000000006</v>
      </c>
      <c r="AE737" s="784">
        <v>0.16000000000000003</v>
      </c>
      <c r="AF737" s="784">
        <v>5600</v>
      </c>
      <c r="AG737" s="784">
        <v>480</v>
      </c>
      <c r="AH737" s="784">
        <v>32</v>
      </c>
      <c r="AI737" s="784"/>
      <c r="AK737" s="783">
        <f>IFERROR(Tabela1[[#This Row],[EE(g)]]/Tabela1[[#This Row],[CMS(kg)]],0)</f>
        <v>0</v>
      </c>
    </row>
    <row r="738" spans="2:37" hidden="1">
      <c r="B738" s="774">
        <f>ROW()^2+(Tabela1[[#This Row],[ID2]])+ROW()</f>
        <v>545528</v>
      </c>
      <c r="C738" s="794">
        <v>146</v>
      </c>
      <c r="D738" s="794" t="s">
        <v>1273</v>
      </c>
      <c r="E738" s="795" t="s">
        <v>1276</v>
      </c>
      <c r="F738" s="795" t="s">
        <v>1278</v>
      </c>
      <c r="G738" s="795">
        <v>40</v>
      </c>
      <c r="H738" s="795" t="s">
        <v>1</v>
      </c>
      <c r="I738" s="789" t="s">
        <v>1266</v>
      </c>
      <c r="J738" s="794"/>
      <c r="K738" s="794"/>
      <c r="L738" s="797">
        <v>0</v>
      </c>
      <c r="M738" s="778">
        <v>1.6</v>
      </c>
      <c r="N738" s="798">
        <v>1000</v>
      </c>
      <c r="O738" s="798">
        <v>1000</v>
      </c>
      <c r="P738" s="784">
        <v>1</v>
      </c>
      <c r="Q738" s="784">
        <v>10</v>
      </c>
      <c r="R738" s="799">
        <v>80</v>
      </c>
      <c r="S738" s="784">
        <v>10000</v>
      </c>
      <c r="T738" s="784">
        <v>10000</v>
      </c>
      <c r="U738" s="784">
        <v>8</v>
      </c>
      <c r="V738" s="784">
        <v>28.799999999999997</v>
      </c>
      <c r="W738" s="784">
        <v>48</v>
      </c>
      <c r="X738" s="784">
        <v>6.4</v>
      </c>
      <c r="Y738" s="784">
        <v>40</v>
      </c>
      <c r="Z738" s="784">
        <v>1200</v>
      </c>
      <c r="AA738" s="784">
        <v>800</v>
      </c>
      <c r="AB738" s="784">
        <v>1600</v>
      </c>
      <c r="AC738" s="784">
        <v>80</v>
      </c>
      <c r="AD738" s="784">
        <v>16</v>
      </c>
      <c r="AE738" s="784">
        <v>3.2</v>
      </c>
      <c r="AF738" s="784">
        <v>1000000</v>
      </c>
      <c r="AG738" s="784">
        <v>100000</v>
      </c>
      <c r="AH738" s="784">
        <v>100000</v>
      </c>
      <c r="AI738" s="784"/>
      <c r="AK738" s="783">
        <f>IFERROR(Tabela1[[#This Row],[EE(g)]]/Tabela1[[#This Row],[CMS(kg)]],0)</f>
        <v>50</v>
      </c>
    </row>
    <row r="739" spans="2:37" hidden="1">
      <c r="B739" s="774">
        <f>ROW()^2+(Tabela1[[#This Row],[ID2]])+ROW()</f>
        <v>547007</v>
      </c>
      <c r="C739" s="794">
        <v>147</v>
      </c>
      <c r="D739" s="794" t="s">
        <v>1273</v>
      </c>
      <c r="E739" s="795" t="s">
        <v>1276</v>
      </c>
      <c r="F739" s="795" t="s">
        <v>1278</v>
      </c>
      <c r="G739" s="795">
        <v>40</v>
      </c>
      <c r="H739" s="795" t="s">
        <v>0</v>
      </c>
      <c r="I739" s="789" t="s">
        <v>1285</v>
      </c>
      <c r="J739" s="794"/>
      <c r="K739" s="794"/>
      <c r="L739" s="797">
        <v>0</v>
      </c>
      <c r="M739" s="778">
        <v>0</v>
      </c>
      <c r="N739" s="798">
        <v>184</v>
      </c>
      <c r="O739" s="798">
        <v>137.5</v>
      </c>
      <c r="P739" s="784">
        <v>1.25</v>
      </c>
      <c r="Q739" s="784">
        <v>0.44800000000000006</v>
      </c>
      <c r="R739" s="799">
        <v>0</v>
      </c>
      <c r="S739" s="784">
        <v>11.200000000000001</v>
      </c>
      <c r="T739" s="784">
        <v>6.4</v>
      </c>
      <c r="U739" s="784">
        <v>3.2</v>
      </c>
      <c r="V739" s="784">
        <v>2.4</v>
      </c>
      <c r="W739" s="784">
        <v>10.4</v>
      </c>
      <c r="X739" s="784">
        <v>3.2</v>
      </c>
      <c r="Y739" s="784">
        <v>11.200000000000001</v>
      </c>
      <c r="Z739" s="784">
        <v>80</v>
      </c>
      <c r="AA739" s="784">
        <v>48</v>
      </c>
      <c r="AB739" s="784">
        <v>96</v>
      </c>
      <c r="AC739" s="784">
        <v>0.64000000000000012</v>
      </c>
      <c r="AD739" s="784">
        <v>0.32000000000000006</v>
      </c>
      <c r="AE739" s="784">
        <v>0.16000000000000003</v>
      </c>
      <c r="AF739" s="784">
        <v>5600</v>
      </c>
      <c r="AG739" s="784">
        <v>480</v>
      </c>
      <c r="AH739" s="784">
        <v>32</v>
      </c>
      <c r="AI739" s="784"/>
      <c r="AK739" s="783">
        <f>IFERROR(Tabela1[[#This Row],[EE(g)]]/Tabela1[[#This Row],[CMS(kg)]],0)</f>
        <v>0</v>
      </c>
    </row>
    <row r="740" spans="2:37" hidden="1">
      <c r="B740" s="774">
        <f>ROW()^2+(Tabela1[[#This Row],[ID2]])+ROW()</f>
        <v>548488</v>
      </c>
      <c r="C740" s="794">
        <v>148</v>
      </c>
      <c r="D740" s="794" t="s">
        <v>1273</v>
      </c>
      <c r="E740" s="795" t="s">
        <v>1276</v>
      </c>
      <c r="F740" s="795" t="s">
        <v>1278</v>
      </c>
      <c r="G740" s="795">
        <v>40</v>
      </c>
      <c r="H740" s="795" t="s">
        <v>1</v>
      </c>
      <c r="I740" s="789" t="s">
        <v>1285</v>
      </c>
      <c r="J740" s="794"/>
      <c r="K740" s="794"/>
      <c r="L740" s="797">
        <v>0</v>
      </c>
      <c r="M740" s="778">
        <v>1.6</v>
      </c>
      <c r="N740" s="798">
        <v>1000</v>
      </c>
      <c r="O740" s="798">
        <v>1000</v>
      </c>
      <c r="P740" s="784">
        <v>1.4</v>
      </c>
      <c r="Q740" s="784">
        <v>10</v>
      </c>
      <c r="R740" s="799">
        <v>80</v>
      </c>
      <c r="S740" s="784">
        <v>10000</v>
      </c>
      <c r="T740" s="784">
        <v>10000</v>
      </c>
      <c r="U740" s="784">
        <v>8</v>
      </c>
      <c r="V740" s="784">
        <v>28.799999999999997</v>
      </c>
      <c r="W740" s="784">
        <v>48</v>
      </c>
      <c r="X740" s="784">
        <v>6.4</v>
      </c>
      <c r="Y740" s="784">
        <v>40</v>
      </c>
      <c r="Z740" s="784">
        <v>1200</v>
      </c>
      <c r="AA740" s="784">
        <v>800</v>
      </c>
      <c r="AB740" s="784">
        <v>1600</v>
      </c>
      <c r="AC740" s="784">
        <v>80</v>
      </c>
      <c r="AD740" s="784">
        <v>16</v>
      </c>
      <c r="AE740" s="784">
        <v>3.2</v>
      </c>
      <c r="AF740" s="784">
        <v>1000000</v>
      </c>
      <c r="AG740" s="784">
        <v>100000</v>
      </c>
      <c r="AH740" s="784">
        <v>100000</v>
      </c>
      <c r="AI740" s="784"/>
      <c r="AK740" s="783">
        <f>IFERROR(Tabela1[[#This Row],[EE(g)]]/Tabela1[[#This Row],[CMS(kg)]],0)</f>
        <v>50</v>
      </c>
    </row>
    <row r="741" spans="2:37" hidden="1">
      <c r="B741" s="774">
        <f>ROW()^2+(Tabela1[[#This Row],[ID2]])+ROW()</f>
        <v>549971</v>
      </c>
      <c r="C741" s="794">
        <v>149</v>
      </c>
      <c r="D741" s="794" t="s">
        <v>1273</v>
      </c>
      <c r="E741" s="795" t="s">
        <v>1276</v>
      </c>
      <c r="F741" s="795" t="s">
        <v>1278</v>
      </c>
      <c r="G741" s="795">
        <v>40</v>
      </c>
      <c r="H741" s="795" t="s">
        <v>0</v>
      </c>
      <c r="I741" s="789" t="s">
        <v>1286</v>
      </c>
      <c r="J741" s="794"/>
      <c r="K741" s="794"/>
      <c r="L741" s="797">
        <v>0</v>
      </c>
      <c r="M741" s="778">
        <v>0</v>
      </c>
      <c r="N741" s="798">
        <v>230</v>
      </c>
      <c r="O741" s="798">
        <v>150</v>
      </c>
      <c r="P741" s="784">
        <v>1.5</v>
      </c>
      <c r="Q741" s="784">
        <v>0.56000000000000005</v>
      </c>
      <c r="R741" s="799">
        <v>0</v>
      </c>
      <c r="S741" s="784">
        <v>14</v>
      </c>
      <c r="T741" s="784">
        <v>8</v>
      </c>
      <c r="U741" s="784">
        <v>4</v>
      </c>
      <c r="V741" s="784">
        <v>3</v>
      </c>
      <c r="W741" s="784">
        <v>13</v>
      </c>
      <c r="X741" s="784">
        <v>4</v>
      </c>
      <c r="Y741" s="784">
        <v>14</v>
      </c>
      <c r="Z741" s="784">
        <v>100</v>
      </c>
      <c r="AA741" s="784">
        <v>60</v>
      </c>
      <c r="AB741" s="784">
        <v>120</v>
      </c>
      <c r="AC741" s="784">
        <v>0.8</v>
      </c>
      <c r="AD741" s="784">
        <v>0.4</v>
      </c>
      <c r="AE741" s="784">
        <v>0.2</v>
      </c>
      <c r="AF741" s="784">
        <v>7000</v>
      </c>
      <c r="AG741" s="784">
        <v>600</v>
      </c>
      <c r="AH741" s="784">
        <v>40</v>
      </c>
      <c r="AI741" s="784"/>
      <c r="AK741" s="783">
        <f>IFERROR(Tabela1[[#This Row],[EE(g)]]/Tabela1[[#This Row],[CMS(kg)]],0)</f>
        <v>0</v>
      </c>
    </row>
    <row r="742" spans="2:37" hidden="1">
      <c r="B742" s="774">
        <f>ROW()^2+(Tabela1[[#This Row],[ID2]])+ROW()</f>
        <v>551456</v>
      </c>
      <c r="C742" s="794">
        <v>150</v>
      </c>
      <c r="D742" s="794" t="s">
        <v>1273</v>
      </c>
      <c r="E742" s="795" t="s">
        <v>1276</v>
      </c>
      <c r="F742" s="795" t="s">
        <v>1278</v>
      </c>
      <c r="G742" s="795">
        <v>40</v>
      </c>
      <c r="H742" s="795" t="s">
        <v>1</v>
      </c>
      <c r="I742" s="789" t="s">
        <v>1286</v>
      </c>
      <c r="J742" s="794"/>
      <c r="K742" s="794"/>
      <c r="L742" s="797">
        <v>0</v>
      </c>
      <c r="M742" s="778">
        <v>2</v>
      </c>
      <c r="N742" s="798">
        <v>1000</v>
      </c>
      <c r="O742" s="798">
        <v>1000</v>
      </c>
      <c r="P742" s="784">
        <v>2</v>
      </c>
      <c r="Q742" s="784">
        <v>10</v>
      </c>
      <c r="R742" s="799">
        <v>100</v>
      </c>
      <c r="S742" s="784">
        <v>10000</v>
      </c>
      <c r="T742" s="784">
        <v>10000</v>
      </c>
      <c r="U742" s="784">
        <v>10</v>
      </c>
      <c r="V742" s="784">
        <v>36</v>
      </c>
      <c r="W742" s="784">
        <v>60</v>
      </c>
      <c r="X742" s="784">
        <v>8</v>
      </c>
      <c r="Y742" s="784">
        <v>50</v>
      </c>
      <c r="Z742" s="784">
        <v>1500</v>
      </c>
      <c r="AA742" s="784">
        <v>1000</v>
      </c>
      <c r="AB742" s="784">
        <v>2000</v>
      </c>
      <c r="AC742" s="784">
        <v>100</v>
      </c>
      <c r="AD742" s="784">
        <v>20</v>
      </c>
      <c r="AE742" s="784">
        <v>4</v>
      </c>
      <c r="AF742" s="784">
        <v>1000000</v>
      </c>
      <c r="AG742" s="784">
        <v>100000</v>
      </c>
      <c r="AH742" s="784">
        <v>100000</v>
      </c>
      <c r="AI742" s="784"/>
      <c r="AK742" s="783">
        <f>IFERROR(Tabela1[[#This Row],[EE(g)]]/Tabela1[[#This Row],[CMS(kg)]],0)</f>
        <v>50</v>
      </c>
    </row>
    <row r="743" spans="2:37" hidden="1">
      <c r="B743" s="774">
        <f>ROW()^2+(Tabela1[[#This Row],[ID2]])+ROW()</f>
        <v>552943</v>
      </c>
      <c r="C743" s="794">
        <v>151</v>
      </c>
      <c r="D743" s="794" t="s">
        <v>1273</v>
      </c>
      <c r="E743" s="795" t="s">
        <v>1276</v>
      </c>
      <c r="F743" s="795" t="s">
        <v>1278</v>
      </c>
      <c r="G743" s="795">
        <v>50</v>
      </c>
      <c r="H743" s="795" t="s">
        <v>0</v>
      </c>
      <c r="I743" s="789" t="s">
        <v>1266</v>
      </c>
      <c r="J743" s="794"/>
      <c r="K743" s="794"/>
      <c r="L743" s="797">
        <v>0</v>
      </c>
      <c r="M743" s="778">
        <v>0</v>
      </c>
      <c r="N743" s="798">
        <v>218.5</v>
      </c>
      <c r="O743" s="798">
        <v>94.6</v>
      </c>
      <c r="P743" s="784">
        <v>0.86</v>
      </c>
      <c r="Q743" s="784">
        <v>0.53200000000000003</v>
      </c>
      <c r="R743" s="799">
        <v>0</v>
      </c>
      <c r="S743" s="784">
        <v>13.3</v>
      </c>
      <c r="T743" s="784">
        <v>7.6000000000000005</v>
      </c>
      <c r="U743" s="784">
        <v>3.8000000000000003</v>
      </c>
      <c r="V743" s="784">
        <v>2.85</v>
      </c>
      <c r="W743" s="784">
        <v>12.35</v>
      </c>
      <c r="X743" s="784">
        <v>3.8000000000000003</v>
      </c>
      <c r="Y743" s="784">
        <v>13.299999999999999</v>
      </c>
      <c r="Z743" s="784">
        <v>95</v>
      </c>
      <c r="AA743" s="784">
        <v>57</v>
      </c>
      <c r="AB743" s="784">
        <v>114</v>
      </c>
      <c r="AC743" s="784">
        <v>0.76</v>
      </c>
      <c r="AD743" s="784">
        <v>0.38</v>
      </c>
      <c r="AE743" s="784">
        <v>0.19</v>
      </c>
      <c r="AF743" s="784">
        <v>6650</v>
      </c>
      <c r="AG743" s="784">
        <v>570</v>
      </c>
      <c r="AH743" s="784">
        <v>38</v>
      </c>
      <c r="AI743" s="784"/>
      <c r="AK743" s="783">
        <f>IFERROR(Tabela1[[#This Row],[EE(g)]]/Tabela1[[#This Row],[CMS(kg)]],0)</f>
        <v>0</v>
      </c>
    </row>
    <row r="744" spans="2:37" hidden="1">
      <c r="B744" s="774">
        <f>ROW()^2+(Tabela1[[#This Row],[ID2]])+ROW()</f>
        <v>554432</v>
      </c>
      <c r="C744" s="794">
        <v>152</v>
      </c>
      <c r="D744" s="794" t="s">
        <v>1273</v>
      </c>
      <c r="E744" s="795" t="s">
        <v>1276</v>
      </c>
      <c r="F744" s="795" t="s">
        <v>1278</v>
      </c>
      <c r="G744" s="795">
        <v>50</v>
      </c>
      <c r="H744" s="795" t="s">
        <v>1</v>
      </c>
      <c r="I744" s="789" t="s">
        <v>1266</v>
      </c>
      <c r="J744" s="794"/>
      <c r="K744" s="794"/>
      <c r="L744" s="797">
        <v>0</v>
      </c>
      <c r="M744" s="778">
        <v>1.9</v>
      </c>
      <c r="N744" s="798">
        <v>1000</v>
      </c>
      <c r="O744" s="798">
        <v>1000</v>
      </c>
      <c r="P744" s="784">
        <v>1</v>
      </c>
      <c r="Q744" s="784">
        <v>10</v>
      </c>
      <c r="R744" s="799">
        <v>95</v>
      </c>
      <c r="S744" s="784">
        <v>10000</v>
      </c>
      <c r="T744" s="784">
        <v>10000</v>
      </c>
      <c r="U744" s="784">
        <v>9.5</v>
      </c>
      <c r="V744" s="784">
        <v>34.199999999999996</v>
      </c>
      <c r="W744" s="784">
        <v>57</v>
      </c>
      <c r="X744" s="784">
        <v>7.6000000000000005</v>
      </c>
      <c r="Y744" s="784">
        <v>47.5</v>
      </c>
      <c r="Z744" s="784">
        <v>1425</v>
      </c>
      <c r="AA744" s="784">
        <v>950</v>
      </c>
      <c r="AB744" s="784">
        <v>1900</v>
      </c>
      <c r="AC744" s="784">
        <v>95</v>
      </c>
      <c r="AD744" s="784">
        <v>19</v>
      </c>
      <c r="AE744" s="784">
        <v>3.8</v>
      </c>
      <c r="AF744" s="784">
        <v>1000000</v>
      </c>
      <c r="AG744" s="784">
        <v>100000</v>
      </c>
      <c r="AH744" s="784">
        <v>100000</v>
      </c>
      <c r="AI744" s="784"/>
      <c r="AK744" s="783">
        <f>IFERROR(Tabela1[[#This Row],[EE(g)]]/Tabela1[[#This Row],[CMS(kg)]],0)</f>
        <v>50</v>
      </c>
    </row>
    <row r="745" spans="2:37" hidden="1">
      <c r="B745" s="774">
        <f>ROW()^2+(Tabela1[[#This Row],[ID2]])+ROW()</f>
        <v>555923</v>
      </c>
      <c r="C745" s="794">
        <v>153</v>
      </c>
      <c r="D745" s="794" t="s">
        <v>1273</v>
      </c>
      <c r="E745" s="795" t="s">
        <v>1276</v>
      </c>
      <c r="F745" s="795" t="s">
        <v>1278</v>
      </c>
      <c r="G745" s="795">
        <v>50</v>
      </c>
      <c r="H745" s="795" t="s">
        <v>0</v>
      </c>
      <c r="I745" s="789" t="s">
        <v>1285</v>
      </c>
      <c r="J745" s="794"/>
      <c r="K745" s="794"/>
      <c r="L745" s="797">
        <v>0</v>
      </c>
      <c r="M745" s="778">
        <v>0</v>
      </c>
      <c r="N745" s="798">
        <v>218.5</v>
      </c>
      <c r="O745" s="798">
        <v>145.19999999999999</v>
      </c>
      <c r="P745" s="784">
        <v>1.32</v>
      </c>
      <c r="Q745" s="784">
        <v>0.53200000000000003</v>
      </c>
      <c r="R745" s="799">
        <v>0</v>
      </c>
      <c r="S745" s="784">
        <v>13.3</v>
      </c>
      <c r="T745" s="784">
        <v>7.6000000000000005</v>
      </c>
      <c r="U745" s="784">
        <v>3.8000000000000003</v>
      </c>
      <c r="V745" s="784">
        <v>2.85</v>
      </c>
      <c r="W745" s="784">
        <v>12.35</v>
      </c>
      <c r="X745" s="784">
        <v>3.8000000000000003</v>
      </c>
      <c r="Y745" s="784">
        <v>13.299999999999999</v>
      </c>
      <c r="Z745" s="784">
        <v>95</v>
      </c>
      <c r="AA745" s="784">
        <v>57</v>
      </c>
      <c r="AB745" s="784">
        <v>114</v>
      </c>
      <c r="AC745" s="784">
        <v>0.76</v>
      </c>
      <c r="AD745" s="784">
        <v>0.38</v>
      </c>
      <c r="AE745" s="784">
        <v>0.19</v>
      </c>
      <c r="AF745" s="784">
        <v>6650</v>
      </c>
      <c r="AG745" s="784">
        <v>570</v>
      </c>
      <c r="AH745" s="784">
        <v>38</v>
      </c>
      <c r="AI745" s="784"/>
      <c r="AK745" s="783">
        <f>IFERROR(Tabela1[[#This Row],[EE(g)]]/Tabela1[[#This Row],[CMS(kg)]],0)</f>
        <v>0</v>
      </c>
    </row>
    <row r="746" spans="2:37" hidden="1">
      <c r="B746" s="774">
        <f>ROW()^2+(Tabela1[[#This Row],[ID2]])+ROW()</f>
        <v>557416</v>
      </c>
      <c r="C746" s="794">
        <v>154</v>
      </c>
      <c r="D746" s="794" t="s">
        <v>1273</v>
      </c>
      <c r="E746" s="795" t="s">
        <v>1276</v>
      </c>
      <c r="F746" s="795" t="s">
        <v>1278</v>
      </c>
      <c r="G746" s="795">
        <v>50</v>
      </c>
      <c r="H746" s="795" t="s">
        <v>1</v>
      </c>
      <c r="I746" s="789" t="s">
        <v>1285</v>
      </c>
      <c r="J746" s="794"/>
      <c r="K746" s="794"/>
      <c r="L746" s="797">
        <v>0</v>
      </c>
      <c r="M746" s="778">
        <v>1.9</v>
      </c>
      <c r="N746" s="798">
        <v>1000</v>
      </c>
      <c r="O746" s="798">
        <v>1000</v>
      </c>
      <c r="P746" s="784">
        <v>1.5</v>
      </c>
      <c r="Q746" s="784">
        <v>10</v>
      </c>
      <c r="R746" s="799">
        <v>95</v>
      </c>
      <c r="S746" s="784">
        <v>10000</v>
      </c>
      <c r="T746" s="784">
        <v>10000</v>
      </c>
      <c r="U746" s="784">
        <v>9.5</v>
      </c>
      <c r="V746" s="784">
        <v>34.199999999999996</v>
      </c>
      <c r="W746" s="784">
        <v>57</v>
      </c>
      <c r="X746" s="784">
        <v>7.6000000000000005</v>
      </c>
      <c r="Y746" s="784">
        <v>47.5</v>
      </c>
      <c r="Z746" s="784">
        <v>1425</v>
      </c>
      <c r="AA746" s="784">
        <v>950</v>
      </c>
      <c r="AB746" s="784">
        <v>1900</v>
      </c>
      <c r="AC746" s="784">
        <v>95</v>
      </c>
      <c r="AD746" s="784">
        <v>19</v>
      </c>
      <c r="AE746" s="784">
        <v>3.8</v>
      </c>
      <c r="AF746" s="784">
        <v>1000000</v>
      </c>
      <c r="AG746" s="784">
        <v>100000</v>
      </c>
      <c r="AH746" s="784">
        <v>100000</v>
      </c>
      <c r="AI746" s="784"/>
      <c r="AK746" s="783">
        <f>IFERROR(Tabela1[[#This Row],[EE(g)]]/Tabela1[[#This Row],[CMS(kg)]],0)</f>
        <v>50</v>
      </c>
    </row>
    <row r="747" spans="2:37" hidden="1">
      <c r="B747" s="774">
        <f>ROW()^2+(Tabela1[[#This Row],[ID2]])+ROW()</f>
        <v>558911</v>
      </c>
      <c r="C747" s="794">
        <v>155</v>
      </c>
      <c r="D747" s="794" t="s">
        <v>1273</v>
      </c>
      <c r="E747" s="795" t="s">
        <v>1276</v>
      </c>
      <c r="F747" s="795" t="s">
        <v>1278</v>
      </c>
      <c r="G747" s="795">
        <v>50</v>
      </c>
      <c r="H747" s="795" t="s">
        <v>0</v>
      </c>
      <c r="I747" s="789" t="s">
        <v>1286</v>
      </c>
      <c r="J747" s="794"/>
      <c r="K747" s="794"/>
      <c r="L747" s="797">
        <v>0</v>
      </c>
      <c r="M747" s="778">
        <v>0</v>
      </c>
      <c r="N747" s="798">
        <v>235.75</v>
      </c>
      <c r="O747" s="798">
        <v>150</v>
      </c>
      <c r="P747" s="784">
        <v>1.5</v>
      </c>
      <c r="Q747" s="784">
        <v>0.57399999999999995</v>
      </c>
      <c r="R747" s="799">
        <v>0</v>
      </c>
      <c r="S747" s="784">
        <v>14.35</v>
      </c>
      <c r="T747" s="784">
        <v>8.1999999999999993</v>
      </c>
      <c r="U747" s="784">
        <v>4.0999999999999996</v>
      </c>
      <c r="V747" s="784">
        <v>3.0750000000000002</v>
      </c>
      <c r="W747" s="784">
        <v>13.324999999999999</v>
      </c>
      <c r="X747" s="784">
        <v>4.0999999999999996</v>
      </c>
      <c r="Y747" s="784">
        <v>14.349999999999998</v>
      </c>
      <c r="Z747" s="784">
        <v>102.49999999999999</v>
      </c>
      <c r="AA747" s="784">
        <v>61.499999999999993</v>
      </c>
      <c r="AB747" s="784">
        <v>122.99999999999999</v>
      </c>
      <c r="AC747" s="784">
        <v>0.82</v>
      </c>
      <c r="AD747" s="784">
        <v>0.41</v>
      </c>
      <c r="AE747" s="784">
        <v>0.20499999999999999</v>
      </c>
      <c r="AF747" s="784">
        <v>7174.9999999999991</v>
      </c>
      <c r="AG747" s="784">
        <v>615</v>
      </c>
      <c r="AH747" s="784">
        <v>41</v>
      </c>
      <c r="AI747" s="784"/>
      <c r="AK747" s="783">
        <f>IFERROR(Tabela1[[#This Row],[EE(g)]]/Tabela1[[#This Row],[CMS(kg)]],0)</f>
        <v>0</v>
      </c>
    </row>
    <row r="748" spans="2:37" hidden="1">
      <c r="B748" s="774">
        <f>ROW()^2+(Tabela1[[#This Row],[ID2]])+ROW()</f>
        <v>560408</v>
      </c>
      <c r="C748" s="794">
        <v>156</v>
      </c>
      <c r="D748" s="794" t="s">
        <v>1273</v>
      </c>
      <c r="E748" s="795" t="s">
        <v>1276</v>
      </c>
      <c r="F748" s="795" t="s">
        <v>1278</v>
      </c>
      <c r="G748" s="795">
        <v>50</v>
      </c>
      <c r="H748" s="795" t="s">
        <v>1</v>
      </c>
      <c r="I748" s="789" t="s">
        <v>1286</v>
      </c>
      <c r="J748" s="794"/>
      <c r="K748" s="794"/>
      <c r="L748" s="797">
        <v>0</v>
      </c>
      <c r="M748" s="778">
        <v>2.0499999999999998</v>
      </c>
      <c r="N748" s="798">
        <v>1000</v>
      </c>
      <c r="O748" s="798">
        <v>1000</v>
      </c>
      <c r="P748" s="784">
        <v>2.0499999999999998</v>
      </c>
      <c r="Q748" s="784">
        <v>10</v>
      </c>
      <c r="R748" s="799">
        <v>102.5</v>
      </c>
      <c r="S748" s="784">
        <v>10000</v>
      </c>
      <c r="T748" s="784">
        <v>10000</v>
      </c>
      <c r="U748" s="784">
        <v>10.25</v>
      </c>
      <c r="V748" s="784">
        <v>36.9</v>
      </c>
      <c r="W748" s="784">
        <v>61.5</v>
      </c>
      <c r="X748" s="784">
        <v>8.1999999999999993</v>
      </c>
      <c r="Y748" s="784">
        <v>51.249999999999993</v>
      </c>
      <c r="Z748" s="784">
        <v>1537.4999999999998</v>
      </c>
      <c r="AA748" s="784">
        <v>1025</v>
      </c>
      <c r="AB748" s="784">
        <v>2050</v>
      </c>
      <c r="AC748" s="784">
        <v>102.49999999999999</v>
      </c>
      <c r="AD748" s="784">
        <v>20.5</v>
      </c>
      <c r="AE748" s="784">
        <v>4.0999999999999996</v>
      </c>
      <c r="AF748" s="784">
        <v>1000000</v>
      </c>
      <c r="AG748" s="784">
        <v>100000</v>
      </c>
      <c r="AH748" s="784">
        <v>100000</v>
      </c>
      <c r="AI748" s="784"/>
      <c r="AK748" s="783">
        <f>IFERROR(Tabela1[[#This Row],[EE(g)]]/Tabela1[[#This Row],[CMS(kg)]],0)</f>
        <v>50.000000000000007</v>
      </c>
    </row>
    <row r="749" spans="2:37" hidden="1">
      <c r="B749" s="774">
        <f>ROW()^2+(Tabela1[[#This Row],[ID2]])+ROW()</f>
        <v>561907</v>
      </c>
      <c r="C749" s="794">
        <v>157</v>
      </c>
      <c r="D749" s="794" t="s">
        <v>1273</v>
      </c>
      <c r="E749" s="795" t="s">
        <v>1276</v>
      </c>
      <c r="F749" s="795" t="s">
        <v>1278</v>
      </c>
      <c r="G749" s="795">
        <v>60</v>
      </c>
      <c r="H749" s="795" t="s">
        <v>0</v>
      </c>
      <c r="I749" s="789" t="s">
        <v>1266</v>
      </c>
      <c r="J749" s="794"/>
      <c r="K749" s="794"/>
      <c r="L749" s="797">
        <v>0</v>
      </c>
      <c r="M749" s="778">
        <v>0</v>
      </c>
      <c r="N749" s="798">
        <v>253</v>
      </c>
      <c r="O749" s="798">
        <v>101.2</v>
      </c>
      <c r="P749" s="784">
        <v>0.92</v>
      </c>
      <c r="Q749" s="784">
        <v>0.6160000000000001</v>
      </c>
      <c r="R749" s="799">
        <v>0</v>
      </c>
      <c r="S749" s="784">
        <v>15.4</v>
      </c>
      <c r="T749" s="784">
        <v>8.8000000000000007</v>
      </c>
      <c r="U749" s="784">
        <v>4.4000000000000004</v>
      </c>
      <c r="V749" s="784">
        <v>3.3000000000000003</v>
      </c>
      <c r="W749" s="784">
        <v>14.299999999999999</v>
      </c>
      <c r="X749" s="784">
        <v>4.4000000000000004</v>
      </c>
      <c r="Y749" s="784">
        <v>15.400000000000002</v>
      </c>
      <c r="Z749" s="784">
        <v>110.00000000000001</v>
      </c>
      <c r="AA749" s="784">
        <v>66</v>
      </c>
      <c r="AB749" s="784">
        <v>132</v>
      </c>
      <c r="AC749" s="784">
        <v>0.88000000000000012</v>
      </c>
      <c r="AD749" s="784">
        <v>0.44000000000000006</v>
      </c>
      <c r="AE749" s="784">
        <v>0.22000000000000003</v>
      </c>
      <c r="AF749" s="784">
        <v>7700.0000000000009</v>
      </c>
      <c r="AG749" s="784">
        <v>660</v>
      </c>
      <c r="AH749" s="784">
        <v>44</v>
      </c>
      <c r="AI749" s="784"/>
      <c r="AK749" s="783">
        <f>IFERROR(Tabela1[[#This Row],[EE(g)]]/Tabela1[[#This Row],[CMS(kg)]],0)</f>
        <v>0</v>
      </c>
    </row>
    <row r="750" spans="2:37" hidden="1">
      <c r="B750" s="774">
        <f>ROW()^2+(Tabela1[[#This Row],[ID2]])+ROW()</f>
        <v>563408</v>
      </c>
      <c r="C750" s="794">
        <v>158</v>
      </c>
      <c r="D750" s="794" t="s">
        <v>1273</v>
      </c>
      <c r="E750" s="795" t="s">
        <v>1276</v>
      </c>
      <c r="F750" s="795" t="s">
        <v>1278</v>
      </c>
      <c r="G750" s="795">
        <v>60</v>
      </c>
      <c r="H750" s="795" t="s">
        <v>1</v>
      </c>
      <c r="I750" s="789" t="s">
        <v>1266</v>
      </c>
      <c r="J750" s="794"/>
      <c r="K750" s="794"/>
      <c r="L750" s="797">
        <v>0</v>
      </c>
      <c r="M750" s="778">
        <v>2.2000000000000002</v>
      </c>
      <c r="N750" s="798">
        <v>1000</v>
      </c>
      <c r="O750" s="798">
        <v>1000</v>
      </c>
      <c r="P750" s="784">
        <v>1.5</v>
      </c>
      <c r="Q750" s="784">
        <v>10</v>
      </c>
      <c r="R750" s="799">
        <v>110</v>
      </c>
      <c r="S750" s="784">
        <v>10000</v>
      </c>
      <c r="T750" s="784">
        <v>10000</v>
      </c>
      <c r="U750" s="784">
        <v>11</v>
      </c>
      <c r="V750" s="784">
        <v>39.599999999999994</v>
      </c>
      <c r="W750" s="784">
        <v>66</v>
      </c>
      <c r="X750" s="784">
        <v>8.8000000000000007</v>
      </c>
      <c r="Y750" s="784">
        <v>55.000000000000007</v>
      </c>
      <c r="Z750" s="784">
        <v>1650.0000000000002</v>
      </c>
      <c r="AA750" s="784">
        <v>1100</v>
      </c>
      <c r="AB750" s="784">
        <v>2200</v>
      </c>
      <c r="AC750" s="784">
        <v>110.00000000000001</v>
      </c>
      <c r="AD750" s="784">
        <v>22</v>
      </c>
      <c r="AE750" s="784">
        <v>4.4000000000000004</v>
      </c>
      <c r="AF750" s="784">
        <v>1000000</v>
      </c>
      <c r="AG750" s="784">
        <v>100000</v>
      </c>
      <c r="AH750" s="784">
        <v>100000</v>
      </c>
      <c r="AI750" s="784"/>
      <c r="AK750" s="783">
        <f>IFERROR(Tabela1[[#This Row],[EE(g)]]/Tabela1[[#This Row],[CMS(kg)]],0)</f>
        <v>49.999999999999993</v>
      </c>
    </row>
    <row r="751" spans="2:37" hidden="1">
      <c r="B751" s="774">
        <f>ROW()^2+(Tabela1[[#This Row],[ID2]])+ROW()</f>
        <v>564911</v>
      </c>
      <c r="C751" s="794">
        <v>159</v>
      </c>
      <c r="D751" s="794" t="s">
        <v>1273</v>
      </c>
      <c r="E751" s="795" t="s">
        <v>1276</v>
      </c>
      <c r="F751" s="795" t="s">
        <v>1278</v>
      </c>
      <c r="G751" s="795">
        <v>60</v>
      </c>
      <c r="H751" s="795" t="s">
        <v>0</v>
      </c>
      <c r="I751" s="789" t="s">
        <v>1285</v>
      </c>
      <c r="J751" s="794"/>
      <c r="K751" s="794"/>
      <c r="L751" s="797">
        <v>0</v>
      </c>
      <c r="M751" s="778">
        <v>0</v>
      </c>
      <c r="N751" s="798">
        <v>253</v>
      </c>
      <c r="O751" s="798">
        <v>151.80000000000001</v>
      </c>
      <c r="P751" s="784">
        <v>1.38</v>
      </c>
      <c r="Q751" s="784">
        <v>0.6160000000000001</v>
      </c>
      <c r="R751" s="799">
        <v>0</v>
      </c>
      <c r="S751" s="784">
        <v>15.4</v>
      </c>
      <c r="T751" s="784">
        <v>8.8000000000000007</v>
      </c>
      <c r="U751" s="784">
        <v>4.4000000000000004</v>
      </c>
      <c r="V751" s="784">
        <v>3.3000000000000003</v>
      </c>
      <c r="W751" s="784">
        <v>14.299999999999999</v>
      </c>
      <c r="X751" s="784">
        <v>4.4000000000000004</v>
      </c>
      <c r="Y751" s="784">
        <v>15.400000000000002</v>
      </c>
      <c r="Z751" s="784">
        <v>110.00000000000001</v>
      </c>
      <c r="AA751" s="784">
        <v>66</v>
      </c>
      <c r="AB751" s="784">
        <v>132</v>
      </c>
      <c r="AC751" s="784">
        <v>0.88000000000000012</v>
      </c>
      <c r="AD751" s="784">
        <v>0.44000000000000006</v>
      </c>
      <c r="AE751" s="784">
        <v>0.22000000000000003</v>
      </c>
      <c r="AF751" s="784">
        <v>7700.0000000000009</v>
      </c>
      <c r="AG751" s="784">
        <v>660</v>
      </c>
      <c r="AH751" s="784">
        <v>44</v>
      </c>
      <c r="AI751" s="784"/>
      <c r="AK751" s="783">
        <f>IFERROR(Tabela1[[#This Row],[EE(g)]]/Tabela1[[#This Row],[CMS(kg)]],0)</f>
        <v>0</v>
      </c>
    </row>
    <row r="752" spans="2:37" hidden="1">
      <c r="B752" s="774">
        <f>ROW()^2+(Tabela1[[#This Row],[ID2]])+ROW()</f>
        <v>566416</v>
      </c>
      <c r="C752" s="794">
        <v>160</v>
      </c>
      <c r="D752" s="794" t="s">
        <v>1273</v>
      </c>
      <c r="E752" s="795" t="s">
        <v>1276</v>
      </c>
      <c r="F752" s="795" t="s">
        <v>1278</v>
      </c>
      <c r="G752" s="795">
        <v>60</v>
      </c>
      <c r="H752" s="795" t="s">
        <v>1</v>
      </c>
      <c r="I752" s="789" t="s">
        <v>1285</v>
      </c>
      <c r="J752" s="794"/>
      <c r="K752" s="794"/>
      <c r="L752" s="797">
        <v>0</v>
      </c>
      <c r="M752" s="778">
        <v>2.2000000000000002</v>
      </c>
      <c r="N752" s="798">
        <v>1000</v>
      </c>
      <c r="O752" s="798">
        <v>1000</v>
      </c>
      <c r="P752" s="784">
        <v>1.6</v>
      </c>
      <c r="Q752" s="784">
        <v>10</v>
      </c>
      <c r="R752" s="799">
        <v>110</v>
      </c>
      <c r="S752" s="784">
        <v>10000</v>
      </c>
      <c r="T752" s="784">
        <v>10000</v>
      </c>
      <c r="U752" s="784">
        <v>11</v>
      </c>
      <c r="V752" s="784">
        <v>39.599999999999994</v>
      </c>
      <c r="W752" s="784">
        <v>66</v>
      </c>
      <c r="X752" s="784">
        <v>8.8000000000000007</v>
      </c>
      <c r="Y752" s="784">
        <v>55.000000000000007</v>
      </c>
      <c r="Z752" s="784">
        <v>1650.0000000000002</v>
      </c>
      <c r="AA752" s="784">
        <v>1100</v>
      </c>
      <c r="AB752" s="784">
        <v>2200</v>
      </c>
      <c r="AC752" s="784">
        <v>110.00000000000001</v>
      </c>
      <c r="AD752" s="784">
        <v>22</v>
      </c>
      <c r="AE752" s="784">
        <v>4.4000000000000004</v>
      </c>
      <c r="AF752" s="784">
        <v>1000000</v>
      </c>
      <c r="AG752" s="784">
        <v>100000</v>
      </c>
      <c r="AH752" s="784">
        <v>100000</v>
      </c>
      <c r="AI752" s="784"/>
      <c r="AK752" s="783">
        <f>IFERROR(Tabela1[[#This Row],[EE(g)]]/Tabela1[[#This Row],[CMS(kg)]],0)</f>
        <v>49.999999999999993</v>
      </c>
    </row>
    <row r="753" spans="2:37" hidden="1">
      <c r="B753" s="774">
        <f>ROW()^2+(Tabela1[[#This Row],[ID2]])+ROW()</f>
        <v>567923</v>
      </c>
      <c r="C753" s="794">
        <v>161</v>
      </c>
      <c r="D753" s="794" t="s">
        <v>1273</v>
      </c>
      <c r="E753" s="795" t="s">
        <v>1276</v>
      </c>
      <c r="F753" s="795" t="s">
        <v>1278</v>
      </c>
      <c r="G753" s="795">
        <v>60</v>
      </c>
      <c r="H753" s="795" t="s">
        <v>0</v>
      </c>
      <c r="I753" s="789" t="s">
        <v>1286</v>
      </c>
      <c r="J753" s="794"/>
      <c r="K753" s="794"/>
      <c r="L753" s="797">
        <v>0</v>
      </c>
      <c r="M753" s="778">
        <v>0</v>
      </c>
      <c r="N753" s="798">
        <v>264.5</v>
      </c>
      <c r="O753" s="798">
        <v>174</v>
      </c>
      <c r="P753" s="784">
        <v>1.74</v>
      </c>
      <c r="Q753" s="784">
        <v>0.64400000000000013</v>
      </c>
      <c r="R753" s="799">
        <v>0</v>
      </c>
      <c r="S753" s="784">
        <v>16.100000000000001</v>
      </c>
      <c r="T753" s="784">
        <v>9.2000000000000011</v>
      </c>
      <c r="U753" s="784">
        <v>4.6000000000000005</v>
      </c>
      <c r="V753" s="784">
        <v>3.45</v>
      </c>
      <c r="W753" s="784">
        <v>14.95</v>
      </c>
      <c r="X753" s="784">
        <v>4.6000000000000005</v>
      </c>
      <c r="Y753" s="784">
        <v>16.099999999999998</v>
      </c>
      <c r="Z753" s="784">
        <v>114.99999999999999</v>
      </c>
      <c r="AA753" s="784">
        <v>69</v>
      </c>
      <c r="AB753" s="784">
        <v>138</v>
      </c>
      <c r="AC753" s="784">
        <v>0.91999999999999993</v>
      </c>
      <c r="AD753" s="784">
        <v>0.45999999999999996</v>
      </c>
      <c r="AE753" s="784">
        <v>0.22999999999999998</v>
      </c>
      <c r="AF753" s="784">
        <v>8049.9999999999991</v>
      </c>
      <c r="AG753" s="784">
        <v>690</v>
      </c>
      <c r="AH753" s="784">
        <v>46</v>
      </c>
      <c r="AI753" s="784"/>
      <c r="AK753" s="783">
        <f>IFERROR(Tabela1[[#This Row],[EE(g)]]/Tabela1[[#This Row],[CMS(kg)]],0)</f>
        <v>0</v>
      </c>
    </row>
    <row r="754" spans="2:37" hidden="1">
      <c r="B754" s="774">
        <f>ROW()^2+(Tabela1[[#This Row],[ID2]])+ROW()</f>
        <v>569432</v>
      </c>
      <c r="C754" s="794">
        <v>162</v>
      </c>
      <c r="D754" s="794" t="s">
        <v>1273</v>
      </c>
      <c r="E754" s="795" t="s">
        <v>1276</v>
      </c>
      <c r="F754" s="795" t="s">
        <v>1278</v>
      </c>
      <c r="G754" s="795">
        <v>60</v>
      </c>
      <c r="H754" s="795" t="s">
        <v>1</v>
      </c>
      <c r="I754" s="789" t="s">
        <v>1286</v>
      </c>
      <c r="J754" s="794"/>
      <c r="K754" s="794"/>
      <c r="L754" s="797">
        <v>0</v>
      </c>
      <c r="M754" s="778">
        <v>2.2999999999999998</v>
      </c>
      <c r="N754" s="798">
        <v>1000</v>
      </c>
      <c r="O754" s="798">
        <v>1000</v>
      </c>
      <c r="P754" s="784">
        <v>2.2999999999999998</v>
      </c>
      <c r="Q754" s="784">
        <v>10</v>
      </c>
      <c r="R754" s="799">
        <v>115</v>
      </c>
      <c r="S754" s="784">
        <v>10000</v>
      </c>
      <c r="T754" s="784">
        <v>10000</v>
      </c>
      <c r="U754" s="784">
        <v>11.5</v>
      </c>
      <c r="V754" s="784">
        <v>41.4</v>
      </c>
      <c r="W754" s="784">
        <v>69</v>
      </c>
      <c r="X754" s="784">
        <v>9.2000000000000011</v>
      </c>
      <c r="Y754" s="784">
        <v>57.499999999999993</v>
      </c>
      <c r="Z754" s="784">
        <v>1724.9999999999998</v>
      </c>
      <c r="AA754" s="784">
        <v>1150</v>
      </c>
      <c r="AB754" s="784">
        <v>2300</v>
      </c>
      <c r="AC754" s="784">
        <v>114.99999999999999</v>
      </c>
      <c r="AD754" s="784">
        <v>23</v>
      </c>
      <c r="AE754" s="784">
        <v>4.5999999999999996</v>
      </c>
      <c r="AF754" s="784">
        <v>1000000</v>
      </c>
      <c r="AG754" s="784">
        <v>100000</v>
      </c>
      <c r="AH754" s="784">
        <v>100000</v>
      </c>
      <c r="AI754" s="784"/>
      <c r="AK754" s="783">
        <f>IFERROR(Tabela1[[#This Row],[EE(g)]]/Tabela1[[#This Row],[CMS(kg)]],0)</f>
        <v>50.000000000000007</v>
      </c>
    </row>
    <row r="755" spans="2:37" hidden="1">
      <c r="B755" s="774">
        <f>ROW()^2+(Tabela1[[#This Row],[ID2]])+ROW()</f>
        <v>570943</v>
      </c>
      <c r="C755" s="794">
        <v>163</v>
      </c>
      <c r="D755" s="794" t="s">
        <v>1273</v>
      </c>
      <c r="E755" s="795" t="s">
        <v>1276</v>
      </c>
      <c r="F755" s="795" t="s">
        <v>1278</v>
      </c>
      <c r="G755" s="795">
        <v>70</v>
      </c>
      <c r="H755" s="795" t="s">
        <v>0</v>
      </c>
      <c r="I755" s="789" t="s">
        <v>1266</v>
      </c>
      <c r="J755" s="794"/>
      <c r="K755" s="794"/>
      <c r="L755" s="797">
        <v>0</v>
      </c>
      <c r="M755" s="778">
        <v>0</v>
      </c>
      <c r="N755" s="798">
        <v>287.5</v>
      </c>
      <c r="O755" s="798">
        <v>107.8</v>
      </c>
      <c r="P755" s="784">
        <v>0.98</v>
      </c>
      <c r="Q755" s="784">
        <v>0.70000000000000007</v>
      </c>
      <c r="R755" s="799">
        <v>0</v>
      </c>
      <c r="S755" s="784">
        <v>17.5</v>
      </c>
      <c r="T755" s="784">
        <v>10</v>
      </c>
      <c r="U755" s="784">
        <v>5</v>
      </c>
      <c r="V755" s="784">
        <v>3.75</v>
      </c>
      <c r="W755" s="784">
        <v>16.25</v>
      </c>
      <c r="X755" s="784">
        <v>5</v>
      </c>
      <c r="Y755" s="784">
        <v>17.5</v>
      </c>
      <c r="Z755" s="784">
        <v>125</v>
      </c>
      <c r="AA755" s="784">
        <v>75</v>
      </c>
      <c r="AB755" s="784">
        <v>150</v>
      </c>
      <c r="AC755" s="784">
        <v>1</v>
      </c>
      <c r="AD755" s="784">
        <v>0.5</v>
      </c>
      <c r="AE755" s="784">
        <v>0.25</v>
      </c>
      <c r="AF755" s="784">
        <v>8750</v>
      </c>
      <c r="AG755" s="784">
        <v>750</v>
      </c>
      <c r="AH755" s="784">
        <v>50</v>
      </c>
      <c r="AI755" s="784"/>
      <c r="AK755" s="783">
        <f>IFERROR(Tabela1[[#This Row],[EE(g)]]/Tabela1[[#This Row],[CMS(kg)]],0)</f>
        <v>0</v>
      </c>
    </row>
    <row r="756" spans="2:37" hidden="1">
      <c r="B756" s="774">
        <f>ROW()^2+(Tabela1[[#This Row],[ID2]])+ROW()</f>
        <v>572456</v>
      </c>
      <c r="C756" s="794">
        <v>164</v>
      </c>
      <c r="D756" s="794" t="s">
        <v>1273</v>
      </c>
      <c r="E756" s="795" t="s">
        <v>1276</v>
      </c>
      <c r="F756" s="795" t="s">
        <v>1278</v>
      </c>
      <c r="G756" s="795">
        <v>70</v>
      </c>
      <c r="H756" s="795" t="s">
        <v>1</v>
      </c>
      <c r="I756" s="789" t="s">
        <v>1266</v>
      </c>
      <c r="J756" s="794"/>
      <c r="K756" s="794"/>
      <c r="L756" s="797">
        <v>0</v>
      </c>
      <c r="M756" s="778">
        <v>2.5</v>
      </c>
      <c r="N756" s="798">
        <v>1000</v>
      </c>
      <c r="O756" s="798">
        <v>1000</v>
      </c>
      <c r="P756" s="784">
        <v>1.4</v>
      </c>
      <c r="Q756" s="784">
        <v>10</v>
      </c>
      <c r="R756" s="799">
        <v>125</v>
      </c>
      <c r="S756" s="784">
        <v>10000</v>
      </c>
      <c r="T756" s="784">
        <v>10000</v>
      </c>
      <c r="U756" s="784">
        <v>12.5</v>
      </c>
      <c r="V756" s="784">
        <v>45</v>
      </c>
      <c r="W756" s="784">
        <v>75</v>
      </c>
      <c r="X756" s="784">
        <v>10</v>
      </c>
      <c r="Y756" s="784">
        <v>62.5</v>
      </c>
      <c r="Z756" s="784">
        <v>1875</v>
      </c>
      <c r="AA756" s="784">
        <v>1250</v>
      </c>
      <c r="AB756" s="784">
        <v>2500</v>
      </c>
      <c r="AC756" s="784">
        <v>125</v>
      </c>
      <c r="AD756" s="784">
        <v>25</v>
      </c>
      <c r="AE756" s="784">
        <v>5</v>
      </c>
      <c r="AF756" s="784">
        <v>1000000</v>
      </c>
      <c r="AG756" s="784">
        <v>100000</v>
      </c>
      <c r="AH756" s="784">
        <v>100000</v>
      </c>
      <c r="AI756" s="784"/>
      <c r="AK756" s="783">
        <f>IFERROR(Tabela1[[#This Row],[EE(g)]]/Tabela1[[#This Row],[CMS(kg)]],0)</f>
        <v>50</v>
      </c>
    </row>
    <row r="757" spans="2:37" hidden="1">
      <c r="B757" s="774">
        <f>ROW()^2+(Tabela1[[#This Row],[ID2]])+ROW()</f>
        <v>573971</v>
      </c>
      <c r="C757" s="794">
        <v>165</v>
      </c>
      <c r="D757" s="794" t="s">
        <v>1273</v>
      </c>
      <c r="E757" s="795" t="s">
        <v>1276</v>
      </c>
      <c r="F757" s="795" t="s">
        <v>1278</v>
      </c>
      <c r="G757" s="795">
        <v>70</v>
      </c>
      <c r="H757" s="795" t="s">
        <v>0</v>
      </c>
      <c r="I757" s="789" t="s">
        <v>1285</v>
      </c>
      <c r="J757" s="794"/>
      <c r="K757" s="794"/>
      <c r="L757" s="797">
        <v>0</v>
      </c>
      <c r="M757" s="778">
        <v>0</v>
      </c>
      <c r="N757" s="798">
        <v>287.5</v>
      </c>
      <c r="O757" s="798">
        <v>158.4</v>
      </c>
      <c r="P757" s="784">
        <v>1.44</v>
      </c>
      <c r="Q757" s="784">
        <v>0.70000000000000007</v>
      </c>
      <c r="R757" s="799">
        <v>0</v>
      </c>
      <c r="S757" s="784">
        <v>17.5</v>
      </c>
      <c r="T757" s="784">
        <v>10</v>
      </c>
      <c r="U757" s="784">
        <v>5</v>
      </c>
      <c r="V757" s="784">
        <v>3.75</v>
      </c>
      <c r="W757" s="784">
        <v>16.25</v>
      </c>
      <c r="X757" s="784">
        <v>5</v>
      </c>
      <c r="Y757" s="784">
        <v>17.5</v>
      </c>
      <c r="Z757" s="784">
        <v>125</v>
      </c>
      <c r="AA757" s="784">
        <v>75</v>
      </c>
      <c r="AB757" s="784">
        <v>150</v>
      </c>
      <c r="AC757" s="784">
        <v>1</v>
      </c>
      <c r="AD757" s="784">
        <v>0.5</v>
      </c>
      <c r="AE757" s="784">
        <v>0.25</v>
      </c>
      <c r="AF757" s="784">
        <v>8750</v>
      </c>
      <c r="AG757" s="784">
        <v>750</v>
      </c>
      <c r="AH757" s="784">
        <v>50</v>
      </c>
      <c r="AI757" s="784"/>
      <c r="AK757" s="783">
        <f>IFERROR(Tabela1[[#This Row],[EE(g)]]/Tabela1[[#This Row],[CMS(kg)]],0)</f>
        <v>0</v>
      </c>
    </row>
    <row r="758" spans="2:37" hidden="1">
      <c r="B758" s="774">
        <f>ROW()^2+(Tabela1[[#This Row],[ID2]])+ROW()</f>
        <v>575488</v>
      </c>
      <c r="C758" s="794">
        <v>166</v>
      </c>
      <c r="D758" s="794" t="s">
        <v>1273</v>
      </c>
      <c r="E758" s="795" t="s">
        <v>1276</v>
      </c>
      <c r="F758" s="795" t="s">
        <v>1278</v>
      </c>
      <c r="G758" s="795">
        <v>70</v>
      </c>
      <c r="H758" s="795" t="s">
        <v>1</v>
      </c>
      <c r="I758" s="789" t="s">
        <v>1285</v>
      </c>
      <c r="J758" s="794"/>
      <c r="K758" s="794"/>
      <c r="L758" s="797">
        <v>0</v>
      </c>
      <c r="M758" s="778">
        <v>2.5</v>
      </c>
      <c r="N758" s="798">
        <v>1000</v>
      </c>
      <c r="O758" s="798">
        <v>1000</v>
      </c>
      <c r="P758" s="784">
        <v>1.8</v>
      </c>
      <c r="Q758" s="784">
        <v>10</v>
      </c>
      <c r="R758" s="799">
        <v>125</v>
      </c>
      <c r="S758" s="784">
        <v>10000</v>
      </c>
      <c r="T758" s="784">
        <v>10000</v>
      </c>
      <c r="U758" s="784">
        <v>12.5</v>
      </c>
      <c r="V758" s="784">
        <v>45</v>
      </c>
      <c r="W758" s="784">
        <v>75</v>
      </c>
      <c r="X758" s="784">
        <v>10</v>
      </c>
      <c r="Y758" s="784">
        <v>62.5</v>
      </c>
      <c r="Z758" s="784">
        <v>1875</v>
      </c>
      <c r="AA758" s="784">
        <v>1250</v>
      </c>
      <c r="AB758" s="784">
        <v>2500</v>
      </c>
      <c r="AC758" s="784">
        <v>125</v>
      </c>
      <c r="AD758" s="784">
        <v>25</v>
      </c>
      <c r="AE758" s="784">
        <v>5</v>
      </c>
      <c r="AF758" s="784">
        <v>1000000</v>
      </c>
      <c r="AG758" s="784">
        <v>100000</v>
      </c>
      <c r="AH758" s="784">
        <v>100000</v>
      </c>
      <c r="AI758" s="784"/>
      <c r="AK758" s="783">
        <f>IFERROR(Tabela1[[#This Row],[EE(g)]]/Tabela1[[#This Row],[CMS(kg)]],0)</f>
        <v>50</v>
      </c>
    </row>
    <row r="759" spans="2:37" hidden="1">
      <c r="B759" s="774">
        <f>ROW()^2+(Tabela1[[#This Row],[ID2]])+ROW()</f>
        <v>577007</v>
      </c>
      <c r="C759" s="794">
        <v>167</v>
      </c>
      <c r="D759" s="794" t="s">
        <v>1273</v>
      </c>
      <c r="E759" s="795" t="s">
        <v>1276</v>
      </c>
      <c r="F759" s="795" t="s">
        <v>1278</v>
      </c>
      <c r="G759" s="795">
        <v>70</v>
      </c>
      <c r="H759" s="795" t="s">
        <v>0</v>
      </c>
      <c r="I759" s="789" t="s">
        <v>1286</v>
      </c>
      <c r="J759" s="794"/>
      <c r="K759" s="794"/>
      <c r="L759" s="797">
        <v>0</v>
      </c>
      <c r="M759" s="778">
        <v>0</v>
      </c>
      <c r="N759" s="798">
        <v>287.5</v>
      </c>
      <c r="O759" s="798">
        <v>180</v>
      </c>
      <c r="P759" s="784">
        <v>1.8</v>
      </c>
      <c r="Q759" s="784">
        <v>0.70000000000000007</v>
      </c>
      <c r="R759" s="799">
        <v>0</v>
      </c>
      <c r="S759" s="784">
        <v>17.5</v>
      </c>
      <c r="T759" s="784">
        <v>10</v>
      </c>
      <c r="U759" s="784">
        <v>5</v>
      </c>
      <c r="V759" s="784">
        <v>3.75</v>
      </c>
      <c r="W759" s="784">
        <v>16.25</v>
      </c>
      <c r="X759" s="784">
        <v>5</v>
      </c>
      <c r="Y759" s="784">
        <v>17.5</v>
      </c>
      <c r="Z759" s="784">
        <v>125</v>
      </c>
      <c r="AA759" s="784">
        <v>75</v>
      </c>
      <c r="AB759" s="784">
        <v>150</v>
      </c>
      <c r="AC759" s="784">
        <v>1</v>
      </c>
      <c r="AD759" s="784">
        <v>0.5</v>
      </c>
      <c r="AE759" s="784">
        <v>0.25</v>
      </c>
      <c r="AF759" s="784">
        <v>8750</v>
      </c>
      <c r="AG759" s="784">
        <v>750</v>
      </c>
      <c r="AH759" s="784">
        <v>50</v>
      </c>
      <c r="AI759" s="784"/>
      <c r="AK759" s="783">
        <f>IFERROR(Tabela1[[#This Row],[EE(g)]]/Tabela1[[#This Row],[CMS(kg)]],0)</f>
        <v>0</v>
      </c>
    </row>
    <row r="760" spans="2:37" hidden="1">
      <c r="B760" s="774">
        <f>ROW()^2+(Tabela1[[#This Row],[ID2]])+ROW()</f>
        <v>578528</v>
      </c>
      <c r="C760" s="794">
        <v>168</v>
      </c>
      <c r="D760" s="794" t="s">
        <v>1273</v>
      </c>
      <c r="E760" s="795" t="s">
        <v>1276</v>
      </c>
      <c r="F760" s="795" t="s">
        <v>1278</v>
      </c>
      <c r="G760" s="795">
        <v>70</v>
      </c>
      <c r="H760" s="795" t="s">
        <v>1</v>
      </c>
      <c r="I760" s="789" t="s">
        <v>1286</v>
      </c>
      <c r="J760" s="794"/>
      <c r="K760" s="794"/>
      <c r="L760" s="797">
        <v>0</v>
      </c>
      <c r="M760" s="778">
        <v>2.5</v>
      </c>
      <c r="N760" s="798">
        <v>1000</v>
      </c>
      <c r="O760" s="798">
        <v>1000</v>
      </c>
      <c r="P760" s="784">
        <v>2.5</v>
      </c>
      <c r="Q760" s="784">
        <v>10</v>
      </c>
      <c r="R760" s="799">
        <v>125</v>
      </c>
      <c r="S760" s="784">
        <v>10000</v>
      </c>
      <c r="T760" s="784">
        <v>10000</v>
      </c>
      <c r="U760" s="784">
        <v>12.5</v>
      </c>
      <c r="V760" s="784">
        <v>45</v>
      </c>
      <c r="W760" s="784">
        <v>75</v>
      </c>
      <c r="X760" s="784">
        <v>10</v>
      </c>
      <c r="Y760" s="784">
        <v>62.5</v>
      </c>
      <c r="Z760" s="784">
        <v>1875</v>
      </c>
      <c r="AA760" s="784">
        <v>1250</v>
      </c>
      <c r="AB760" s="784">
        <v>2500</v>
      </c>
      <c r="AC760" s="784">
        <v>125</v>
      </c>
      <c r="AD760" s="784">
        <v>25</v>
      </c>
      <c r="AE760" s="784">
        <v>5</v>
      </c>
      <c r="AF760" s="784">
        <v>1000000</v>
      </c>
      <c r="AG760" s="784">
        <v>100000</v>
      </c>
      <c r="AH760" s="784">
        <v>100000</v>
      </c>
      <c r="AI760" s="784"/>
      <c r="AK760" s="783">
        <f>IFERROR(Tabela1[[#This Row],[EE(g)]]/Tabela1[[#This Row],[CMS(kg)]],0)</f>
        <v>50</v>
      </c>
    </row>
    <row r="761" spans="2:37" hidden="1">
      <c r="B761" s="774">
        <f>ROW()^2+(Tabela1[[#This Row],[ID2]])+ROW()</f>
        <v>580051</v>
      </c>
      <c r="C761" s="794">
        <v>169</v>
      </c>
      <c r="D761" s="794" t="s">
        <v>1273</v>
      </c>
      <c r="E761" s="795" t="s">
        <v>1276</v>
      </c>
      <c r="F761" s="795" t="s">
        <v>1278</v>
      </c>
      <c r="G761" s="795">
        <v>80</v>
      </c>
      <c r="H761" s="795" t="s">
        <v>0</v>
      </c>
      <c r="I761" s="789" t="s">
        <v>1266</v>
      </c>
      <c r="J761" s="794"/>
      <c r="K761" s="794"/>
      <c r="L761" s="797">
        <v>0</v>
      </c>
      <c r="M761" s="778">
        <v>0</v>
      </c>
      <c r="N761" s="798">
        <v>287.5</v>
      </c>
      <c r="O761" s="798">
        <v>114.4</v>
      </c>
      <c r="P761" s="784">
        <v>1.04</v>
      </c>
      <c r="Q761" s="784">
        <v>0.70000000000000007</v>
      </c>
      <c r="R761" s="799">
        <v>0</v>
      </c>
      <c r="S761" s="784">
        <v>17.5</v>
      </c>
      <c r="T761" s="784">
        <v>10</v>
      </c>
      <c r="U761" s="784">
        <v>5</v>
      </c>
      <c r="V761" s="784">
        <v>3.75</v>
      </c>
      <c r="W761" s="784">
        <v>16.25</v>
      </c>
      <c r="X761" s="784">
        <v>5</v>
      </c>
      <c r="Y761" s="784">
        <v>17.5</v>
      </c>
      <c r="Z761" s="784">
        <v>125</v>
      </c>
      <c r="AA761" s="784">
        <v>75</v>
      </c>
      <c r="AB761" s="784">
        <v>150</v>
      </c>
      <c r="AC761" s="784">
        <v>1</v>
      </c>
      <c r="AD761" s="784">
        <v>0.5</v>
      </c>
      <c r="AE761" s="784">
        <v>0.25</v>
      </c>
      <c r="AF761" s="784">
        <v>8750</v>
      </c>
      <c r="AG761" s="784">
        <v>750</v>
      </c>
      <c r="AH761" s="784">
        <v>50</v>
      </c>
      <c r="AI761" s="784"/>
      <c r="AK761" s="783">
        <f>IFERROR(Tabela1[[#This Row],[EE(g)]]/Tabela1[[#This Row],[CMS(kg)]],0)</f>
        <v>0</v>
      </c>
    </row>
    <row r="762" spans="2:37" hidden="1">
      <c r="B762" s="774">
        <f>ROW()^2+(Tabela1[[#This Row],[ID2]])+ROW()</f>
        <v>581576</v>
      </c>
      <c r="C762" s="794">
        <v>170</v>
      </c>
      <c r="D762" s="794" t="s">
        <v>1273</v>
      </c>
      <c r="E762" s="795" t="s">
        <v>1276</v>
      </c>
      <c r="F762" s="795" t="s">
        <v>1278</v>
      </c>
      <c r="G762" s="795">
        <v>80</v>
      </c>
      <c r="H762" s="795" t="s">
        <v>1</v>
      </c>
      <c r="I762" s="789" t="s">
        <v>1266</v>
      </c>
      <c r="J762" s="794"/>
      <c r="K762" s="794"/>
      <c r="L762" s="797">
        <v>0</v>
      </c>
      <c r="M762" s="778">
        <v>2.5</v>
      </c>
      <c r="N762" s="798">
        <v>1000</v>
      </c>
      <c r="O762" s="798">
        <v>1000</v>
      </c>
      <c r="P762" s="784">
        <v>1.5</v>
      </c>
      <c r="Q762" s="784">
        <v>10</v>
      </c>
      <c r="R762" s="799">
        <v>125</v>
      </c>
      <c r="S762" s="784">
        <v>10000</v>
      </c>
      <c r="T762" s="784">
        <v>10000</v>
      </c>
      <c r="U762" s="784">
        <v>12.5</v>
      </c>
      <c r="V762" s="784">
        <v>45</v>
      </c>
      <c r="W762" s="784">
        <v>75</v>
      </c>
      <c r="X762" s="784">
        <v>10</v>
      </c>
      <c r="Y762" s="784">
        <v>62.5</v>
      </c>
      <c r="Z762" s="784">
        <v>1875</v>
      </c>
      <c r="AA762" s="784">
        <v>1250</v>
      </c>
      <c r="AB762" s="784">
        <v>2500</v>
      </c>
      <c r="AC762" s="784">
        <v>125</v>
      </c>
      <c r="AD762" s="784">
        <v>25</v>
      </c>
      <c r="AE762" s="784">
        <v>5</v>
      </c>
      <c r="AF762" s="784">
        <v>1000000</v>
      </c>
      <c r="AG762" s="784">
        <v>100000</v>
      </c>
      <c r="AH762" s="784">
        <v>100000</v>
      </c>
      <c r="AI762" s="784"/>
      <c r="AK762" s="783">
        <f>IFERROR(Tabela1[[#This Row],[EE(g)]]/Tabela1[[#This Row],[CMS(kg)]],0)</f>
        <v>50</v>
      </c>
    </row>
    <row r="763" spans="2:37" hidden="1">
      <c r="B763" s="774">
        <f>ROW()^2+(Tabela1[[#This Row],[ID2]])+ROW()</f>
        <v>583103</v>
      </c>
      <c r="C763" s="794">
        <v>171</v>
      </c>
      <c r="D763" s="794" t="s">
        <v>1273</v>
      </c>
      <c r="E763" s="795" t="s">
        <v>1276</v>
      </c>
      <c r="F763" s="795" t="s">
        <v>1278</v>
      </c>
      <c r="G763" s="795">
        <v>80</v>
      </c>
      <c r="H763" s="795" t="s">
        <v>0</v>
      </c>
      <c r="I763" s="789" t="s">
        <v>1285</v>
      </c>
      <c r="J763" s="794"/>
      <c r="K763" s="794"/>
      <c r="L763" s="797">
        <v>0</v>
      </c>
      <c r="M763" s="778">
        <v>0</v>
      </c>
      <c r="N763" s="798">
        <v>287.5</v>
      </c>
      <c r="O763" s="798">
        <v>165</v>
      </c>
      <c r="P763" s="784">
        <v>1.5</v>
      </c>
      <c r="Q763" s="784">
        <v>0.70000000000000007</v>
      </c>
      <c r="R763" s="799">
        <v>0</v>
      </c>
      <c r="S763" s="784">
        <v>17.5</v>
      </c>
      <c r="T763" s="784">
        <v>10</v>
      </c>
      <c r="U763" s="784">
        <v>5</v>
      </c>
      <c r="V763" s="784">
        <v>3.75</v>
      </c>
      <c r="W763" s="784">
        <v>16.25</v>
      </c>
      <c r="X763" s="784">
        <v>5</v>
      </c>
      <c r="Y763" s="784">
        <v>17.5</v>
      </c>
      <c r="Z763" s="784">
        <v>125</v>
      </c>
      <c r="AA763" s="784">
        <v>75</v>
      </c>
      <c r="AB763" s="784">
        <v>150</v>
      </c>
      <c r="AC763" s="784">
        <v>1</v>
      </c>
      <c r="AD763" s="784">
        <v>0.5</v>
      </c>
      <c r="AE763" s="784">
        <v>0.25</v>
      </c>
      <c r="AF763" s="784">
        <v>8750</v>
      </c>
      <c r="AG763" s="784">
        <v>750</v>
      </c>
      <c r="AH763" s="784">
        <v>50</v>
      </c>
      <c r="AI763" s="784"/>
      <c r="AK763" s="783">
        <f>IFERROR(Tabela1[[#This Row],[EE(g)]]/Tabela1[[#This Row],[CMS(kg)]],0)</f>
        <v>0</v>
      </c>
    </row>
    <row r="764" spans="2:37" hidden="1">
      <c r="B764" s="774">
        <f>ROW()^2+(Tabela1[[#This Row],[ID2]])+ROW()</f>
        <v>584632</v>
      </c>
      <c r="C764" s="794">
        <v>172</v>
      </c>
      <c r="D764" s="794" t="s">
        <v>1273</v>
      </c>
      <c r="E764" s="795" t="s">
        <v>1276</v>
      </c>
      <c r="F764" s="795" t="s">
        <v>1278</v>
      </c>
      <c r="G764" s="795">
        <v>80</v>
      </c>
      <c r="H764" s="795" t="s">
        <v>1</v>
      </c>
      <c r="I764" s="789" t="s">
        <v>1285</v>
      </c>
      <c r="J764" s="794"/>
      <c r="K764" s="794"/>
      <c r="L764" s="797">
        <v>0</v>
      </c>
      <c r="M764" s="778">
        <v>2.5</v>
      </c>
      <c r="N764" s="798">
        <v>1000</v>
      </c>
      <c r="O764" s="798">
        <v>1000</v>
      </c>
      <c r="P764" s="784">
        <v>2</v>
      </c>
      <c r="Q764" s="784">
        <v>10</v>
      </c>
      <c r="R764" s="799">
        <v>125</v>
      </c>
      <c r="S764" s="784">
        <v>10000</v>
      </c>
      <c r="T764" s="784">
        <v>10000</v>
      </c>
      <c r="U764" s="784">
        <v>12.5</v>
      </c>
      <c r="V764" s="784">
        <v>45</v>
      </c>
      <c r="W764" s="784">
        <v>75</v>
      </c>
      <c r="X764" s="784">
        <v>10</v>
      </c>
      <c r="Y764" s="784">
        <v>62.5</v>
      </c>
      <c r="Z764" s="784">
        <v>1875</v>
      </c>
      <c r="AA764" s="784">
        <v>1250</v>
      </c>
      <c r="AB764" s="784">
        <v>2500</v>
      </c>
      <c r="AC764" s="784">
        <v>125</v>
      </c>
      <c r="AD764" s="784">
        <v>25</v>
      </c>
      <c r="AE764" s="784">
        <v>5</v>
      </c>
      <c r="AF764" s="784">
        <v>1000000</v>
      </c>
      <c r="AG764" s="784">
        <v>100000</v>
      </c>
      <c r="AH764" s="784">
        <v>100000</v>
      </c>
      <c r="AI764" s="784"/>
      <c r="AK764" s="783">
        <f>IFERROR(Tabela1[[#This Row],[EE(g)]]/Tabela1[[#This Row],[CMS(kg)]],0)</f>
        <v>50</v>
      </c>
    </row>
    <row r="765" spans="2:37" hidden="1">
      <c r="B765" s="774">
        <f>ROW()^2+(Tabela1[[#This Row],[ID2]])+ROW()</f>
        <v>586163</v>
      </c>
      <c r="C765" s="794">
        <v>173</v>
      </c>
      <c r="D765" s="794" t="s">
        <v>1273</v>
      </c>
      <c r="E765" s="795" t="s">
        <v>1276</v>
      </c>
      <c r="F765" s="795" t="s">
        <v>1278</v>
      </c>
      <c r="G765" s="795">
        <v>80</v>
      </c>
      <c r="H765" s="795" t="s">
        <v>0</v>
      </c>
      <c r="I765" s="789" t="s">
        <v>1286</v>
      </c>
      <c r="J765" s="794"/>
      <c r="K765" s="794"/>
      <c r="L765" s="797">
        <v>0</v>
      </c>
      <c r="M765" s="778">
        <v>0</v>
      </c>
      <c r="N765" s="798">
        <v>287.5</v>
      </c>
      <c r="O765" s="798">
        <v>186</v>
      </c>
      <c r="P765" s="784">
        <v>1.86</v>
      </c>
      <c r="Q765" s="784">
        <v>0.70000000000000007</v>
      </c>
      <c r="R765" s="799">
        <v>0</v>
      </c>
      <c r="S765" s="784">
        <v>17.5</v>
      </c>
      <c r="T765" s="784">
        <v>10</v>
      </c>
      <c r="U765" s="784">
        <v>5</v>
      </c>
      <c r="V765" s="784">
        <v>3.75</v>
      </c>
      <c r="W765" s="784">
        <v>16.25</v>
      </c>
      <c r="X765" s="784">
        <v>5</v>
      </c>
      <c r="Y765" s="784">
        <v>17.5</v>
      </c>
      <c r="Z765" s="784">
        <v>125</v>
      </c>
      <c r="AA765" s="784">
        <v>75</v>
      </c>
      <c r="AB765" s="784">
        <v>150</v>
      </c>
      <c r="AC765" s="784">
        <v>1</v>
      </c>
      <c r="AD765" s="784">
        <v>0.5</v>
      </c>
      <c r="AE765" s="784">
        <v>0.25</v>
      </c>
      <c r="AF765" s="784">
        <v>8750</v>
      </c>
      <c r="AG765" s="784">
        <v>750</v>
      </c>
      <c r="AH765" s="784">
        <v>50</v>
      </c>
      <c r="AI765" s="784"/>
      <c r="AK765" s="783">
        <f>IFERROR(Tabela1[[#This Row],[EE(g)]]/Tabela1[[#This Row],[CMS(kg)]],0)</f>
        <v>0</v>
      </c>
    </row>
    <row r="766" spans="2:37" hidden="1">
      <c r="B766" s="774">
        <f>ROW()^2+(Tabela1[[#This Row],[ID2]])+ROW()</f>
        <v>587696</v>
      </c>
      <c r="C766" s="794">
        <v>174</v>
      </c>
      <c r="D766" s="794" t="s">
        <v>1273</v>
      </c>
      <c r="E766" s="795" t="s">
        <v>1276</v>
      </c>
      <c r="F766" s="795" t="s">
        <v>1278</v>
      </c>
      <c r="G766" s="795">
        <v>80</v>
      </c>
      <c r="H766" s="795" t="s">
        <v>1</v>
      </c>
      <c r="I766" s="789" t="s">
        <v>1286</v>
      </c>
      <c r="J766" s="794"/>
      <c r="K766" s="794"/>
      <c r="L766" s="797">
        <v>0</v>
      </c>
      <c r="M766" s="778">
        <v>2.5</v>
      </c>
      <c r="N766" s="798">
        <v>1000</v>
      </c>
      <c r="O766" s="798">
        <v>1000</v>
      </c>
      <c r="P766" s="784">
        <v>2.5</v>
      </c>
      <c r="Q766" s="784">
        <v>10</v>
      </c>
      <c r="R766" s="799">
        <v>125</v>
      </c>
      <c r="S766" s="784">
        <v>10000</v>
      </c>
      <c r="T766" s="784">
        <v>10000</v>
      </c>
      <c r="U766" s="784">
        <v>12.5</v>
      </c>
      <c r="V766" s="784">
        <v>45</v>
      </c>
      <c r="W766" s="784">
        <v>75</v>
      </c>
      <c r="X766" s="784">
        <v>10</v>
      </c>
      <c r="Y766" s="784">
        <v>62.5</v>
      </c>
      <c r="Z766" s="784">
        <v>1875</v>
      </c>
      <c r="AA766" s="784">
        <v>1250</v>
      </c>
      <c r="AB766" s="784">
        <v>2500</v>
      </c>
      <c r="AC766" s="784">
        <v>125</v>
      </c>
      <c r="AD766" s="784">
        <v>25</v>
      </c>
      <c r="AE766" s="784">
        <v>5</v>
      </c>
      <c r="AF766" s="784">
        <v>1000000</v>
      </c>
      <c r="AG766" s="784">
        <v>100000</v>
      </c>
      <c r="AH766" s="784">
        <v>100000</v>
      </c>
      <c r="AI766" s="784"/>
      <c r="AK766" s="783">
        <f>IFERROR(Tabela1[[#This Row],[EE(g)]]/Tabela1[[#This Row],[CMS(kg)]],0)</f>
        <v>50</v>
      </c>
    </row>
    <row r="767" spans="2:37" hidden="1">
      <c r="B767" s="774">
        <f>ROW()^2+(Tabela1[[#This Row],[ID2]])+ROW()</f>
        <v>589231</v>
      </c>
      <c r="C767" s="794">
        <v>175</v>
      </c>
      <c r="D767" s="794" t="s">
        <v>1273</v>
      </c>
      <c r="E767" s="795" t="s">
        <v>1276</v>
      </c>
      <c r="F767" s="795" t="s">
        <v>1278</v>
      </c>
      <c r="G767" s="795">
        <v>90</v>
      </c>
      <c r="H767" s="795" t="s">
        <v>0</v>
      </c>
      <c r="I767" s="789" t="s">
        <v>1266</v>
      </c>
      <c r="J767" s="794"/>
      <c r="K767" s="794"/>
      <c r="L767" s="797">
        <v>0</v>
      </c>
      <c r="M767" s="778">
        <v>0</v>
      </c>
      <c r="N767" s="798">
        <v>345</v>
      </c>
      <c r="O767" s="798">
        <v>119.9</v>
      </c>
      <c r="P767" s="784">
        <v>1.0900000000000001</v>
      </c>
      <c r="Q767" s="784">
        <v>0.84000000000000008</v>
      </c>
      <c r="R767" s="799">
        <v>0</v>
      </c>
      <c r="S767" s="784">
        <v>21</v>
      </c>
      <c r="T767" s="784">
        <v>12</v>
      </c>
      <c r="U767" s="784">
        <v>6</v>
      </c>
      <c r="V767" s="784">
        <v>4.5</v>
      </c>
      <c r="W767" s="784">
        <v>19.5</v>
      </c>
      <c r="X767" s="784">
        <v>6</v>
      </c>
      <c r="Y767" s="784">
        <v>21</v>
      </c>
      <c r="Z767" s="784">
        <v>150</v>
      </c>
      <c r="AA767" s="784">
        <v>90</v>
      </c>
      <c r="AB767" s="784">
        <v>180</v>
      </c>
      <c r="AC767" s="784">
        <v>1.2000000000000002</v>
      </c>
      <c r="AD767" s="784">
        <v>0.60000000000000009</v>
      </c>
      <c r="AE767" s="784">
        <v>0.30000000000000004</v>
      </c>
      <c r="AF767" s="784">
        <v>10500</v>
      </c>
      <c r="AG767" s="784">
        <v>900</v>
      </c>
      <c r="AH767" s="784">
        <v>60</v>
      </c>
      <c r="AI767" s="784"/>
      <c r="AK767" s="783">
        <f>IFERROR(Tabela1[[#This Row],[EE(g)]]/Tabela1[[#This Row],[CMS(kg)]],0)</f>
        <v>0</v>
      </c>
    </row>
    <row r="768" spans="2:37" hidden="1">
      <c r="B768" s="774">
        <f>ROW()^2+(Tabela1[[#This Row],[ID2]])+ROW()</f>
        <v>590768</v>
      </c>
      <c r="C768" s="794">
        <v>176</v>
      </c>
      <c r="D768" s="794" t="s">
        <v>1273</v>
      </c>
      <c r="E768" s="795" t="s">
        <v>1276</v>
      </c>
      <c r="F768" s="795" t="s">
        <v>1278</v>
      </c>
      <c r="G768" s="795">
        <v>90</v>
      </c>
      <c r="H768" s="795" t="s">
        <v>1</v>
      </c>
      <c r="I768" s="789" t="s">
        <v>1266</v>
      </c>
      <c r="J768" s="794"/>
      <c r="K768" s="794"/>
      <c r="L768" s="797">
        <v>0</v>
      </c>
      <c r="M768" s="778">
        <v>3</v>
      </c>
      <c r="N768" s="798">
        <v>1000</v>
      </c>
      <c r="O768" s="798">
        <v>1000</v>
      </c>
      <c r="P768" s="784">
        <v>1.5</v>
      </c>
      <c r="Q768" s="784">
        <v>10</v>
      </c>
      <c r="R768" s="799">
        <v>150</v>
      </c>
      <c r="S768" s="784">
        <v>10000</v>
      </c>
      <c r="T768" s="784">
        <v>10000</v>
      </c>
      <c r="U768" s="784">
        <v>15</v>
      </c>
      <c r="V768" s="784">
        <v>53.999999999999993</v>
      </c>
      <c r="W768" s="784">
        <v>90</v>
      </c>
      <c r="X768" s="784">
        <v>12</v>
      </c>
      <c r="Y768" s="784">
        <v>75</v>
      </c>
      <c r="Z768" s="784">
        <v>2250</v>
      </c>
      <c r="AA768" s="784">
        <v>1500</v>
      </c>
      <c r="AB768" s="784">
        <v>3000</v>
      </c>
      <c r="AC768" s="784">
        <v>150</v>
      </c>
      <c r="AD768" s="784">
        <v>30</v>
      </c>
      <c r="AE768" s="784">
        <v>6</v>
      </c>
      <c r="AF768" s="784">
        <v>1000000</v>
      </c>
      <c r="AG768" s="784">
        <v>100000</v>
      </c>
      <c r="AH768" s="784">
        <v>100000</v>
      </c>
      <c r="AI768" s="784"/>
      <c r="AK768" s="783">
        <f>IFERROR(Tabela1[[#This Row],[EE(g)]]/Tabela1[[#This Row],[CMS(kg)]],0)</f>
        <v>50</v>
      </c>
    </row>
    <row r="769" spans="2:37" hidden="1">
      <c r="B769" s="774">
        <f>ROW()^2+(Tabela1[[#This Row],[ID2]])+ROW()</f>
        <v>592307</v>
      </c>
      <c r="C769" s="794">
        <v>177</v>
      </c>
      <c r="D769" s="794" t="s">
        <v>1273</v>
      </c>
      <c r="E769" s="795" t="s">
        <v>1276</v>
      </c>
      <c r="F769" s="795" t="s">
        <v>1278</v>
      </c>
      <c r="G769" s="795">
        <v>90</v>
      </c>
      <c r="H769" s="795" t="s">
        <v>0</v>
      </c>
      <c r="I769" s="789" t="s">
        <v>1285</v>
      </c>
      <c r="J769" s="794"/>
      <c r="K769" s="794"/>
      <c r="L769" s="797">
        <v>0</v>
      </c>
      <c r="M769" s="778">
        <v>0</v>
      </c>
      <c r="N769" s="798">
        <v>345</v>
      </c>
      <c r="O769" s="798">
        <v>170.5</v>
      </c>
      <c r="P769" s="784">
        <v>1.55</v>
      </c>
      <c r="Q769" s="784">
        <v>0.84000000000000008</v>
      </c>
      <c r="R769" s="799">
        <v>0</v>
      </c>
      <c r="S769" s="784">
        <v>21</v>
      </c>
      <c r="T769" s="784">
        <v>12</v>
      </c>
      <c r="U769" s="784">
        <v>6</v>
      </c>
      <c r="V769" s="784">
        <v>4.5</v>
      </c>
      <c r="W769" s="784">
        <v>19.5</v>
      </c>
      <c r="X769" s="784">
        <v>6</v>
      </c>
      <c r="Y769" s="784">
        <v>21</v>
      </c>
      <c r="Z769" s="784">
        <v>150</v>
      </c>
      <c r="AA769" s="784">
        <v>90</v>
      </c>
      <c r="AB769" s="784">
        <v>180</v>
      </c>
      <c r="AC769" s="784">
        <v>1.2000000000000002</v>
      </c>
      <c r="AD769" s="784">
        <v>0.60000000000000009</v>
      </c>
      <c r="AE769" s="784">
        <v>0.30000000000000004</v>
      </c>
      <c r="AF769" s="784">
        <v>10500</v>
      </c>
      <c r="AG769" s="784">
        <v>900</v>
      </c>
      <c r="AH769" s="784">
        <v>60</v>
      </c>
      <c r="AI769" s="784"/>
      <c r="AK769" s="783">
        <f>IFERROR(Tabela1[[#This Row],[EE(g)]]/Tabela1[[#This Row],[CMS(kg)]],0)</f>
        <v>0</v>
      </c>
    </row>
    <row r="770" spans="2:37" hidden="1">
      <c r="B770" s="774">
        <f>ROW()^2+(Tabela1[[#This Row],[ID2]])+ROW()</f>
        <v>593848</v>
      </c>
      <c r="C770" s="794">
        <v>178</v>
      </c>
      <c r="D770" s="794" t="s">
        <v>1273</v>
      </c>
      <c r="E770" s="795" t="s">
        <v>1276</v>
      </c>
      <c r="F770" s="795" t="s">
        <v>1278</v>
      </c>
      <c r="G770" s="795">
        <v>90</v>
      </c>
      <c r="H770" s="795" t="s">
        <v>1</v>
      </c>
      <c r="I770" s="789" t="s">
        <v>1285</v>
      </c>
      <c r="J770" s="794"/>
      <c r="K770" s="794"/>
      <c r="L770" s="797">
        <v>0</v>
      </c>
      <c r="M770" s="778">
        <v>3</v>
      </c>
      <c r="N770" s="798">
        <v>1000</v>
      </c>
      <c r="O770" s="798">
        <v>1000</v>
      </c>
      <c r="P770" s="784">
        <v>2</v>
      </c>
      <c r="Q770" s="784">
        <v>10</v>
      </c>
      <c r="R770" s="799">
        <v>150</v>
      </c>
      <c r="S770" s="784">
        <v>10000</v>
      </c>
      <c r="T770" s="784">
        <v>10000</v>
      </c>
      <c r="U770" s="784">
        <v>15</v>
      </c>
      <c r="V770" s="784">
        <v>53.999999999999993</v>
      </c>
      <c r="W770" s="784">
        <v>90</v>
      </c>
      <c r="X770" s="784">
        <v>12</v>
      </c>
      <c r="Y770" s="784">
        <v>75</v>
      </c>
      <c r="Z770" s="784">
        <v>2250</v>
      </c>
      <c r="AA770" s="784">
        <v>1500</v>
      </c>
      <c r="AB770" s="784">
        <v>3000</v>
      </c>
      <c r="AC770" s="784">
        <v>150</v>
      </c>
      <c r="AD770" s="784">
        <v>30</v>
      </c>
      <c r="AE770" s="784">
        <v>6</v>
      </c>
      <c r="AF770" s="784">
        <v>1000000</v>
      </c>
      <c r="AG770" s="784">
        <v>100000</v>
      </c>
      <c r="AH770" s="784">
        <v>100000</v>
      </c>
      <c r="AI770" s="784"/>
      <c r="AK770" s="783">
        <f>IFERROR(Tabela1[[#This Row],[EE(g)]]/Tabela1[[#This Row],[CMS(kg)]],0)</f>
        <v>50</v>
      </c>
    </row>
    <row r="771" spans="2:37" hidden="1">
      <c r="B771" s="774">
        <f>ROW()^2+(Tabela1[[#This Row],[ID2]])+ROW()</f>
        <v>595391</v>
      </c>
      <c r="C771" s="794">
        <v>179</v>
      </c>
      <c r="D771" s="794" t="s">
        <v>1273</v>
      </c>
      <c r="E771" s="795" t="s">
        <v>1276</v>
      </c>
      <c r="F771" s="795" t="s">
        <v>1278</v>
      </c>
      <c r="G771" s="795">
        <v>90</v>
      </c>
      <c r="H771" s="795" t="s">
        <v>0</v>
      </c>
      <c r="I771" s="789" t="s">
        <v>1286</v>
      </c>
      <c r="J771" s="794"/>
      <c r="K771" s="794"/>
      <c r="L771" s="797">
        <v>0</v>
      </c>
      <c r="M771" s="778">
        <v>0</v>
      </c>
      <c r="N771" s="798">
        <v>345</v>
      </c>
      <c r="O771" s="798">
        <v>190</v>
      </c>
      <c r="P771" s="784">
        <v>1.9</v>
      </c>
      <c r="Q771" s="784">
        <v>0.84000000000000008</v>
      </c>
      <c r="R771" s="799">
        <v>0</v>
      </c>
      <c r="S771" s="784">
        <v>21</v>
      </c>
      <c r="T771" s="784">
        <v>12</v>
      </c>
      <c r="U771" s="784">
        <v>6</v>
      </c>
      <c r="V771" s="784">
        <v>4.5</v>
      </c>
      <c r="W771" s="784">
        <v>19.5</v>
      </c>
      <c r="X771" s="784">
        <v>6</v>
      </c>
      <c r="Y771" s="784">
        <v>21</v>
      </c>
      <c r="Z771" s="784">
        <v>150</v>
      </c>
      <c r="AA771" s="784">
        <v>90</v>
      </c>
      <c r="AB771" s="784">
        <v>180</v>
      </c>
      <c r="AC771" s="784">
        <v>1.2000000000000002</v>
      </c>
      <c r="AD771" s="784">
        <v>0.60000000000000009</v>
      </c>
      <c r="AE771" s="784">
        <v>0.30000000000000004</v>
      </c>
      <c r="AF771" s="784">
        <v>10500</v>
      </c>
      <c r="AG771" s="784">
        <v>900</v>
      </c>
      <c r="AH771" s="784">
        <v>60</v>
      </c>
      <c r="AI771" s="784"/>
      <c r="AK771" s="783">
        <f>IFERROR(Tabela1[[#This Row],[EE(g)]]/Tabela1[[#This Row],[CMS(kg)]],0)</f>
        <v>0</v>
      </c>
    </row>
    <row r="772" spans="2:37" hidden="1">
      <c r="B772" s="774">
        <f>ROW()^2+(Tabela1[[#This Row],[ID2]])+ROW()</f>
        <v>596936</v>
      </c>
      <c r="C772" s="794">
        <v>180</v>
      </c>
      <c r="D772" s="794" t="s">
        <v>1273</v>
      </c>
      <c r="E772" s="795" t="s">
        <v>1276</v>
      </c>
      <c r="F772" s="795" t="s">
        <v>1278</v>
      </c>
      <c r="G772" s="795">
        <v>90</v>
      </c>
      <c r="H772" s="795" t="s">
        <v>1</v>
      </c>
      <c r="I772" s="789" t="s">
        <v>1286</v>
      </c>
      <c r="J772" s="794"/>
      <c r="K772" s="794"/>
      <c r="L772" s="797">
        <v>0</v>
      </c>
      <c r="M772" s="778">
        <v>3</v>
      </c>
      <c r="N772" s="798">
        <v>1000</v>
      </c>
      <c r="O772" s="798">
        <v>1000</v>
      </c>
      <c r="P772" s="784">
        <v>2.5</v>
      </c>
      <c r="Q772" s="784">
        <v>10</v>
      </c>
      <c r="R772" s="799">
        <v>150</v>
      </c>
      <c r="S772" s="784">
        <v>10000</v>
      </c>
      <c r="T772" s="784">
        <v>10000</v>
      </c>
      <c r="U772" s="784">
        <v>15</v>
      </c>
      <c r="V772" s="784">
        <v>53.999999999999993</v>
      </c>
      <c r="W772" s="784">
        <v>90</v>
      </c>
      <c r="X772" s="784">
        <v>12</v>
      </c>
      <c r="Y772" s="784">
        <v>75</v>
      </c>
      <c r="Z772" s="784">
        <v>2250</v>
      </c>
      <c r="AA772" s="784">
        <v>1500</v>
      </c>
      <c r="AB772" s="784">
        <v>3000</v>
      </c>
      <c r="AC772" s="784">
        <v>150</v>
      </c>
      <c r="AD772" s="784">
        <v>30</v>
      </c>
      <c r="AE772" s="784">
        <v>6</v>
      </c>
      <c r="AF772" s="784">
        <v>1000000</v>
      </c>
      <c r="AG772" s="784">
        <v>100000</v>
      </c>
      <c r="AH772" s="784">
        <v>100000</v>
      </c>
      <c r="AI772" s="784"/>
      <c r="AK772" s="783">
        <f>IFERROR(Tabela1[[#This Row],[EE(g)]]/Tabela1[[#This Row],[CMS(kg)]],0)</f>
        <v>50</v>
      </c>
    </row>
    <row r="773" spans="2:37" hidden="1">
      <c r="B773" s="774">
        <f>ROW()^2+(Tabela1[[#This Row],[ID2]])+ROW()</f>
        <v>598483</v>
      </c>
      <c r="C773" s="794">
        <v>181</v>
      </c>
      <c r="D773" s="794" t="s">
        <v>1273</v>
      </c>
      <c r="E773" s="795" t="s">
        <v>1276</v>
      </c>
      <c r="F773" s="795" t="s">
        <v>1278</v>
      </c>
      <c r="G773" s="795">
        <v>100</v>
      </c>
      <c r="H773" s="795" t="s">
        <v>0</v>
      </c>
      <c r="I773" s="789" t="s">
        <v>1266</v>
      </c>
      <c r="J773" s="794"/>
      <c r="K773" s="794"/>
      <c r="L773" s="797">
        <v>0</v>
      </c>
      <c r="M773" s="778">
        <v>0</v>
      </c>
      <c r="N773" s="798">
        <v>356.5</v>
      </c>
      <c r="O773" s="798">
        <v>126.5</v>
      </c>
      <c r="P773" s="784">
        <v>1.1499999999999999</v>
      </c>
      <c r="Q773" s="784">
        <v>0.8680000000000001</v>
      </c>
      <c r="R773" s="799">
        <v>0</v>
      </c>
      <c r="S773" s="784">
        <v>21.7</v>
      </c>
      <c r="T773" s="784">
        <v>12.4</v>
      </c>
      <c r="U773" s="784">
        <v>6.2</v>
      </c>
      <c r="V773" s="784">
        <v>4.6500000000000004</v>
      </c>
      <c r="W773" s="784">
        <v>20.149999999999999</v>
      </c>
      <c r="X773" s="784">
        <v>6.2</v>
      </c>
      <c r="Y773" s="784">
        <v>21.7</v>
      </c>
      <c r="Z773" s="784">
        <v>155</v>
      </c>
      <c r="AA773" s="784">
        <v>93</v>
      </c>
      <c r="AB773" s="784">
        <v>186</v>
      </c>
      <c r="AC773" s="784">
        <v>1.2400000000000002</v>
      </c>
      <c r="AD773" s="784">
        <v>0.62000000000000011</v>
      </c>
      <c r="AE773" s="784">
        <v>0.31000000000000005</v>
      </c>
      <c r="AF773" s="784">
        <v>10850</v>
      </c>
      <c r="AG773" s="784">
        <v>930</v>
      </c>
      <c r="AH773" s="784">
        <v>62</v>
      </c>
      <c r="AI773" s="784"/>
      <c r="AK773" s="783">
        <f>IFERROR(Tabela1[[#This Row],[EE(g)]]/Tabela1[[#This Row],[CMS(kg)]],0)</f>
        <v>0</v>
      </c>
    </row>
    <row r="774" spans="2:37" hidden="1">
      <c r="B774" s="774">
        <f>ROW()^2+(Tabela1[[#This Row],[ID2]])+ROW()</f>
        <v>600032</v>
      </c>
      <c r="C774" s="794">
        <v>182</v>
      </c>
      <c r="D774" s="794" t="s">
        <v>1273</v>
      </c>
      <c r="E774" s="795" t="s">
        <v>1276</v>
      </c>
      <c r="F774" s="795" t="s">
        <v>1278</v>
      </c>
      <c r="G774" s="795">
        <v>100</v>
      </c>
      <c r="H774" s="795" t="s">
        <v>1</v>
      </c>
      <c r="I774" s="789" t="s">
        <v>1266</v>
      </c>
      <c r="J774" s="794"/>
      <c r="K774" s="794"/>
      <c r="L774" s="797">
        <v>0</v>
      </c>
      <c r="M774" s="778">
        <v>3.1</v>
      </c>
      <c r="N774" s="798">
        <v>1000</v>
      </c>
      <c r="O774" s="798">
        <v>1000</v>
      </c>
      <c r="P774" s="784">
        <v>1.6</v>
      </c>
      <c r="Q774" s="784">
        <v>10</v>
      </c>
      <c r="R774" s="799">
        <v>155</v>
      </c>
      <c r="S774" s="784">
        <v>10000</v>
      </c>
      <c r="T774" s="784">
        <v>10000</v>
      </c>
      <c r="U774" s="784">
        <v>15.5</v>
      </c>
      <c r="V774" s="784">
        <v>55.8</v>
      </c>
      <c r="W774" s="784">
        <v>93</v>
      </c>
      <c r="X774" s="784">
        <v>12.4</v>
      </c>
      <c r="Y774" s="784">
        <v>77.5</v>
      </c>
      <c r="Z774" s="784">
        <v>2325</v>
      </c>
      <c r="AA774" s="784">
        <v>1550</v>
      </c>
      <c r="AB774" s="784">
        <v>3100</v>
      </c>
      <c r="AC774" s="784">
        <v>155</v>
      </c>
      <c r="AD774" s="784">
        <v>31</v>
      </c>
      <c r="AE774" s="784">
        <v>6.2</v>
      </c>
      <c r="AF774" s="784">
        <v>1000000</v>
      </c>
      <c r="AG774" s="784">
        <v>100000</v>
      </c>
      <c r="AH774" s="784">
        <v>100000</v>
      </c>
      <c r="AI774" s="784"/>
      <c r="AK774" s="783">
        <f>IFERROR(Tabela1[[#This Row],[EE(g)]]/Tabela1[[#This Row],[CMS(kg)]],0)</f>
        <v>50</v>
      </c>
    </row>
    <row r="775" spans="2:37" hidden="1">
      <c r="B775" s="774">
        <f>ROW()^2+(Tabela1[[#This Row],[ID2]])+ROW()</f>
        <v>601583</v>
      </c>
      <c r="C775" s="794">
        <v>183</v>
      </c>
      <c r="D775" s="794" t="s">
        <v>1273</v>
      </c>
      <c r="E775" s="795" t="s">
        <v>1276</v>
      </c>
      <c r="F775" s="795" t="s">
        <v>1278</v>
      </c>
      <c r="G775" s="795">
        <v>100</v>
      </c>
      <c r="H775" s="795" t="s">
        <v>0</v>
      </c>
      <c r="I775" s="789" t="s">
        <v>1285</v>
      </c>
      <c r="J775" s="794"/>
      <c r="K775" s="794"/>
      <c r="L775" s="797">
        <v>0</v>
      </c>
      <c r="M775" s="778">
        <v>0</v>
      </c>
      <c r="N775" s="798">
        <v>345</v>
      </c>
      <c r="O775" s="798">
        <v>177.1</v>
      </c>
      <c r="P775" s="784">
        <v>1.61</v>
      </c>
      <c r="Q775" s="784">
        <v>0.8680000000000001</v>
      </c>
      <c r="R775" s="799">
        <v>0</v>
      </c>
      <c r="S775" s="784">
        <v>21.7</v>
      </c>
      <c r="T775" s="784">
        <v>12.4</v>
      </c>
      <c r="U775" s="784">
        <v>6.2</v>
      </c>
      <c r="V775" s="784">
        <v>4.6500000000000004</v>
      </c>
      <c r="W775" s="784">
        <v>20.149999999999999</v>
      </c>
      <c r="X775" s="784">
        <v>6.2</v>
      </c>
      <c r="Y775" s="784">
        <v>21.7</v>
      </c>
      <c r="Z775" s="784">
        <v>155</v>
      </c>
      <c r="AA775" s="784">
        <v>93</v>
      </c>
      <c r="AB775" s="784">
        <v>186</v>
      </c>
      <c r="AC775" s="784">
        <v>1.2400000000000002</v>
      </c>
      <c r="AD775" s="784">
        <v>0.62000000000000011</v>
      </c>
      <c r="AE775" s="784">
        <v>0.31000000000000005</v>
      </c>
      <c r="AF775" s="784">
        <v>10850</v>
      </c>
      <c r="AG775" s="784">
        <v>930</v>
      </c>
      <c r="AH775" s="784">
        <v>62</v>
      </c>
      <c r="AI775" s="784"/>
      <c r="AK775" s="783">
        <f>IFERROR(Tabela1[[#This Row],[EE(g)]]/Tabela1[[#This Row],[CMS(kg)]],0)</f>
        <v>0</v>
      </c>
    </row>
    <row r="776" spans="2:37" hidden="1">
      <c r="B776" s="774">
        <f>ROW()^2+(Tabela1[[#This Row],[ID2]])+ROW()</f>
        <v>603136</v>
      </c>
      <c r="C776" s="794">
        <v>184</v>
      </c>
      <c r="D776" s="794" t="s">
        <v>1273</v>
      </c>
      <c r="E776" s="795" t="s">
        <v>1276</v>
      </c>
      <c r="F776" s="795" t="s">
        <v>1278</v>
      </c>
      <c r="G776" s="795">
        <v>100</v>
      </c>
      <c r="H776" s="795" t="s">
        <v>1</v>
      </c>
      <c r="I776" s="789" t="s">
        <v>1285</v>
      </c>
      <c r="J776" s="794"/>
      <c r="K776" s="794"/>
      <c r="L776" s="797">
        <v>0</v>
      </c>
      <c r="M776" s="778">
        <v>3.1</v>
      </c>
      <c r="N776" s="798">
        <v>1000</v>
      </c>
      <c r="O776" s="798">
        <v>1000</v>
      </c>
      <c r="P776" s="784">
        <v>2</v>
      </c>
      <c r="Q776" s="784">
        <v>10</v>
      </c>
      <c r="R776" s="799">
        <v>155</v>
      </c>
      <c r="S776" s="784">
        <v>10000</v>
      </c>
      <c r="T776" s="784">
        <v>10000</v>
      </c>
      <c r="U776" s="784">
        <v>15.5</v>
      </c>
      <c r="V776" s="784">
        <v>55.8</v>
      </c>
      <c r="W776" s="784">
        <v>93</v>
      </c>
      <c r="X776" s="784">
        <v>12.4</v>
      </c>
      <c r="Y776" s="784">
        <v>77.5</v>
      </c>
      <c r="Z776" s="784">
        <v>2325</v>
      </c>
      <c r="AA776" s="784">
        <v>1550</v>
      </c>
      <c r="AB776" s="784">
        <v>3100</v>
      </c>
      <c r="AC776" s="784">
        <v>155</v>
      </c>
      <c r="AD776" s="784">
        <v>31</v>
      </c>
      <c r="AE776" s="784">
        <v>6.2</v>
      </c>
      <c r="AF776" s="784">
        <v>1000000</v>
      </c>
      <c r="AG776" s="784">
        <v>100000</v>
      </c>
      <c r="AH776" s="784">
        <v>100000</v>
      </c>
      <c r="AI776" s="784"/>
      <c r="AK776" s="783">
        <f>IFERROR(Tabela1[[#This Row],[EE(g)]]/Tabela1[[#This Row],[CMS(kg)]],0)</f>
        <v>50</v>
      </c>
    </row>
    <row r="777" spans="2:37" hidden="1">
      <c r="B777" s="774">
        <f>ROW()^2+(Tabela1[[#This Row],[ID2]])+ROW()</f>
        <v>604691</v>
      </c>
      <c r="C777" s="794">
        <v>185</v>
      </c>
      <c r="D777" s="794" t="s">
        <v>1273</v>
      </c>
      <c r="E777" s="795" t="s">
        <v>1276</v>
      </c>
      <c r="F777" s="795" t="s">
        <v>1278</v>
      </c>
      <c r="G777" s="795">
        <v>100</v>
      </c>
      <c r="H777" s="795" t="s">
        <v>0</v>
      </c>
      <c r="I777" s="789" t="s">
        <v>1286</v>
      </c>
      <c r="J777" s="794"/>
      <c r="K777" s="794"/>
      <c r="L777" s="797">
        <v>0</v>
      </c>
      <c r="M777" s="778">
        <v>0</v>
      </c>
      <c r="N777" s="798">
        <v>356.5</v>
      </c>
      <c r="O777" s="798">
        <v>190</v>
      </c>
      <c r="P777" s="784">
        <v>1.9</v>
      </c>
      <c r="Q777" s="784">
        <v>0.8680000000000001</v>
      </c>
      <c r="R777" s="799">
        <v>0</v>
      </c>
      <c r="S777" s="784">
        <v>21.7</v>
      </c>
      <c r="T777" s="784">
        <v>12.4</v>
      </c>
      <c r="U777" s="784">
        <v>6.2</v>
      </c>
      <c r="V777" s="784">
        <v>4.6500000000000004</v>
      </c>
      <c r="W777" s="784">
        <v>20.149999999999999</v>
      </c>
      <c r="X777" s="784">
        <v>6.2</v>
      </c>
      <c r="Y777" s="784">
        <v>21.7</v>
      </c>
      <c r="Z777" s="784">
        <v>155</v>
      </c>
      <c r="AA777" s="784">
        <v>93</v>
      </c>
      <c r="AB777" s="784">
        <v>186</v>
      </c>
      <c r="AC777" s="784">
        <v>1.2400000000000002</v>
      </c>
      <c r="AD777" s="784">
        <v>0.62000000000000011</v>
      </c>
      <c r="AE777" s="784">
        <v>0.31000000000000005</v>
      </c>
      <c r="AF777" s="784">
        <v>10850</v>
      </c>
      <c r="AG777" s="784">
        <v>930</v>
      </c>
      <c r="AH777" s="784">
        <v>62</v>
      </c>
      <c r="AI777" s="784"/>
      <c r="AK777" s="783">
        <f>IFERROR(Tabela1[[#This Row],[EE(g)]]/Tabela1[[#This Row],[CMS(kg)]],0)</f>
        <v>0</v>
      </c>
    </row>
    <row r="778" spans="2:37" hidden="1">
      <c r="B778" s="774">
        <f>ROW()^2+(Tabela1[[#This Row],[ID2]])+ROW()</f>
        <v>606248</v>
      </c>
      <c r="C778" s="794">
        <v>186</v>
      </c>
      <c r="D778" s="794" t="s">
        <v>1273</v>
      </c>
      <c r="E778" s="795" t="s">
        <v>1276</v>
      </c>
      <c r="F778" s="795" t="s">
        <v>1278</v>
      </c>
      <c r="G778" s="795">
        <v>100</v>
      </c>
      <c r="H778" s="795" t="s">
        <v>1</v>
      </c>
      <c r="I778" s="789" t="s">
        <v>1286</v>
      </c>
      <c r="J778" s="794"/>
      <c r="K778" s="794"/>
      <c r="L778" s="797">
        <v>0</v>
      </c>
      <c r="M778" s="778">
        <v>3.1</v>
      </c>
      <c r="N778" s="798">
        <v>1000</v>
      </c>
      <c r="O778" s="798">
        <v>1000</v>
      </c>
      <c r="P778" s="784">
        <v>2.5</v>
      </c>
      <c r="Q778" s="784">
        <v>10</v>
      </c>
      <c r="R778" s="799">
        <v>155</v>
      </c>
      <c r="S778" s="784">
        <v>10000</v>
      </c>
      <c r="T778" s="784">
        <v>10000</v>
      </c>
      <c r="U778" s="784">
        <v>15.5</v>
      </c>
      <c r="V778" s="784">
        <v>55.8</v>
      </c>
      <c r="W778" s="784">
        <v>93</v>
      </c>
      <c r="X778" s="784">
        <v>12.4</v>
      </c>
      <c r="Y778" s="784">
        <v>77.5</v>
      </c>
      <c r="Z778" s="784">
        <v>2325</v>
      </c>
      <c r="AA778" s="784">
        <v>1550</v>
      </c>
      <c r="AB778" s="784">
        <v>3100</v>
      </c>
      <c r="AC778" s="784">
        <v>155</v>
      </c>
      <c r="AD778" s="784">
        <v>31</v>
      </c>
      <c r="AE778" s="784">
        <v>6.2</v>
      </c>
      <c r="AF778" s="784">
        <v>1000000</v>
      </c>
      <c r="AG778" s="784">
        <v>100000</v>
      </c>
      <c r="AH778" s="784">
        <v>100000</v>
      </c>
      <c r="AI778" s="784"/>
      <c r="AK778" s="783">
        <f>IFERROR(Tabela1[[#This Row],[EE(g)]]/Tabela1[[#This Row],[CMS(kg)]],0)</f>
        <v>50</v>
      </c>
    </row>
    <row r="779" spans="2:37" hidden="1">
      <c r="B779" s="774">
        <f>ROW()^2+(Tabela1[[#This Row],[ID2]])+ROW()</f>
        <v>607807</v>
      </c>
      <c r="C779" s="794">
        <v>187</v>
      </c>
      <c r="D779" s="794" t="s">
        <v>1273</v>
      </c>
      <c r="E779" s="795" t="s">
        <v>1279</v>
      </c>
      <c r="F779" s="795" t="s">
        <v>1258</v>
      </c>
      <c r="G779" s="795">
        <v>20</v>
      </c>
      <c r="H779" s="795" t="s">
        <v>0</v>
      </c>
      <c r="I779" s="796">
        <v>0</v>
      </c>
      <c r="J779" s="794"/>
      <c r="K779" s="794"/>
      <c r="L779" s="797">
        <v>0</v>
      </c>
      <c r="M779" s="778">
        <v>0</v>
      </c>
      <c r="N779" s="798">
        <v>38</v>
      </c>
      <c r="O779" s="798">
        <v>0</v>
      </c>
      <c r="P779" s="784">
        <v>0.26700000000000002</v>
      </c>
      <c r="Q779" s="784">
        <v>0.13440000000000002</v>
      </c>
      <c r="R779" s="799">
        <v>0</v>
      </c>
      <c r="S779" s="784">
        <v>1</v>
      </c>
      <c r="T779" s="784">
        <v>0.7</v>
      </c>
      <c r="U779" s="784">
        <v>0.96</v>
      </c>
      <c r="V779" s="784">
        <v>0.96</v>
      </c>
      <c r="W779" s="784">
        <v>2.4</v>
      </c>
      <c r="X779" s="784">
        <v>0.96</v>
      </c>
      <c r="Y779" s="784">
        <v>3.36</v>
      </c>
      <c r="Z779" s="784">
        <v>24</v>
      </c>
      <c r="AA779" s="784">
        <v>24</v>
      </c>
      <c r="AB779" s="784">
        <v>19.2</v>
      </c>
      <c r="AC779" s="784">
        <v>0.192</v>
      </c>
      <c r="AD779" s="784">
        <v>9.6000000000000002E-2</v>
      </c>
      <c r="AE779" s="784">
        <v>4.8000000000000001E-2</v>
      </c>
      <c r="AF779" s="784">
        <v>720</v>
      </c>
      <c r="AG779" s="784">
        <v>144</v>
      </c>
      <c r="AH779" s="784">
        <v>9.6</v>
      </c>
      <c r="AI779" s="784"/>
      <c r="AK779" s="783">
        <f>IFERROR(Tabela1[[#This Row],[EE(g)]]/Tabela1[[#This Row],[CMS(kg)]],0)</f>
        <v>0</v>
      </c>
    </row>
    <row r="780" spans="2:37" hidden="1">
      <c r="B780" s="774">
        <f>ROW()^2+(Tabela1[[#This Row],[ID2]])+ROW()</f>
        <v>609368</v>
      </c>
      <c r="C780" s="794">
        <v>188</v>
      </c>
      <c r="D780" s="794" t="s">
        <v>1273</v>
      </c>
      <c r="E780" s="795" t="s">
        <v>1279</v>
      </c>
      <c r="F780" s="795" t="s">
        <v>1258</v>
      </c>
      <c r="G780" s="795">
        <v>20</v>
      </c>
      <c r="H780" s="795" t="s">
        <v>1</v>
      </c>
      <c r="I780" s="796">
        <v>0</v>
      </c>
      <c r="J780" s="794"/>
      <c r="K780" s="794"/>
      <c r="L780" s="797">
        <v>0</v>
      </c>
      <c r="M780" s="778">
        <v>0.48</v>
      </c>
      <c r="N780" s="798">
        <v>1000</v>
      </c>
      <c r="O780" s="798">
        <v>1000</v>
      </c>
      <c r="P780" s="784">
        <v>1</v>
      </c>
      <c r="Q780" s="784">
        <v>10</v>
      </c>
      <c r="R780" s="799">
        <v>24</v>
      </c>
      <c r="S780" s="784">
        <v>10000</v>
      </c>
      <c r="T780" s="784">
        <v>10000</v>
      </c>
      <c r="U780" s="784">
        <v>2.4</v>
      </c>
      <c r="V780" s="784">
        <v>8.6399999999999988</v>
      </c>
      <c r="W780" s="784">
        <v>14.399999999999999</v>
      </c>
      <c r="X780" s="784">
        <v>1.92</v>
      </c>
      <c r="Y780" s="784">
        <v>12</v>
      </c>
      <c r="Z780" s="784">
        <v>360</v>
      </c>
      <c r="AA780" s="784">
        <v>240</v>
      </c>
      <c r="AB780" s="784">
        <v>480</v>
      </c>
      <c r="AC780" s="784">
        <v>24</v>
      </c>
      <c r="AD780" s="784">
        <v>4.8</v>
      </c>
      <c r="AE780" s="784">
        <v>0.96</v>
      </c>
      <c r="AF780" s="784">
        <v>1000000</v>
      </c>
      <c r="AG780" s="784">
        <v>100000</v>
      </c>
      <c r="AH780" s="784">
        <v>100000</v>
      </c>
      <c r="AI780" s="784"/>
      <c r="AK780" s="783">
        <f>IFERROR(Tabela1[[#This Row],[EE(g)]]/Tabela1[[#This Row],[CMS(kg)]],0)</f>
        <v>50</v>
      </c>
    </row>
    <row r="781" spans="2:37">
      <c r="B781" s="774">
        <f>ROW()^2+(Tabela1[[#This Row],[ID2]])+ROW()</f>
        <v>610931</v>
      </c>
      <c r="C781" s="794">
        <v>189</v>
      </c>
      <c r="D781" s="794" t="s">
        <v>1273</v>
      </c>
      <c r="E781" s="795" t="s">
        <v>1279</v>
      </c>
      <c r="F781" s="795" t="s">
        <v>1258</v>
      </c>
      <c r="G781" s="795">
        <v>40</v>
      </c>
      <c r="H781" s="795" t="s">
        <v>0</v>
      </c>
      <c r="I781" s="796">
        <v>0</v>
      </c>
      <c r="J781" s="794"/>
      <c r="K781" s="794"/>
      <c r="L781" s="797">
        <v>0</v>
      </c>
      <c r="M781" s="778">
        <v>0</v>
      </c>
      <c r="N781" s="798">
        <v>63</v>
      </c>
      <c r="O781" s="798">
        <v>0</v>
      </c>
      <c r="P781" s="784">
        <v>0.44800000000000001</v>
      </c>
      <c r="Q781" s="784">
        <v>0.2268</v>
      </c>
      <c r="R781" s="799">
        <v>0</v>
      </c>
      <c r="S781" s="784">
        <v>2</v>
      </c>
      <c r="T781" s="784">
        <v>1.4</v>
      </c>
      <c r="U781" s="784">
        <v>1.62</v>
      </c>
      <c r="V781" s="784">
        <v>1.62</v>
      </c>
      <c r="W781" s="784">
        <v>4.05</v>
      </c>
      <c r="X781" s="784">
        <v>1.62</v>
      </c>
      <c r="Y781" s="784">
        <v>5.67</v>
      </c>
      <c r="Z781" s="784">
        <v>40.5</v>
      </c>
      <c r="AA781" s="784">
        <v>40.5</v>
      </c>
      <c r="AB781" s="784">
        <v>32.400000000000006</v>
      </c>
      <c r="AC781" s="784">
        <v>0.32400000000000007</v>
      </c>
      <c r="AD781" s="784">
        <v>0.16200000000000003</v>
      </c>
      <c r="AE781" s="784">
        <v>8.1000000000000016E-2</v>
      </c>
      <c r="AF781" s="784">
        <v>1215</v>
      </c>
      <c r="AG781" s="784">
        <v>243.00000000000003</v>
      </c>
      <c r="AH781" s="784">
        <v>16.200000000000003</v>
      </c>
      <c r="AI781" s="784"/>
      <c r="AK781" s="783">
        <f>IFERROR(Tabela1[[#This Row],[EE(g)]]/Tabela1[[#This Row],[CMS(kg)]],0)</f>
        <v>0</v>
      </c>
    </row>
    <row r="782" spans="2:37">
      <c r="B782" s="774">
        <f>ROW()^2+(Tabela1[[#This Row],[ID2]])+ROW()</f>
        <v>612496</v>
      </c>
      <c r="C782" s="794">
        <v>190</v>
      </c>
      <c r="D782" s="794" t="s">
        <v>1273</v>
      </c>
      <c r="E782" s="795" t="s">
        <v>1279</v>
      </c>
      <c r="F782" s="795" t="s">
        <v>1258</v>
      </c>
      <c r="G782" s="795">
        <v>40</v>
      </c>
      <c r="H782" s="795" t="s">
        <v>1</v>
      </c>
      <c r="I782" s="796">
        <v>0</v>
      </c>
      <c r="J782" s="794"/>
      <c r="K782" s="794"/>
      <c r="L782" s="797">
        <v>0</v>
      </c>
      <c r="M782" s="778">
        <v>0.81</v>
      </c>
      <c r="N782" s="798">
        <v>1000</v>
      </c>
      <c r="O782" s="798">
        <v>1000</v>
      </c>
      <c r="P782" s="784">
        <v>1</v>
      </c>
      <c r="Q782" s="784">
        <v>10</v>
      </c>
      <c r="R782" s="799">
        <v>40.5</v>
      </c>
      <c r="S782" s="784">
        <v>10000</v>
      </c>
      <c r="T782" s="784">
        <v>10000</v>
      </c>
      <c r="U782" s="784">
        <v>4.05</v>
      </c>
      <c r="V782" s="784">
        <v>14.579999999999998</v>
      </c>
      <c r="W782" s="784">
        <v>24.3</v>
      </c>
      <c r="X782" s="784">
        <v>3.24</v>
      </c>
      <c r="Y782" s="784">
        <v>20.25</v>
      </c>
      <c r="Z782" s="784">
        <v>607.5</v>
      </c>
      <c r="AA782" s="784">
        <v>405</v>
      </c>
      <c r="AB782" s="784">
        <v>810</v>
      </c>
      <c r="AC782" s="784">
        <v>40.5</v>
      </c>
      <c r="AD782" s="784">
        <v>8.1000000000000014</v>
      </c>
      <c r="AE782" s="784">
        <v>1.62</v>
      </c>
      <c r="AF782" s="784">
        <v>1000000</v>
      </c>
      <c r="AG782" s="784">
        <v>100000</v>
      </c>
      <c r="AH782" s="784">
        <v>100000</v>
      </c>
      <c r="AI782" s="784"/>
      <c r="AK782" s="783">
        <f>IFERROR(Tabela1[[#This Row],[EE(g)]]/Tabela1[[#This Row],[CMS(kg)]],0)</f>
        <v>50</v>
      </c>
    </row>
    <row r="783" spans="2:37" hidden="1">
      <c r="B783" s="774">
        <f>ROW()^2+(Tabela1[[#This Row],[ID2]])+ROW()</f>
        <v>614063</v>
      </c>
      <c r="C783" s="794">
        <v>191</v>
      </c>
      <c r="D783" s="794" t="s">
        <v>1273</v>
      </c>
      <c r="E783" s="795" t="s">
        <v>1279</v>
      </c>
      <c r="F783" s="795" t="s">
        <v>1258</v>
      </c>
      <c r="G783" s="795">
        <v>60</v>
      </c>
      <c r="H783" s="795" t="s">
        <v>0</v>
      </c>
      <c r="I783" s="796">
        <v>0</v>
      </c>
      <c r="J783" s="794"/>
      <c r="K783" s="794"/>
      <c r="L783" s="797">
        <v>0</v>
      </c>
      <c r="M783" s="778">
        <v>0</v>
      </c>
      <c r="N783" s="798">
        <v>86</v>
      </c>
      <c r="O783" s="798">
        <v>0</v>
      </c>
      <c r="P783" s="784">
        <v>0.60799999999999998</v>
      </c>
      <c r="Q783" s="784">
        <v>0.30520000000000003</v>
      </c>
      <c r="R783" s="799">
        <v>0</v>
      </c>
      <c r="S783" s="784">
        <v>3</v>
      </c>
      <c r="T783" s="784">
        <v>2.1</v>
      </c>
      <c r="U783" s="784">
        <v>2.1800000000000002</v>
      </c>
      <c r="V783" s="784">
        <v>2.1800000000000002</v>
      </c>
      <c r="W783" s="784">
        <v>5.45</v>
      </c>
      <c r="X783" s="784">
        <v>2.1800000000000002</v>
      </c>
      <c r="Y783" s="784">
        <v>7.6300000000000008</v>
      </c>
      <c r="Z783" s="784">
        <v>54.500000000000007</v>
      </c>
      <c r="AA783" s="784">
        <v>54.500000000000007</v>
      </c>
      <c r="AB783" s="784">
        <v>43.6</v>
      </c>
      <c r="AC783" s="784">
        <v>0.43600000000000005</v>
      </c>
      <c r="AD783" s="784">
        <v>0.21800000000000003</v>
      </c>
      <c r="AE783" s="784">
        <v>0.10900000000000001</v>
      </c>
      <c r="AF783" s="784">
        <v>1635.0000000000002</v>
      </c>
      <c r="AG783" s="784">
        <v>327</v>
      </c>
      <c r="AH783" s="784">
        <v>21.8</v>
      </c>
      <c r="AI783" s="784"/>
      <c r="AK783" s="783">
        <f>IFERROR(Tabela1[[#This Row],[EE(g)]]/Tabela1[[#This Row],[CMS(kg)]],0)</f>
        <v>0</v>
      </c>
    </row>
    <row r="784" spans="2:37" hidden="1">
      <c r="B784" s="774">
        <f>ROW()^2+(Tabela1[[#This Row],[ID2]])+ROW()</f>
        <v>615632</v>
      </c>
      <c r="C784" s="794">
        <v>192</v>
      </c>
      <c r="D784" s="794" t="s">
        <v>1273</v>
      </c>
      <c r="E784" s="795" t="s">
        <v>1279</v>
      </c>
      <c r="F784" s="795" t="s">
        <v>1258</v>
      </c>
      <c r="G784" s="795">
        <v>60</v>
      </c>
      <c r="H784" s="795" t="s">
        <v>1</v>
      </c>
      <c r="I784" s="796">
        <v>0</v>
      </c>
      <c r="J784" s="794"/>
      <c r="K784" s="794"/>
      <c r="L784" s="797">
        <v>0</v>
      </c>
      <c r="M784" s="778">
        <v>1.0900000000000001</v>
      </c>
      <c r="N784" s="798">
        <v>1000</v>
      </c>
      <c r="O784" s="798">
        <v>1000</v>
      </c>
      <c r="P784" s="784">
        <v>1</v>
      </c>
      <c r="Q784" s="784">
        <v>10</v>
      </c>
      <c r="R784" s="799">
        <v>54.5</v>
      </c>
      <c r="S784" s="784">
        <v>10000</v>
      </c>
      <c r="T784" s="784">
        <v>10000</v>
      </c>
      <c r="U784" s="784">
        <v>5.45</v>
      </c>
      <c r="V784" s="784">
        <v>19.619999999999997</v>
      </c>
      <c r="W784" s="784">
        <v>32.699999999999996</v>
      </c>
      <c r="X784" s="784">
        <v>4.3600000000000003</v>
      </c>
      <c r="Y784" s="784">
        <v>27.250000000000004</v>
      </c>
      <c r="Z784" s="784">
        <v>817.50000000000011</v>
      </c>
      <c r="AA784" s="784">
        <v>545</v>
      </c>
      <c r="AB784" s="784">
        <v>1090</v>
      </c>
      <c r="AC784" s="784">
        <v>54.500000000000007</v>
      </c>
      <c r="AD784" s="784">
        <v>10.9</v>
      </c>
      <c r="AE784" s="784">
        <v>2.1800000000000002</v>
      </c>
      <c r="AF784" s="784">
        <v>1000000</v>
      </c>
      <c r="AG784" s="784">
        <v>100000</v>
      </c>
      <c r="AH784" s="784">
        <v>100000</v>
      </c>
      <c r="AI784" s="784"/>
      <c r="AK784" s="783">
        <f>IFERROR(Tabela1[[#This Row],[EE(g)]]/Tabela1[[#This Row],[CMS(kg)]],0)</f>
        <v>49.999999999999993</v>
      </c>
    </row>
    <row r="785" spans="2:37" hidden="1">
      <c r="B785" s="774">
        <f>ROW()^2+(Tabela1[[#This Row],[ID2]])+ROW()</f>
        <v>617203</v>
      </c>
      <c r="C785" s="794">
        <v>193</v>
      </c>
      <c r="D785" s="794" t="s">
        <v>1273</v>
      </c>
      <c r="E785" s="795" t="s">
        <v>1279</v>
      </c>
      <c r="F785" s="795" t="s">
        <v>1258</v>
      </c>
      <c r="G785" s="795">
        <v>80</v>
      </c>
      <c r="H785" s="795" t="s">
        <v>0</v>
      </c>
      <c r="I785" s="796">
        <v>0</v>
      </c>
      <c r="J785" s="794"/>
      <c r="K785" s="794"/>
      <c r="L785" s="797">
        <v>0</v>
      </c>
      <c r="M785" s="778">
        <v>0</v>
      </c>
      <c r="N785" s="798">
        <v>106</v>
      </c>
      <c r="O785" s="798">
        <v>0</v>
      </c>
      <c r="P785" s="784">
        <v>0.754</v>
      </c>
      <c r="Q785" s="784">
        <v>0.38080000000000003</v>
      </c>
      <c r="R785" s="799">
        <v>0</v>
      </c>
      <c r="S785" s="784">
        <v>4</v>
      </c>
      <c r="T785" s="784">
        <v>2.8</v>
      </c>
      <c r="U785" s="784">
        <v>2.72</v>
      </c>
      <c r="V785" s="784">
        <v>2.72</v>
      </c>
      <c r="W785" s="784">
        <v>6.8</v>
      </c>
      <c r="X785" s="784">
        <v>2.72</v>
      </c>
      <c r="Y785" s="784">
        <v>9.5200000000000014</v>
      </c>
      <c r="Z785" s="784">
        <v>68</v>
      </c>
      <c r="AA785" s="784">
        <v>68</v>
      </c>
      <c r="AB785" s="784">
        <v>54.400000000000006</v>
      </c>
      <c r="AC785" s="784">
        <v>0.54400000000000004</v>
      </c>
      <c r="AD785" s="784">
        <v>0.27200000000000002</v>
      </c>
      <c r="AE785" s="784">
        <v>0.13600000000000001</v>
      </c>
      <c r="AF785" s="784">
        <v>2040.0000000000002</v>
      </c>
      <c r="AG785" s="784">
        <v>408.00000000000006</v>
      </c>
      <c r="AH785" s="784">
        <v>27.200000000000003</v>
      </c>
      <c r="AI785" s="784"/>
      <c r="AK785" s="783">
        <f>IFERROR(Tabela1[[#This Row],[EE(g)]]/Tabela1[[#This Row],[CMS(kg)]],0)</f>
        <v>0</v>
      </c>
    </row>
    <row r="786" spans="2:37" hidden="1">
      <c r="B786" s="774">
        <f>ROW()^2+(Tabela1[[#This Row],[ID2]])+ROW()</f>
        <v>618776</v>
      </c>
      <c r="C786" s="794">
        <v>194</v>
      </c>
      <c r="D786" s="794" t="s">
        <v>1273</v>
      </c>
      <c r="E786" s="795" t="s">
        <v>1279</v>
      </c>
      <c r="F786" s="795" t="s">
        <v>1258</v>
      </c>
      <c r="G786" s="795">
        <v>80</v>
      </c>
      <c r="H786" s="795" t="s">
        <v>1</v>
      </c>
      <c r="I786" s="796">
        <v>0</v>
      </c>
      <c r="J786" s="794"/>
      <c r="K786" s="794"/>
      <c r="L786" s="797">
        <v>0</v>
      </c>
      <c r="M786" s="778">
        <v>1.36</v>
      </c>
      <c r="N786" s="798">
        <v>1000</v>
      </c>
      <c r="O786" s="798">
        <v>1000</v>
      </c>
      <c r="P786" s="784">
        <v>1</v>
      </c>
      <c r="Q786" s="784">
        <v>10</v>
      </c>
      <c r="R786" s="799">
        <v>68</v>
      </c>
      <c r="S786" s="784">
        <v>10000</v>
      </c>
      <c r="T786" s="784">
        <v>10000</v>
      </c>
      <c r="U786" s="784">
        <v>6.8</v>
      </c>
      <c r="V786" s="784">
        <v>24.479999999999997</v>
      </c>
      <c r="W786" s="784">
        <v>40.799999999999997</v>
      </c>
      <c r="X786" s="784">
        <v>5.44</v>
      </c>
      <c r="Y786" s="784">
        <v>34</v>
      </c>
      <c r="Z786" s="784">
        <v>1020.0000000000001</v>
      </c>
      <c r="AA786" s="784">
        <v>680</v>
      </c>
      <c r="AB786" s="784">
        <v>1360</v>
      </c>
      <c r="AC786" s="784">
        <v>68</v>
      </c>
      <c r="AD786" s="784">
        <v>13.600000000000001</v>
      </c>
      <c r="AE786" s="784">
        <v>2.72</v>
      </c>
      <c r="AF786" s="784">
        <v>1000000</v>
      </c>
      <c r="AG786" s="784">
        <v>100000</v>
      </c>
      <c r="AH786" s="784">
        <v>100000</v>
      </c>
      <c r="AI786" s="784"/>
      <c r="AK786" s="783">
        <f>IFERROR(Tabela1[[#This Row],[EE(g)]]/Tabela1[[#This Row],[CMS(kg)]],0)</f>
        <v>49.999999999999993</v>
      </c>
    </row>
    <row r="787" spans="2:37" hidden="1">
      <c r="B787" s="774">
        <f>ROW()^2+(Tabela1[[#This Row],[ID2]])+ROW()</f>
        <v>620351</v>
      </c>
      <c r="C787" s="794">
        <v>195</v>
      </c>
      <c r="D787" s="794" t="s">
        <v>1273</v>
      </c>
      <c r="E787" s="795" t="s">
        <v>1279</v>
      </c>
      <c r="F787" s="795" t="s">
        <v>1258</v>
      </c>
      <c r="G787" s="795">
        <v>100</v>
      </c>
      <c r="H787" s="795" t="s">
        <v>0</v>
      </c>
      <c r="I787" s="796">
        <v>0</v>
      </c>
      <c r="J787" s="794"/>
      <c r="K787" s="794"/>
      <c r="L787" s="797">
        <v>0</v>
      </c>
      <c r="M787" s="778">
        <v>0</v>
      </c>
      <c r="N787" s="798">
        <v>126</v>
      </c>
      <c r="O787" s="798">
        <v>0</v>
      </c>
      <c r="P787" s="784">
        <v>0.89100000000000001</v>
      </c>
      <c r="Q787" s="784">
        <v>0.44800000000000006</v>
      </c>
      <c r="R787" s="799">
        <v>0</v>
      </c>
      <c r="S787" s="784">
        <v>5</v>
      </c>
      <c r="T787" s="784">
        <v>3.5</v>
      </c>
      <c r="U787" s="784">
        <v>3.2</v>
      </c>
      <c r="V787" s="784">
        <v>3.2</v>
      </c>
      <c r="W787" s="784">
        <v>8</v>
      </c>
      <c r="X787" s="784">
        <v>3.2</v>
      </c>
      <c r="Y787" s="784">
        <v>11.200000000000001</v>
      </c>
      <c r="Z787" s="784">
        <v>80</v>
      </c>
      <c r="AA787" s="784">
        <v>80</v>
      </c>
      <c r="AB787" s="784">
        <v>64</v>
      </c>
      <c r="AC787" s="784">
        <v>0.64000000000000012</v>
      </c>
      <c r="AD787" s="784">
        <v>0.32000000000000006</v>
      </c>
      <c r="AE787" s="784">
        <v>0.16000000000000003</v>
      </c>
      <c r="AF787" s="784">
        <v>2400</v>
      </c>
      <c r="AG787" s="784">
        <v>480</v>
      </c>
      <c r="AH787" s="784">
        <v>32</v>
      </c>
      <c r="AI787" s="784"/>
      <c r="AK787" s="783">
        <f>IFERROR(Tabela1[[#This Row],[EE(g)]]/Tabela1[[#This Row],[CMS(kg)]],0)</f>
        <v>0</v>
      </c>
    </row>
    <row r="788" spans="2:37" hidden="1">
      <c r="B788" s="774">
        <f>ROW()^2+(Tabela1[[#This Row],[ID2]])+ROW()</f>
        <v>621928</v>
      </c>
      <c r="C788" s="794">
        <v>196</v>
      </c>
      <c r="D788" s="794" t="s">
        <v>1273</v>
      </c>
      <c r="E788" s="795" t="s">
        <v>1279</v>
      </c>
      <c r="F788" s="795" t="s">
        <v>1258</v>
      </c>
      <c r="G788" s="795">
        <v>100</v>
      </c>
      <c r="H788" s="795" t="s">
        <v>1</v>
      </c>
      <c r="I788" s="796">
        <v>0</v>
      </c>
      <c r="J788" s="794"/>
      <c r="K788" s="794"/>
      <c r="L788" s="797">
        <v>0</v>
      </c>
      <c r="M788" s="778">
        <v>1.6</v>
      </c>
      <c r="N788" s="798">
        <v>1000</v>
      </c>
      <c r="O788" s="798">
        <v>1000</v>
      </c>
      <c r="P788" s="784">
        <v>1</v>
      </c>
      <c r="Q788" s="784">
        <v>10</v>
      </c>
      <c r="R788" s="799">
        <v>80</v>
      </c>
      <c r="S788" s="784">
        <v>10000</v>
      </c>
      <c r="T788" s="784">
        <v>10000</v>
      </c>
      <c r="U788" s="784">
        <v>8</v>
      </c>
      <c r="V788" s="784">
        <v>28.799999999999997</v>
      </c>
      <c r="W788" s="784">
        <v>48</v>
      </c>
      <c r="X788" s="784">
        <v>6.4</v>
      </c>
      <c r="Y788" s="784">
        <v>40</v>
      </c>
      <c r="Z788" s="784">
        <v>1200</v>
      </c>
      <c r="AA788" s="784">
        <v>800</v>
      </c>
      <c r="AB788" s="784">
        <v>1600</v>
      </c>
      <c r="AC788" s="784">
        <v>80</v>
      </c>
      <c r="AD788" s="784">
        <v>16</v>
      </c>
      <c r="AE788" s="784">
        <v>3.2</v>
      </c>
      <c r="AF788" s="784">
        <v>1000000</v>
      </c>
      <c r="AG788" s="784">
        <v>100000</v>
      </c>
      <c r="AH788" s="784">
        <v>100000</v>
      </c>
      <c r="AI788" s="784"/>
      <c r="AK788" s="783">
        <f>IFERROR(Tabela1[[#This Row],[EE(g)]]/Tabela1[[#This Row],[CMS(kg)]],0)</f>
        <v>50</v>
      </c>
    </row>
    <row r="789" spans="2:37" hidden="1">
      <c r="B789" s="774">
        <f>ROW()^2+(Tabela1[[#This Row],[ID2]])+ROW()</f>
        <v>623507</v>
      </c>
      <c r="C789" s="794">
        <v>197</v>
      </c>
      <c r="D789" s="794" t="s">
        <v>1273</v>
      </c>
      <c r="E789" s="795" t="s">
        <v>1279</v>
      </c>
      <c r="F789" s="795" t="s">
        <v>1275</v>
      </c>
      <c r="G789" s="795">
        <v>20</v>
      </c>
      <c r="H789" s="795" t="s">
        <v>0</v>
      </c>
      <c r="I789" s="796">
        <v>0</v>
      </c>
      <c r="J789" s="794"/>
      <c r="K789" s="794"/>
      <c r="L789" s="797">
        <v>50</v>
      </c>
      <c r="M789" s="778">
        <v>0</v>
      </c>
      <c r="N789" s="798">
        <v>52</v>
      </c>
      <c r="O789" s="798">
        <v>0</v>
      </c>
      <c r="P789" s="784">
        <v>0.36699999999999999</v>
      </c>
      <c r="Q789" s="784">
        <v>0.18480000000000002</v>
      </c>
      <c r="R789" s="799">
        <v>0</v>
      </c>
      <c r="S789" s="784">
        <v>2</v>
      </c>
      <c r="T789" s="784">
        <v>1.4</v>
      </c>
      <c r="U789" s="784">
        <v>1.32</v>
      </c>
      <c r="V789" s="784">
        <v>1.32</v>
      </c>
      <c r="W789" s="784">
        <v>3.3000000000000003</v>
      </c>
      <c r="X789" s="784">
        <v>1.32</v>
      </c>
      <c r="Y789" s="784">
        <v>4.62</v>
      </c>
      <c r="Z789" s="784">
        <v>33</v>
      </c>
      <c r="AA789" s="784">
        <v>33</v>
      </c>
      <c r="AB789" s="784">
        <v>26.400000000000002</v>
      </c>
      <c r="AC789" s="784">
        <v>0.26400000000000001</v>
      </c>
      <c r="AD789" s="784">
        <v>0.13200000000000001</v>
      </c>
      <c r="AE789" s="784">
        <v>6.6000000000000003E-2</v>
      </c>
      <c r="AF789" s="784">
        <v>990</v>
      </c>
      <c r="AG789" s="784">
        <v>198</v>
      </c>
      <c r="AH789" s="784">
        <v>13.200000000000001</v>
      </c>
      <c r="AI789" s="784"/>
      <c r="AK789" s="783">
        <f>IFERROR(Tabela1[[#This Row],[EE(g)]]/Tabela1[[#This Row],[CMS(kg)]],0)</f>
        <v>0</v>
      </c>
    </row>
    <row r="790" spans="2:37" hidden="1">
      <c r="B790" s="774">
        <f>ROW()^2+(Tabela1[[#This Row],[ID2]])+ROW()</f>
        <v>625088</v>
      </c>
      <c r="C790" s="794">
        <v>198</v>
      </c>
      <c r="D790" s="794" t="s">
        <v>1273</v>
      </c>
      <c r="E790" s="795" t="s">
        <v>1279</v>
      </c>
      <c r="F790" s="795" t="s">
        <v>1275</v>
      </c>
      <c r="G790" s="795">
        <v>20</v>
      </c>
      <c r="H790" s="795" t="s">
        <v>1</v>
      </c>
      <c r="I790" s="796">
        <v>0</v>
      </c>
      <c r="J790" s="794"/>
      <c r="K790" s="794"/>
      <c r="L790" s="797">
        <v>50</v>
      </c>
      <c r="M790" s="778">
        <v>0.66</v>
      </c>
      <c r="N790" s="798">
        <v>1000</v>
      </c>
      <c r="O790" s="798">
        <v>1000</v>
      </c>
      <c r="P790" s="784">
        <v>1</v>
      </c>
      <c r="Q790" s="784">
        <v>10</v>
      </c>
      <c r="R790" s="799">
        <v>33</v>
      </c>
      <c r="S790" s="784">
        <v>10000</v>
      </c>
      <c r="T790" s="784">
        <v>10000</v>
      </c>
      <c r="U790" s="784">
        <v>3.3000000000000003</v>
      </c>
      <c r="V790" s="784">
        <v>11.879999999999999</v>
      </c>
      <c r="W790" s="784">
        <v>19.8</v>
      </c>
      <c r="X790" s="784">
        <v>2.64</v>
      </c>
      <c r="Y790" s="784">
        <v>16.5</v>
      </c>
      <c r="Z790" s="784">
        <v>495</v>
      </c>
      <c r="AA790" s="784">
        <v>330</v>
      </c>
      <c r="AB790" s="784">
        <v>660</v>
      </c>
      <c r="AC790" s="784">
        <v>33</v>
      </c>
      <c r="AD790" s="784">
        <v>6.6000000000000005</v>
      </c>
      <c r="AE790" s="784">
        <v>1.32</v>
      </c>
      <c r="AF790" s="784">
        <v>1000000</v>
      </c>
      <c r="AG790" s="784">
        <v>100000</v>
      </c>
      <c r="AH790" s="784">
        <v>100000</v>
      </c>
      <c r="AI790" s="784"/>
      <c r="AK790" s="783">
        <f>IFERROR(Tabela1[[#This Row],[EE(g)]]/Tabela1[[#This Row],[CMS(kg)]],0)</f>
        <v>50</v>
      </c>
    </row>
    <row r="791" spans="2:37" hidden="1">
      <c r="B791" s="774">
        <f>ROW()^2+(Tabela1[[#This Row],[ID2]])+ROW()</f>
        <v>626671</v>
      </c>
      <c r="C791" s="794">
        <v>199</v>
      </c>
      <c r="D791" s="794" t="s">
        <v>1273</v>
      </c>
      <c r="E791" s="795" t="s">
        <v>1279</v>
      </c>
      <c r="F791" s="795" t="s">
        <v>1275</v>
      </c>
      <c r="G791" s="795">
        <v>20</v>
      </c>
      <c r="H791" s="795" t="s">
        <v>0</v>
      </c>
      <c r="I791" s="796">
        <v>0</v>
      </c>
      <c r="J791" s="794"/>
      <c r="K791" s="794"/>
      <c r="L791" s="797">
        <v>100</v>
      </c>
      <c r="M791" s="778">
        <v>0</v>
      </c>
      <c r="N791" s="798">
        <v>91</v>
      </c>
      <c r="O791" s="798">
        <v>0</v>
      </c>
      <c r="P791" s="784">
        <v>0.64800000000000002</v>
      </c>
      <c r="Q791" s="784">
        <v>0.3276</v>
      </c>
      <c r="R791" s="799">
        <v>0</v>
      </c>
      <c r="S791" s="784">
        <v>3</v>
      </c>
      <c r="T791" s="784">
        <v>2.1</v>
      </c>
      <c r="U791" s="784">
        <v>2.34</v>
      </c>
      <c r="V791" s="784">
        <v>2.34</v>
      </c>
      <c r="W791" s="784">
        <v>5.8500000000000005</v>
      </c>
      <c r="X791" s="784">
        <v>2.34</v>
      </c>
      <c r="Y791" s="784">
        <v>8.19</v>
      </c>
      <c r="Z791" s="784">
        <v>58.5</v>
      </c>
      <c r="AA791" s="784">
        <v>58.5</v>
      </c>
      <c r="AB791" s="784">
        <v>46.8</v>
      </c>
      <c r="AC791" s="784">
        <v>0.46799999999999997</v>
      </c>
      <c r="AD791" s="784">
        <v>0.23399999999999999</v>
      </c>
      <c r="AE791" s="784">
        <v>0.11699999999999999</v>
      </c>
      <c r="AF791" s="784">
        <v>1755</v>
      </c>
      <c r="AG791" s="784">
        <v>351</v>
      </c>
      <c r="AH791" s="784">
        <v>23.4</v>
      </c>
      <c r="AI791" s="784"/>
      <c r="AK791" s="783">
        <f>IFERROR(Tabela1[[#This Row],[EE(g)]]/Tabela1[[#This Row],[CMS(kg)]],0)</f>
        <v>0</v>
      </c>
    </row>
    <row r="792" spans="2:37" hidden="1">
      <c r="B792" s="774">
        <f>ROW()^2+(Tabela1[[#This Row],[ID2]])+ROW()</f>
        <v>628256</v>
      </c>
      <c r="C792" s="794">
        <v>200</v>
      </c>
      <c r="D792" s="794" t="s">
        <v>1273</v>
      </c>
      <c r="E792" s="795" t="s">
        <v>1279</v>
      </c>
      <c r="F792" s="795" t="s">
        <v>1275</v>
      </c>
      <c r="G792" s="795">
        <v>20</v>
      </c>
      <c r="H792" s="795" t="s">
        <v>1</v>
      </c>
      <c r="I792" s="796">
        <v>0</v>
      </c>
      <c r="J792" s="794"/>
      <c r="K792" s="794"/>
      <c r="L792" s="797">
        <v>100</v>
      </c>
      <c r="M792" s="778">
        <v>1.17</v>
      </c>
      <c r="N792" s="798">
        <v>1000</v>
      </c>
      <c r="O792" s="798">
        <v>1000</v>
      </c>
      <c r="P792" s="784">
        <v>1</v>
      </c>
      <c r="Q792" s="784">
        <v>10</v>
      </c>
      <c r="R792" s="799">
        <v>58.5</v>
      </c>
      <c r="S792" s="784">
        <v>10000</v>
      </c>
      <c r="T792" s="784">
        <v>10000</v>
      </c>
      <c r="U792" s="784">
        <v>5.8500000000000005</v>
      </c>
      <c r="V792" s="784">
        <v>21.06</v>
      </c>
      <c r="W792" s="784">
        <v>35.1</v>
      </c>
      <c r="X792" s="784">
        <v>4.68</v>
      </c>
      <c r="Y792" s="784">
        <v>29.25</v>
      </c>
      <c r="Z792" s="784">
        <v>877.5</v>
      </c>
      <c r="AA792" s="784">
        <v>585</v>
      </c>
      <c r="AB792" s="784">
        <v>1170</v>
      </c>
      <c r="AC792" s="784">
        <v>58.5</v>
      </c>
      <c r="AD792" s="784">
        <v>11.7</v>
      </c>
      <c r="AE792" s="784">
        <v>2.34</v>
      </c>
      <c r="AF792" s="784">
        <v>1000000</v>
      </c>
      <c r="AG792" s="784">
        <v>100000</v>
      </c>
      <c r="AH792" s="784">
        <v>100000</v>
      </c>
      <c r="AI792" s="784"/>
      <c r="AK792" s="783">
        <f>IFERROR(Tabela1[[#This Row],[EE(g)]]/Tabela1[[#This Row],[CMS(kg)]],0)</f>
        <v>50</v>
      </c>
    </row>
    <row r="793" spans="2:37" hidden="1">
      <c r="B793" s="774">
        <f>ROW()^2+(Tabela1[[#This Row],[ID2]])+ROW()</f>
        <v>629843</v>
      </c>
      <c r="C793" s="794">
        <v>201</v>
      </c>
      <c r="D793" s="794" t="s">
        <v>1273</v>
      </c>
      <c r="E793" s="795" t="s">
        <v>1279</v>
      </c>
      <c r="F793" s="795" t="s">
        <v>1275</v>
      </c>
      <c r="G793" s="795">
        <v>20</v>
      </c>
      <c r="H793" s="795" t="s">
        <v>0</v>
      </c>
      <c r="I793" s="796">
        <v>0</v>
      </c>
      <c r="J793" s="794"/>
      <c r="K793" s="794"/>
      <c r="L793" s="797">
        <v>150</v>
      </c>
      <c r="M793" s="778">
        <v>0</v>
      </c>
      <c r="N793" s="798">
        <v>128</v>
      </c>
      <c r="O793" s="798">
        <v>0</v>
      </c>
      <c r="P793" s="784">
        <v>0.90800000000000003</v>
      </c>
      <c r="Q793" s="784">
        <v>0.44800000000000006</v>
      </c>
      <c r="R793" s="799">
        <v>0</v>
      </c>
      <c r="S793" s="784">
        <v>5</v>
      </c>
      <c r="T793" s="784">
        <v>3.5</v>
      </c>
      <c r="U793" s="784">
        <v>3.2</v>
      </c>
      <c r="V793" s="784">
        <v>3.2</v>
      </c>
      <c r="W793" s="784">
        <v>8</v>
      </c>
      <c r="X793" s="784">
        <v>3.2</v>
      </c>
      <c r="Y793" s="784">
        <v>11.200000000000001</v>
      </c>
      <c r="Z793" s="784">
        <v>80</v>
      </c>
      <c r="AA793" s="784">
        <v>80</v>
      </c>
      <c r="AB793" s="784">
        <v>64</v>
      </c>
      <c r="AC793" s="784">
        <v>0.64000000000000012</v>
      </c>
      <c r="AD793" s="784">
        <v>0.32000000000000006</v>
      </c>
      <c r="AE793" s="784">
        <v>0.16000000000000003</v>
      </c>
      <c r="AF793" s="784">
        <v>2400</v>
      </c>
      <c r="AG793" s="784">
        <v>480</v>
      </c>
      <c r="AH793" s="784">
        <v>32</v>
      </c>
      <c r="AI793" s="784"/>
      <c r="AK793" s="783">
        <f>IFERROR(Tabela1[[#This Row],[EE(g)]]/Tabela1[[#This Row],[CMS(kg)]],0)</f>
        <v>0</v>
      </c>
    </row>
    <row r="794" spans="2:37" hidden="1">
      <c r="B794" s="774">
        <f>ROW()^2+(Tabela1[[#This Row],[ID2]])+ROW()</f>
        <v>631432</v>
      </c>
      <c r="C794" s="794">
        <v>202</v>
      </c>
      <c r="D794" s="794" t="s">
        <v>1273</v>
      </c>
      <c r="E794" s="795" t="s">
        <v>1279</v>
      </c>
      <c r="F794" s="795" t="s">
        <v>1275</v>
      </c>
      <c r="G794" s="795">
        <v>20</v>
      </c>
      <c r="H794" s="795" t="s">
        <v>1</v>
      </c>
      <c r="I794" s="796">
        <v>0</v>
      </c>
      <c r="J794" s="794"/>
      <c r="K794" s="794"/>
      <c r="L794" s="797">
        <v>150</v>
      </c>
      <c r="M794" s="778">
        <v>1.6</v>
      </c>
      <c r="N794" s="798">
        <v>1000</v>
      </c>
      <c r="O794" s="798">
        <v>1000</v>
      </c>
      <c r="P794" s="784">
        <v>1</v>
      </c>
      <c r="Q794" s="784">
        <v>10</v>
      </c>
      <c r="R794" s="799">
        <v>80</v>
      </c>
      <c r="S794" s="784">
        <v>10000</v>
      </c>
      <c r="T794" s="784">
        <v>10000</v>
      </c>
      <c r="U794" s="784">
        <v>8</v>
      </c>
      <c r="V794" s="784">
        <v>28.799999999999997</v>
      </c>
      <c r="W794" s="784">
        <v>48</v>
      </c>
      <c r="X794" s="784">
        <v>6.4</v>
      </c>
      <c r="Y794" s="784">
        <v>40</v>
      </c>
      <c r="Z794" s="784">
        <v>1200</v>
      </c>
      <c r="AA794" s="784">
        <v>800</v>
      </c>
      <c r="AB794" s="784">
        <v>1600</v>
      </c>
      <c r="AC794" s="784">
        <v>80</v>
      </c>
      <c r="AD794" s="784">
        <v>16</v>
      </c>
      <c r="AE794" s="784">
        <v>3.2</v>
      </c>
      <c r="AF794" s="784">
        <v>1000000</v>
      </c>
      <c r="AG794" s="784">
        <v>100000</v>
      </c>
      <c r="AH794" s="784">
        <v>100000</v>
      </c>
      <c r="AI794" s="784"/>
      <c r="AK794" s="783">
        <f>IFERROR(Tabela1[[#This Row],[EE(g)]]/Tabela1[[#This Row],[CMS(kg)]],0)</f>
        <v>50</v>
      </c>
    </row>
    <row r="795" spans="2:37" hidden="1">
      <c r="B795" s="774">
        <f>ROW()^2+(Tabela1[[#This Row],[ID2]])+ROW()</f>
        <v>633023</v>
      </c>
      <c r="C795" s="794">
        <v>203</v>
      </c>
      <c r="D795" s="794" t="s">
        <v>1273</v>
      </c>
      <c r="E795" s="795" t="s">
        <v>1279</v>
      </c>
      <c r="F795" s="795" t="s">
        <v>1275</v>
      </c>
      <c r="G795" s="795">
        <v>40</v>
      </c>
      <c r="H795" s="795" t="s">
        <v>0</v>
      </c>
      <c r="I795" s="796">
        <v>0</v>
      </c>
      <c r="J795" s="794"/>
      <c r="K795" s="794"/>
      <c r="L795" s="797">
        <v>50</v>
      </c>
      <c r="M795" s="778">
        <v>0</v>
      </c>
      <c r="N795" s="798">
        <v>77</v>
      </c>
      <c r="O795" s="798">
        <v>0</v>
      </c>
      <c r="P795" s="784">
        <v>0.54800000000000004</v>
      </c>
      <c r="Q795" s="784">
        <v>0.27720000000000006</v>
      </c>
      <c r="R795" s="799">
        <v>0</v>
      </c>
      <c r="S795" s="784">
        <v>3</v>
      </c>
      <c r="T795" s="784">
        <v>2.1</v>
      </c>
      <c r="U795" s="784">
        <v>1.98</v>
      </c>
      <c r="V795" s="784">
        <v>1.98</v>
      </c>
      <c r="W795" s="784">
        <v>4.95</v>
      </c>
      <c r="X795" s="784">
        <v>1.98</v>
      </c>
      <c r="Y795" s="784">
        <v>6.93</v>
      </c>
      <c r="Z795" s="784">
        <v>49.5</v>
      </c>
      <c r="AA795" s="784">
        <v>49.5</v>
      </c>
      <c r="AB795" s="784">
        <v>39.6</v>
      </c>
      <c r="AC795" s="784">
        <v>0.39600000000000002</v>
      </c>
      <c r="AD795" s="784">
        <v>0.19800000000000001</v>
      </c>
      <c r="AE795" s="784">
        <v>9.9000000000000005E-2</v>
      </c>
      <c r="AF795" s="784">
        <v>1485</v>
      </c>
      <c r="AG795" s="784">
        <v>297</v>
      </c>
      <c r="AH795" s="784">
        <v>19.8</v>
      </c>
      <c r="AI795" s="784"/>
      <c r="AK795" s="783">
        <f>IFERROR(Tabela1[[#This Row],[EE(g)]]/Tabela1[[#This Row],[CMS(kg)]],0)</f>
        <v>0</v>
      </c>
    </row>
    <row r="796" spans="2:37" hidden="1">
      <c r="B796" s="774">
        <f>ROW()^2+(Tabela1[[#This Row],[ID2]])+ROW()</f>
        <v>634616</v>
      </c>
      <c r="C796" s="794">
        <v>204</v>
      </c>
      <c r="D796" s="794" t="s">
        <v>1273</v>
      </c>
      <c r="E796" s="795" t="s">
        <v>1279</v>
      </c>
      <c r="F796" s="795" t="s">
        <v>1275</v>
      </c>
      <c r="G796" s="795">
        <v>40</v>
      </c>
      <c r="H796" s="795" t="s">
        <v>1</v>
      </c>
      <c r="I796" s="796">
        <v>0</v>
      </c>
      <c r="J796" s="794"/>
      <c r="K796" s="794"/>
      <c r="L796" s="797">
        <v>50</v>
      </c>
      <c r="M796" s="778">
        <v>0.99</v>
      </c>
      <c r="N796" s="798">
        <v>1000</v>
      </c>
      <c r="O796" s="798">
        <v>1000</v>
      </c>
      <c r="P796" s="784">
        <v>1</v>
      </c>
      <c r="Q796" s="784">
        <v>10</v>
      </c>
      <c r="R796" s="799">
        <v>49.5</v>
      </c>
      <c r="S796" s="784">
        <v>10000</v>
      </c>
      <c r="T796" s="784">
        <v>10000</v>
      </c>
      <c r="U796" s="784">
        <v>4.95</v>
      </c>
      <c r="V796" s="784">
        <v>17.82</v>
      </c>
      <c r="W796" s="784">
        <v>29.7</v>
      </c>
      <c r="X796" s="784">
        <v>3.96</v>
      </c>
      <c r="Y796" s="784">
        <v>24.75</v>
      </c>
      <c r="Z796" s="784">
        <v>742.5</v>
      </c>
      <c r="AA796" s="784">
        <v>495</v>
      </c>
      <c r="AB796" s="784">
        <v>990</v>
      </c>
      <c r="AC796" s="784">
        <v>49.5</v>
      </c>
      <c r="AD796" s="784">
        <v>9.9</v>
      </c>
      <c r="AE796" s="784">
        <v>1.98</v>
      </c>
      <c r="AF796" s="784">
        <v>1000000</v>
      </c>
      <c r="AG796" s="784">
        <v>100000</v>
      </c>
      <c r="AH796" s="784">
        <v>100000</v>
      </c>
      <c r="AI796" s="784"/>
      <c r="AK796" s="783">
        <f>IFERROR(Tabela1[[#This Row],[EE(g)]]/Tabela1[[#This Row],[CMS(kg)]],0)</f>
        <v>50</v>
      </c>
    </row>
    <row r="797" spans="2:37" hidden="1">
      <c r="B797" s="774">
        <f>ROW()^2+(Tabela1[[#This Row],[ID2]])+ROW()</f>
        <v>636211</v>
      </c>
      <c r="C797" s="794">
        <v>205</v>
      </c>
      <c r="D797" s="794" t="s">
        <v>1273</v>
      </c>
      <c r="E797" s="795" t="s">
        <v>1279</v>
      </c>
      <c r="F797" s="795" t="s">
        <v>1275</v>
      </c>
      <c r="G797" s="795">
        <v>40</v>
      </c>
      <c r="H797" s="795" t="s">
        <v>0</v>
      </c>
      <c r="I797" s="796">
        <v>0</v>
      </c>
      <c r="J797" s="794"/>
      <c r="K797" s="794"/>
      <c r="L797" s="797">
        <v>100</v>
      </c>
      <c r="M797" s="778">
        <v>0</v>
      </c>
      <c r="N797" s="798">
        <v>91</v>
      </c>
      <c r="O797" s="798">
        <v>0</v>
      </c>
      <c r="P797" s="784">
        <v>0.64800000000000002</v>
      </c>
      <c r="Q797" s="784">
        <v>0.3276</v>
      </c>
      <c r="R797" s="799">
        <v>0</v>
      </c>
      <c r="S797" s="784">
        <v>3</v>
      </c>
      <c r="T797" s="784">
        <v>2.1</v>
      </c>
      <c r="U797" s="784">
        <v>2.34</v>
      </c>
      <c r="V797" s="784">
        <v>2.34</v>
      </c>
      <c r="W797" s="784">
        <v>5.8500000000000005</v>
      </c>
      <c r="X797" s="784">
        <v>2.34</v>
      </c>
      <c r="Y797" s="784">
        <v>8.19</v>
      </c>
      <c r="Z797" s="784">
        <v>58.5</v>
      </c>
      <c r="AA797" s="784">
        <v>58.5</v>
      </c>
      <c r="AB797" s="784">
        <v>46.8</v>
      </c>
      <c r="AC797" s="784">
        <v>0.46799999999999997</v>
      </c>
      <c r="AD797" s="784">
        <v>0.23399999999999999</v>
      </c>
      <c r="AE797" s="784">
        <v>0.11699999999999999</v>
      </c>
      <c r="AF797" s="784">
        <v>1755</v>
      </c>
      <c r="AG797" s="784">
        <v>351</v>
      </c>
      <c r="AH797" s="784">
        <v>23.4</v>
      </c>
      <c r="AI797" s="784"/>
      <c r="AK797" s="783">
        <f>IFERROR(Tabela1[[#This Row],[EE(g)]]/Tabela1[[#This Row],[CMS(kg)]],0)</f>
        <v>0</v>
      </c>
    </row>
    <row r="798" spans="2:37" hidden="1">
      <c r="B798" s="774">
        <f>ROW()^2+(Tabela1[[#This Row],[ID2]])+ROW()</f>
        <v>637808</v>
      </c>
      <c r="C798" s="794">
        <v>206</v>
      </c>
      <c r="D798" s="794" t="s">
        <v>1273</v>
      </c>
      <c r="E798" s="795" t="s">
        <v>1279</v>
      </c>
      <c r="F798" s="795" t="s">
        <v>1275</v>
      </c>
      <c r="G798" s="795">
        <v>40</v>
      </c>
      <c r="H798" s="795" t="s">
        <v>1</v>
      </c>
      <c r="I798" s="796">
        <v>0</v>
      </c>
      <c r="J798" s="794"/>
      <c r="K798" s="794"/>
      <c r="L798" s="797">
        <v>100</v>
      </c>
      <c r="M798" s="778">
        <v>1.17</v>
      </c>
      <c r="N798" s="798">
        <v>1000</v>
      </c>
      <c r="O798" s="798">
        <v>1000</v>
      </c>
      <c r="P798" s="784">
        <v>1</v>
      </c>
      <c r="Q798" s="784">
        <v>10</v>
      </c>
      <c r="R798" s="799">
        <v>58.5</v>
      </c>
      <c r="S798" s="784">
        <v>10000</v>
      </c>
      <c r="T798" s="784">
        <v>10000</v>
      </c>
      <c r="U798" s="784">
        <v>5.8500000000000005</v>
      </c>
      <c r="V798" s="784">
        <v>21.06</v>
      </c>
      <c r="W798" s="784">
        <v>35.1</v>
      </c>
      <c r="X798" s="784">
        <v>4.68</v>
      </c>
      <c r="Y798" s="784">
        <v>29.25</v>
      </c>
      <c r="Z798" s="784">
        <v>877.5</v>
      </c>
      <c r="AA798" s="784">
        <v>585</v>
      </c>
      <c r="AB798" s="784">
        <v>1170</v>
      </c>
      <c r="AC798" s="784">
        <v>58.5</v>
      </c>
      <c r="AD798" s="784">
        <v>11.7</v>
      </c>
      <c r="AE798" s="784">
        <v>2.34</v>
      </c>
      <c r="AF798" s="784">
        <v>1000000</v>
      </c>
      <c r="AG798" s="784">
        <v>100000</v>
      </c>
      <c r="AH798" s="784">
        <v>100000</v>
      </c>
      <c r="AI798" s="784"/>
      <c r="AK798" s="783">
        <f>IFERROR(Tabela1[[#This Row],[EE(g)]]/Tabela1[[#This Row],[CMS(kg)]],0)</f>
        <v>50</v>
      </c>
    </row>
    <row r="799" spans="2:37" hidden="1">
      <c r="B799" s="774">
        <f>ROW()^2+(Tabela1[[#This Row],[ID2]])+ROW()</f>
        <v>639407</v>
      </c>
      <c r="C799" s="794">
        <v>207</v>
      </c>
      <c r="D799" s="794" t="s">
        <v>1273</v>
      </c>
      <c r="E799" s="795" t="s">
        <v>1279</v>
      </c>
      <c r="F799" s="795" t="s">
        <v>1275</v>
      </c>
      <c r="G799" s="795">
        <v>40</v>
      </c>
      <c r="H799" s="795" t="s">
        <v>0</v>
      </c>
      <c r="I799" s="796">
        <v>0</v>
      </c>
      <c r="J799" s="794"/>
      <c r="K799" s="794"/>
      <c r="L799" s="797">
        <v>150</v>
      </c>
      <c r="M799" s="778">
        <v>0</v>
      </c>
      <c r="N799" s="798">
        <v>105</v>
      </c>
      <c r="O799" s="798">
        <v>0</v>
      </c>
      <c r="P799" s="784">
        <v>0.748</v>
      </c>
      <c r="Q799" s="784">
        <v>0.37800000000000006</v>
      </c>
      <c r="R799" s="799">
        <v>0</v>
      </c>
      <c r="S799" s="784">
        <v>4</v>
      </c>
      <c r="T799" s="784">
        <v>2.8</v>
      </c>
      <c r="U799" s="784">
        <v>2.7</v>
      </c>
      <c r="V799" s="784">
        <v>2.7</v>
      </c>
      <c r="W799" s="784">
        <v>6.75</v>
      </c>
      <c r="X799" s="784">
        <v>2.7</v>
      </c>
      <c r="Y799" s="784">
        <v>9.4500000000000011</v>
      </c>
      <c r="Z799" s="784">
        <v>67.5</v>
      </c>
      <c r="AA799" s="784">
        <v>67.5</v>
      </c>
      <c r="AB799" s="784">
        <v>54</v>
      </c>
      <c r="AC799" s="784">
        <v>0.54</v>
      </c>
      <c r="AD799" s="784">
        <v>0.27</v>
      </c>
      <c r="AE799" s="784">
        <v>0.13500000000000001</v>
      </c>
      <c r="AF799" s="784">
        <v>2025.0000000000002</v>
      </c>
      <c r="AG799" s="784">
        <v>405</v>
      </c>
      <c r="AH799" s="784">
        <v>27</v>
      </c>
      <c r="AI799" s="784"/>
      <c r="AK799" s="783">
        <f>IFERROR(Tabela1[[#This Row],[EE(g)]]/Tabela1[[#This Row],[CMS(kg)]],0)</f>
        <v>0</v>
      </c>
    </row>
    <row r="800" spans="2:37" hidden="1">
      <c r="B800" s="774">
        <f>ROW()^2+(Tabela1[[#This Row],[ID2]])+ROW()</f>
        <v>641008</v>
      </c>
      <c r="C800" s="794">
        <v>208</v>
      </c>
      <c r="D800" s="794" t="s">
        <v>1273</v>
      </c>
      <c r="E800" s="795" t="s">
        <v>1279</v>
      </c>
      <c r="F800" s="795" t="s">
        <v>1275</v>
      </c>
      <c r="G800" s="795">
        <v>40</v>
      </c>
      <c r="H800" s="795" t="s">
        <v>1</v>
      </c>
      <c r="I800" s="796">
        <v>0</v>
      </c>
      <c r="J800" s="794"/>
      <c r="K800" s="794"/>
      <c r="L800" s="797">
        <v>150</v>
      </c>
      <c r="M800" s="778">
        <v>1.35</v>
      </c>
      <c r="N800" s="798">
        <v>1000</v>
      </c>
      <c r="O800" s="798">
        <v>1000</v>
      </c>
      <c r="P800" s="784">
        <v>1</v>
      </c>
      <c r="Q800" s="784">
        <v>10</v>
      </c>
      <c r="R800" s="799">
        <v>67.5</v>
      </c>
      <c r="S800" s="784">
        <v>10000</v>
      </c>
      <c r="T800" s="784">
        <v>10000</v>
      </c>
      <c r="U800" s="784">
        <v>6.75</v>
      </c>
      <c r="V800" s="784">
        <v>24.299999999999997</v>
      </c>
      <c r="W800" s="784">
        <v>40.5</v>
      </c>
      <c r="X800" s="784">
        <v>5.4</v>
      </c>
      <c r="Y800" s="784">
        <v>33.75</v>
      </c>
      <c r="Z800" s="784">
        <v>1012.5000000000001</v>
      </c>
      <c r="AA800" s="784">
        <v>675</v>
      </c>
      <c r="AB800" s="784">
        <v>1350</v>
      </c>
      <c r="AC800" s="784">
        <v>67.5</v>
      </c>
      <c r="AD800" s="784">
        <v>13.5</v>
      </c>
      <c r="AE800" s="784">
        <v>2.7</v>
      </c>
      <c r="AF800" s="784">
        <v>1000000</v>
      </c>
      <c r="AG800" s="784">
        <v>100000</v>
      </c>
      <c r="AH800" s="784">
        <v>100000</v>
      </c>
      <c r="AI800" s="784"/>
      <c r="AK800" s="783">
        <f>IFERROR(Tabela1[[#This Row],[EE(g)]]/Tabela1[[#This Row],[CMS(kg)]],0)</f>
        <v>50</v>
      </c>
    </row>
    <row r="801" spans="2:37" hidden="1">
      <c r="B801" s="774">
        <f>ROW()^2+(Tabela1[[#This Row],[ID2]])+ROW()</f>
        <v>642611</v>
      </c>
      <c r="C801" s="794">
        <v>209</v>
      </c>
      <c r="D801" s="794" t="s">
        <v>1273</v>
      </c>
      <c r="E801" s="795" t="s">
        <v>1279</v>
      </c>
      <c r="F801" s="795" t="s">
        <v>1275</v>
      </c>
      <c r="G801" s="795">
        <v>60</v>
      </c>
      <c r="H801" s="795" t="s">
        <v>0</v>
      </c>
      <c r="I801" s="796">
        <v>0</v>
      </c>
      <c r="J801" s="794"/>
      <c r="K801" s="794"/>
      <c r="L801" s="797">
        <v>50</v>
      </c>
      <c r="M801" s="778">
        <v>0</v>
      </c>
      <c r="N801" s="798">
        <v>100</v>
      </c>
      <c r="O801" s="798">
        <v>0</v>
      </c>
      <c r="P801" s="784">
        <v>0.70799999999999996</v>
      </c>
      <c r="Q801" s="784">
        <v>0.35560000000000003</v>
      </c>
      <c r="R801" s="799">
        <v>0</v>
      </c>
      <c r="S801" s="784">
        <v>4</v>
      </c>
      <c r="T801" s="784">
        <v>2.8</v>
      </c>
      <c r="U801" s="784">
        <v>2.54</v>
      </c>
      <c r="V801" s="784">
        <v>2.54</v>
      </c>
      <c r="W801" s="784">
        <v>6.3500000000000005</v>
      </c>
      <c r="X801" s="784">
        <v>2.54</v>
      </c>
      <c r="Y801" s="784">
        <v>8.89</v>
      </c>
      <c r="Z801" s="784">
        <v>63.5</v>
      </c>
      <c r="AA801" s="784">
        <v>63.5</v>
      </c>
      <c r="AB801" s="784">
        <v>50.8</v>
      </c>
      <c r="AC801" s="784">
        <v>0.50800000000000001</v>
      </c>
      <c r="AD801" s="784">
        <v>0.254</v>
      </c>
      <c r="AE801" s="784">
        <v>0.127</v>
      </c>
      <c r="AF801" s="784">
        <v>1905</v>
      </c>
      <c r="AG801" s="784">
        <v>381</v>
      </c>
      <c r="AH801" s="784">
        <v>25.4</v>
      </c>
      <c r="AI801" s="784"/>
      <c r="AK801" s="783">
        <f>IFERROR(Tabela1[[#This Row],[EE(g)]]/Tabela1[[#This Row],[CMS(kg)]],0)</f>
        <v>0</v>
      </c>
    </row>
    <row r="802" spans="2:37" hidden="1">
      <c r="B802" s="774">
        <f>ROW()^2+(Tabela1[[#This Row],[ID2]])+ROW()</f>
        <v>644216</v>
      </c>
      <c r="C802" s="794">
        <v>210</v>
      </c>
      <c r="D802" s="794" t="s">
        <v>1273</v>
      </c>
      <c r="E802" s="795" t="s">
        <v>1279</v>
      </c>
      <c r="F802" s="795" t="s">
        <v>1275</v>
      </c>
      <c r="G802" s="795">
        <v>60</v>
      </c>
      <c r="H802" s="795" t="s">
        <v>1</v>
      </c>
      <c r="I802" s="796">
        <v>0</v>
      </c>
      <c r="J802" s="794"/>
      <c r="K802" s="794"/>
      <c r="L802" s="797">
        <v>50</v>
      </c>
      <c r="M802" s="778">
        <v>1.27</v>
      </c>
      <c r="N802" s="798">
        <v>1000</v>
      </c>
      <c r="O802" s="798">
        <v>1000</v>
      </c>
      <c r="P802" s="784">
        <v>1</v>
      </c>
      <c r="Q802" s="784">
        <v>10</v>
      </c>
      <c r="R802" s="799">
        <v>63.5</v>
      </c>
      <c r="S802" s="784">
        <v>10000</v>
      </c>
      <c r="T802" s="784">
        <v>10000</v>
      </c>
      <c r="U802" s="784">
        <v>6.3500000000000005</v>
      </c>
      <c r="V802" s="784">
        <v>22.86</v>
      </c>
      <c r="W802" s="784">
        <v>38.1</v>
      </c>
      <c r="X802" s="784">
        <v>5.08</v>
      </c>
      <c r="Y802" s="784">
        <v>31.75</v>
      </c>
      <c r="Z802" s="784">
        <v>952.5</v>
      </c>
      <c r="AA802" s="784">
        <v>635</v>
      </c>
      <c r="AB802" s="784">
        <v>1270</v>
      </c>
      <c r="AC802" s="784">
        <v>63.5</v>
      </c>
      <c r="AD802" s="784">
        <v>12.7</v>
      </c>
      <c r="AE802" s="784">
        <v>2.54</v>
      </c>
      <c r="AF802" s="784">
        <v>1000000</v>
      </c>
      <c r="AG802" s="784">
        <v>100000</v>
      </c>
      <c r="AH802" s="784">
        <v>100000</v>
      </c>
      <c r="AI802" s="784"/>
      <c r="AK802" s="783">
        <f>IFERROR(Tabela1[[#This Row],[EE(g)]]/Tabela1[[#This Row],[CMS(kg)]],0)</f>
        <v>50</v>
      </c>
    </row>
    <row r="803" spans="2:37" hidden="1">
      <c r="B803" s="774">
        <f>ROW()^2+(Tabela1[[#This Row],[ID2]])+ROW()</f>
        <v>645823</v>
      </c>
      <c r="C803" s="794">
        <v>211</v>
      </c>
      <c r="D803" s="794" t="s">
        <v>1273</v>
      </c>
      <c r="E803" s="795" t="s">
        <v>1279</v>
      </c>
      <c r="F803" s="795" t="s">
        <v>1275</v>
      </c>
      <c r="G803" s="795">
        <v>60</v>
      </c>
      <c r="H803" s="795" t="s">
        <v>0</v>
      </c>
      <c r="I803" s="796">
        <v>0</v>
      </c>
      <c r="J803" s="794"/>
      <c r="K803" s="794"/>
      <c r="L803" s="797">
        <v>100</v>
      </c>
      <c r="M803" s="778">
        <v>0</v>
      </c>
      <c r="N803" s="798">
        <v>114</v>
      </c>
      <c r="O803" s="798">
        <v>0</v>
      </c>
      <c r="P803" s="784">
        <v>0.80800000000000005</v>
      </c>
      <c r="Q803" s="784">
        <v>0.40600000000000008</v>
      </c>
      <c r="R803" s="799">
        <v>0</v>
      </c>
      <c r="S803" s="784">
        <v>4</v>
      </c>
      <c r="T803" s="784">
        <v>2.8</v>
      </c>
      <c r="U803" s="784">
        <v>2.9</v>
      </c>
      <c r="V803" s="784">
        <v>2.9</v>
      </c>
      <c r="W803" s="784">
        <v>7.25</v>
      </c>
      <c r="X803" s="784">
        <v>2.9</v>
      </c>
      <c r="Y803" s="784">
        <v>10.15</v>
      </c>
      <c r="Z803" s="784">
        <v>72.5</v>
      </c>
      <c r="AA803" s="784">
        <v>72.5</v>
      </c>
      <c r="AB803" s="784">
        <v>58</v>
      </c>
      <c r="AC803" s="784">
        <v>0.57999999999999996</v>
      </c>
      <c r="AD803" s="784">
        <v>0.28999999999999998</v>
      </c>
      <c r="AE803" s="784">
        <v>0.14499999999999999</v>
      </c>
      <c r="AF803" s="784">
        <v>2175</v>
      </c>
      <c r="AG803" s="784">
        <v>435</v>
      </c>
      <c r="AH803" s="784">
        <v>29</v>
      </c>
      <c r="AI803" s="784"/>
      <c r="AK803" s="783">
        <f>IFERROR(Tabela1[[#This Row],[EE(g)]]/Tabela1[[#This Row],[CMS(kg)]],0)</f>
        <v>0</v>
      </c>
    </row>
    <row r="804" spans="2:37" hidden="1">
      <c r="B804" s="774">
        <f>ROW()^2+(Tabela1[[#This Row],[ID2]])+ROW()</f>
        <v>647432</v>
      </c>
      <c r="C804" s="794">
        <v>212</v>
      </c>
      <c r="D804" s="794" t="s">
        <v>1273</v>
      </c>
      <c r="E804" s="795" t="s">
        <v>1279</v>
      </c>
      <c r="F804" s="795" t="s">
        <v>1275</v>
      </c>
      <c r="G804" s="795">
        <v>60</v>
      </c>
      <c r="H804" s="795" t="s">
        <v>1</v>
      </c>
      <c r="I804" s="796">
        <v>0</v>
      </c>
      <c r="J804" s="794"/>
      <c r="K804" s="794"/>
      <c r="L804" s="797">
        <v>100</v>
      </c>
      <c r="M804" s="778">
        <v>1.45</v>
      </c>
      <c r="N804" s="798">
        <v>1000</v>
      </c>
      <c r="O804" s="798">
        <v>1000</v>
      </c>
      <c r="P804" s="784">
        <v>1</v>
      </c>
      <c r="Q804" s="784">
        <v>10</v>
      </c>
      <c r="R804" s="799">
        <v>72.5</v>
      </c>
      <c r="S804" s="784">
        <v>10000</v>
      </c>
      <c r="T804" s="784">
        <v>10000</v>
      </c>
      <c r="U804" s="784">
        <v>7.25</v>
      </c>
      <c r="V804" s="784">
        <v>26.099999999999998</v>
      </c>
      <c r="W804" s="784">
        <v>43.5</v>
      </c>
      <c r="X804" s="784">
        <v>5.8</v>
      </c>
      <c r="Y804" s="784">
        <v>36.25</v>
      </c>
      <c r="Z804" s="784">
        <v>1087.5</v>
      </c>
      <c r="AA804" s="784">
        <v>725</v>
      </c>
      <c r="AB804" s="784">
        <v>1450</v>
      </c>
      <c r="AC804" s="784">
        <v>72.5</v>
      </c>
      <c r="AD804" s="784">
        <v>14.5</v>
      </c>
      <c r="AE804" s="784">
        <v>2.9</v>
      </c>
      <c r="AF804" s="784">
        <v>1000000</v>
      </c>
      <c r="AG804" s="784">
        <v>100000</v>
      </c>
      <c r="AH804" s="784">
        <v>100000</v>
      </c>
      <c r="AI804" s="784"/>
      <c r="AK804" s="783">
        <f>IFERROR(Tabela1[[#This Row],[EE(g)]]/Tabela1[[#This Row],[CMS(kg)]],0)</f>
        <v>50</v>
      </c>
    </row>
    <row r="805" spans="2:37" hidden="1">
      <c r="B805" s="774">
        <f>ROW()^2+(Tabela1[[#This Row],[ID2]])+ROW()</f>
        <v>649043</v>
      </c>
      <c r="C805" s="794">
        <v>213</v>
      </c>
      <c r="D805" s="794" t="s">
        <v>1273</v>
      </c>
      <c r="E805" s="795" t="s">
        <v>1279</v>
      </c>
      <c r="F805" s="795" t="s">
        <v>1275</v>
      </c>
      <c r="G805" s="795">
        <v>60</v>
      </c>
      <c r="H805" s="795" t="s">
        <v>0</v>
      </c>
      <c r="I805" s="796">
        <v>0</v>
      </c>
      <c r="J805" s="794"/>
      <c r="K805" s="794"/>
      <c r="L805" s="797">
        <v>150</v>
      </c>
      <c r="M805" s="778">
        <v>0</v>
      </c>
      <c r="N805" s="798">
        <v>128</v>
      </c>
      <c r="O805" s="798">
        <v>0</v>
      </c>
      <c r="P805" s="784">
        <v>0.90800000000000003</v>
      </c>
      <c r="Q805" s="784">
        <v>0.45640000000000003</v>
      </c>
      <c r="R805" s="799">
        <v>0</v>
      </c>
      <c r="S805" s="784">
        <v>5</v>
      </c>
      <c r="T805" s="784">
        <v>3.5</v>
      </c>
      <c r="U805" s="784">
        <v>3.2600000000000002</v>
      </c>
      <c r="V805" s="784">
        <v>3.2600000000000002</v>
      </c>
      <c r="W805" s="784">
        <v>8.15</v>
      </c>
      <c r="X805" s="784">
        <v>3.2600000000000002</v>
      </c>
      <c r="Y805" s="784">
        <v>11.41</v>
      </c>
      <c r="Z805" s="784">
        <v>81.5</v>
      </c>
      <c r="AA805" s="784">
        <v>81.5</v>
      </c>
      <c r="AB805" s="784">
        <v>65.199999999999989</v>
      </c>
      <c r="AC805" s="784">
        <v>0.65200000000000002</v>
      </c>
      <c r="AD805" s="784">
        <v>0.32600000000000001</v>
      </c>
      <c r="AE805" s="784">
        <v>0.16300000000000001</v>
      </c>
      <c r="AF805" s="784">
        <v>2445</v>
      </c>
      <c r="AG805" s="784">
        <v>488.99999999999994</v>
      </c>
      <c r="AH805" s="784">
        <v>32.599999999999994</v>
      </c>
      <c r="AI805" s="784"/>
      <c r="AK805" s="783">
        <f>IFERROR(Tabela1[[#This Row],[EE(g)]]/Tabela1[[#This Row],[CMS(kg)]],0)</f>
        <v>0</v>
      </c>
    </row>
    <row r="806" spans="2:37" hidden="1">
      <c r="B806" s="774">
        <f>ROW()^2+(Tabela1[[#This Row],[ID2]])+ROW()</f>
        <v>650656</v>
      </c>
      <c r="C806" s="794">
        <v>214</v>
      </c>
      <c r="D806" s="794" t="s">
        <v>1273</v>
      </c>
      <c r="E806" s="795" t="s">
        <v>1279</v>
      </c>
      <c r="F806" s="795" t="s">
        <v>1275</v>
      </c>
      <c r="G806" s="795">
        <v>60</v>
      </c>
      <c r="H806" s="795" t="s">
        <v>1</v>
      </c>
      <c r="I806" s="796">
        <v>0</v>
      </c>
      <c r="J806" s="794"/>
      <c r="K806" s="794"/>
      <c r="L806" s="797">
        <v>150</v>
      </c>
      <c r="M806" s="778">
        <v>1.63</v>
      </c>
      <c r="N806" s="798">
        <v>1000</v>
      </c>
      <c r="O806" s="798">
        <v>1000</v>
      </c>
      <c r="P806" s="784">
        <v>1</v>
      </c>
      <c r="Q806" s="784">
        <v>10</v>
      </c>
      <c r="R806" s="799">
        <v>81.5</v>
      </c>
      <c r="S806" s="784">
        <v>10000</v>
      </c>
      <c r="T806" s="784">
        <v>10000</v>
      </c>
      <c r="U806" s="784">
        <v>8.15</v>
      </c>
      <c r="V806" s="784">
        <v>29.339999999999996</v>
      </c>
      <c r="W806" s="784">
        <v>48.9</v>
      </c>
      <c r="X806" s="784">
        <v>6.5200000000000005</v>
      </c>
      <c r="Y806" s="784">
        <v>40.75</v>
      </c>
      <c r="Z806" s="784">
        <v>1222.5</v>
      </c>
      <c r="AA806" s="784">
        <v>815</v>
      </c>
      <c r="AB806" s="784">
        <v>1630</v>
      </c>
      <c r="AC806" s="784">
        <v>81.5</v>
      </c>
      <c r="AD806" s="784">
        <v>16.299999999999997</v>
      </c>
      <c r="AE806" s="784">
        <v>3.26</v>
      </c>
      <c r="AF806" s="784">
        <v>1000000</v>
      </c>
      <c r="AG806" s="784">
        <v>100000</v>
      </c>
      <c r="AH806" s="784">
        <v>100000</v>
      </c>
      <c r="AI806" s="784"/>
      <c r="AK806" s="783">
        <f>IFERROR(Tabela1[[#This Row],[EE(g)]]/Tabela1[[#This Row],[CMS(kg)]],0)</f>
        <v>50</v>
      </c>
    </row>
    <row r="807" spans="2:37" hidden="1">
      <c r="B807" s="774">
        <f>ROW()^2+(Tabela1[[#This Row],[ID2]])+ROW()</f>
        <v>652271</v>
      </c>
      <c r="C807" s="794">
        <v>215</v>
      </c>
      <c r="D807" s="794" t="s">
        <v>1273</v>
      </c>
      <c r="E807" s="795" t="s">
        <v>1279</v>
      </c>
      <c r="F807" s="795" t="s">
        <v>1275</v>
      </c>
      <c r="G807" s="795">
        <v>80</v>
      </c>
      <c r="H807" s="795" t="s">
        <v>0</v>
      </c>
      <c r="I807" s="796">
        <v>0</v>
      </c>
      <c r="J807" s="794"/>
      <c r="K807" s="794"/>
      <c r="L807" s="797">
        <v>50</v>
      </c>
      <c r="M807" s="778">
        <v>0</v>
      </c>
      <c r="N807" s="798">
        <v>120</v>
      </c>
      <c r="O807" s="798">
        <v>0</v>
      </c>
      <c r="P807" s="784">
        <v>0.85399999999999998</v>
      </c>
      <c r="Q807" s="784">
        <v>0.43120000000000003</v>
      </c>
      <c r="R807" s="799">
        <v>0</v>
      </c>
      <c r="S807" s="784">
        <v>5</v>
      </c>
      <c r="T807" s="784">
        <v>3.5</v>
      </c>
      <c r="U807" s="784">
        <v>3.08</v>
      </c>
      <c r="V807" s="784">
        <v>3.08</v>
      </c>
      <c r="W807" s="784">
        <v>7.7</v>
      </c>
      <c r="X807" s="784">
        <v>3.08</v>
      </c>
      <c r="Y807" s="784">
        <v>10.780000000000001</v>
      </c>
      <c r="Z807" s="784">
        <v>77</v>
      </c>
      <c r="AA807" s="784">
        <v>77</v>
      </c>
      <c r="AB807" s="784">
        <v>61.6</v>
      </c>
      <c r="AC807" s="784">
        <v>0.6160000000000001</v>
      </c>
      <c r="AD807" s="784">
        <v>0.30800000000000005</v>
      </c>
      <c r="AE807" s="784">
        <v>0.15400000000000003</v>
      </c>
      <c r="AF807" s="784">
        <v>2310</v>
      </c>
      <c r="AG807" s="784">
        <v>462</v>
      </c>
      <c r="AH807" s="784">
        <v>30.8</v>
      </c>
      <c r="AI807" s="784"/>
      <c r="AK807" s="783">
        <f>IFERROR(Tabela1[[#This Row],[EE(g)]]/Tabela1[[#This Row],[CMS(kg)]],0)</f>
        <v>0</v>
      </c>
    </row>
    <row r="808" spans="2:37" hidden="1">
      <c r="B808" s="774">
        <f>ROW()^2+(Tabela1[[#This Row],[ID2]])+ROW()</f>
        <v>653888</v>
      </c>
      <c r="C808" s="794">
        <v>216</v>
      </c>
      <c r="D808" s="794" t="s">
        <v>1273</v>
      </c>
      <c r="E808" s="795" t="s">
        <v>1279</v>
      </c>
      <c r="F808" s="795" t="s">
        <v>1275</v>
      </c>
      <c r="G808" s="795">
        <v>80</v>
      </c>
      <c r="H808" s="795" t="s">
        <v>1</v>
      </c>
      <c r="I808" s="796">
        <v>0</v>
      </c>
      <c r="J808" s="794"/>
      <c r="K808" s="794"/>
      <c r="L808" s="797">
        <v>50</v>
      </c>
      <c r="M808" s="778">
        <v>1.54</v>
      </c>
      <c r="N808" s="798">
        <v>1000</v>
      </c>
      <c r="O808" s="798">
        <v>1000</v>
      </c>
      <c r="P808" s="784">
        <v>1</v>
      </c>
      <c r="Q808" s="784">
        <v>10</v>
      </c>
      <c r="R808" s="799">
        <v>77</v>
      </c>
      <c r="S808" s="784">
        <v>10000</v>
      </c>
      <c r="T808" s="784">
        <v>10000</v>
      </c>
      <c r="U808" s="784">
        <v>7.7</v>
      </c>
      <c r="V808" s="784">
        <v>27.72</v>
      </c>
      <c r="W808" s="784">
        <v>46.199999999999996</v>
      </c>
      <c r="X808" s="784">
        <v>6.16</v>
      </c>
      <c r="Y808" s="784">
        <v>38.5</v>
      </c>
      <c r="Z808" s="784">
        <v>1155</v>
      </c>
      <c r="AA808" s="784">
        <v>770</v>
      </c>
      <c r="AB808" s="784">
        <v>1540</v>
      </c>
      <c r="AC808" s="784">
        <v>77</v>
      </c>
      <c r="AD808" s="784">
        <v>15.4</v>
      </c>
      <c r="AE808" s="784">
        <v>3.08</v>
      </c>
      <c r="AF808" s="784">
        <v>1000000</v>
      </c>
      <c r="AG808" s="784">
        <v>100000</v>
      </c>
      <c r="AH808" s="784">
        <v>100000</v>
      </c>
      <c r="AI808" s="784"/>
      <c r="AK808" s="783">
        <f>IFERROR(Tabela1[[#This Row],[EE(g)]]/Tabela1[[#This Row],[CMS(kg)]],0)</f>
        <v>50</v>
      </c>
    </row>
    <row r="809" spans="2:37" hidden="1">
      <c r="B809" s="774">
        <f>ROW()^2+(Tabela1[[#This Row],[ID2]])+ROW()</f>
        <v>655507</v>
      </c>
      <c r="C809" s="794">
        <v>217</v>
      </c>
      <c r="D809" s="794" t="s">
        <v>1273</v>
      </c>
      <c r="E809" s="795" t="s">
        <v>1279</v>
      </c>
      <c r="F809" s="795" t="s">
        <v>1275</v>
      </c>
      <c r="G809" s="795">
        <v>80</v>
      </c>
      <c r="H809" s="795" t="s">
        <v>0</v>
      </c>
      <c r="I809" s="796">
        <v>0</v>
      </c>
      <c r="J809" s="794"/>
      <c r="K809" s="794"/>
      <c r="L809" s="797">
        <v>100</v>
      </c>
      <c r="M809" s="778">
        <v>0</v>
      </c>
      <c r="N809" s="798">
        <v>134</v>
      </c>
      <c r="O809" s="798">
        <v>0</v>
      </c>
      <c r="P809" s="784">
        <v>0.95399999999999996</v>
      </c>
      <c r="Q809" s="784">
        <v>0.48160000000000003</v>
      </c>
      <c r="R809" s="799">
        <v>0</v>
      </c>
      <c r="S809" s="784">
        <v>5</v>
      </c>
      <c r="T809" s="784">
        <v>3.5</v>
      </c>
      <c r="U809" s="784">
        <v>3.44</v>
      </c>
      <c r="V809" s="784">
        <v>3.44</v>
      </c>
      <c r="W809" s="784">
        <v>8.6</v>
      </c>
      <c r="X809" s="784">
        <v>3.44</v>
      </c>
      <c r="Y809" s="784">
        <v>12.04</v>
      </c>
      <c r="Z809" s="784">
        <v>86</v>
      </c>
      <c r="AA809" s="784">
        <v>86</v>
      </c>
      <c r="AB809" s="784">
        <v>68.8</v>
      </c>
      <c r="AC809" s="784">
        <v>0.68800000000000006</v>
      </c>
      <c r="AD809" s="784">
        <v>0.34400000000000003</v>
      </c>
      <c r="AE809" s="784">
        <v>0.17200000000000001</v>
      </c>
      <c r="AF809" s="784">
        <v>2580</v>
      </c>
      <c r="AG809" s="784">
        <v>516</v>
      </c>
      <c r="AH809" s="784">
        <v>34.4</v>
      </c>
      <c r="AI809" s="784"/>
      <c r="AK809" s="783">
        <f>IFERROR(Tabela1[[#This Row],[EE(g)]]/Tabela1[[#This Row],[CMS(kg)]],0)</f>
        <v>0</v>
      </c>
    </row>
    <row r="810" spans="2:37" hidden="1">
      <c r="B810" s="774">
        <f>ROW()^2+(Tabela1[[#This Row],[ID2]])+ROW()</f>
        <v>657128</v>
      </c>
      <c r="C810" s="794">
        <v>218</v>
      </c>
      <c r="D810" s="794" t="s">
        <v>1273</v>
      </c>
      <c r="E810" s="795" t="s">
        <v>1279</v>
      </c>
      <c r="F810" s="795" t="s">
        <v>1275</v>
      </c>
      <c r="G810" s="795">
        <v>80</v>
      </c>
      <c r="H810" s="795" t="s">
        <v>1</v>
      </c>
      <c r="I810" s="796">
        <v>0</v>
      </c>
      <c r="J810" s="794"/>
      <c r="K810" s="794"/>
      <c r="L810" s="797">
        <v>100</v>
      </c>
      <c r="M810" s="778">
        <v>1.72</v>
      </c>
      <c r="N810" s="798">
        <v>1000</v>
      </c>
      <c r="O810" s="798">
        <v>1000</v>
      </c>
      <c r="P810" s="784">
        <v>1.1000000000000001</v>
      </c>
      <c r="Q810" s="784">
        <v>10</v>
      </c>
      <c r="R810" s="799">
        <v>86</v>
      </c>
      <c r="S810" s="784">
        <v>10000</v>
      </c>
      <c r="T810" s="784">
        <v>10000</v>
      </c>
      <c r="U810" s="784">
        <v>8.6</v>
      </c>
      <c r="V810" s="784">
        <v>30.959999999999997</v>
      </c>
      <c r="W810" s="784">
        <v>51.6</v>
      </c>
      <c r="X810" s="784">
        <v>6.88</v>
      </c>
      <c r="Y810" s="784">
        <v>43</v>
      </c>
      <c r="Z810" s="784">
        <v>1290</v>
      </c>
      <c r="AA810" s="784">
        <v>860</v>
      </c>
      <c r="AB810" s="784">
        <v>1720</v>
      </c>
      <c r="AC810" s="784">
        <v>86</v>
      </c>
      <c r="AD810" s="784">
        <v>17.2</v>
      </c>
      <c r="AE810" s="784">
        <v>3.44</v>
      </c>
      <c r="AF810" s="784">
        <v>1000000</v>
      </c>
      <c r="AG810" s="784">
        <v>100000</v>
      </c>
      <c r="AH810" s="784">
        <v>100000</v>
      </c>
      <c r="AI810" s="784"/>
      <c r="AK810" s="783">
        <f>IFERROR(Tabela1[[#This Row],[EE(g)]]/Tabela1[[#This Row],[CMS(kg)]],0)</f>
        <v>50</v>
      </c>
    </row>
    <row r="811" spans="2:37" hidden="1">
      <c r="B811" s="774">
        <f>ROW()^2+(Tabela1[[#This Row],[ID2]])+ROW()</f>
        <v>658751</v>
      </c>
      <c r="C811" s="794">
        <v>219</v>
      </c>
      <c r="D811" s="794" t="s">
        <v>1273</v>
      </c>
      <c r="E811" s="795" t="s">
        <v>1279</v>
      </c>
      <c r="F811" s="795" t="s">
        <v>1275</v>
      </c>
      <c r="G811" s="795">
        <v>80</v>
      </c>
      <c r="H811" s="795" t="s">
        <v>0</v>
      </c>
      <c r="I811" s="796">
        <v>0</v>
      </c>
      <c r="J811" s="794"/>
      <c r="K811" s="794"/>
      <c r="L811" s="797">
        <v>150</v>
      </c>
      <c r="M811" s="778">
        <v>0</v>
      </c>
      <c r="N811" s="798">
        <v>148</v>
      </c>
      <c r="O811" s="798">
        <v>0</v>
      </c>
      <c r="P811" s="784">
        <v>1.054</v>
      </c>
      <c r="Q811" s="784">
        <v>0.53200000000000003</v>
      </c>
      <c r="R811" s="799">
        <v>0</v>
      </c>
      <c r="S811" s="784">
        <v>6</v>
      </c>
      <c r="T811" s="784">
        <v>4.2</v>
      </c>
      <c r="U811" s="784">
        <v>3.8000000000000003</v>
      </c>
      <c r="V811" s="784">
        <v>3.8000000000000003</v>
      </c>
      <c r="W811" s="784">
        <v>9.5</v>
      </c>
      <c r="X811" s="784">
        <v>3.8000000000000003</v>
      </c>
      <c r="Y811" s="784">
        <v>13.299999999999999</v>
      </c>
      <c r="Z811" s="784">
        <v>95</v>
      </c>
      <c r="AA811" s="784">
        <v>95</v>
      </c>
      <c r="AB811" s="784">
        <v>76</v>
      </c>
      <c r="AC811" s="784">
        <v>0.76</v>
      </c>
      <c r="AD811" s="784">
        <v>0.38</v>
      </c>
      <c r="AE811" s="784">
        <v>0.19</v>
      </c>
      <c r="AF811" s="784">
        <v>2850</v>
      </c>
      <c r="AG811" s="784">
        <v>570</v>
      </c>
      <c r="AH811" s="784">
        <v>38</v>
      </c>
      <c r="AI811" s="784"/>
      <c r="AK811" s="783">
        <f>IFERROR(Tabela1[[#This Row],[EE(g)]]/Tabela1[[#This Row],[CMS(kg)]],0)</f>
        <v>0</v>
      </c>
    </row>
    <row r="812" spans="2:37" hidden="1">
      <c r="B812" s="774">
        <f>ROW()^2+(Tabela1[[#This Row],[ID2]])+ROW()</f>
        <v>660376</v>
      </c>
      <c r="C812" s="794">
        <v>220</v>
      </c>
      <c r="D812" s="794" t="s">
        <v>1273</v>
      </c>
      <c r="E812" s="795" t="s">
        <v>1279</v>
      </c>
      <c r="F812" s="795" t="s">
        <v>1275</v>
      </c>
      <c r="G812" s="795">
        <v>80</v>
      </c>
      <c r="H812" s="795" t="s">
        <v>1</v>
      </c>
      <c r="I812" s="796">
        <v>0</v>
      </c>
      <c r="J812" s="794"/>
      <c r="K812" s="794"/>
      <c r="L812" s="797">
        <v>150</v>
      </c>
      <c r="M812" s="778">
        <v>1.9</v>
      </c>
      <c r="N812" s="798">
        <v>1000</v>
      </c>
      <c r="O812" s="798">
        <v>1000</v>
      </c>
      <c r="P812" s="784">
        <v>1.2</v>
      </c>
      <c r="Q812" s="784">
        <v>10</v>
      </c>
      <c r="R812" s="799">
        <v>95</v>
      </c>
      <c r="S812" s="784">
        <v>10000</v>
      </c>
      <c r="T812" s="784">
        <v>10000</v>
      </c>
      <c r="U812" s="784">
        <v>9.5</v>
      </c>
      <c r="V812" s="784">
        <v>34.199999999999996</v>
      </c>
      <c r="W812" s="784">
        <v>57</v>
      </c>
      <c r="X812" s="784">
        <v>7.6000000000000005</v>
      </c>
      <c r="Y812" s="784">
        <v>47.5</v>
      </c>
      <c r="Z812" s="784">
        <v>1425</v>
      </c>
      <c r="AA812" s="784">
        <v>950</v>
      </c>
      <c r="AB812" s="784">
        <v>1900</v>
      </c>
      <c r="AC812" s="784">
        <v>95</v>
      </c>
      <c r="AD812" s="784">
        <v>19</v>
      </c>
      <c r="AE812" s="784">
        <v>3.8</v>
      </c>
      <c r="AF812" s="784">
        <v>1000000</v>
      </c>
      <c r="AG812" s="784">
        <v>100000</v>
      </c>
      <c r="AH812" s="784">
        <v>100000</v>
      </c>
      <c r="AI812" s="784"/>
      <c r="AK812" s="783">
        <f>IFERROR(Tabela1[[#This Row],[EE(g)]]/Tabela1[[#This Row],[CMS(kg)]],0)</f>
        <v>50</v>
      </c>
    </row>
    <row r="813" spans="2:37" hidden="1">
      <c r="B813" s="774">
        <f>ROW()^2+(Tabela1[[#This Row],[ID2]])+ROW()</f>
        <v>662003</v>
      </c>
      <c r="C813" s="794">
        <v>221</v>
      </c>
      <c r="D813" s="794" t="s">
        <v>1273</v>
      </c>
      <c r="E813" s="795" t="s">
        <v>1279</v>
      </c>
      <c r="F813" s="795" t="s">
        <v>1275</v>
      </c>
      <c r="G813" s="795">
        <v>100</v>
      </c>
      <c r="H813" s="795" t="s">
        <v>0</v>
      </c>
      <c r="I813" s="796">
        <v>0</v>
      </c>
      <c r="J813" s="794"/>
      <c r="K813" s="794"/>
      <c r="L813" s="797">
        <v>50</v>
      </c>
      <c r="M813" s="778">
        <v>0</v>
      </c>
      <c r="N813" s="798">
        <v>140</v>
      </c>
      <c r="O813" s="798">
        <v>0</v>
      </c>
      <c r="P813" s="784">
        <v>0.99099999999999999</v>
      </c>
      <c r="Q813" s="784">
        <v>0.49840000000000001</v>
      </c>
      <c r="R813" s="799">
        <v>0</v>
      </c>
      <c r="S813" s="784">
        <v>6</v>
      </c>
      <c r="T813" s="784">
        <v>4.2</v>
      </c>
      <c r="U813" s="784">
        <v>3.56</v>
      </c>
      <c r="V813" s="784">
        <v>3.56</v>
      </c>
      <c r="W813" s="784">
        <v>8.9</v>
      </c>
      <c r="X813" s="784">
        <v>3.56</v>
      </c>
      <c r="Y813" s="784">
        <v>12.46</v>
      </c>
      <c r="Z813" s="784">
        <v>89</v>
      </c>
      <c r="AA813" s="784">
        <v>89</v>
      </c>
      <c r="AB813" s="784">
        <v>71.2</v>
      </c>
      <c r="AC813" s="784">
        <v>0.71200000000000008</v>
      </c>
      <c r="AD813" s="784">
        <v>0.35600000000000004</v>
      </c>
      <c r="AE813" s="784">
        <v>0.17800000000000002</v>
      </c>
      <c r="AF813" s="784">
        <v>2670</v>
      </c>
      <c r="AG813" s="784">
        <v>534</v>
      </c>
      <c r="AH813" s="784">
        <v>35.6</v>
      </c>
      <c r="AI813" s="784"/>
      <c r="AK813" s="783">
        <f>IFERROR(Tabela1[[#This Row],[EE(g)]]/Tabela1[[#This Row],[CMS(kg)]],0)</f>
        <v>0</v>
      </c>
    </row>
    <row r="814" spans="2:37" hidden="1">
      <c r="B814" s="774">
        <f>ROW()^2+(Tabela1[[#This Row],[ID2]])+ROW()</f>
        <v>663632</v>
      </c>
      <c r="C814" s="794">
        <v>222</v>
      </c>
      <c r="D814" s="794" t="s">
        <v>1273</v>
      </c>
      <c r="E814" s="795" t="s">
        <v>1279</v>
      </c>
      <c r="F814" s="795" t="s">
        <v>1275</v>
      </c>
      <c r="G814" s="795">
        <v>100</v>
      </c>
      <c r="H814" s="795" t="s">
        <v>1</v>
      </c>
      <c r="I814" s="796">
        <v>0</v>
      </c>
      <c r="J814" s="794"/>
      <c r="K814" s="794"/>
      <c r="L814" s="800">
        <v>50</v>
      </c>
      <c r="M814" s="778">
        <v>1.78</v>
      </c>
      <c r="N814" s="798">
        <v>1000</v>
      </c>
      <c r="O814" s="798">
        <v>1000</v>
      </c>
      <c r="P814" s="784">
        <v>1.5</v>
      </c>
      <c r="Q814" s="784">
        <v>10</v>
      </c>
      <c r="R814" s="799">
        <v>89</v>
      </c>
      <c r="S814" s="784">
        <v>10000</v>
      </c>
      <c r="T814" s="784">
        <v>10000</v>
      </c>
      <c r="U814" s="784">
        <v>8.9</v>
      </c>
      <c r="V814" s="784">
        <v>32.04</v>
      </c>
      <c r="W814" s="784">
        <v>53.4</v>
      </c>
      <c r="X814" s="784">
        <v>7.12</v>
      </c>
      <c r="Y814" s="784">
        <v>44.5</v>
      </c>
      <c r="Z814" s="784">
        <v>1335</v>
      </c>
      <c r="AA814" s="784">
        <v>890</v>
      </c>
      <c r="AB814" s="784">
        <v>1780</v>
      </c>
      <c r="AC814" s="784">
        <v>89</v>
      </c>
      <c r="AD814" s="784">
        <v>17.8</v>
      </c>
      <c r="AE814" s="784">
        <v>3.56</v>
      </c>
      <c r="AF814" s="784">
        <v>1000000</v>
      </c>
      <c r="AG814" s="784">
        <v>100000</v>
      </c>
      <c r="AH814" s="784">
        <v>100000</v>
      </c>
      <c r="AI814" s="784"/>
      <c r="AK814" s="783">
        <f>IFERROR(Tabela1[[#This Row],[EE(g)]]/Tabela1[[#This Row],[CMS(kg)]],0)</f>
        <v>50</v>
      </c>
    </row>
    <row r="815" spans="2:37" hidden="1">
      <c r="B815" s="774">
        <f>ROW()^2+(Tabela1[[#This Row],[ID2]])+ROW()</f>
        <v>665263</v>
      </c>
      <c r="C815" s="794">
        <v>223</v>
      </c>
      <c r="D815" s="794" t="s">
        <v>1273</v>
      </c>
      <c r="E815" s="795" t="s">
        <v>1279</v>
      </c>
      <c r="F815" s="795" t="s">
        <v>1275</v>
      </c>
      <c r="G815" s="795">
        <v>100</v>
      </c>
      <c r="H815" s="795" t="s">
        <v>0</v>
      </c>
      <c r="I815" s="796">
        <v>0</v>
      </c>
      <c r="J815" s="794"/>
      <c r="K815" s="794"/>
      <c r="L815" s="797">
        <v>100</v>
      </c>
      <c r="M815" s="778">
        <v>0</v>
      </c>
      <c r="N815" s="798">
        <v>154</v>
      </c>
      <c r="O815" s="798">
        <v>0</v>
      </c>
      <c r="P815" s="784">
        <v>1.091</v>
      </c>
      <c r="Q815" s="784">
        <v>0.54880000000000007</v>
      </c>
      <c r="R815" s="799">
        <v>0</v>
      </c>
      <c r="S815" s="784">
        <v>6</v>
      </c>
      <c r="T815" s="784">
        <v>4.2</v>
      </c>
      <c r="U815" s="784">
        <v>3.92</v>
      </c>
      <c r="V815" s="784">
        <v>3.92</v>
      </c>
      <c r="W815" s="784">
        <v>9.8000000000000007</v>
      </c>
      <c r="X815" s="784">
        <v>3.92</v>
      </c>
      <c r="Y815" s="784">
        <v>13.719999999999999</v>
      </c>
      <c r="Z815" s="784">
        <v>98</v>
      </c>
      <c r="AA815" s="784">
        <v>98</v>
      </c>
      <c r="AB815" s="784">
        <v>78.400000000000006</v>
      </c>
      <c r="AC815" s="784">
        <v>0.78400000000000003</v>
      </c>
      <c r="AD815" s="784">
        <v>0.39200000000000002</v>
      </c>
      <c r="AE815" s="784">
        <v>0.19600000000000001</v>
      </c>
      <c r="AF815" s="784">
        <v>2940</v>
      </c>
      <c r="AG815" s="784">
        <v>588</v>
      </c>
      <c r="AH815" s="784">
        <v>39.200000000000003</v>
      </c>
      <c r="AI815" s="784"/>
      <c r="AK815" s="783">
        <f>IFERROR(Tabela1[[#This Row],[EE(g)]]/Tabela1[[#This Row],[CMS(kg)]],0)</f>
        <v>0</v>
      </c>
    </row>
    <row r="816" spans="2:37" hidden="1">
      <c r="B816" s="774">
        <f>ROW()^2+(Tabela1[[#This Row],[ID2]])+ROW()</f>
        <v>666896</v>
      </c>
      <c r="C816" s="794">
        <v>224</v>
      </c>
      <c r="D816" s="794" t="s">
        <v>1273</v>
      </c>
      <c r="E816" s="795" t="s">
        <v>1279</v>
      </c>
      <c r="F816" s="795" t="s">
        <v>1275</v>
      </c>
      <c r="G816" s="795">
        <v>100</v>
      </c>
      <c r="H816" s="795" t="s">
        <v>1</v>
      </c>
      <c r="I816" s="796">
        <v>0</v>
      </c>
      <c r="J816" s="794"/>
      <c r="K816" s="794"/>
      <c r="L816" s="797">
        <v>100</v>
      </c>
      <c r="M816" s="778">
        <v>1.96</v>
      </c>
      <c r="N816" s="798">
        <v>1000</v>
      </c>
      <c r="O816" s="798">
        <v>1000</v>
      </c>
      <c r="P816" s="784">
        <v>1.5</v>
      </c>
      <c r="Q816" s="784">
        <v>10</v>
      </c>
      <c r="R816" s="799">
        <v>98</v>
      </c>
      <c r="S816" s="784">
        <v>10000</v>
      </c>
      <c r="T816" s="784">
        <v>10000</v>
      </c>
      <c r="U816" s="784">
        <v>9.8000000000000007</v>
      </c>
      <c r="V816" s="784">
        <v>35.279999999999994</v>
      </c>
      <c r="W816" s="784">
        <v>58.8</v>
      </c>
      <c r="X816" s="784">
        <v>7.84</v>
      </c>
      <c r="Y816" s="784">
        <v>49</v>
      </c>
      <c r="Z816" s="784">
        <v>1470</v>
      </c>
      <c r="AA816" s="784">
        <v>980</v>
      </c>
      <c r="AB816" s="784">
        <v>1960</v>
      </c>
      <c r="AC816" s="784">
        <v>98</v>
      </c>
      <c r="AD816" s="784">
        <v>19.600000000000001</v>
      </c>
      <c r="AE816" s="784">
        <v>3.92</v>
      </c>
      <c r="AF816" s="784">
        <v>1000000</v>
      </c>
      <c r="AG816" s="784">
        <v>100000</v>
      </c>
      <c r="AH816" s="784">
        <v>100000</v>
      </c>
      <c r="AI816" s="784"/>
      <c r="AK816" s="783">
        <f>IFERROR(Tabela1[[#This Row],[EE(g)]]/Tabela1[[#This Row],[CMS(kg)]],0)</f>
        <v>50</v>
      </c>
    </row>
    <row r="817" spans="2:37" hidden="1">
      <c r="B817" s="774">
        <f>ROW()^2+(Tabela1[[#This Row],[ID2]])+ROW()</f>
        <v>668531</v>
      </c>
      <c r="C817" s="794">
        <v>225</v>
      </c>
      <c r="D817" s="794" t="s">
        <v>1273</v>
      </c>
      <c r="E817" s="795" t="s">
        <v>1279</v>
      </c>
      <c r="F817" s="795" t="s">
        <v>1275</v>
      </c>
      <c r="G817" s="795">
        <v>100</v>
      </c>
      <c r="H817" s="795" t="s">
        <v>0</v>
      </c>
      <c r="I817" s="796">
        <v>0</v>
      </c>
      <c r="J817" s="794"/>
      <c r="K817" s="794"/>
      <c r="L817" s="800">
        <v>150</v>
      </c>
      <c r="M817" s="778">
        <v>0</v>
      </c>
      <c r="N817" s="798">
        <v>168</v>
      </c>
      <c r="O817" s="798">
        <v>0</v>
      </c>
      <c r="P817" s="784">
        <v>1.1910000000000001</v>
      </c>
      <c r="Q817" s="784">
        <v>0.59920000000000007</v>
      </c>
      <c r="R817" s="799">
        <v>0</v>
      </c>
      <c r="S817" s="784">
        <v>7</v>
      </c>
      <c r="T817" s="784">
        <v>4.9000000000000004</v>
      </c>
      <c r="U817" s="784">
        <v>4.28</v>
      </c>
      <c r="V817" s="784">
        <v>4.28</v>
      </c>
      <c r="W817" s="784">
        <v>10.700000000000001</v>
      </c>
      <c r="X817" s="784">
        <v>4.28</v>
      </c>
      <c r="Y817" s="784">
        <v>14.98</v>
      </c>
      <c r="Z817" s="784">
        <v>107</v>
      </c>
      <c r="AA817" s="784">
        <v>107</v>
      </c>
      <c r="AB817" s="784">
        <v>85.600000000000009</v>
      </c>
      <c r="AC817" s="784">
        <v>0.85600000000000009</v>
      </c>
      <c r="AD817" s="784">
        <v>0.42800000000000005</v>
      </c>
      <c r="AE817" s="784">
        <v>0.21400000000000002</v>
      </c>
      <c r="AF817" s="784">
        <v>3210</v>
      </c>
      <c r="AG817" s="784">
        <v>642</v>
      </c>
      <c r="AH817" s="784">
        <v>42.800000000000004</v>
      </c>
      <c r="AI817" s="784"/>
      <c r="AK817" s="783">
        <f>IFERROR(Tabela1[[#This Row],[EE(g)]]/Tabela1[[#This Row],[CMS(kg)]],0)</f>
        <v>0</v>
      </c>
    </row>
    <row r="818" spans="2:37" hidden="1">
      <c r="B818" s="774">
        <f>ROW()^2+(Tabela1[[#This Row],[ID2]])+ROW()</f>
        <v>670168</v>
      </c>
      <c r="C818" s="794">
        <v>226</v>
      </c>
      <c r="D818" s="794" t="s">
        <v>1273</v>
      </c>
      <c r="E818" s="795" t="s">
        <v>1279</v>
      </c>
      <c r="F818" s="795" t="s">
        <v>1275</v>
      </c>
      <c r="G818" s="795">
        <v>100</v>
      </c>
      <c r="H818" s="795" t="s">
        <v>1</v>
      </c>
      <c r="I818" s="796">
        <v>0</v>
      </c>
      <c r="J818" s="794"/>
      <c r="K818" s="794"/>
      <c r="L818" s="800">
        <v>150</v>
      </c>
      <c r="M818" s="778">
        <v>2.14</v>
      </c>
      <c r="N818" s="798">
        <v>1000</v>
      </c>
      <c r="O818" s="798">
        <v>1000</v>
      </c>
      <c r="P818" s="784">
        <v>1.5</v>
      </c>
      <c r="Q818" s="784">
        <v>10</v>
      </c>
      <c r="R818" s="799">
        <v>107</v>
      </c>
      <c r="S818" s="784">
        <v>10000</v>
      </c>
      <c r="T818" s="784">
        <v>10000</v>
      </c>
      <c r="U818" s="784">
        <v>10.700000000000001</v>
      </c>
      <c r="V818" s="784">
        <v>38.519999999999996</v>
      </c>
      <c r="W818" s="784">
        <v>64.2</v>
      </c>
      <c r="X818" s="784">
        <v>8.56</v>
      </c>
      <c r="Y818" s="784">
        <v>53.5</v>
      </c>
      <c r="Z818" s="784">
        <v>1605</v>
      </c>
      <c r="AA818" s="784">
        <v>1070</v>
      </c>
      <c r="AB818" s="784">
        <v>2140</v>
      </c>
      <c r="AC818" s="784">
        <v>107</v>
      </c>
      <c r="AD818" s="784">
        <v>21.400000000000002</v>
      </c>
      <c r="AE818" s="784">
        <v>4.28</v>
      </c>
      <c r="AF818" s="784">
        <v>1000000</v>
      </c>
      <c r="AG818" s="784">
        <v>100000</v>
      </c>
      <c r="AH818" s="784">
        <v>100000</v>
      </c>
      <c r="AI818" s="784"/>
      <c r="AK818" s="783">
        <f>IFERROR(Tabela1[[#This Row],[EE(g)]]/Tabela1[[#This Row],[CMS(kg)]],0)</f>
        <v>50</v>
      </c>
    </row>
    <row r="819" spans="2:37">
      <c r="B819" s="755"/>
      <c r="C819" s="755"/>
      <c r="O819" s="768"/>
    </row>
    <row r="820" spans="2:37">
      <c r="B820" s="755"/>
      <c r="C820" s="755"/>
      <c r="O820" s="768"/>
    </row>
    <row r="821" spans="2:37">
      <c r="B821" s="755"/>
      <c r="C821" s="755"/>
      <c r="O821" s="768"/>
    </row>
  </sheetData>
  <sheetProtection formatCells="0" formatColumns="0" formatRows="0" sort="0" autoFilter="0" pivotTables="0"/>
  <conditionalFormatting sqref="B5:B818">
    <cfRule type="duplicateValues" dxfId="97" priority="1"/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373E1-4B45-4B16-AC4E-C8814087790C}">
  <sheetPr codeName="Planilha25"/>
  <dimension ref="A1:AZ432"/>
  <sheetViews>
    <sheetView showGridLines="0" zoomScaleNormal="100" workbookViewId="0">
      <pane xSplit="6" topLeftCell="G1" activePane="topRight" state="frozen"/>
      <selection pane="topRight" activeCell="B3" sqref="B3"/>
    </sheetView>
  </sheetViews>
  <sheetFormatPr defaultRowHeight="14.25"/>
  <cols>
    <col min="1" max="1" width="2.375" customWidth="1"/>
    <col min="2" max="2" width="17.25" customWidth="1"/>
    <col min="3" max="3" width="10.125" customWidth="1"/>
    <col min="4" max="4" width="12.5" customWidth="1"/>
    <col min="6" max="6" width="24.875" customWidth="1"/>
    <col min="7" max="7" width="4.875" customWidth="1"/>
    <col min="8" max="11" width="16" customWidth="1"/>
    <col min="12" max="25" width="11" customWidth="1"/>
    <col min="26" max="26" width="2.625" customWidth="1"/>
    <col min="27" max="27" width="10" customWidth="1"/>
    <col min="28" max="28" width="9" customWidth="1"/>
    <col min="29" max="29" width="9.75" customWidth="1"/>
    <col min="30" max="30" width="9.75" bestFit="1" customWidth="1"/>
    <col min="31" max="31" width="10.125" customWidth="1"/>
    <col min="32" max="32" width="4.25" bestFit="1" customWidth="1"/>
    <col min="33" max="33" width="11.875" customWidth="1"/>
    <col min="34" max="34" width="13.875" customWidth="1"/>
    <col min="35" max="35" width="10.625" customWidth="1"/>
    <col min="36" max="36" width="4.25" bestFit="1" customWidth="1"/>
    <col min="37" max="37" width="9.75" customWidth="1"/>
    <col min="38" max="38" width="11" customWidth="1"/>
    <col min="39" max="39" width="11.25" customWidth="1"/>
    <col min="40" max="40" width="6.875" customWidth="1"/>
    <col min="41" max="41" width="12.375" customWidth="1"/>
    <col min="42" max="42" width="13" customWidth="1"/>
    <col min="43" max="43" width="11.875" customWidth="1"/>
    <col min="44" max="44" width="4.25" bestFit="1" customWidth="1"/>
    <col min="45" max="45" width="11" customWidth="1"/>
    <col min="46" max="46" width="12.625" bestFit="1" customWidth="1"/>
    <col min="47" max="47" width="9.75" customWidth="1"/>
    <col min="48" max="48" width="4.25" bestFit="1" customWidth="1"/>
  </cols>
  <sheetData>
    <row r="1" spans="1:52" ht="32.25" customHeight="1">
      <c r="A1" s="1053"/>
      <c r="B1" s="1174"/>
      <c r="C1" s="1174"/>
      <c r="D1" s="1174"/>
      <c r="E1" s="1174"/>
      <c r="F1" s="1174"/>
      <c r="G1" s="1174"/>
      <c r="H1" s="1085" t="s">
        <v>1379</v>
      </c>
      <c r="I1" s="1085" t="s">
        <v>1379</v>
      </c>
      <c r="J1" s="1085" t="s">
        <v>1379</v>
      </c>
      <c r="K1" s="1085" t="s">
        <v>1379</v>
      </c>
      <c r="L1" s="1085" t="s">
        <v>1379</v>
      </c>
      <c r="M1" s="1085" t="s">
        <v>1379</v>
      </c>
      <c r="N1" s="1086" t="s">
        <v>1370</v>
      </c>
      <c r="O1" s="1086" t="s">
        <v>1370</v>
      </c>
      <c r="P1" s="1086" t="s">
        <v>1369</v>
      </c>
      <c r="Q1" s="1086" t="s">
        <v>1369</v>
      </c>
      <c r="R1" s="1086" t="s">
        <v>1371</v>
      </c>
      <c r="S1" s="1086" t="s">
        <v>1371</v>
      </c>
      <c r="T1" s="1086" t="s">
        <v>1372</v>
      </c>
      <c r="U1" s="1086" t="s">
        <v>1372</v>
      </c>
      <c r="V1" s="1086" t="s">
        <v>1373</v>
      </c>
      <c r="W1" s="1086" t="s">
        <v>1373</v>
      </c>
      <c r="X1" s="1086" t="s">
        <v>1374</v>
      </c>
      <c r="Y1" s="1086" t="s">
        <v>1374</v>
      </c>
      <c r="Z1" s="1174"/>
      <c r="AA1" s="1087" t="s">
        <v>1380</v>
      </c>
      <c r="AB1" s="1088" t="str">
        <f>AA1</f>
        <v>Vacas em Lactação (Maior que 3 Semanas)</v>
      </c>
      <c r="AC1" s="1088" t="str">
        <f t="shared" ref="AC1:AE1" si="0">AB1</f>
        <v>Vacas em Lactação (Maior que 3 Semanas)</v>
      </c>
      <c r="AD1" s="1088" t="str">
        <f t="shared" si="0"/>
        <v>Vacas em Lactação (Maior que 3 Semanas)</v>
      </c>
      <c r="AE1" s="1088" t="str">
        <f t="shared" si="0"/>
        <v>Vacas em Lactação (Maior que 3 Semanas)</v>
      </c>
      <c r="AF1" s="1089" t="str">
        <f>AE1</f>
        <v>Vacas em Lactação (Maior que 3 Semanas)</v>
      </c>
      <c r="AG1" s="1087" t="s">
        <v>1368</v>
      </c>
      <c r="AH1" s="1088" t="str">
        <f>AG1</f>
        <v>Bezerros (50 a 124 kg)</v>
      </c>
      <c r="AI1" s="1088" t="str">
        <f>AH1</f>
        <v>Bezerros (50 a 124 kg)</v>
      </c>
      <c r="AJ1" s="1089" t="str">
        <f>AI1</f>
        <v>Bezerros (50 a 124 kg)</v>
      </c>
      <c r="AK1" s="1090" t="s">
        <v>1381</v>
      </c>
      <c r="AL1" s="1091" t="str">
        <f>AK1</f>
        <v>Novilhas (Maior que 124 kg PV)</v>
      </c>
      <c r="AM1" s="1091" t="str">
        <f>AL1</f>
        <v>Novilhas (Maior que 124 kg PV)</v>
      </c>
      <c r="AN1" s="1089" t="str">
        <f>AM1</f>
        <v>Novilhas (Maior que 124 kg PV)</v>
      </c>
      <c r="AO1" s="1087" t="s">
        <v>1382</v>
      </c>
      <c r="AP1" s="1088" t="str">
        <f>AO1</f>
        <v>Vacas em Sistema Intensivo (Lactação Maior que 3 Semanas)</v>
      </c>
      <c r="AQ1" s="1088" t="str">
        <f>AP1</f>
        <v>Vacas em Sistema Intensivo (Lactação Maior que 3 Semanas)</v>
      </c>
      <c r="AR1" s="1089" t="str">
        <f>AQ1</f>
        <v>Vacas em Sistema Intensivo (Lactação Maior que 3 Semanas)</v>
      </c>
      <c r="AS1" s="1087" t="s">
        <v>1383</v>
      </c>
      <c r="AT1" s="1088" t="str">
        <f>AS1</f>
        <v>Vacas - Exig. Brasileiras (Lactação Maior que 3 Semanas)</v>
      </c>
      <c r="AU1" s="1088" t="str">
        <f>AT1</f>
        <v>Vacas - Exig. Brasileiras (Lactação Maior que 3 Semanas)</v>
      </c>
      <c r="AV1" s="1089" t="str">
        <f>AU1</f>
        <v>Vacas - Exig. Brasileiras (Lactação Maior que 3 Semanas)</v>
      </c>
      <c r="AW1" s="1053"/>
      <c r="AX1" s="1053"/>
      <c r="AY1" s="1053"/>
      <c r="AZ1" s="1053"/>
    </row>
    <row r="2" spans="1:52">
      <c r="A2" s="1054">
        <v>13</v>
      </c>
      <c r="B2" s="1175" t="str">
        <f>INDEX(F18:F51,MATCH(A2,A18:A51,0))</f>
        <v>Vacas em Sistema Intensivo (Lactação Maior que 3 Semanas)</v>
      </c>
      <c r="C2" s="1174"/>
      <c r="D2" s="1174"/>
      <c r="E2" s="1174"/>
      <c r="F2" s="1174"/>
      <c r="G2" s="1174"/>
      <c r="H2" s="756" t="str">
        <f t="shared" ref="H2:Y2" si="1">H11&amp;"PV"</f>
        <v>454PV</v>
      </c>
      <c r="I2" s="756" t="str">
        <f t="shared" si="1"/>
        <v>454PV</v>
      </c>
      <c r="J2" s="756" t="str">
        <f t="shared" si="1"/>
        <v>680PV</v>
      </c>
      <c r="K2" s="756" t="str">
        <f t="shared" si="1"/>
        <v>680PV</v>
      </c>
      <c r="L2" s="756" t="str">
        <f t="shared" si="1"/>
        <v>680PV</v>
      </c>
      <c r="M2" s="756" t="str">
        <f>M11&amp;"PV"</f>
        <v>680PV</v>
      </c>
      <c r="N2" s="756" t="str">
        <f t="shared" si="1"/>
        <v>680PV</v>
      </c>
      <c r="O2" s="756" t="str">
        <f t="shared" si="1"/>
        <v>680PV</v>
      </c>
      <c r="P2" s="756" t="str">
        <f t="shared" si="1"/>
        <v>680PV</v>
      </c>
      <c r="Q2" s="756" t="str">
        <f t="shared" si="1"/>
        <v>680PV</v>
      </c>
      <c r="R2" s="756" t="str">
        <f t="shared" si="1"/>
        <v>680PV</v>
      </c>
      <c r="S2" s="756" t="str">
        <f t="shared" si="1"/>
        <v>680PV</v>
      </c>
      <c r="T2" s="756" t="str">
        <f t="shared" si="1"/>
        <v>680PV</v>
      </c>
      <c r="U2" s="756" t="str">
        <f t="shared" si="1"/>
        <v>680PV</v>
      </c>
      <c r="V2" s="756" t="str">
        <f t="shared" si="1"/>
        <v>680PV</v>
      </c>
      <c r="W2" s="756" t="str">
        <f t="shared" si="1"/>
        <v>680PV</v>
      </c>
      <c r="X2" s="756" t="str">
        <f t="shared" si="1"/>
        <v>680PV</v>
      </c>
      <c r="Y2" s="756" t="str">
        <f t="shared" si="1"/>
        <v>680PV</v>
      </c>
      <c r="Z2" s="1174"/>
      <c r="AA2" s="1092">
        <f>AE10</f>
        <v>0</v>
      </c>
      <c r="AB2" s="756">
        <f>AA2</f>
        <v>0</v>
      </c>
      <c r="AC2" s="756">
        <f t="shared" ref="AC2:AE3" si="2">AB2</f>
        <v>0</v>
      </c>
      <c r="AD2" s="756">
        <f t="shared" si="2"/>
        <v>0</v>
      </c>
      <c r="AE2" s="756">
        <f t="shared" si="2"/>
        <v>0</v>
      </c>
      <c r="AF2" s="1176"/>
      <c r="AG2" s="1092">
        <f>AI10</f>
        <v>0</v>
      </c>
      <c r="AH2" s="756">
        <f>AG2</f>
        <v>0</v>
      </c>
      <c r="AI2" s="756">
        <f t="shared" ref="AI2" si="3">AH2</f>
        <v>0</v>
      </c>
      <c r="AJ2" s="1176"/>
      <c r="AK2" s="1093">
        <f>AM10</f>
        <v>680</v>
      </c>
      <c r="AL2" s="1094">
        <f>AK2</f>
        <v>680</v>
      </c>
      <c r="AM2" s="1094">
        <f t="shared" ref="AM2:AM5" si="4">AL2</f>
        <v>680</v>
      </c>
      <c r="AN2" s="1176"/>
      <c r="AO2" s="1092">
        <f>AQ10</f>
        <v>0</v>
      </c>
      <c r="AP2" s="756">
        <f>AO2</f>
        <v>0</v>
      </c>
      <c r="AQ2" s="756">
        <f t="shared" ref="AQ2:AQ5" si="5">AP2</f>
        <v>0</v>
      </c>
      <c r="AR2" s="1176"/>
      <c r="AS2" s="1092">
        <f>AT10</f>
        <v>0</v>
      </c>
      <c r="AT2" s="756">
        <f>AS2</f>
        <v>0</v>
      </c>
      <c r="AU2" s="756">
        <f t="shared" ref="AU2:AU5" si="6">AT2</f>
        <v>0</v>
      </c>
      <c r="AV2" s="1176"/>
      <c r="AW2" s="1053"/>
      <c r="AX2" s="1053"/>
      <c r="AY2" s="1053"/>
      <c r="AZ2" s="1053"/>
    </row>
    <row r="3" spans="1:52">
      <c r="A3" s="1053"/>
      <c r="B3" s="1175" t="str">
        <f>INDEX(F18:F51,MATCH(A2,A18:A51,0))&amp;"Mínimo"</f>
        <v>Vacas em Sistema Intensivo (Lactação Maior que 3 Semanas)Mínimo</v>
      </c>
      <c r="C3" s="1174"/>
      <c r="D3" s="1174"/>
      <c r="E3" s="1174"/>
      <c r="F3" s="1174"/>
      <c r="G3" s="1174"/>
      <c r="H3" s="756" t="str">
        <f t="shared" ref="H3:Y3" si="7">H12&amp;"Prod"</f>
        <v>25Prod</v>
      </c>
      <c r="I3" s="756" t="str">
        <f t="shared" si="7"/>
        <v>25Prod</v>
      </c>
      <c r="J3" s="756" t="str">
        <f t="shared" si="7"/>
        <v>25Prod</v>
      </c>
      <c r="K3" s="756" t="str">
        <f t="shared" si="7"/>
        <v>25Prod</v>
      </c>
      <c r="L3" s="756" t="str">
        <f t="shared" si="7"/>
        <v>35Prod</v>
      </c>
      <c r="M3" s="756" t="str">
        <f t="shared" si="7"/>
        <v>35Prod</v>
      </c>
      <c r="N3" s="756" t="str">
        <f t="shared" si="7"/>
        <v>0Prod</v>
      </c>
      <c r="O3" s="756" t="str">
        <f t="shared" si="7"/>
        <v>0Prod</v>
      </c>
      <c r="P3" s="756" t="str">
        <f t="shared" si="7"/>
        <v>0Prod</v>
      </c>
      <c r="Q3" s="756" t="str">
        <f t="shared" si="7"/>
        <v>0Prod</v>
      </c>
      <c r="R3" s="756" t="str">
        <f t="shared" si="7"/>
        <v>0Prod</v>
      </c>
      <c r="S3" s="756" t="str">
        <f t="shared" si="7"/>
        <v>0Prod</v>
      </c>
      <c r="T3" s="756" t="str">
        <f t="shared" si="7"/>
        <v>0Prod</v>
      </c>
      <c r="U3" s="756" t="str">
        <f t="shared" si="7"/>
        <v>0Prod</v>
      </c>
      <c r="V3" s="756" t="str">
        <f t="shared" si="7"/>
        <v>0Prod</v>
      </c>
      <c r="W3" s="756" t="str">
        <f t="shared" si="7"/>
        <v>0Prod</v>
      </c>
      <c r="X3" s="756" t="str">
        <f t="shared" si="7"/>
        <v>0Prod</v>
      </c>
      <c r="Y3" s="756" t="str">
        <f t="shared" si="7"/>
        <v>0Prod</v>
      </c>
      <c r="Z3" s="1174"/>
      <c r="AA3" s="1092">
        <f>AE11</f>
        <v>460</v>
      </c>
      <c r="AB3" s="756">
        <f>AA3</f>
        <v>460</v>
      </c>
      <c r="AC3" s="756">
        <f t="shared" si="2"/>
        <v>460</v>
      </c>
      <c r="AD3" s="756">
        <f t="shared" si="2"/>
        <v>460</v>
      </c>
      <c r="AE3" s="756">
        <f t="shared" si="2"/>
        <v>460</v>
      </c>
      <c r="AF3" s="1176"/>
      <c r="AG3" s="1092">
        <f>AI11</f>
        <v>460</v>
      </c>
      <c r="AH3" s="756">
        <f>AG3</f>
        <v>460</v>
      </c>
      <c r="AI3" s="756">
        <f t="shared" ref="AI3" si="8">AH3</f>
        <v>460</v>
      </c>
      <c r="AJ3" s="1176"/>
      <c r="AK3" s="1093">
        <v>150</v>
      </c>
      <c r="AL3" s="1094">
        <f>AK3</f>
        <v>150</v>
      </c>
      <c r="AM3" s="1094">
        <f t="shared" si="4"/>
        <v>150</v>
      </c>
      <c r="AN3" s="1176"/>
      <c r="AO3" s="1092">
        <f>AQ11</f>
        <v>460</v>
      </c>
      <c r="AP3" s="756">
        <f>AO3</f>
        <v>460</v>
      </c>
      <c r="AQ3" s="756">
        <f t="shared" si="5"/>
        <v>460</v>
      </c>
      <c r="AR3" s="1176"/>
      <c r="AS3" s="1092">
        <f>AU11</f>
        <v>460</v>
      </c>
      <c r="AT3" s="756">
        <f>AS3</f>
        <v>460</v>
      </c>
      <c r="AU3" s="756">
        <f t="shared" si="6"/>
        <v>460</v>
      </c>
      <c r="AV3" s="1176"/>
      <c r="AW3" s="1053"/>
      <c r="AX3" s="1053"/>
      <c r="AY3" s="1053"/>
      <c r="AZ3" s="1053"/>
    </row>
    <row r="4" spans="1:52">
      <c r="A4" s="1053"/>
      <c r="B4" s="1175" t="str">
        <f>B2&amp;"Máximo"</f>
        <v>Vacas em Sistema Intensivo (Lactação Maior que 3 Semanas)Máximo</v>
      </c>
      <c r="C4" s="1174"/>
      <c r="D4" s="1174"/>
      <c r="E4" s="1174"/>
      <c r="F4" s="1174"/>
      <c r="G4" s="1174"/>
      <c r="H4" s="756" t="str">
        <f>H14&amp;"Gord"</f>
        <v>3,6Gord</v>
      </c>
      <c r="I4" s="756" t="str">
        <f t="shared" ref="I4:Y4" si="9">I14&amp;"Gord"</f>
        <v>3,6Gord</v>
      </c>
      <c r="J4" s="756" t="str">
        <f t="shared" si="9"/>
        <v>3Gord</v>
      </c>
      <c r="K4" s="756" t="str">
        <f t="shared" si="9"/>
        <v>3Gord</v>
      </c>
      <c r="L4" s="756" t="str">
        <f t="shared" si="9"/>
        <v>3Gord</v>
      </c>
      <c r="M4" s="756" t="str">
        <f t="shared" si="9"/>
        <v>3Gord</v>
      </c>
      <c r="N4" s="756" t="str">
        <f t="shared" si="9"/>
        <v>0Gord</v>
      </c>
      <c r="O4" s="756" t="str">
        <f t="shared" si="9"/>
        <v>0Gord</v>
      </c>
      <c r="P4" s="756" t="str">
        <f t="shared" si="9"/>
        <v>0Gord</v>
      </c>
      <c r="Q4" s="756" t="str">
        <f t="shared" si="9"/>
        <v>0Gord</v>
      </c>
      <c r="R4" s="756" t="str">
        <f t="shared" si="9"/>
        <v>0Gord</v>
      </c>
      <c r="S4" s="756" t="str">
        <f t="shared" si="9"/>
        <v>0Gord</v>
      </c>
      <c r="T4" s="756" t="str">
        <f t="shared" si="9"/>
        <v>0Gord</v>
      </c>
      <c r="U4" s="756" t="str">
        <f t="shared" si="9"/>
        <v>0Gord</v>
      </c>
      <c r="V4" s="756" t="str">
        <f t="shared" si="9"/>
        <v>0Gord</v>
      </c>
      <c r="W4" s="756" t="str">
        <f t="shared" si="9"/>
        <v>0Gord</v>
      </c>
      <c r="X4" s="756" t="str">
        <f t="shared" si="9"/>
        <v>0Gord</v>
      </c>
      <c r="Y4" s="756" t="str">
        <f t="shared" si="9"/>
        <v>0Gord</v>
      </c>
      <c r="Z4" s="1174"/>
      <c r="AA4" s="1095">
        <f>AE13</f>
        <v>3.5</v>
      </c>
      <c r="AB4" s="1096">
        <f>AA4</f>
        <v>3.5</v>
      </c>
      <c r="AC4" s="1096">
        <f t="shared" ref="AC4:AE7" si="10">AB4</f>
        <v>3.5</v>
      </c>
      <c r="AD4" s="1096">
        <f t="shared" si="10"/>
        <v>3.5</v>
      </c>
      <c r="AE4" s="1096">
        <f t="shared" si="10"/>
        <v>3.5</v>
      </c>
      <c r="AF4" s="1176"/>
      <c r="AG4" s="1095">
        <f>AI13</f>
        <v>0</v>
      </c>
      <c r="AH4" s="1096">
        <f>AG4</f>
        <v>0</v>
      </c>
      <c r="AI4" s="1096">
        <f t="shared" ref="AI4" si="11">AH4</f>
        <v>0</v>
      </c>
      <c r="AJ4" s="1176"/>
      <c r="AK4" s="1097">
        <f>AM13</f>
        <v>0</v>
      </c>
      <c r="AL4" s="1098">
        <f>AK4</f>
        <v>0</v>
      </c>
      <c r="AM4" s="1098">
        <f t="shared" si="4"/>
        <v>0</v>
      </c>
      <c r="AN4" s="1176"/>
      <c r="AO4" s="1095">
        <f>AQ13</f>
        <v>0</v>
      </c>
      <c r="AP4" s="1096">
        <f>AO4</f>
        <v>0</v>
      </c>
      <c r="AQ4" s="1096">
        <f t="shared" si="5"/>
        <v>0</v>
      </c>
      <c r="AR4" s="1176"/>
      <c r="AS4" s="1095">
        <f>AU13</f>
        <v>3.5</v>
      </c>
      <c r="AT4" s="1096">
        <f>AS4</f>
        <v>3.5</v>
      </c>
      <c r="AU4" s="1096">
        <f t="shared" si="6"/>
        <v>3.5</v>
      </c>
      <c r="AV4" s="1176"/>
      <c r="AW4" s="1053"/>
      <c r="AX4" s="1053"/>
      <c r="AY4" s="1053"/>
      <c r="AZ4" s="1053"/>
    </row>
    <row r="5" spans="1:52">
      <c r="A5" s="1053"/>
      <c r="B5" s="1175" t="str">
        <f>B2&amp;"EXIG CALC"</f>
        <v>Vacas em Sistema Intensivo (Lactação Maior que 3 Semanas)EXIG CALC</v>
      </c>
      <c r="C5" s="1174"/>
      <c r="D5" s="1174"/>
      <c r="E5" s="1174"/>
      <c r="F5" s="1174"/>
      <c r="G5" s="1174"/>
      <c r="H5" s="756" t="str">
        <f>H13&amp;"PB"</f>
        <v>4,2PB</v>
      </c>
      <c r="I5" s="756" t="str">
        <f t="shared" ref="I5:Y5" si="12">I13&amp;"PB"</f>
        <v>4,2PB</v>
      </c>
      <c r="J5" s="756" t="str">
        <f t="shared" si="12"/>
        <v>3,5PB</v>
      </c>
      <c r="K5" s="756" t="str">
        <f t="shared" si="12"/>
        <v>3,5PB</v>
      </c>
      <c r="L5" s="756" t="str">
        <f t="shared" si="12"/>
        <v>3,6PB</v>
      </c>
      <c r="M5" s="756" t="str">
        <f t="shared" si="12"/>
        <v>3,6PB</v>
      </c>
      <c r="N5" s="756" t="str">
        <f t="shared" si="12"/>
        <v>0PB</v>
      </c>
      <c r="O5" s="756" t="str">
        <f t="shared" si="12"/>
        <v>0PB</v>
      </c>
      <c r="P5" s="756" t="str">
        <f t="shared" si="12"/>
        <v>0PB</v>
      </c>
      <c r="Q5" s="756" t="str">
        <f t="shared" si="12"/>
        <v>0PB</v>
      </c>
      <c r="R5" s="756" t="str">
        <f t="shared" si="12"/>
        <v>0PB</v>
      </c>
      <c r="S5" s="756" t="str">
        <f t="shared" si="12"/>
        <v>0PB</v>
      </c>
      <c r="T5" s="756" t="str">
        <f t="shared" si="12"/>
        <v>0PB</v>
      </c>
      <c r="U5" s="756" t="str">
        <f t="shared" si="12"/>
        <v>0PB</v>
      </c>
      <c r="V5" s="756" t="str">
        <f t="shared" si="12"/>
        <v>0PB</v>
      </c>
      <c r="W5" s="756" t="str">
        <f t="shared" si="12"/>
        <v>0PB</v>
      </c>
      <c r="X5" s="756" t="str">
        <f t="shared" si="12"/>
        <v>0PB</v>
      </c>
      <c r="Y5" s="756" t="str">
        <f t="shared" si="12"/>
        <v>0PB</v>
      </c>
      <c r="Z5" s="1174"/>
      <c r="AA5" s="1095">
        <f>AE14</f>
        <v>3</v>
      </c>
      <c r="AB5" s="1096">
        <f>AA5</f>
        <v>3</v>
      </c>
      <c r="AC5" s="1096">
        <f t="shared" si="10"/>
        <v>3</v>
      </c>
      <c r="AD5" s="1096">
        <f t="shared" si="10"/>
        <v>3</v>
      </c>
      <c r="AE5" s="1096">
        <f t="shared" si="10"/>
        <v>3</v>
      </c>
      <c r="AF5" s="1176"/>
      <c r="AG5" s="1095">
        <f>AI14</f>
        <v>0</v>
      </c>
      <c r="AH5" s="1096">
        <f>AG5</f>
        <v>0</v>
      </c>
      <c r="AI5" s="1096">
        <f t="shared" ref="AI5" si="13">AH5</f>
        <v>0</v>
      </c>
      <c r="AJ5" s="1176"/>
      <c r="AK5" s="1097">
        <f>AM14</f>
        <v>0</v>
      </c>
      <c r="AL5" s="1098">
        <f>AK5</f>
        <v>0</v>
      </c>
      <c r="AM5" s="1098">
        <f t="shared" si="4"/>
        <v>0</v>
      </c>
      <c r="AN5" s="1176"/>
      <c r="AO5" s="1095">
        <f>AQ14</f>
        <v>0</v>
      </c>
      <c r="AP5" s="1096">
        <f>AO5</f>
        <v>0</v>
      </c>
      <c r="AQ5" s="1096">
        <f t="shared" si="5"/>
        <v>0</v>
      </c>
      <c r="AR5" s="1176"/>
      <c r="AS5" s="1095">
        <f>AU14</f>
        <v>3</v>
      </c>
      <c r="AT5" s="1096">
        <f>AS5</f>
        <v>3</v>
      </c>
      <c r="AU5" s="1096">
        <f t="shared" si="6"/>
        <v>3</v>
      </c>
      <c r="AV5" s="1176"/>
      <c r="AW5" s="1053"/>
      <c r="AX5" s="1053"/>
      <c r="AY5" s="1053"/>
      <c r="AZ5" s="1053"/>
    </row>
    <row r="6" spans="1:52">
      <c r="A6" s="1053"/>
      <c r="B6" s="1175" t="str">
        <f>INDEX(H8:AV8,MATCH($B$3,$H$9:$AV$9,0))</f>
        <v>Lana 2020</v>
      </c>
      <c r="C6" s="1174"/>
      <c r="D6" s="1174"/>
      <c r="E6" s="1174"/>
      <c r="F6" s="1174"/>
      <c r="G6" s="1174"/>
      <c r="H6" s="756"/>
      <c r="I6" s="756"/>
      <c r="J6" s="756"/>
      <c r="K6" s="756"/>
      <c r="L6" s="756"/>
      <c r="M6" s="756"/>
      <c r="N6" s="756"/>
      <c r="O6" s="756"/>
      <c r="P6" s="756"/>
      <c r="Q6" s="756"/>
      <c r="R6" s="756"/>
      <c r="S6" s="756"/>
      <c r="T6" s="756"/>
      <c r="U6" s="756"/>
      <c r="V6" s="756"/>
      <c r="W6" s="756"/>
      <c r="X6" s="756"/>
      <c r="Y6" s="756"/>
      <c r="Z6" s="1174"/>
      <c r="AA6" s="1095">
        <f>AE15</f>
        <v>0</v>
      </c>
      <c r="AB6" s="1096">
        <f t="shared" ref="AB6:AB7" si="14">AD15</f>
        <v>0</v>
      </c>
      <c r="AC6" s="1096">
        <f t="shared" si="10"/>
        <v>0</v>
      </c>
      <c r="AD6" s="1096">
        <f t="shared" ref="AD6:AD7" si="15">AF15</f>
        <v>0</v>
      </c>
      <c r="AE6" s="1096">
        <f t="shared" ref="AE6:AE7" si="16">AG15</f>
        <v>0</v>
      </c>
      <c r="AF6" s="1176"/>
      <c r="AG6" s="1095">
        <f>AI15</f>
        <v>0</v>
      </c>
      <c r="AH6" s="1096">
        <f t="shared" ref="AH6:AH7" si="17">AJ15</f>
        <v>0</v>
      </c>
      <c r="AI6" s="1096">
        <f t="shared" ref="AI6:AI7" si="18">AO15</f>
        <v>0</v>
      </c>
      <c r="AJ6" s="1176"/>
      <c r="AK6" s="1097">
        <f>AM15</f>
        <v>4</v>
      </c>
      <c r="AL6" s="1098">
        <f t="shared" ref="AL6:AL7" si="19">AN15</f>
        <v>0</v>
      </c>
      <c r="AM6" s="1098">
        <f t="shared" ref="AM6:AM7" si="20">AS15</f>
        <v>0</v>
      </c>
      <c r="AN6" s="1176"/>
      <c r="AO6" s="1095">
        <f>AQ15</f>
        <v>0</v>
      </c>
      <c r="AP6" s="1096">
        <f t="shared" ref="AP6:AP7" si="21">AR15</f>
        <v>0</v>
      </c>
      <c r="AQ6" s="1096">
        <f t="shared" ref="AQ6:AQ7" si="22">AS15</f>
        <v>0</v>
      </c>
      <c r="AR6" s="1176"/>
      <c r="AS6" s="1095">
        <f>AT15</f>
        <v>0</v>
      </c>
      <c r="AT6" s="1096">
        <f t="shared" ref="AT6:AT7" si="23">AV15</f>
        <v>0</v>
      </c>
      <c r="AU6" s="1096">
        <f t="shared" ref="AU6:AU7" si="24">AW15</f>
        <v>0</v>
      </c>
      <c r="AV6" s="1176"/>
      <c r="AW6" s="1053"/>
      <c r="AX6" s="1053"/>
      <c r="AY6" s="1053"/>
      <c r="AZ6" s="1053"/>
    </row>
    <row r="7" spans="1:52">
      <c r="A7" s="1053"/>
      <c r="B7" s="756" t="str">
        <f>B2&amp;"_"&amp;F11&amp;"PV_"&amp;F12&amp;"Prod_"&amp;F13&amp;"Gord_"&amp;F14&amp;"PB_"&amp;B8&amp;"_"&amp;F16&amp;"GMD"</f>
        <v>Vacas em Sistema Intensivo (Lactação Maior que 3 Semanas)_460PV_15Prod_0Gord_0PB__0GMD</v>
      </c>
      <c r="C7" s="1174"/>
      <c r="D7" s="1174"/>
      <c r="E7" s="1174"/>
      <c r="F7" s="1174"/>
      <c r="G7" s="1174"/>
      <c r="H7" s="756" t="str">
        <f t="shared" ref="H7:Y7" si="25">H1&amp;", "&amp;H2&amp;", "&amp;H3&amp;", "&amp;H4&amp;", "&amp;H5</f>
        <v>Vacas em Lactação (Menor que 3 Semanas), 454PV, 25Prod, 3,6Gord, 4,2PB</v>
      </c>
      <c r="I7" s="756" t="str">
        <f t="shared" si="25"/>
        <v>Vacas em Lactação (Menor que 3 Semanas), 454PV, 25Prod, 3,6Gord, 4,2PB</v>
      </c>
      <c r="J7" s="756" t="str">
        <f t="shared" si="25"/>
        <v>Vacas em Lactação (Menor que 3 Semanas), 680PV, 25Prod, 3Gord, 3,5PB</v>
      </c>
      <c r="K7" s="756" t="str">
        <f t="shared" si="25"/>
        <v>Vacas em Lactação (Menor que 3 Semanas), 680PV, 25Prod, 3Gord, 3,5PB</v>
      </c>
      <c r="L7" s="756" t="str">
        <f t="shared" si="25"/>
        <v>Vacas em Lactação (Menor que 3 Semanas), 680PV, 35Prod, 3Gord, 3,6PB</v>
      </c>
      <c r="M7" s="756" t="str">
        <f t="shared" si="25"/>
        <v>Vacas em Lactação (Menor que 3 Semanas), 680PV, 35Prod, 3Gord, 3,6PB</v>
      </c>
      <c r="N7" s="756" t="str">
        <f t="shared" si="25"/>
        <v>Vacas Secas PV Adulto + Concepto 730 Gestação (240 d) , 680PV, 0Prod, 0Gord, 0PB</v>
      </c>
      <c r="O7" s="756" t="str">
        <f t="shared" si="25"/>
        <v>Vacas Secas PV Adulto + Concepto 730 Gestação (240 d) , 680PV, 0Prod, 0Gord, 0PB</v>
      </c>
      <c r="P7" s="756" t="str">
        <f t="shared" si="25"/>
        <v>Vacas Secas PV Adulto + Concepto 751 Gestação (270 d) , 680PV, 0Prod, 0Gord, 0PB</v>
      </c>
      <c r="Q7" s="756" t="str">
        <f t="shared" si="25"/>
        <v>Vacas Secas PV Adulto + Concepto 751 Gestação (270 d) , 680PV, 0Prod, 0Gord, 0PB</v>
      </c>
      <c r="R7" s="756" t="str">
        <f t="shared" si="25"/>
        <v>Vacas Secas PV Adulto + Concepto 757 Gestação (279 d) , 680PV, 0Prod, 0Gord, 0PB</v>
      </c>
      <c r="S7" s="756" t="str">
        <f t="shared" si="25"/>
        <v>Vacas Secas PV Adulto + Concepto 757 Gestação (279 d) , 680PV, 0Prod, 0Gord, 0PB</v>
      </c>
      <c r="T7" s="756" t="str">
        <f t="shared" si="25"/>
        <v>Novilhas PV Adulto + Concepto 625 Gestação (270 d) , 680PV, 0Prod, 0Gord, 0PB</v>
      </c>
      <c r="U7" s="756" t="str">
        <f t="shared" si="25"/>
        <v>Novilhas PV Adulto + Concepto 625 Gestação (270 d) , 680PV, 0Prod, 0Gord, 0PB</v>
      </c>
      <c r="V7" s="756" t="str">
        <f t="shared" si="25"/>
        <v>Vacas Padrão PV Adulto + Concepto 751 Gestação (270 d) , 680PV, 0Prod, 0Gord, 0PB</v>
      </c>
      <c r="W7" s="756" t="str">
        <f t="shared" si="25"/>
        <v>Vacas Padrão PV Adulto + Concepto 751 Gestação (270 d) , 680PV, 0Prod, 0Gord, 0PB</v>
      </c>
      <c r="X7" s="756" t="str">
        <f t="shared" si="25"/>
        <v>Vacas Aniônica PV Adulto + Concepto 751 Gestação (270 d) , 680PV, 0Prod, 0Gord, 0PB</v>
      </c>
      <c r="Y7" s="756" t="str">
        <f t="shared" si="25"/>
        <v>Vacas Aniônica PV Adulto + Concepto 751 Gestação (270 d) , 680PV, 0Prod, 0Gord, 0PB</v>
      </c>
      <c r="Z7" s="1174"/>
      <c r="AA7" s="1095">
        <f>AE16</f>
        <v>0</v>
      </c>
      <c r="AB7" s="1096">
        <f t="shared" si="14"/>
        <v>0</v>
      </c>
      <c r="AC7" s="1096">
        <f t="shared" si="10"/>
        <v>0</v>
      </c>
      <c r="AD7" s="1096">
        <f t="shared" si="15"/>
        <v>0</v>
      </c>
      <c r="AE7" s="1096">
        <f t="shared" si="16"/>
        <v>0</v>
      </c>
      <c r="AF7" s="1176"/>
      <c r="AG7" s="1095">
        <f>AI16</f>
        <v>0</v>
      </c>
      <c r="AH7" s="1096">
        <f t="shared" si="17"/>
        <v>0</v>
      </c>
      <c r="AI7" s="1096">
        <f t="shared" si="18"/>
        <v>0</v>
      </c>
      <c r="AJ7" s="1176"/>
      <c r="AK7" s="1097">
        <f>AM16</f>
        <v>0</v>
      </c>
      <c r="AL7" s="1098">
        <f t="shared" si="19"/>
        <v>0</v>
      </c>
      <c r="AM7" s="1098">
        <f t="shared" si="20"/>
        <v>0</v>
      </c>
      <c r="AN7" s="1176"/>
      <c r="AO7" s="1095">
        <f>AQ16</f>
        <v>0</v>
      </c>
      <c r="AP7" s="1096">
        <f t="shared" si="21"/>
        <v>0</v>
      </c>
      <c r="AQ7" s="1096">
        <f t="shared" si="22"/>
        <v>0</v>
      </c>
      <c r="AR7" s="1176"/>
      <c r="AS7" s="1095">
        <f>AT16</f>
        <v>0</v>
      </c>
      <c r="AT7" s="1096">
        <f t="shared" si="23"/>
        <v>0</v>
      </c>
      <c r="AU7" s="1096">
        <f t="shared" si="24"/>
        <v>0</v>
      </c>
      <c r="AV7" s="1176"/>
      <c r="AW7" s="1053"/>
      <c r="AX7" s="1053"/>
      <c r="AY7" s="1053"/>
      <c r="AZ7" s="1053"/>
    </row>
    <row r="8" spans="1:52">
      <c r="A8" s="1053"/>
      <c r="B8" s="756" t="str">
        <f>IF(B2=AK1,BL!H5&amp;Base.BL!B15,"")</f>
        <v/>
      </c>
      <c r="C8" s="1174"/>
      <c r="D8" s="1174"/>
      <c r="E8" s="1174"/>
      <c r="F8" s="1174"/>
      <c r="G8" s="1174"/>
      <c r="H8" s="756" t="s">
        <v>1378</v>
      </c>
      <c r="I8" s="756" t="s">
        <v>1378</v>
      </c>
      <c r="J8" s="756" t="s">
        <v>1378</v>
      </c>
      <c r="K8" s="756" t="s">
        <v>1378</v>
      </c>
      <c r="L8" s="756" t="s">
        <v>1378</v>
      </c>
      <c r="M8" s="756" t="s">
        <v>1378</v>
      </c>
      <c r="N8" s="756" t="s">
        <v>1378</v>
      </c>
      <c r="O8" s="756" t="s">
        <v>1378</v>
      </c>
      <c r="P8" s="756" t="s">
        <v>1378</v>
      </c>
      <c r="Q8" s="756" t="s">
        <v>1378</v>
      </c>
      <c r="R8" s="756" t="s">
        <v>1378</v>
      </c>
      <c r="S8" s="756" t="s">
        <v>1378</v>
      </c>
      <c r="T8" s="756" t="s">
        <v>1378</v>
      </c>
      <c r="U8" s="756" t="s">
        <v>1378</v>
      </c>
      <c r="V8" s="756" t="s">
        <v>1378</v>
      </c>
      <c r="W8" s="756" t="s">
        <v>1378</v>
      </c>
      <c r="X8" s="756" t="s">
        <v>1378</v>
      </c>
      <c r="Y8" s="756" t="s">
        <v>1378</v>
      </c>
      <c r="Z8" s="1174"/>
      <c r="AA8" s="1099" t="s">
        <v>1353</v>
      </c>
      <c r="AB8" s="1100" t="s">
        <v>1353</v>
      </c>
      <c r="AC8" s="1100" t="s">
        <v>1353</v>
      </c>
      <c r="AD8" s="1100" t="s">
        <v>1353</v>
      </c>
      <c r="AE8" s="1100" t="s">
        <v>1353</v>
      </c>
      <c r="AF8" s="1177" t="str">
        <f>AE8</f>
        <v>NRC 2001</v>
      </c>
      <c r="AG8" s="1099" t="s">
        <v>1353</v>
      </c>
      <c r="AH8" s="1100" t="s">
        <v>1353</v>
      </c>
      <c r="AI8" s="1100" t="s">
        <v>1353</v>
      </c>
      <c r="AJ8" s="1177" t="str">
        <f>AI8</f>
        <v>NRC 2001</v>
      </c>
      <c r="AK8" s="1101" t="s">
        <v>1353</v>
      </c>
      <c r="AL8" s="1102" t="s">
        <v>1353</v>
      </c>
      <c r="AM8" s="1102" t="s">
        <v>1353</v>
      </c>
      <c r="AN8" s="1177" t="str">
        <f>AM8</f>
        <v>NRC 2001</v>
      </c>
      <c r="AO8" s="1099" t="s">
        <v>1354</v>
      </c>
      <c r="AP8" s="1100" t="s">
        <v>1354</v>
      </c>
      <c r="AQ8" s="1100" t="s">
        <v>1354</v>
      </c>
      <c r="AR8" s="1177" t="str">
        <f>AQ8</f>
        <v>Lana 2020</v>
      </c>
      <c r="AS8" s="1099" t="s">
        <v>1354</v>
      </c>
      <c r="AT8" s="1100" t="s">
        <v>1354</v>
      </c>
      <c r="AU8" s="1100" t="s">
        <v>1354</v>
      </c>
      <c r="AV8" s="1177" t="str">
        <f>AU8</f>
        <v>Lana 2020</v>
      </c>
      <c r="AW8" s="1053"/>
      <c r="AX8" s="1053"/>
      <c r="AY8" s="1053"/>
      <c r="AZ8" s="1053"/>
    </row>
    <row r="9" spans="1:52" ht="15" thickBot="1">
      <c r="A9" s="1053"/>
      <c r="B9" s="1103" t="s">
        <v>323</v>
      </c>
      <c r="C9" s="1103" t="s">
        <v>0</v>
      </c>
      <c r="D9" s="1103" t="s">
        <v>1</v>
      </c>
      <c r="E9" s="1174"/>
      <c r="F9" s="1174"/>
      <c r="G9" s="1174"/>
      <c r="H9" s="756" t="str">
        <f t="shared" ref="H9:Y9" si="26">H1&amp;", "&amp;H2&amp;", "&amp;H3&amp;", "&amp;H4&amp;", "&amp;H5&amp;H17</f>
        <v>Vacas em Lactação (Menor que 3 Semanas), 454PV, 25Prod, 3,6Gord, 4,2PBMínimo</v>
      </c>
      <c r="I9" s="756" t="str">
        <f t="shared" si="26"/>
        <v>Vacas em Lactação (Menor que 3 Semanas), 454PV, 25Prod, 3,6Gord, 4,2PBMáximo</v>
      </c>
      <c r="J9" s="756" t="str">
        <f t="shared" si="26"/>
        <v>Vacas em Lactação (Menor que 3 Semanas), 680PV, 25Prod, 3Gord, 3,5PBMínimo</v>
      </c>
      <c r="K9" s="756" t="str">
        <f t="shared" si="26"/>
        <v>Vacas em Lactação (Menor que 3 Semanas), 680PV, 25Prod, 3Gord, 3,5PBMáximo</v>
      </c>
      <c r="L9" s="756" t="str">
        <f t="shared" si="26"/>
        <v>Vacas em Lactação (Menor que 3 Semanas), 680PV, 35Prod, 3Gord, 3,6PBMínimo</v>
      </c>
      <c r="M9" s="756" t="str">
        <f t="shared" si="26"/>
        <v>Vacas em Lactação (Menor que 3 Semanas), 680PV, 35Prod, 3Gord, 3,6PBMáximo</v>
      </c>
      <c r="N9" s="756" t="str">
        <f t="shared" si="26"/>
        <v>Vacas Secas PV Adulto + Concepto 730 Gestação (240 d) , 680PV, 0Prod, 0Gord, 0PBMínimo</v>
      </c>
      <c r="O9" s="756" t="str">
        <f t="shared" si="26"/>
        <v>Vacas Secas PV Adulto + Concepto 730 Gestação (240 d) , 680PV, 0Prod, 0Gord, 0PBMáximo</v>
      </c>
      <c r="P9" s="756" t="str">
        <f t="shared" si="26"/>
        <v>Vacas Secas PV Adulto + Concepto 751 Gestação (270 d) , 680PV, 0Prod, 0Gord, 0PBMínimo</v>
      </c>
      <c r="Q9" s="756" t="str">
        <f t="shared" si="26"/>
        <v>Vacas Secas PV Adulto + Concepto 751 Gestação (270 d) , 680PV, 0Prod, 0Gord, 0PBMáximo</v>
      </c>
      <c r="R9" s="756" t="str">
        <f t="shared" si="26"/>
        <v>Vacas Secas PV Adulto + Concepto 757 Gestação (279 d) , 680PV, 0Prod, 0Gord, 0PBMínimo</v>
      </c>
      <c r="S9" s="756" t="str">
        <f t="shared" si="26"/>
        <v>Vacas Secas PV Adulto + Concepto 757 Gestação (279 d) , 680PV, 0Prod, 0Gord, 0PBMáximo</v>
      </c>
      <c r="T9" s="756" t="str">
        <f t="shared" si="26"/>
        <v>Novilhas PV Adulto + Concepto 625 Gestação (270 d) , 680PV, 0Prod, 0Gord, 0PBMínimo</v>
      </c>
      <c r="U9" s="756" t="str">
        <f t="shared" si="26"/>
        <v>Novilhas PV Adulto + Concepto 625 Gestação (270 d) , 680PV, 0Prod, 0Gord, 0PBMáximo</v>
      </c>
      <c r="V9" s="756" t="str">
        <f t="shared" si="26"/>
        <v>Vacas Padrão PV Adulto + Concepto 751 Gestação (270 d) , 680PV, 0Prod, 0Gord, 0PBMínimo</v>
      </c>
      <c r="W9" s="756" t="str">
        <f t="shared" si="26"/>
        <v>Vacas Padrão PV Adulto + Concepto 751 Gestação (270 d) , 680PV, 0Prod, 0Gord, 0PBMáximo</v>
      </c>
      <c r="X9" s="756" t="str">
        <f t="shared" si="26"/>
        <v>Vacas Aniônica PV Adulto + Concepto 751 Gestação (270 d) , 680PV, 0Prod, 0Gord, 0PBMínimo</v>
      </c>
      <c r="Y9" s="756" t="str">
        <f t="shared" si="26"/>
        <v>Vacas Aniônica PV Adulto + Concepto 751 Gestação (270 d) , 680PV, 0Prod, 0Gord, 0PBMáximo</v>
      </c>
      <c r="Z9" s="1103" t="s">
        <v>1358</v>
      </c>
      <c r="AA9" s="1099" t="str">
        <f>AA1</f>
        <v>Vacas em Lactação (Maior que 3 Semanas)</v>
      </c>
      <c r="AB9" s="1100" t="str">
        <f t="shared" ref="AB9" si="27">AB1</f>
        <v>Vacas em Lactação (Maior que 3 Semanas)</v>
      </c>
      <c r="AC9" s="1100" t="str">
        <f>AC1&amp;AC17</f>
        <v>Vacas em Lactação (Maior que 3 Semanas)Mínimo</v>
      </c>
      <c r="AD9" s="1100" t="str">
        <f>AD1&amp;AD17</f>
        <v>Vacas em Lactação (Maior que 3 Semanas)Máximo</v>
      </c>
      <c r="AE9" s="1100" t="str">
        <f>AE1&amp;AE17</f>
        <v>Vacas em Lactação (Maior que 3 Semanas)EXIG CALC</v>
      </c>
      <c r="AF9" s="1104" t="str">
        <f>AF1</f>
        <v>Vacas em Lactação (Maior que 3 Semanas)</v>
      </c>
      <c r="AG9" s="1099" t="str">
        <f>AG1&amp;AG17</f>
        <v>Bezerros (50 a 124 kg)Mínimo</v>
      </c>
      <c r="AH9" s="1100" t="str">
        <f>AH1&amp;AH17</f>
        <v>Bezerros (50 a 124 kg)Máximo</v>
      </c>
      <c r="AI9" s="1100" t="str">
        <f>AI1&amp;AI17</f>
        <v>Bezerros (50 a 124 kg)EXIG CALC</v>
      </c>
      <c r="AJ9" s="1104" t="str">
        <f>AJ1</f>
        <v>Bezerros (50 a 124 kg)</v>
      </c>
      <c r="AK9" s="1101" t="str">
        <f>AK1&amp;AK17</f>
        <v>Novilhas (Maior que 124 kg PV)Mínimo</v>
      </c>
      <c r="AL9" s="1102" t="str">
        <f>AL1&amp;AL17</f>
        <v>Novilhas (Maior que 124 kg PV)Máximo</v>
      </c>
      <c r="AM9" s="1100" t="str">
        <f>AM1&amp;AM17</f>
        <v>Novilhas (Maior que 124 kg PV)EXIG CALC</v>
      </c>
      <c r="AN9" s="1104" t="str">
        <f>AN1</f>
        <v>Novilhas (Maior que 124 kg PV)</v>
      </c>
      <c r="AO9" s="1099" t="str">
        <f>AO1&amp;AO17</f>
        <v>Vacas em Sistema Intensivo (Lactação Maior que 3 Semanas)Mínimo</v>
      </c>
      <c r="AP9" s="1100" t="str">
        <f>AP1&amp;AP17</f>
        <v>Vacas em Sistema Intensivo (Lactação Maior que 3 Semanas)Máximo</v>
      </c>
      <c r="AQ9" s="1100" t="str">
        <f>AQ1&amp;AQ17</f>
        <v>Vacas em Sistema Intensivo (Lactação Maior que 3 Semanas)EXIG CALC</v>
      </c>
      <c r="AR9" s="1104" t="str">
        <f>AR1</f>
        <v>Vacas em Sistema Intensivo (Lactação Maior que 3 Semanas)</v>
      </c>
      <c r="AS9" s="1099" t="str">
        <f>AS1&amp;AS17</f>
        <v>Vacas - Exig. Brasileiras (Lactação Maior que 3 Semanas)Mínimo</v>
      </c>
      <c r="AT9" s="1100" t="str">
        <f>AT1&amp;AT17</f>
        <v>Vacas - Exig. Brasileiras (Lactação Maior que 3 Semanas)Máximo</v>
      </c>
      <c r="AU9" s="1100" t="str">
        <f>AU1&amp;AU17</f>
        <v>Vacas - Exig. Brasileiras (Lactação Maior que 3 Semanas)EXIG CALC</v>
      </c>
      <c r="AV9" s="1104" t="str">
        <f>AV1</f>
        <v>Vacas - Exig. Brasileiras (Lactação Maior que 3 Semanas)</v>
      </c>
      <c r="AW9" s="1053"/>
      <c r="AX9" s="1053"/>
      <c r="AY9" s="1053"/>
      <c r="AZ9" s="1053"/>
    </row>
    <row r="10" spans="1:52" ht="15" thickTop="1">
      <c r="A10" s="1053"/>
      <c r="B10" s="1178" t="s">
        <v>1375</v>
      </c>
      <c r="C10" s="1105">
        <f>IFERROR(INDEX(H10:AV10,MATCH($B$3,$H$9:$AV$9,0)),D10)</f>
        <v>0</v>
      </c>
      <c r="D10" s="1106">
        <f t="shared" ref="D10:D16" si="28">INDEX(H10:AV10,MATCH($B$4,$H$9:$AV$9,0))</f>
        <v>0</v>
      </c>
      <c r="E10" s="1107">
        <f t="shared" ref="E10:E16" si="29">IFERROR(INDEX(H10:AV10,MATCH($B$5,$H$9:$AV$9,0)),D10)</f>
        <v>0</v>
      </c>
      <c r="F10" s="1108">
        <f>IF(OR(BL!C5&lt;Base.BL!C10,BL!C5&gt;Base.BL!D10),0,BL!C5)</f>
        <v>0</v>
      </c>
      <c r="G10" s="1108"/>
      <c r="H10" s="1108">
        <v>454</v>
      </c>
      <c r="I10" s="1108">
        <v>454</v>
      </c>
      <c r="J10" s="1108">
        <v>680</v>
      </c>
      <c r="K10" s="1108">
        <v>680</v>
      </c>
      <c r="L10" s="1108">
        <v>680</v>
      </c>
      <c r="M10" s="1108">
        <v>680</v>
      </c>
      <c r="N10" s="1108">
        <v>680</v>
      </c>
      <c r="O10" s="1108">
        <v>680</v>
      </c>
      <c r="P10" s="1108">
        <v>680</v>
      </c>
      <c r="Q10" s="1108">
        <v>680</v>
      </c>
      <c r="R10" s="1108">
        <v>680</v>
      </c>
      <c r="S10" s="1108">
        <v>680</v>
      </c>
      <c r="T10" s="1108">
        <v>680</v>
      </c>
      <c r="U10" s="1108">
        <v>680</v>
      </c>
      <c r="V10" s="1108">
        <v>680</v>
      </c>
      <c r="W10" s="1108">
        <v>680</v>
      </c>
      <c r="X10" s="1108">
        <v>680</v>
      </c>
      <c r="Y10" s="1108">
        <v>680</v>
      </c>
      <c r="Z10" s="1179"/>
      <c r="AA10" s="1151" t="s">
        <v>1359</v>
      </c>
      <c r="AB10" s="1152"/>
      <c r="AC10" s="1109">
        <v>0</v>
      </c>
      <c r="AD10" s="1109">
        <v>0</v>
      </c>
      <c r="AE10" s="1109">
        <v>0</v>
      </c>
      <c r="AF10" s="1179"/>
      <c r="AG10" s="1153">
        <v>0</v>
      </c>
      <c r="AH10" s="1110">
        <v>0</v>
      </c>
      <c r="AI10" s="1111">
        <v>0</v>
      </c>
      <c r="AJ10" s="1154"/>
      <c r="AK10" s="1153">
        <v>300</v>
      </c>
      <c r="AL10" s="1110">
        <v>680</v>
      </c>
      <c r="AM10" s="1112">
        <f>BL!C5</f>
        <v>680</v>
      </c>
      <c r="AN10" s="1155"/>
      <c r="AO10" s="1153">
        <v>0</v>
      </c>
      <c r="AP10" s="1110">
        <v>0</v>
      </c>
      <c r="AQ10" s="1112">
        <v>0</v>
      </c>
      <c r="AR10" s="1154"/>
      <c r="AS10" s="1153">
        <v>0</v>
      </c>
      <c r="AT10" s="1110">
        <v>0</v>
      </c>
      <c r="AU10" s="1112">
        <v>0</v>
      </c>
      <c r="AV10" s="1154"/>
      <c r="AW10" s="1053"/>
      <c r="AX10" s="1053"/>
      <c r="AY10" s="1053"/>
      <c r="AZ10" s="1053"/>
    </row>
    <row r="11" spans="1:52">
      <c r="A11" s="1053"/>
      <c r="B11" s="1180" t="s">
        <v>1376</v>
      </c>
      <c r="C11" s="1113">
        <f>IFERROR(INDEX(H11:AV11,MATCH($B$3,$H$9:$AV$9,0)),D11)</f>
        <v>300</v>
      </c>
      <c r="D11" s="1113">
        <f t="shared" si="28"/>
        <v>700</v>
      </c>
      <c r="E11" s="1114">
        <f t="shared" si="29"/>
        <v>460</v>
      </c>
      <c r="F11" s="1181">
        <f>IF(OR(BL!C7&lt;C11,BL!C7&gt;Base.BL!D11),0,BL!C7)</f>
        <v>460</v>
      </c>
      <c r="G11" s="1182"/>
      <c r="H11" s="1182">
        <v>454</v>
      </c>
      <c r="I11" s="1182">
        <v>454</v>
      </c>
      <c r="J11" s="1182">
        <v>680</v>
      </c>
      <c r="K11" s="1182">
        <v>680</v>
      </c>
      <c r="L11" s="1182">
        <v>680</v>
      </c>
      <c r="M11" s="1182">
        <v>680</v>
      </c>
      <c r="N11" s="1182">
        <v>680</v>
      </c>
      <c r="O11" s="1182">
        <v>680</v>
      </c>
      <c r="P11" s="1182">
        <v>680</v>
      </c>
      <c r="Q11" s="1182">
        <v>680</v>
      </c>
      <c r="R11" s="1182">
        <v>680</v>
      </c>
      <c r="S11" s="1182">
        <v>680</v>
      </c>
      <c r="T11" s="1182">
        <v>680</v>
      </c>
      <c r="U11" s="1182">
        <v>680</v>
      </c>
      <c r="V11" s="1182">
        <v>680</v>
      </c>
      <c r="W11" s="1182">
        <v>680</v>
      </c>
      <c r="X11" s="1182">
        <v>680</v>
      </c>
      <c r="Y11" s="1182">
        <v>680</v>
      </c>
      <c r="Z11" s="1157"/>
      <c r="AA11" s="1156" t="s">
        <v>640</v>
      </c>
      <c r="AB11" s="1115"/>
      <c r="AC11" s="1115">
        <v>300</v>
      </c>
      <c r="AD11" s="1115">
        <v>700</v>
      </c>
      <c r="AE11" s="1116">
        <f>BL!C7</f>
        <v>460</v>
      </c>
      <c r="AF11" s="1157"/>
      <c r="AG11" s="1158">
        <v>50</v>
      </c>
      <c r="AH11" s="1117">
        <v>124</v>
      </c>
      <c r="AI11" s="1116">
        <f>BL!C7</f>
        <v>460</v>
      </c>
      <c r="AJ11" s="1183"/>
      <c r="AK11" s="1158">
        <v>125</v>
      </c>
      <c r="AL11" s="1117">
        <v>450</v>
      </c>
      <c r="AM11" s="1116">
        <f>BL!C7</f>
        <v>460</v>
      </c>
      <c r="AN11" s="1184"/>
      <c r="AO11" s="1158">
        <v>300</v>
      </c>
      <c r="AP11" s="1117">
        <v>700</v>
      </c>
      <c r="AQ11" s="1116">
        <f>BL!C7</f>
        <v>460</v>
      </c>
      <c r="AR11" s="1185"/>
      <c r="AS11" s="1158">
        <v>460</v>
      </c>
      <c r="AT11" s="1117">
        <v>540</v>
      </c>
      <c r="AU11" s="1116">
        <f>BL!C7</f>
        <v>460</v>
      </c>
      <c r="AV11" s="1185"/>
      <c r="AW11" s="1055" t="s">
        <v>1364</v>
      </c>
      <c r="AX11" s="1053"/>
      <c r="AY11" s="1053"/>
      <c r="AZ11" s="1053"/>
    </row>
    <row r="12" spans="1:52">
      <c r="A12" s="1053"/>
      <c r="B12" s="1186" t="s">
        <v>1377</v>
      </c>
      <c r="C12" s="1118">
        <f t="shared" ref="C12:C16" si="30">IFERROR(INDEX(H12:AV12,MATCH($B$3,$H$9:$AV$9,0)),D12)</f>
        <v>0</v>
      </c>
      <c r="D12" s="1118">
        <f t="shared" si="28"/>
        <v>60</v>
      </c>
      <c r="E12" s="1119">
        <f t="shared" si="29"/>
        <v>15</v>
      </c>
      <c r="F12" s="1187">
        <f>IF(D12=0,0,IF(OR(BL!F5&lt;C12,BL!F5&gt;D12),0,BL!F5))</f>
        <v>15</v>
      </c>
      <c r="G12" s="1188"/>
      <c r="H12" s="1120">
        <v>25</v>
      </c>
      <c r="I12" s="1120">
        <v>25</v>
      </c>
      <c r="J12" s="1120">
        <v>25</v>
      </c>
      <c r="K12" s="1120">
        <v>25</v>
      </c>
      <c r="L12" s="1120">
        <v>35</v>
      </c>
      <c r="M12" s="1120">
        <v>35</v>
      </c>
      <c r="N12" s="1120">
        <v>0</v>
      </c>
      <c r="O12" s="1120">
        <v>0</v>
      </c>
      <c r="P12" s="1120">
        <v>0</v>
      </c>
      <c r="Q12" s="1120">
        <v>0</v>
      </c>
      <c r="R12" s="1120">
        <v>0</v>
      </c>
      <c r="S12" s="1120">
        <v>0</v>
      </c>
      <c r="T12" s="1120">
        <v>0</v>
      </c>
      <c r="U12" s="1120">
        <v>0</v>
      </c>
      <c r="V12" s="1120">
        <v>0</v>
      </c>
      <c r="W12" s="1120">
        <v>0</v>
      </c>
      <c r="X12" s="1120">
        <v>0</v>
      </c>
      <c r="Y12" s="1120">
        <v>0</v>
      </c>
      <c r="Z12" s="1189"/>
      <c r="AA12" s="1159" t="s">
        <v>644</v>
      </c>
      <c r="AB12" s="1121"/>
      <c r="AC12" s="1121">
        <v>1</v>
      </c>
      <c r="AD12" s="1121">
        <v>60</v>
      </c>
      <c r="AE12" s="1122">
        <f>BL!F5</f>
        <v>15</v>
      </c>
      <c r="AF12" s="1189"/>
      <c r="AG12" s="1160">
        <v>0</v>
      </c>
      <c r="AH12" s="1123">
        <v>0</v>
      </c>
      <c r="AI12" s="1161">
        <v>0</v>
      </c>
      <c r="AJ12" s="1190"/>
      <c r="AK12" s="1160">
        <v>0</v>
      </c>
      <c r="AL12" s="1123">
        <v>0</v>
      </c>
      <c r="AM12" s="1161">
        <v>0</v>
      </c>
      <c r="AN12" s="1191"/>
      <c r="AO12" s="1160">
        <v>0</v>
      </c>
      <c r="AP12" s="1123">
        <v>60</v>
      </c>
      <c r="AQ12" s="1162">
        <f>BL!F5</f>
        <v>15</v>
      </c>
      <c r="AR12" s="1192"/>
      <c r="AS12" s="1160">
        <v>10</v>
      </c>
      <c r="AT12" s="1123">
        <v>24</v>
      </c>
      <c r="AU12" s="1162">
        <f>BL!F5</f>
        <v>15</v>
      </c>
      <c r="AV12" s="1192"/>
      <c r="AW12" s="1055" t="s">
        <v>1365</v>
      </c>
      <c r="AX12" s="1053"/>
      <c r="AY12" s="1053"/>
      <c r="AZ12" s="1053"/>
    </row>
    <row r="13" spans="1:52">
      <c r="A13" s="1053"/>
      <c r="B13" s="1180" t="s">
        <v>645</v>
      </c>
      <c r="C13" s="1113">
        <f t="shared" si="30"/>
        <v>0</v>
      </c>
      <c r="D13" s="1113">
        <f t="shared" si="28"/>
        <v>0</v>
      </c>
      <c r="E13" s="1114">
        <f t="shared" si="29"/>
        <v>0</v>
      </c>
      <c r="F13" s="1181">
        <f>IF(D12=0,0,IF(OR(BL!F7&lt;C13,BL!F7&gt;D13),0,BL!F7))</f>
        <v>0</v>
      </c>
      <c r="G13" s="1182"/>
      <c r="H13" s="1124">
        <v>4.2</v>
      </c>
      <c r="I13" s="1124">
        <v>4.2</v>
      </c>
      <c r="J13" s="1124">
        <v>3.5</v>
      </c>
      <c r="K13" s="1124">
        <v>3.5</v>
      </c>
      <c r="L13" s="1124">
        <v>3.6</v>
      </c>
      <c r="M13" s="1124">
        <v>3.6</v>
      </c>
      <c r="N13" s="1124">
        <v>0</v>
      </c>
      <c r="O13" s="1124">
        <v>0</v>
      </c>
      <c r="P13" s="1124">
        <v>0</v>
      </c>
      <c r="Q13" s="1124">
        <v>0</v>
      </c>
      <c r="R13" s="1124">
        <v>0</v>
      </c>
      <c r="S13" s="1124">
        <v>0</v>
      </c>
      <c r="T13" s="1124">
        <v>0</v>
      </c>
      <c r="U13" s="1124">
        <v>0</v>
      </c>
      <c r="V13" s="1124">
        <v>0</v>
      </c>
      <c r="W13" s="1124">
        <v>0</v>
      </c>
      <c r="X13" s="1124">
        <v>0</v>
      </c>
      <c r="Y13" s="1124">
        <v>0</v>
      </c>
      <c r="Z13" s="1157"/>
      <c r="AA13" s="1156" t="s">
        <v>645</v>
      </c>
      <c r="AB13" s="1115"/>
      <c r="AC13" s="1125">
        <v>3</v>
      </c>
      <c r="AD13" s="1125">
        <v>5</v>
      </c>
      <c r="AE13" s="1116">
        <f>BL!F7</f>
        <v>3.5</v>
      </c>
      <c r="AF13" s="1149"/>
      <c r="AG13" s="1163">
        <v>0</v>
      </c>
      <c r="AH13" s="1126">
        <v>0</v>
      </c>
      <c r="AI13" s="1164">
        <v>0</v>
      </c>
      <c r="AJ13" s="1193"/>
      <c r="AK13" s="1163">
        <v>0</v>
      </c>
      <c r="AL13" s="1126">
        <v>0</v>
      </c>
      <c r="AM13" s="1164">
        <v>0</v>
      </c>
      <c r="AN13" s="1194"/>
      <c r="AO13" s="1163">
        <v>0</v>
      </c>
      <c r="AP13" s="1126">
        <v>0</v>
      </c>
      <c r="AQ13" s="1164">
        <v>0</v>
      </c>
      <c r="AR13" s="1195"/>
      <c r="AS13" s="1163">
        <v>3.45</v>
      </c>
      <c r="AT13" s="1126">
        <v>4.33</v>
      </c>
      <c r="AU13" s="1165">
        <f>BL!F7</f>
        <v>3.5</v>
      </c>
      <c r="AV13" s="1195"/>
      <c r="AW13" s="1055" t="s">
        <v>1366</v>
      </c>
      <c r="AX13" s="1053"/>
      <c r="AY13" s="1053"/>
      <c r="AZ13" s="1053"/>
    </row>
    <row r="14" spans="1:52">
      <c r="A14" s="1053"/>
      <c r="B14" s="1186" t="s">
        <v>646</v>
      </c>
      <c r="C14" s="1118">
        <f t="shared" si="30"/>
        <v>0</v>
      </c>
      <c r="D14" s="1118">
        <f t="shared" si="28"/>
        <v>0</v>
      </c>
      <c r="E14" s="1119">
        <f t="shared" si="29"/>
        <v>0</v>
      </c>
      <c r="F14" s="1187">
        <f>IF(D12=0,0,IF(OR(BL!H3&lt;C14,BL!H3&gt;Base.BL!D14),0,BL!H3))</f>
        <v>0</v>
      </c>
      <c r="G14" s="1188"/>
      <c r="H14" s="1120">
        <v>3.6</v>
      </c>
      <c r="I14" s="1120">
        <v>3.6</v>
      </c>
      <c r="J14" s="1120">
        <v>3</v>
      </c>
      <c r="K14" s="1120">
        <v>3</v>
      </c>
      <c r="L14" s="1120">
        <v>3</v>
      </c>
      <c r="M14" s="1120">
        <v>3</v>
      </c>
      <c r="N14" s="1120">
        <v>0</v>
      </c>
      <c r="O14" s="1120">
        <v>0</v>
      </c>
      <c r="P14" s="1120">
        <v>0</v>
      </c>
      <c r="Q14" s="1120">
        <v>0</v>
      </c>
      <c r="R14" s="1120">
        <v>0</v>
      </c>
      <c r="S14" s="1120">
        <v>0</v>
      </c>
      <c r="T14" s="1120">
        <v>0</v>
      </c>
      <c r="U14" s="1120">
        <v>0</v>
      </c>
      <c r="V14" s="1120">
        <v>0</v>
      </c>
      <c r="W14" s="1120">
        <v>0</v>
      </c>
      <c r="X14" s="1120">
        <v>0</v>
      </c>
      <c r="Y14" s="1120">
        <v>0</v>
      </c>
      <c r="Z14" s="1189"/>
      <c r="AA14" s="1159" t="s">
        <v>646</v>
      </c>
      <c r="AB14" s="1121"/>
      <c r="AC14" s="1121">
        <v>2</v>
      </c>
      <c r="AD14" s="1121">
        <v>5</v>
      </c>
      <c r="AE14" s="1122">
        <f>BL!H3</f>
        <v>3</v>
      </c>
      <c r="AF14" s="1166"/>
      <c r="AG14" s="1167">
        <v>0</v>
      </c>
      <c r="AH14" s="1123">
        <v>0</v>
      </c>
      <c r="AI14" s="1168">
        <v>0</v>
      </c>
      <c r="AJ14" s="1196"/>
      <c r="AK14" s="1167">
        <v>0</v>
      </c>
      <c r="AL14" s="1123">
        <v>0</v>
      </c>
      <c r="AM14" s="1168">
        <v>0</v>
      </c>
      <c r="AN14" s="1197"/>
      <c r="AO14" s="1167">
        <v>0</v>
      </c>
      <c r="AP14" s="1123">
        <v>0</v>
      </c>
      <c r="AQ14" s="1168">
        <v>0</v>
      </c>
      <c r="AR14" s="1198"/>
      <c r="AS14" s="1167">
        <v>2.84</v>
      </c>
      <c r="AT14" s="1123">
        <v>3.48</v>
      </c>
      <c r="AU14" s="1169">
        <f>BL!H3</f>
        <v>3</v>
      </c>
      <c r="AV14" s="1198"/>
      <c r="AW14" s="1055" t="s">
        <v>1367</v>
      </c>
      <c r="AX14" s="1053"/>
      <c r="AY14" s="1053"/>
      <c r="AZ14" s="1053"/>
    </row>
    <row r="15" spans="1:52" ht="16.5" customHeight="1">
      <c r="A15" s="1053"/>
      <c r="B15" s="1199" t="s">
        <v>1352</v>
      </c>
      <c r="C15" s="1200">
        <f t="shared" si="30"/>
        <v>0</v>
      </c>
      <c r="D15" s="1200">
        <f t="shared" si="28"/>
        <v>0</v>
      </c>
      <c r="E15" s="1201">
        <f t="shared" si="29"/>
        <v>0</v>
      </c>
      <c r="F15" s="1127">
        <f>IF(D15=0,0,BL!H5)</f>
        <v>0</v>
      </c>
      <c r="G15" s="1202"/>
      <c r="H15" s="1202"/>
      <c r="I15" s="1202"/>
      <c r="J15" s="1202"/>
      <c r="K15" s="1202"/>
      <c r="L15" s="1202"/>
      <c r="M15" s="1202"/>
      <c r="N15" s="1202"/>
      <c r="O15" s="1202"/>
      <c r="P15" s="1202"/>
      <c r="Q15" s="1202"/>
      <c r="R15" s="1202"/>
      <c r="S15" s="1202"/>
      <c r="T15" s="1202"/>
      <c r="U15" s="1202"/>
      <c r="V15" s="1202"/>
      <c r="W15" s="1202"/>
      <c r="X15" s="1202"/>
      <c r="Y15" s="1202"/>
      <c r="Z15" s="1157"/>
      <c r="AA15" s="1156" t="s">
        <v>1352</v>
      </c>
      <c r="AB15" s="1115"/>
      <c r="AC15" s="1125">
        <v>0</v>
      </c>
      <c r="AD15" s="1125">
        <v>0</v>
      </c>
      <c r="AE15" s="1203">
        <v>0</v>
      </c>
      <c r="AF15" s="1157"/>
      <c r="AG15" s="1158">
        <v>0</v>
      </c>
      <c r="AH15" s="1126">
        <v>0</v>
      </c>
      <c r="AI15" s="1128">
        <v>0</v>
      </c>
      <c r="AJ15" s="1183"/>
      <c r="AK15" s="1158">
        <v>0</v>
      </c>
      <c r="AL15" s="1126">
        <v>285</v>
      </c>
      <c r="AM15" s="1116">
        <f>BL!H5</f>
        <v>4</v>
      </c>
      <c r="AN15" s="1184"/>
      <c r="AO15" s="1158">
        <v>0</v>
      </c>
      <c r="AP15" s="1126">
        <v>0</v>
      </c>
      <c r="AQ15" s="1128">
        <v>0</v>
      </c>
      <c r="AR15" s="1185"/>
      <c r="AS15" s="1158"/>
      <c r="AT15" s="1126"/>
      <c r="AU15" s="1128"/>
      <c r="AV15" s="1185"/>
      <c r="AW15" s="1053"/>
      <c r="AX15" s="1053"/>
      <c r="AY15" s="1053"/>
      <c r="AZ15" s="1053"/>
    </row>
    <row r="16" spans="1:52" ht="16.5" customHeight="1" thickBot="1">
      <c r="A16" s="1053"/>
      <c r="B16" s="1204" t="s">
        <v>1361</v>
      </c>
      <c r="C16" s="1129">
        <f t="shared" si="30"/>
        <v>0</v>
      </c>
      <c r="D16" s="1129">
        <f t="shared" si="28"/>
        <v>0</v>
      </c>
      <c r="E16" s="1130">
        <f t="shared" si="29"/>
        <v>0</v>
      </c>
      <c r="F16" s="1297">
        <v>0</v>
      </c>
      <c r="G16" s="1131">
        <v>0</v>
      </c>
      <c r="H16" s="1131">
        <v>0</v>
      </c>
      <c r="I16" s="1131">
        <v>0</v>
      </c>
      <c r="J16" s="1131">
        <v>0</v>
      </c>
      <c r="K16" s="1131">
        <v>0</v>
      </c>
      <c r="L16" s="1131">
        <v>0</v>
      </c>
      <c r="M16" s="1131">
        <v>0</v>
      </c>
      <c r="N16" s="1131">
        <v>0</v>
      </c>
      <c r="O16" s="1131">
        <v>0</v>
      </c>
      <c r="P16" s="1131">
        <v>0</v>
      </c>
      <c r="Q16" s="1131">
        <v>0</v>
      </c>
      <c r="R16" s="1131">
        <v>0</v>
      </c>
      <c r="S16" s="1131">
        <v>0</v>
      </c>
      <c r="T16" s="1131">
        <v>0</v>
      </c>
      <c r="U16" s="1131">
        <v>0</v>
      </c>
      <c r="V16" s="1131">
        <v>0</v>
      </c>
      <c r="W16" s="1131">
        <v>0</v>
      </c>
      <c r="X16" s="1131">
        <v>0</v>
      </c>
      <c r="Y16" s="1131">
        <v>0</v>
      </c>
      <c r="Z16" s="1172"/>
      <c r="AA16" s="1170" t="s">
        <v>1360</v>
      </c>
      <c r="AB16" s="1171"/>
      <c r="AC16" s="1132">
        <v>0</v>
      </c>
      <c r="AD16" s="1132">
        <v>0</v>
      </c>
      <c r="AE16" s="1133">
        <v>0</v>
      </c>
      <c r="AF16" s="1172"/>
      <c r="AG16" s="1173">
        <v>0</v>
      </c>
      <c r="AH16" s="1134">
        <v>2</v>
      </c>
      <c r="AI16" s="1135">
        <f>BL!H7</f>
        <v>0</v>
      </c>
      <c r="AJ16" s="1205"/>
      <c r="AK16" s="1173"/>
      <c r="AL16" s="1134">
        <v>2</v>
      </c>
      <c r="AM16" s="1135">
        <f>BL!H7</f>
        <v>0</v>
      </c>
      <c r="AN16" s="1206"/>
      <c r="AO16" s="1173">
        <v>0</v>
      </c>
      <c r="AP16" s="1134">
        <v>0</v>
      </c>
      <c r="AQ16" s="1135">
        <v>0</v>
      </c>
      <c r="AR16" s="1207"/>
      <c r="AS16" s="1173"/>
      <c r="AT16" s="1134"/>
      <c r="AU16" s="1135"/>
      <c r="AV16" s="1207"/>
      <c r="AW16" s="1053"/>
      <c r="AX16" s="1053"/>
      <c r="AY16" s="1053"/>
      <c r="AZ16" s="1053"/>
    </row>
    <row r="17" spans="1:52" ht="15.75" thickTop="1" thickBot="1">
      <c r="A17" s="1053"/>
      <c r="B17" s="1208" t="s">
        <v>437</v>
      </c>
      <c r="C17" s="1209" t="s">
        <v>0</v>
      </c>
      <c r="D17" s="1209" t="s">
        <v>1</v>
      </c>
      <c r="E17" s="1136" t="s">
        <v>472</v>
      </c>
      <c r="F17" s="1210"/>
      <c r="G17" s="1211"/>
      <c r="H17" s="1212" t="s">
        <v>0</v>
      </c>
      <c r="I17" s="1213" t="s">
        <v>1</v>
      </c>
      <c r="J17" s="1214" t="s">
        <v>0</v>
      </c>
      <c r="K17" s="1213" t="s">
        <v>1</v>
      </c>
      <c r="L17" s="1214" t="s">
        <v>0</v>
      </c>
      <c r="M17" s="1213" t="s">
        <v>1</v>
      </c>
      <c r="N17" s="1214" t="s">
        <v>0</v>
      </c>
      <c r="O17" s="1213" t="s">
        <v>1</v>
      </c>
      <c r="P17" s="1214" t="s">
        <v>0</v>
      </c>
      <c r="Q17" s="1213" t="s">
        <v>1</v>
      </c>
      <c r="R17" s="1214" t="s">
        <v>0</v>
      </c>
      <c r="S17" s="1213" t="s">
        <v>1</v>
      </c>
      <c r="T17" s="1214" t="s">
        <v>0</v>
      </c>
      <c r="U17" s="1213" t="s">
        <v>1</v>
      </c>
      <c r="V17" s="1214" t="s">
        <v>0</v>
      </c>
      <c r="W17" s="1213" t="s">
        <v>1</v>
      </c>
      <c r="X17" s="1214" t="s">
        <v>0</v>
      </c>
      <c r="Y17" s="1215" t="s">
        <v>1</v>
      </c>
      <c r="Z17" s="1174"/>
      <c r="AA17" s="1216"/>
      <c r="AB17" s="1217"/>
      <c r="AC17" s="1137" t="s">
        <v>0</v>
      </c>
      <c r="AD17" s="1138" t="s">
        <v>1</v>
      </c>
      <c r="AE17" s="1139" t="s">
        <v>1356</v>
      </c>
      <c r="AF17" s="1140" t="s">
        <v>1355</v>
      </c>
      <c r="AG17" s="1141" t="s">
        <v>0</v>
      </c>
      <c r="AH17" s="1141" t="s">
        <v>1</v>
      </c>
      <c r="AI17" s="1139" t="s">
        <v>1356</v>
      </c>
      <c r="AJ17" s="1142" t="s">
        <v>1355</v>
      </c>
      <c r="AK17" s="1141" t="s">
        <v>0</v>
      </c>
      <c r="AL17" s="1141" t="s">
        <v>1</v>
      </c>
      <c r="AM17" s="1139" t="s">
        <v>1356</v>
      </c>
      <c r="AN17" s="1142" t="s">
        <v>1355</v>
      </c>
      <c r="AO17" s="1143" t="s">
        <v>0</v>
      </c>
      <c r="AP17" s="1144" t="s">
        <v>1</v>
      </c>
      <c r="AQ17" s="1139" t="s">
        <v>1356</v>
      </c>
      <c r="AR17" s="1145" t="s">
        <v>1355</v>
      </c>
      <c r="AS17" s="1143" t="s">
        <v>0</v>
      </c>
      <c r="AT17" s="1144" t="s">
        <v>1</v>
      </c>
      <c r="AU17" s="1139" t="s">
        <v>1356</v>
      </c>
      <c r="AV17" s="1145" t="s">
        <v>1355</v>
      </c>
      <c r="AW17" s="1053"/>
      <c r="AX17" s="1053"/>
      <c r="AY17" s="1053"/>
      <c r="AZ17" s="1053"/>
    </row>
    <row r="18" spans="1:52" ht="15" thickTop="1">
      <c r="A18" s="1055">
        <v>1</v>
      </c>
      <c r="B18" s="1218" t="s">
        <v>259</v>
      </c>
      <c r="C18" s="1219">
        <f>INDEX(H18:AV18,MATCH($B$3,$H$9:$AV$9,0))</f>
        <v>0</v>
      </c>
      <c r="D18" s="1219">
        <f>IF(INDEX(H18:AV18,MATCH($B$4,$H$9:$AV$9,0))=0,999999,INDEX(H18:AV18,MATCH($B$4,$H$9:$AV$9,0)))</f>
        <v>14.254049999999999</v>
      </c>
      <c r="E18" s="1146" t="s">
        <v>7</v>
      </c>
      <c r="F18" s="756" t="str">
        <f>H7</f>
        <v>Vacas em Lactação (Menor que 3 Semanas), 454PV, 25Prod, 3,6Gord, 4,2PB</v>
      </c>
      <c r="G18" s="1220"/>
      <c r="H18" s="1226">
        <v>0</v>
      </c>
      <c r="I18" s="1227">
        <v>11.9</v>
      </c>
      <c r="J18" s="1228">
        <v>0</v>
      </c>
      <c r="K18" s="1227">
        <v>13.5</v>
      </c>
      <c r="L18" s="1228">
        <v>0</v>
      </c>
      <c r="M18" s="1227">
        <v>15.6</v>
      </c>
      <c r="N18" s="1228">
        <v>0</v>
      </c>
      <c r="O18" s="1227">
        <v>14.4</v>
      </c>
      <c r="P18" s="1228">
        <v>0</v>
      </c>
      <c r="Q18" s="1227">
        <v>13.7</v>
      </c>
      <c r="R18" s="1228">
        <v>0</v>
      </c>
      <c r="S18" s="1227">
        <v>10.1</v>
      </c>
      <c r="T18" s="1228">
        <v>0</v>
      </c>
      <c r="U18" s="1227">
        <v>10.6</v>
      </c>
      <c r="V18" s="1228">
        <v>0</v>
      </c>
      <c r="W18" s="1227">
        <v>13.7</v>
      </c>
      <c r="X18" s="1228">
        <v>0</v>
      </c>
      <c r="Y18" s="1229">
        <v>13.7</v>
      </c>
      <c r="Z18" s="1230"/>
      <c r="AA18" s="1231" t="s">
        <v>259</v>
      </c>
      <c r="AB18" s="1232" t="s">
        <v>7</v>
      </c>
      <c r="AC18" s="1233">
        <v>0</v>
      </c>
      <c r="AD18" s="1234">
        <f>AE18</f>
        <v>13.201999999999998</v>
      </c>
      <c r="AE18" s="1235">
        <f>-4.69+(0.0142*AE11)+(0.356*AE12)+(1.72*AE13)</f>
        <v>13.201999999999998</v>
      </c>
      <c r="AF18" s="1236" t="s">
        <v>7</v>
      </c>
      <c r="AG18" s="1233">
        <v>0</v>
      </c>
      <c r="AH18" s="1234">
        <f>AI18</f>
        <v>5.0170000000000003</v>
      </c>
      <c r="AI18" s="595">
        <f>(0.141+(0.0106*AI11)+(0.604*AI16)+(0.0117*AI11*AI16))</f>
        <v>5.0170000000000003</v>
      </c>
      <c r="AJ18" s="1236" t="s">
        <v>7</v>
      </c>
      <c r="AK18" s="1233">
        <v>0</v>
      </c>
      <c r="AL18" s="1234">
        <f>AM18</f>
        <v>9.7965999999999998</v>
      </c>
      <c r="AM18" s="1237">
        <f>(1.55+(0.00315*AM15)+(0.0179*AM11))</f>
        <v>9.7965999999999998</v>
      </c>
      <c r="AN18" s="1237"/>
      <c r="AO18" s="1233">
        <v>0</v>
      </c>
      <c r="AP18" s="1234">
        <f>AQ18</f>
        <v>14.254049999999999</v>
      </c>
      <c r="AQ18" s="595">
        <f>-4.29+(0.02043*AQ11)+(0.7656*AQ12)-(0.01039*AQ12*AQ12)</f>
        <v>14.254049999999999</v>
      </c>
      <c r="AR18" s="1236" t="s">
        <v>7</v>
      </c>
      <c r="AS18" s="1233">
        <v>0</v>
      </c>
      <c r="AT18" s="1234">
        <f>AU18</f>
        <v>11.63300000000001</v>
      </c>
      <c r="AU18" s="595">
        <f>-100+(0.116*AU11)+(2.91*AU12)+(22.8*AU13)-(2.6*AU13*AU13)-(0.00483*AU11*AU12)</f>
        <v>11.63300000000001</v>
      </c>
      <c r="AV18" s="1236" t="s">
        <v>7</v>
      </c>
      <c r="AW18" s="1053"/>
      <c r="AX18" s="1053"/>
      <c r="AY18" s="1053"/>
      <c r="AZ18" s="1053"/>
    </row>
    <row r="19" spans="1:52">
      <c r="A19" s="1055">
        <v>2</v>
      </c>
      <c r="B19" s="1221" t="s">
        <v>83</v>
      </c>
      <c r="C19" s="1222">
        <f t="shared" ref="C19:C51" si="31">INDEX(H19:AV19,MATCH($B$3,$H$9:$AV$9,0))</f>
        <v>9.405050254799999</v>
      </c>
      <c r="D19" s="1222">
        <f t="shared" ref="D19:D51" si="32">IF(INDEX(H19:AV19,MATCH($B$4,$H$9:$AV$9,0))=0,999999,INDEX(H19:AV19,MATCH($B$4,$H$9:$AV$9,0)))</f>
        <v>9999999</v>
      </c>
      <c r="E19" s="1147" t="s">
        <v>7</v>
      </c>
      <c r="F19" s="756" t="str">
        <f>J7</f>
        <v>Vacas em Lactação (Menor que 3 Semanas), 680PV, 25Prod, 3Gord, 3,5PB</v>
      </c>
      <c r="G19" s="1220"/>
      <c r="H19" s="1226">
        <v>9</v>
      </c>
      <c r="I19" s="1238">
        <v>999999</v>
      </c>
      <c r="J19" s="1228">
        <v>11</v>
      </c>
      <c r="K19" s="1238">
        <v>999999</v>
      </c>
      <c r="L19" s="1228">
        <v>12</v>
      </c>
      <c r="M19" s="1238">
        <v>999999</v>
      </c>
      <c r="N19" s="1228">
        <v>6.3936000000000002</v>
      </c>
      <c r="O19" s="1238">
        <v>999999</v>
      </c>
      <c r="P19" s="1228">
        <v>6.5485999999999995</v>
      </c>
      <c r="Q19" s="1238">
        <v>999999</v>
      </c>
      <c r="R19" s="1228">
        <v>6.4337</v>
      </c>
      <c r="S19" s="1238">
        <v>999999</v>
      </c>
      <c r="T19" s="1228">
        <v>7.3987999999999996</v>
      </c>
      <c r="U19" s="1238">
        <v>999999</v>
      </c>
      <c r="V19" s="1228">
        <v>9.6721999999999984</v>
      </c>
      <c r="W19" s="1238">
        <v>999999</v>
      </c>
      <c r="X19" s="1228">
        <v>9.5077999999999996</v>
      </c>
      <c r="Y19" s="1238">
        <v>999999</v>
      </c>
      <c r="Z19" s="1230"/>
      <c r="AA19" s="1239" t="s">
        <v>83</v>
      </c>
      <c r="AB19" s="1240" t="s">
        <v>7</v>
      </c>
      <c r="AC19" s="1233">
        <f>(AE19/100)*$AE$18</f>
        <v>8.1879332080000005</v>
      </c>
      <c r="AD19" s="1234">
        <v>9999999</v>
      </c>
      <c r="AE19" s="1235">
        <f>(48.6-(0.0183*AE11)+(0.435*AE12)+(0.728*AE13)+(3.46*AE14))*1.04</f>
        <v>62.020400000000009</v>
      </c>
      <c r="AF19" s="1236" t="s">
        <v>322</v>
      </c>
      <c r="AG19" s="1233">
        <f>($AI$18*AI19)/100</f>
        <v>0.85288999999999926</v>
      </c>
      <c r="AH19" s="1234">
        <v>9999999</v>
      </c>
      <c r="AI19" s="595">
        <f>(90.6-(0.16*AI11)-(7.32*AI16))</f>
        <v>16.999999999999986</v>
      </c>
      <c r="AJ19" s="1236" t="s">
        <v>322</v>
      </c>
      <c r="AK19" s="1233">
        <f>($AM$18*AM19)/100</f>
        <v>4.8167217524799995</v>
      </c>
      <c r="AL19" s="1234">
        <v>9999999</v>
      </c>
      <c r="AM19" s="1237">
        <f>(50.7-(0.00226*AM10)-(0.0104*AM15)+(32.2*AM16)+(0.000031*AM10*AM15)-(0.0218*AM10*AM16)+(0.00622*AM16*AM15)-(0.000021*AM15*AM11))</f>
        <v>49.167279999999998</v>
      </c>
      <c r="AN19" s="1237"/>
      <c r="AO19" s="1233">
        <f>($AQ$18*AQ19)/100</f>
        <v>9.405050254799999</v>
      </c>
      <c r="AP19" s="1234">
        <v>9999999</v>
      </c>
      <c r="AQ19" s="595">
        <f>48.5+(0.00681*AQ11)+(1.241*AQ12)-(0.01896*AQ12*AQ12)</f>
        <v>65.9816</v>
      </c>
      <c r="AR19" s="1236" t="s">
        <v>322</v>
      </c>
      <c r="AS19" s="1233">
        <f>($AH$18*AU19)/100</f>
        <v>3.9017341303101993</v>
      </c>
      <c r="AT19" s="1234">
        <v>9999999</v>
      </c>
      <c r="AU19" s="595">
        <f>(AU12+24.4-(0.0227*AU11)-(0.891*AU18)+(0.232*AU22))/0.412</f>
        <v>77.770263709591376</v>
      </c>
      <c r="AV19" s="1236" t="s">
        <v>322</v>
      </c>
      <c r="AW19" s="1053"/>
      <c r="AX19" s="1053"/>
      <c r="AY19" s="1053"/>
      <c r="AZ19" s="1053"/>
    </row>
    <row r="20" spans="1:52">
      <c r="A20" s="1055">
        <v>3</v>
      </c>
      <c r="B20" s="1218" t="s">
        <v>270</v>
      </c>
      <c r="C20" s="1219">
        <f t="shared" si="31"/>
        <v>2.0132063868749999</v>
      </c>
      <c r="D20" s="1219">
        <f t="shared" si="32"/>
        <v>9999999</v>
      </c>
      <c r="E20" s="1146" t="s">
        <v>7</v>
      </c>
      <c r="F20" s="756" t="str">
        <f>L7</f>
        <v>Vacas em Lactação (Menor que 3 Semanas), 680PV, 35Prod, 3Gord, 3,6PB</v>
      </c>
      <c r="G20" s="1220"/>
      <c r="H20" s="1226">
        <v>2.4990000000000001</v>
      </c>
      <c r="I20" s="1238">
        <v>999999</v>
      </c>
      <c r="J20" s="1228">
        <v>2.3624999999999998</v>
      </c>
      <c r="K20" s="1238">
        <v>999999</v>
      </c>
      <c r="L20" s="1228">
        <v>3.0419999999999998</v>
      </c>
      <c r="M20" s="1238">
        <v>999999</v>
      </c>
      <c r="N20" s="1228">
        <v>1.4256000000000002</v>
      </c>
      <c r="O20" s="1238">
        <v>999999</v>
      </c>
      <c r="P20" s="1228">
        <v>1.4796</v>
      </c>
      <c r="Q20" s="1238">
        <v>999999</v>
      </c>
      <c r="R20" s="1228">
        <v>1.2524</v>
      </c>
      <c r="S20" s="1238">
        <v>999999</v>
      </c>
      <c r="T20" s="1228">
        <v>1.59</v>
      </c>
      <c r="U20" s="1238">
        <v>999999</v>
      </c>
      <c r="V20" s="1228">
        <v>1.7536</v>
      </c>
      <c r="W20" s="1238">
        <v>999999</v>
      </c>
      <c r="X20" s="1228">
        <v>1.6851</v>
      </c>
      <c r="Y20" s="1238">
        <v>999999</v>
      </c>
      <c r="Z20" s="1230"/>
      <c r="AA20" s="1241" t="s">
        <v>270</v>
      </c>
      <c r="AB20" s="1232" t="s">
        <v>7</v>
      </c>
      <c r="AC20" s="1233">
        <f>(AE20/100)*$AE$18</f>
        <v>1.787841244</v>
      </c>
      <c r="AD20" s="1234">
        <v>9999999</v>
      </c>
      <c r="AE20" s="1235">
        <f>8.83-(0.00483*AE11)+(0.119*AE12)-(0.706*AE13)+(2.54*AE14)</f>
        <v>13.542200000000001</v>
      </c>
      <c r="AF20" s="1236" t="s">
        <v>322</v>
      </c>
      <c r="AG20" s="1233">
        <f>($AI$18*AI20)/100</f>
        <v>0.42293310000000001</v>
      </c>
      <c r="AH20" s="1234">
        <v>9999999</v>
      </c>
      <c r="AI20" s="595">
        <f>(8.43+(27.6*AI16)-(0.196*AI11*AI16))</f>
        <v>8.43</v>
      </c>
      <c r="AJ20" s="1236" t="s">
        <v>322</v>
      </c>
      <c r="AK20" s="1233">
        <f>($AM$18*AM20)/100</f>
        <v>0.61826342600000017</v>
      </c>
      <c r="AL20" s="1234">
        <v>9999999</v>
      </c>
      <c r="AM20" s="1237">
        <f>(15.3-(0.00884*AM10)+(0.00703*AM15)-(0.0311*AM11)+(10.7*AM16)-(0.000016*AM10*AM15)+(0.000036*AM10*AM11)+(0.000045*AM15*AM11)-(0.013*AM11*AM16))</f>
        <v>6.3110000000000017</v>
      </c>
      <c r="AN20" s="1237"/>
      <c r="AO20" s="1233">
        <f>($AQ$18*AQ20)/100</f>
        <v>2.0132063868749999</v>
      </c>
      <c r="AP20" s="1234">
        <v>9999999</v>
      </c>
      <c r="AQ20" s="595">
        <f>4.25+(0.908*AQ12)-(0.01665*AQ12*AQ12)</f>
        <v>14.123750000000001</v>
      </c>
      <c r="AR20" s="1236" t="s">
        <v>322</v>
      </c>
      <c r="AS20" s="1233">
        <f>($AH$18*AU20)/100</f>
        <v>0.870850860000001</v>
      </c>
      <c r="AT20" s="1234">
        <v>9999999</v>
      </c>
      <c r="AU20" s="595">
        <f>-49.9+(0.429*AU11)-(35.4*AU13)+(20.9*AU14)+(4.4*AU13*AU13)-(3.18*AU14*AU14)-(0.000445*AU11*AU11)</f>
        <v>17.358000000000018</v>
      </c>
      <c r="AV20" s="1236" t="s">
        <v>322</v>
      </c>
      <c r="AW20" s="1053"/>
      <c r="AX20" s="1053"/>
      <c r="AY20" s="1053"/>
      <c r="AZ20" s="1053"/>
    </row>
    <row r="21" spans="1:52">
      <c r="A21" s="1055">
        <v>4</v>
      </c>
      <c r="B21" s="1221" t="s">
        <v>274</v>
      </c>
      <c r="C21" s="1222">
        <f t="shared" si="31"/>
        <v>1.2226565331239998</v>
      </c>
      <c r="D21" s="1222">
        <f t="shared" si="32"/>
        <v>9999999</v>
      </c>
      <c r="E21" s="1147" t="s">
        <v>7</v>
      </c>
      <c r="F21" s="756" t="str">
        <f>N7</f>
        <v>Vacas Secas PV Adulto + Concepto 730 Gestação (240 d) , 680PV, 0Prod, 0Gord, 0PB</v>
      </c>
      <c r="G21" s="1220"/>
      <c r="H21" s="1226">
        <v>1.2495000000000001</v>
      </c>
      <c r="I21" s="1238">
        <v>999999</v>
      </c>
      <c r="J21" s="1228">
        <v>1.4175</v>
      </c>
      <c r="K21" s="1238">
        <v>999999</v>
      </c>
      <c r="L21" s="1228">
        <v>1.6379999999999999</v>
      </c>
      <c r="M21" s="1238">
        <v>999999</v>
      </c>
      <c r="N21" s="1228">
        <v>1.1088</v>
      </c>
      <c r="O21" s="1238">
        <v>999999</v>
      </c>
      <c r="P21" s="1228">
        <v>1.1919</v>
      </c>
      <c r="Q21" s="1238">
        <v>999999</v>
      </c>
      <c r="R21" s="1228">
        <v>0.96960000000000002</v>
      </c>
      <c r="S21" s="1238">
        <v>999999</v>
      </c>
      <c r="T21" s="1228">
        <v>1.0811999999999999</v>
      </c>
      <c r="U21" s="1238">
        <v>999999</v>
      </c>
      <c r="V21" s="1228">
        <v>1.1096999999999999</v>
      </c>
      <c r="W21" s="1238">
        <v>999999</v>
      </c>
      <c r="X21" s="1228">
        <v>1.0686</v>
      </c>
      <c r="Y21" s="1238">
        <v>999999</v>
      </c>
      <c r="Z21" s="1230"/>
      <c r="AA21" s="1239" t="s">
        <v>274</v>
      </c>
      <c r="AB21" s="1240" t="s">
        <v>7</v>
      </c>
      <c r="AC21" s="1233">
        <f>(AE21/100)*$AE$18</f>
        <v>1.3359689176680001</v>
      </c>
      <c r="AD21" s="1234">
        <v>9999999</v>
      </c>
      <c r="AE21" s="1235">
        <f>0.241-(0.98*(-1.67-(0.00513*AE11)+(0.13*AE12)-(0.597*AE13)+(2.53*AE14)))+(0.977*AE20)</f>
        <v>10.119443400000002</v>
      </c>
      <c r="AF21" s="1236" t="s">
        <v>322</v>
      </c>
      <c r="AG21" s="1233">
        <f>($AI$18*AI21)/100</f>
        <v>0</v>
      </c>
      <c r="AH21" s="1234">
        <v>9999999</v>
      </c>
      <c r="AI21" s="595">
        <f>0</f>
        <v>0</v>
      </c>
      <c r="AJ21" s="1236" t="s">
        <v>322</v>
      </c>
      <c r="AK21" s="1233">
        <f>($AM$18*AM21)/100</f>
        <v>0.73049719424000004</v>
      </c>
      <c r="AL21" s="1234">
        <v>9999999</v>
      </c>
      <c r="AM21" s="1237">
        <f>(7.76-(0.000448*AM10)-(0.0017*AM15)+(5.02*AM16)+(0.000005*AM10*AM15)-(0.00338*AM10*AM16)-(0.000003*AM15*AM11)+(0.000543*AM15*AM16))</f>
        <v>7.4566400000000002</v>
      </c>
      <c r="AN21" s="1237"/>
      <c r="AO21" s="1233">
        <f>($AQ$18*AQ21)/100</f>
        <v>1.2226565331239998</v>
      </c>
      <c r="AP21" s="1234">
        <v>9999999</v>
      </c>
      <c r="AQ21" s="595">
        <f>0.13*AQ19</f>
        <v>8.5776079999999997</v>
      </c>
      <c r="AR21" s="1236" t="s">
        <v>322</v>
      </c>
      <c r="AS21" s="1233">
        <f>($AH$18*AU21)/100</f>
        <v>0.69472807160000105</v>
      </c>
      <c r="AT21" s="1234">
        <v>9999999</v>
      </c>
      <c r="AU21" s="595">
        <f>0.241-(0.98*(-1.67-(0.00513*AU11)+(0.13*AU12)-(0.597*AU13)+(2.53*AU14)))+(0.977*AU20)</f>
        <v>13.847480000000019</v>
      </c>
      <c r="AV21" s="1236" t="s">
        <v>322</v>
      </c>
      <c r="AW21" s="1053"/>
      <c r="AX21" s="1053"/>
      <c r="AY21" s="1053"/>
      <c r="AZ21" s="1053"/>
    </row>
    <row r="22" spans="1:52">
      <c r="A22" s="1055">
        <v>5</v>
      </c>
      <c r="B22" s="1218" t="s">
        <v>262</v>
      </c>
      <c r="C22" s="1219">
        <f t="shared" si="31"/>
        <v>3.9911339999999997</v>
      </c>
      <c r="D22" s="1219">
        <f t="shared" si="32"/>
        <v>9999999</v>
      </c>
      <c r="E22" s="1146" t="s">
        <v>7</v>
      </c>
      <c r="F22" s="756" t="str">
        <f>P7</f>
        <v>Vacas Secas PV Adulto + Concepto 751 Gestação (270 d) , 680PV, 0Prod, 0Gord, 0PB</v>
      </c>
      <c r="G22" s="1220"/>
      <c r="H22" s="1226">
        <v>2.9750000000000001</v>
      </c>
      <c r="I22" s="1238">
        <v>999999</v>
      </c>
      <c r="J22" s="1228">
        <v>3.375</v>
      </c>
      <c r="K22" s="1238">
        <v>999999</v>
      </c>
      <c r="L22" s="1228">
        <v>3.9</v>
      </c>
      <c r="M22" s="1238">
        <v>999999</v>
      </c>
      <c r="N22" s="1228">
        <v>4.7520000000000007</v>
      </c>
      <c r="O22" s="1238">
        <v>999999</v>
      </c>
      <c r="P22" s="1228">
        <v>4.5209999999999999</v>
      </c>
      <c r="Q22" s="1238">
        <v>999999</v>
      </c>
      <c r="R22" s="1228">
        <v>3.3330000000000002</v>
      </c>
      <c r="S22" s="1238">
        <v>999999</v>
      </c>
      <c r="T22" s="1228">
        <v>4.1445999999999996</v>
      </c>
      <c r="U22" s="1238">
        <v>999999</v>
      </c>
      <c r="V22" s="1228">
        <v>5.2333999999999996</v>
      </c>
      <c r="W22" s="1238">
        <v>999999</v>
      </c>
      <c r="X22" s="1228">
        <v>5.0964</v>
      </c>
      <c r="Y22" s="1238">
        <v>999999</v>
      </c>
      <c r="Z22" s="1230"/>
      <c r="AA22" s="1241" t="s">
        <v>262</v>
      </c>
      <c r="AB22" s="1232" t="s">
        <v>7</v>
      </c>
      <c r="AC22" s="1233">
        <f>(AE22/100)*$AE$18</f>
        <v>3.6965599999999998</v>
      </c>
      <c r="AD22" s="1234">
        <v>9999999</v>
      </c>
      <c r="AE22" s="1235">
        <f>28</f>
        <v>28</v>
      </c>
      <c r="AF22" s="1236" t="s">
        <v>322</v>
      </c>
      <c r="AG22" s="1233">
        <f>($AI$18*AI22)/100</f>
        <v>0.90306000000000008</v>
      </c>
      <c r="AH22" s="1234">
        <v>9999999</v>
      </c>
      <c r="AI22" s="595">
        <f>18</f>
        <v>18</v>
      </c>
      <c r="AJ22" s="1236" t="s">
        <v>322</v>
      </c>
      <c r="AK22" s="1233">
        <f>($AM$18*AM22)/100</f>
        <v>2.9389799999999995</v>
      </c>
      <c r="AL22" s="1234">
        <v>9999999</v>
      </c>
      <c r="AM22" s="1237">
        <f>30</f>
        <v>30</v>
      </c>
      <c r="AN22" s="1237"/>
      <c r="AO22" s="1233">
        <f>($AQ$18*AQ22)/100</f>
        <v>3.9911339999999997</v>
      </c>
      <c r="AP22" s="1234">
        <v>9999999</v>
      </c>
      <c r="AQ22" s="595">
        <f>28</f>
        <v>28</v>
      </c>
      <c r="AR22" s="1236" t="s">
        <v>322</v>
      </c>
      <c r="AS22" s="1233">
        <f>($AH$18*AU22)/100</f>
        <v>2.9082060439560444</v>
      </c>
      <c r="AT22" s="1234">
        <v>9999999</v>
      </c>
      <c r="AU22" s="595">
        <f>(36.1-AU12)/0.364</f>
        <v>57.967032967032971</v>
      </c>
      <c r="AV22" s="1236" t="s">
        <v>322</v>
      </c>
      <c r="AW22" s="1053"/>
      <c r="AX22" s="1053"/>
      <c r="AY22" s="1053"/>
      <c r="AZ22" s="1053"/>
    </row>
    <row r="23" spans="1:52">
      <c r="A23" s="1055">
        <v>6</v>
      </c>
      <c r="B23" s="1221" t="s">
        <v>264</v>
      </c>
      <c r="C23" s="1222">
        <f t="shared" si="31"/>
        <v>0</v>
      </c>
      <c r="D23" s="1222">
        <f t="shared" si="32"/>
        <v>712.7025000000001</v>
      </c>
      <c r="E23" s="1147" t="s">
        <v>10</v>
      </c>
      <c r="F23" s="756" t="str">
        <f>R7</f>
        <v>Vacas Secas PV Adulto + Concepto 757 Gestação (279 d) , 680PV, 0Prod, 0Gord, 0PB</v>
      </c>
      <c r="G23" s="1220"/>
      <c r="H23" s="1226">
        <v>357</v>
      </c>
      <c r="I23" s="1238">
        <f>(0.05*I18)*1000</f>
        <v>595.00000000000011</v>
      </c>
      <c r="J23" s="1228">
        <v>405</v>
      </c>
      <c r="K23" s="1238">
        <f>(0.05*K18)*1000</f>
        <v>675</v>
      </c>
      <c r="L23" s="1228">
        <v>468</v>
      </c>
      <c r="M23" s="1238">
        <f>(0.05*M18)*1000</f>
        <v>780</v>
      </c>
      <c r="N23" s="1228">
        <v>432</v>
      </c>
      <c r="O23" s="1238">
        <f>(0.05*O18)*1000</f>
        <v>720.00000000000011</v>
      </c>
      <c r="P23" s="1228">
        <v>411</v>
      </c>
      <c r="Q23" s="1238">
        <f>(0.05*Q18)*1000</f>
        <v>685</v>
      </c>
      <c r="R23" s="1228">
        <v>303</v>
      </c>
      <c r="S23" s="1238">
        <f>(0.05*S18)*1000</f>
        <v>505</v>
      </c>
      <c r="T23" s="1228">
        <v>318</v>
      </c>
      <c r="U23" s="1238">
        <f>(0.05*U18)*1000</f>
        <v>530</v>
      </c>
      <c r="V23" s="1228">
        <v>411</v>
      </c>
      <c r="W23" s="1238">
        <f>(0.05*W18)*1000</f>
        <v>685</v>
      </c>
      <c r="X23" s="1228">
        <v>411</v>
      </c>
      <c r="Y23" s="1238">
        <f>(0.05*Y18)*1000</f>
        <v>685</v>
      </c>
      <c r="Z23" s="1230"/>
      <c r="AA23" s="1239" t="s">
        <v>264</v>
      </c>
      <c r="AB23" s="1240" t="s">
        <v>10</v>
      </c>
      <c r="AC23" s="1233">
        <v>0</v>
      </c>
      <c r="AD23" s="1234">
        <f>(AE23*10)*$AE$18</f>
        <v>660.09999999999991</v>
      </c>
      <c r="AE23" s="1235">
        <f>5</f>
        <v>5</v>
      </c>
      <c r="AF23" s="1236" t="s">
        <v>322</v>
      </c>
      <c r="AG23" s="1233">
        <v>0</v>
      </c>
      <c r="AH23" s="1234">
        <f>($AH$18*AI23)*10</f>
        <v>150.51000000000002</v>
      </c>
      <c r="AI23" s="595">
        <f>3</f>
        <v>3</v>
      </c>
      <c r="AJ23" s="1236" t="s">
        <v>322</v>
      </c>
      <c r="AK23" s="1233">
        <v>0</v>
      </c>
      <c r="AL23" s="1234">
        <f>($AM$18*AM23)*10</f>
        <v>293.89800000000002</v>
      </c>
      <c r="AM23" s="1237">
        <f>3</f>
        <v>3</v>
      </c>
      <c r="AN23" s="1237"/>
      <c r="AO23" s="1233">
        <v>0</v>
      </c>
      <c r="AP23" s="1234">
        <f>($AP$18*AQ23)*10</f>
        <v>712.7025000000001</v>
      </c>
      <c r="AQ23" s="595">
        <f>5</f>
        <v>5</v>
      </c>
      <c r="AR23" s="1236" t="s">
        <v>322</v>
      </c>
      <c r="AS23" s="1233">
        <v>0</v>
      </c>
      <c r="AT23" s="1234">
        <f>($AT$18*AU23)*10</f>
        <v>581.65000000000055</v>
      </c>
      <c r="AU23" s="595">
        <f>5</f>
        <v>5</v>
      </c>
      <c r="AV23" s="1236" t="s">
        <v>322</v>
      </c>
      <c r="AW23" s="1053"/>
      <c r="AX23" s="1053"/>
      <c r="AY23" s="1053"/>
      <c r="AZ23" s="1053"/>
    </row>
    <row r="24" spans="1:52">
      <c r="A24" s="1055">
        <v>7</v>
      </c>
      <c r="B24" s="1218" t="s">
        <v>278</v>
      </c>
      <c r="C24" s="1219">
        <f t="shared" si="31"/>
        <v>82.575137055000013</v>
      </c>
      <c r="D24" s="1219">
        <f t="shared" si="32"/>
        <v>9999999</v>
      </c>
      <c r="E24" s="1146" t="s">
        <v>10</v>
      </c>
      <c r="F24" s="756" t="str">
        <f>T7</f>
        <v>Novilhas PV Adulto + Concepto 625 Gestação (270 d) , 680PV, 0Prod, 0Gord, 0PB</v>
      </c>
      <c r="G24" s="1220"/>
      <c r="H24" s="1226">
        <v>95.2</v>
      </c>
      <c r="I24" s="1238">
        <v>999999</v>
      </c>
      <c r="J24" s="1228">
        <v>99.9</v>
      </c>
      <c r="K24" s="1238">
        <v>999999</v>
      </c>
      <c r="L24" s="1228">
        <v>123.24</v>
      </c>
      <c r="M24" s="1238">
        <v>999999</v>
      </c>
      <c r="N24" s="1228">
        <v>63.36</v>
      </c>
      <c r="O24" s="1238">
        <v>999999</v>
      </c>
      <c r="P24" s="1228">
        <v>61.65</v>
      </c>
      <c r="Q24" s="1238">
        <v>999999</v>
      </c>
      <c r="R24" s="1228">
        <v>48.48</v>
      </c>
      <c r="S24" s="1238">
        <v>999999</v>
      </c>
      <c r="T24" s="1228">
        <v>46.64</v>
      </c>
      <c r="U24" s="1238">
        <v>999999</v>
      </c>
      <c r="V24" s="1228">
        <v>58.91</v>
      </c>
      <c r="W24" s="1238">
        <v>999999</v>
      </c>
      <c r="X24" s="1228">
        <v>134.26</v>
      </c>
      <c r="Y24" s="1238">
        <v>999999</v>
      </c>
      <c r="Z24" s="1230"/>
      <c r="AA24" s="1241" t="s">
        <v>278</v>
      </c>
      <c r="AB24" s="1232" t="s">
        <v>10</v>
      </c>
      <c r="AC24" s="1233">
        <f t="shared" ref="AC24:AC29" si="33">(AE24*10)*$AD$18</f>
        <v>76.480506199999994</v>
      </c>
      <c r="AD24" s="1234">
        <v>9999999</v>
      </c>
      <c r="AE24" s="1235">
        <f>0.507+(0.000136*AE11)+(0.00065*AE12)</f>
        <v>0.5793100000000001</v>
      </c>
      <c r="AF24" s="1236" t="s">
        <v>322</v>
      </c>
      <c r="AG24" s="1233">
        <f>($AI$18*AI24)*10</f>
        <v>30.102000000000004</v>
      </c>
      <c r="AH24" s="1234">
        <v>9999999</v>
      </c>
      <c r="AI24" s="595">
        <f>0.6</f>
        <v>0.6</v>
      </c>
      <c r="AJ24" s="1236" t="s">
        <v>322</v>
      </c>
      <c r="AK24" s="1233">
        <f>($AM$18*AM24)*10</f>
        <v>18.558679040000005</v>
      </c>
      <c r="AL24" s="1234">
        <v>9999999</v>
      </c>
      <c r="AM24" s="1237">
        <f>(0.437+(0.000107*AM10)+(0.00134*AM15)-(0.00208*AM11)+(0.814*AM16)-(0.000002*AM15*AM11)-(0.00118*AM11*AM16)+(0.000003*AM11*AM11))</f>
        <v>0.18944000000000005</v>
      </c>
      <c r="AN24" s="1237"/>
      <c r="AO24" s="1233">
        <f>($AQ$18*AQ24)*10</f>
        <v>82.575137055000013</v>
      </c>
      <c r="AP24" s="1234">
        <v>9999999</v>
      </c>
      <c r="AQ24" s="595">
        <f>0.507+(0.000136*AQ11)+(0.00065*AQ12)</f>
        <v>0.5793100000000001</v>
      </c>
      <c r="AR24" s="1236" t="s">
        <v>322</v>
      </c>
      <c r="AS24" s="1233">
        <f>($AH$18*AU24)*10</f>
        <v>29.063982700000007</v>
      </c>
      <c r="AT24" s="1234">
        <v>9999999</v>
      </c>
      <c r="AU24" s="595">
        <f>0.507+(0.000136*AU11)+(0.00065*AU12)</f>
        <v>0.5793100000000001</v>
      </c>
      <c r="AV24" s="1236" t="s">
        <v>322</v>
      </c>
      <c r="AW24" s="1053"/>
      <c r="AX24" s="1053"/>
      <c r="AY24" s="1053"/>
      <c r="AZ24" s="1053"/>
    </row>
    <row r="25" spans="1:52">
      <c r="A25" s="1055">
        <v>8</v>
      </c>
      <c r="B25" s="1221" t="s">
        <v>280</v>
      </c>
      <c r="C25" s="1222">
        <f t="shared" si="31"/>
        <v>45.189614714999998</v>
      </c>
      <c r="D25" s="1222">
        <f t="shared" si="32"/>
        <v>9999999</v>
      </c>
      <c r="E25" s="1147" t="s">
        <v>10</v>
      </c>
      <c r="F25" s="756" t="str">
        <f>V7</f>
        <v>Vacas Padrão PV Adulto + Concepto 751 Gestação (270 d) , 680PV, 0Prod, 0Gord, 0PB</v>
      </c>
      <c r="G25" s="1220"/>
      <c r="H25" s="1226">
        <v>47.6</v>
      </c>
      <c r="I25" s="1238">
        <v>999999</v>
      </c>
      <c r="J25" s="1228">
        <v>51.3</v>
      </c>
      <c r="K25" s="1238">
        <v>999999</v>
      </c>
      <c r="L25" s="1228">
        <v>65.52</v>
      </c>
      <c r="M25" s="1238">
        <v>999999</v>
      </c>
      <c r="N25" s="1228">
        <v>31.68</v>
      </c>
      <c r="O25" s="1238">
        <v>999999</v>
      </c>
      <c r="P25" s="1228">
        <v>31.51</v>
      </c>
      <c r="Q25" s="1238">
        <v>999999</v>
      </c>
      <c r="R25" s="1228">
        <v>26.26</v>
      </c>
      <c r="S25" s="1238">
        <v>999999</v>
      </c>
      <c r="T25" s="1228">
        <v>39.22</v>
      </c>
      <c r="U25" s="1238">
        <v>999999</v>
      </c>
      <c r="V25" s="1228">
        <v>41.1</v>
      </c>
      <c r="W25" s="1238">
        <v>999999</v>
      </c>
      <c r="X25" s="1228">
        <v>50.69</v>
      </c>
      <c r="Y25" s="1238">
        <v>999999</v>
      </c>
      <c r="Z25" s="1230"/>
      <c r="AA25" s="1239" t="s">
        <v>280</v>
      </c>
      <c r="AB25" s="1240" t="s">
        <v>10</v>
      </c>
      <c r="AC25" s="1233">
        <f t="shared" si="33"/>
        <v>41.854300599999995</v>
      </c>
      <c r="AD25" s="1234">
        <v>9999999</v>
      </c>
      <c r="AE25" s="1235">
        <f>0.316-(0.000062*AE11)+(0.00197*AE12)</f>
        <v>0.31703000000000003</v>
      </c>
      <c r="AF25" s="1236" t="s">
        <v>322</v>
      </c>
      <c r="AG25" s="1233">
        <f>($AI$18*AI25)*10</f>
        <v>20.068000000000001</v>
      </c>
      <c r="AH25" s="1234">
        <v>9999999</v>
      </c>
      <c r="AI25" s="595">
        <f>0.4</f>
        <v>0.4</v>
      </c>
      <c r="AJ25" s="1236" t="s">
        <v>322</v>
      </c>
      <c r="AK25" s="1233">
        <f>($AM$18*AM25)*10</f>
        <v>11.698707855999999</v>
      </c>
      <c r="AL25" s="1234">
        <v>9999999</v>
      </c>
      <c r="AM25" s="1237">
        <f>(0.15+(0.000289*AM15)-(0.000069*AM11)+(0.411*AM16)-(0.00121*AM11*AM16)+(0.000001*AM11*AM11*AM16))</f>
        <v>0.11941599999999999</v>
      </c>
      <c r="AN25" s="1237"/>
      <c r="AO25" s="1233">
        <f>($AQ$18*AQ25)*10</f>
        <v>45.189614714999998</v>
      </c>
      <c r="AP25" s="1234">
        <v>9999999</v>
      </c>
      <c r="AQ25" s="595">
        <f>0.316-(0.000062*AQ11)+(0.00197*AQ12)</f>
        <v>0.31703000000000003</v>
      </c>
      <c r="AR25" s="1236" t="s">
        <v>322</v>
      </c>
      <c r="AS25" s="1233">
        <f>($AH$18*AU25)*10</f>
        <v>15.905395100000003</v>
      </c>
      <c r="AT25" s="1234">
        <v>9999999</v>
      </c>
      <c r="AU25" s="595">
        <f>0.316-(0.000062*AU11)+(0.00197*AU12)</f>
        <v>0.31703000000000003</v>
      </c>
      <c r="AV25" s="1236" t="s">
        <v>322</v>
      </c>
      <c r="AW25" s="1053"/>
      <c r="AX25" s="1053"/>
      <c r="AY25" s="1053"/>
      <c r="AZ25" s="1053"/>
    </row>
    <row r="26" spans="1:52">
      <c r="A26" s="1055">
        <v>9</v>
      </c>
      <c r="B26" s="1218" t="s">
        <v>282</v>
      </c>
      <c r="C26" s="1219">
        <f t="shared" si="31"/>
        <v>8.5595037000000005</v>
      </c>
      <c r="D26" s="1219">
        <f t="shared" si="32"/>
        <v>9999999</v>
      </c>
      <c r="E26" s="1146" t="s">
        <v>10</v>
      </c>
      <c r="F26" s="756" t="str">
        <f>X7</f>
        <v>Vacas Aniônica PV Adulto + Concepto 751 Gestação (270 d) , 680PV, 0Prod, 0Gord, 0PB</v>
      </c>
      <c r="G26" s="1220"/>
      <c r="H26" s="1226">
        <v>32.130000000000003</v>
      </c>
      <c r="I26" s="1238">
        <f>Minerais!$F$18</f>
        <v>3.968670565819266</v>
      </c>
      <c r="J26" s="1228">
        <v>36.450000000000003</v>
      </c>
      <c r="K26" s="1238">
        <f>Minerais!$F$18</f>
        <v>3.968670565819266</v>
      </c>
      <c r="L26" s="1228">
        <v>45.24</v>
      </c>
      <c r="M26" s="1238">
        <f>Minerais!$F$18</f>
        <v>3.968670565819266</v>
      </c>
      <c r="N26" s="1228">
        <v>15.84</v>
      </c>
      <c r="O26" s="1238">
        <f>Minerais!$F$18</f>
        <v>3.968670565819266</v>
      </c>
      <c r="P26" s="1228">
        <v>16.440000000000001</v>
      </c>
      <c r="Q26" s="1238">
        <f>Minerais!$F$18</f>
        <v>3.968670565819266</v>
      </c>
      <c r="R26" s="1228">
        <v>16.16</v>
      </c>
      <c r="S26" s="1238">
        <f>Minerais!$F$18</f>
        <v>3.968670565819266</v>
      </c>
      <c r="T26" s="1228">
        <v>42.4</v>
      </c>
      <c r="U26" s="1238">
        <f>Minerais!$F$18</f>
        <v>3.968670565819266</v>
      </c>
      <c r="V26" s="1228">
        <v>53.43</v>
      </c>
      <c r="W26" s="1238">
        <f>Minerais!$F$18</f>
        <v>3.968670565819266</v>
      </c>
      <c r="X26" s="1228">
        <v>52.06</v>
      </c>
      <c r="Y26" s="1238">
        <f>Minerais!$F$18</f>
        <v>3.968670565819266</v>
      </c>
      <c r="Z26" s="1230"/>
      <c r="AA26" s="1241" t="s">
        <v>282</v>
      </c>
      <c r="AB26" s="1232" t="s">
        <v>10</v>
      </c>
      <c r="AC26" s="1233">
        <f t="shared" si="33"/>
        <v>22.523932199999994</v>
      </c>
      <c r="AD26" s="1234">
        <v>9999999</v>
      </c>
      <c r="AE26" s="1235">
        <f>0.159-(0.000009*AE11)+(0.00105*AE12)</f>
        <v>0.17060999999999998</v>
      </c>
      <c r="AF26" s="1236" t="s">
        <v>322</v>
      </c>
      <c r="AG26" s="1233">
        <f>($AI$18*AI26)*10</f>
        <v>5.0170000000000003</v>
      </c>
      <c r="AH26" s="1234">
        <v>9999999</v>
      </c>
      <c r="AI26" s="595">
        <f>0.1</f>
        <v>0.1</v>
      </c>
      <c r="AJ26" s="1236" t="s">
        <v>322</v>
      </c>
      <c r="AK26" s="1233">
        <f>($AM$18*AM26)*10</f>
        <v>10.776260000000001</v>
      </c>
      <c r="AL26" s="1234">
        <v>9999999</v>
      </c>
      <c r="AM26" s="1237">
        <f>0.11</f>
        <v>0.11</v>
      </c>
      <c r="AN26" s="1237"/>
      <c r="AO26" s="1233">
        <f>($AH$18*AQ26)*10</f>
        <v>8.5595037000000005</v>
      </c>
      <c r="AP26" s="1234">
        <v>9999999</v>
      </c>
      <c r="AQ26" s="595">
        <f>0.159-(0.000009*AQ11)+(0.00105*AQ12)</f>
        <v>0.17060999999999998</v>
      </c>
      <c r="AR26" s="1236" t="s">
        <v>322</v>
      </c>
      <c r="AS26" s="1233">
        <f>($AH$18*AU26)*10</f>
        <v>8.5595037000000005</v>
      </c>
      <c r="AT26" s="1234">
        <v>9999999</v>
      </c>
      <c r="AU26" s="595">
        <f>0.159-(0.000009*AU11)+(0.00105*AU12)</f>
        <v>0.17060999999999998</v>
      </c>
      <c r="AV26" s="1236" t="s">
        <v>322</v>
      </c>
      <c r="AW26" s="1053"/>
      <c r="AX26" s="1053"/>
      <c r="AY26" s="1053"/>
      <c r="AZ26" s="1053"/>
    </row>
    <row r="27" spans="1:52">
      <c r="A27" s="1055">
        <v>10</v>
      </c>
      <c r="B27" s="1221" t="s">
        <v>286</v>
      </c>
      <c r="C27" s="1222">
        <f>INDEX(H27:AV27,MATCH($B$3,$H$9:$AV$9,0))</f>
        <v>28.576519439999998</v>
      </c>
      <c r="D27" s="1222">
        <f t="shared" si="32"/>
        <v>9999999</v>
      </c>
      <c r="E27" s="1147" t="s">
        <v>10</v>
      </c>
      <c r="F27" s="756" t="str">
        <f>AG1</f>
        <v>Bezerros (50 a 124 kg)</v>
      </c>
      <c r="G27" s="1220"/>
      <c r="H27" s="1226">
        <v>36.89</v>
      </c>
      <c r="I27" s="1238">
        <v>999999</v>
      </c>
      <c r="J27" s="1228">
        <v>45.9</v>
      </c>
      <c r="K27" s="1238">
        <v>999999</v>
      </c>
      <c r="L27" s="1228">
        <v>53.04</v>
      </c>
      <c r="M27" s="1238">
        <v>999999</v>
      </c>
      <c r="N27" s="1228">
        <v>14.4</v>
      </c>
      <c r="O27" s="1238">
        <v>999999</v>
      </c>
      <c r="P27" s="1228">
        <v>13.7</v>
      </c>
      <c r="Q27" s="1238">
        <v>999999</v>
      </c>
      <c r="R27" s="1228">
        <v>14.14</v>
      </c>
      <c r="S27" s="1238">
        <v>999999</v>
      </c>
      <c r="T27" s="1228">
        <v>13.78</v>
      </c>
      <c r="U27" s="1238">
        <v>999999</v>
      </c>
      <c r="V27" s="1228">
        <v>21.92</v>
      </c>
      <c r="W27" s="1238">
        <v>999999</v>
      </c>
      <c r="X27" s="1228">
        <v>20.55</v>
      </c>
      <c r="Y27" s="1238">
        <v>999999</v>
      </c>
      <c r="Z27" s="1230"/>
      <c r="AA27" s="1239" t="s">
        <v>286</v>
      </c>
      <c r="AB27" s="1240" t="s">
        <v>10</v>
      </c>
      <c r="AC27" s="1233">
        <f t="shared" si="33"/>
        <v>26.467369599999994</v>
      </c>
      <c r="AD27" s="1234">
        <v>9999999</v>
      </c>
      <c r="AE27" s="1235">
        <f>0.16+(0.000088*AE11)</f>
        <v>0.20047999999999999</v>
      </c>
      <c r="AF27" s="1236" t="s">
        <v>322</v>
      </c>
      <c r="AG27" s="1233">
        <f>(AI27*10)*$AI$18</f>
        <v>7.0238000000000014</v>
      </c>
      <c r="AH27" s="1234">
        <v>9999999</v>
      </c>
      <c r="AI27" s="595">
        <f>0.14</f>
        <v>0.14000000000000001</v>
      </c>
      <c r="AJ27" s="1236" t="s">
        <v>322</v>
      </c>
      <c r="AK27" s="1233">
        <f>(AM27*10)*$AM$18</f>
        <v>7.8372799999999998</v>
      </c>
      <c r="AL27" s="1234">
        <v>9999999</v>
      </c>
      <c r="AM27" s="1237">
        <f>0.08</f>
        <v>0.08</v>
      </c>
      <c r="AN27" s="1237"/>
      <c r="AO27" s="1233">
        <f>(AQ27*10)*$AQ$18</f>
        <v>28.576519439999998</v>
      </c>
      <c r="AP27" s="1234">
        <v>9999999</v>
      </c>
      <c r="AQ27" s="595">
        <f>0.16+(0.000088*AQ11)</f>
        <v>0.20047999999999999</v>
      </c>
      <c r="AR27" s="1236" t="s">
        <v>322</v>
      </c>
      <c r="AS27" s="1233">
        <f>(AU27*10)*$AU$18</f>
        <v>23.321838400000019</v>
      </c>
      <c r="AT27" s="1234">
        <v>9999999</v>
      </c>
      <c r="AU27" s="595">
        <f>0.16+(0.000088*AU11)</f>
        <v>0.20047999999999999</v>
      </c>
      <c r="AV27" s="1236" t="s">
        <v>322</v>
      </c>
      <c r="AW27" s="1053"/>
      <c r="AX27" s="1053"/>
      <c r="AY27" s="1053"/>
      <c r="AZ27" s="1053"/>
    </row>
    <row r="28" spans="1:52">
      <c r="A28" s="1055">
        <v>11</v>
      </c>
      <c r="B28" s="1218" t="s">
        <v>284</v>
      </c>
      <c r="C28" s="1219">
        <f t="shared" si="31"/>
        <v>141.31892791499999</v>
      </c>
      <c r="D28" s="1219">
        <f t="shared" si="32"/>
        <v>9999999</v>
      </c>
      <c r="E28" s="1146" t="s">
        <v>10</v>
      </c>
      <c r="F28" s="756" t="str">
        <f>AK1</f>
        <v>Novilhas (Maior que 124 kg PV)</v>
      </c>
      <c r="G28" s="1220"/>
      <c r="H28" s="1226">
        <v>141.61000000000001</v>
      </c>
      <c r="I28" s="1238">
        <f>Minerais!$F$20</f>
        <v>29.765029243644495</v>
      </c>
      <c r="J28" s="1228">
        <v>160.65</v>
      </c>
      <c r="K28" s="1238">
        <f>Minerais!$F$20</f>
        <v>29.765029243644495</v>
      </c>
      <c r="L28" s="1228">
        <v>193.44</v>
      </c>
      <c r="M28" s="1238">
        <f>Minerais!$F$20</f>
        <v>29.765029243644495</v>
      </c>
      <c r="N28" s="1228">
        <v>73.44</v>
      </c>
      <c r="O28" s="1238">
        <f>Minerais!$F$20</f>
        <v>29.765029243644495</v>
      </c>
      <c r="P28" s="1228">
        <v>71.239999999999995</v>
      </c>
      <c r="Q28" s="1238">
        <f>Minerais!$F$20</f>
        <v>29.765029243644495</v>
      </c>
      <c r="R28" s="1228">
        <v>62.62</v>
      </c>
      <c r="S28" s="1238">
        <f>Minerais!$F$20</f>
        <v>29.765029243644495</v>
      </c>
      <c r="T28" s="1228">
        <v>163.24</v>
      </c>
      <c r="U28" s="1238">
        <f>Minerais!$F$20</f>
        <v>29.765029243644495</v>
      </c>
      <c r="V28" s="1228">
        <v>184.95</v>
      </c>
      <c r="W28" s="1238">
        <f>Minerais!$F$20</f>
        <v>29.765029243644495</v>
      </c>
      <c r="X28" s="1228">
        <v>180.84</v>
      </c>
      <c r="Y28" s="1238">
        <f>Minerais!$F$20</f>
        <v>29.765029243644495</v>
      </c>
      <c r="Z28" s="1230"/>
      <c r="AA28" s="1241" t="s">
        <v>284</v>
      </c>
      <c r="AB28" s="1232" t="s">
        <v>10</v>
      </c>
      <c r="AC28" s="1233">
        <f t="shared" si="33"/>
        <v>130.88858859999996</v>
      </c>
      <c r="AD28" s="1234">
        <v>9999999</v>
      </c>
      <c r="AE28" s="1235">
        <f>0.963-(0.000007*AE11)+(0.00211*AE12)</f>
        <v>0.99142999999999992</v>
      </c>
      <c r="AF28" s="1236" t="s">
        <v>322</v>
      </c>
      <c r="AG28" s="1233">
        <f>($AI$18*AI28)*10</f>
        <v>32.610500000000002</v>
      </c>
      <c r="AH28" s="1234">
        <v>9999999</v>
      </c>
      <c r="AI28" s="595">
        <f>0.65</f>
        <v>0.65</v>
      </c>
      <c r="AJ28" s="1236" t="s">
        <v>322</v>
      </c>
      <c r="AK28" s="1233">
        <f>($AM$18*AM28)*10</f>
        <v>46.044019999999996</v>
      </c>
      <c r="AL28" s="1234">
        <v>9999999</v>
      </c>
      <c r="AM28" s="1237">
        <f>0.47</f>
        <v>0.47</v>
      </c>
      <c r="AN28" s="1237"/>
      <c r="AO28" s="1233">
        <f>($AQ$18*AQ28)*10</f>
        <v>141.31892791499999</v>
      </c>
      <c r="AP28" s="1234">
        <v>9999999</v>
      </c>
      <c r="AQ28" s="595">
        <f>0.963-(0.000007*AQ11)+(0.00211*AQ12)</f>
        <v>0.99142999999999992</v>
      </c>
      <c r="AR28" s="1236" t="s">
        <v>322</v>
      </c>
      <c r="AS28" s="1233">
        <f>($AH$18*AU28)*10</f>
        <v>49.740043099999994</v>
      </c>
      <c r="AT28" s="1234">
        <v>9999999</v>
      </c>
      <c r="AU28" s="595">
        <f>0.963-(0.000007*AU11)+(0.00211*AU12)</f>
        <v>0.99142999999999992</v>
      </c>
      <c r="AV28" s="1236" t="s">
        <v>322</v>
      </c>
      <c r="AW28" s="1053"/>
      <c r="AX28" s="1053"/>
      <c r="AY28" s="1053"/>
      <c r="AZ28" s="1053"/>
    </row>
    <row r="29" spans="1:52">
      <c r="A29" s="1055">
        <v>12</v>
      </c>
      <c r="B29" s="1221" t="s">
        <v>288</v>
      </c>
      <c r="C29" s="1222">
        <f t="shared" si="31"/>
        <v>28.508099999999999</v>
      </c>
      <c r="D29" s="1222">
        <f t="shared" si="32"/>
        <v>9999999</v>
      </c>
      <c r="E29" s="1148" t="s">
        <v>10</v>
      </c>
      <c r="F29" s="756" t="str">
        <f>AA1</f>
        <v>Vacas em Lactação (Maior que 3 Semanas)</v>
      </c>
      <c r="G29" s="1220"/>
      <c r="H29" s="1226">
        <v>23.8</v>
      </c>
      <c r="I29" s="1238">
        <f>Minerais!$F$21</f>
        <v>3.968670565819266</v>
      </c>
      <c r="J29" s="1228">
        <v>27</v>
      </c>
      <c r="K29" s="1238">
        <f>Minerais!$F$21</f>
        <v>3.968670565819266</v>
      </c>
      <c r="L29" s="1228">
        <v>31.2</v>
      </c>
      <c r="M29" s="1238">
        <f>Minerais!$F$21</f>
        <v>3.968670565819266</v>
      </c>
      <c r="N29" s="1228">
        <v>28.8</v>
      </c>
      <c r="O29" s="1238">
        <f>Minerais!$F$21</f>
        <v>3.968670565819266</v>
      </c>
      <c r="P29" s="1228">
        <v>27.4</v>
      </c>
      <c r="Q29" s="1238">
        <f>Minerais!$F$21</f>
        <v>3.968670565819266</v>
      </c>
      <c r="R29" s="1228">
        <v>20.2</v>
      </c>
      <c r="S29" s="1238">
        <f>Minerais!$F$21</f>
        <v>3.968670565819266</v>
      </c>
      <c r="T29" s="1228">
        <v>20.14</v>
      </c>
      <c r="U29" s="1238">
        <f>Minerais!$F$21</f>
        <v>3.968670565819266</v>
      </c>
      <c r="V29" s="1228">
        <v>24.66</v>
      </c>
      <c r="W29" s="1238">
        <f>Minerais!$F$21</f>
        <v>3.968670565819266</v>
      </c>
      <c r="X29" s="1228">
        <v>42.47</v>
      </c>
      <c r="Y29" s="1238">
        <f>Minerais!$F$21</f>
        <v>3.968670565819266</v>
      </c>
      <c r="Z29" s="1230"/>
      <c r="AA29" s="1239" t="s">
        <v>288</v>
      </c>
      <c r="AB29" s="1242" t="s">
        <v>10</v>
      </c>
      <c r="AC29" s="1233">
        <f t="shared" si="33"/>
        <v>26.403999999999996</v>
      </c>
      <c r="AD29" s="1234">
        <v>9999999</v>
      </c>
      <c r="AE29" s="1235">
        <f>0.2</f>
        <v>0.2</v>
      </c>
      <c r="AF29" s="1236" t="s">
        <v>322</v>
      </c>
      <c r="AG29" s="1233">
        <f>($AI$18*AI29)*10</f>
        <v>10.034000000000001</v>
      </c>
      <c r="AH29" s="1234">
        <v>9999999</v>
      </c>
      <c r="AI29" s="595">
        <f>0.2</f>
        <v>0.2</v>
      </c>
      <c r="AJ29" s="1236" t="s">
        <v>322</v>
      </c>
      <c r="AK29" s="1233">
        <f>($AM$18*AM29)*10</f>
        <v>19.5932</v>
      </c>
      <c r="AL29" s="1234">
        <v>9999999</v>
      </c>
      <c r="AM29" s="1237">
        <f>0.2</f>
        <v>0.2</v>
      </c>
      <c r="AN29" s="1237"/>
      <c r="AO29" s="1233">
        <f>($AQ$18*AQ29)*10</f>
        <v>28.508099999999999</v>
      </c>
      <c r="AP29" s="1234">
        <v>9999999</v>
      </c>
      <c r="AQ29" s="595">
        <f>0.2</f>
        <v>0.2</v>
      </c>
      <c r="AR29" s="1236" t="s">
        <v>322</v>
      </c>
      <c r="AS29" s="1233">
        <f>($AH$18*AU29)*10</f>
        <v>10.034000000000001</v>
      </c>
      <c r="AT29" s="1234">
        <v>9999999</v>
      </c>
      <c r="AU29" s="595">
        <f>0.2</f>
        <v>0.2</v>
      </c>
      <c r="AV29" s="1236" t="s">
        <v>322</v>
      </c>
      <c r="AW29" s="1053"/>
      <c r="AX29" s="1053"/>
      <c r="AY29" s="1053"/>
      <c r="AZ29" s="1053"/>
    </row>
    <row r="30" spans="1:52">
      <c r="A30" s="1055">
        <v>13</v>
      </c>
      <c r="B30" s="1218" t="s">
        <v>294</v>
      </c>
      <c r="C30" s="1219">
        <f t="shared" si="31"/>
        <v>1002.32</v>
      </c>
      <c r="D30" s="1219">
        <f t="shared" si="32"/>
        <v>9999999</v>
      </c>
      <c r="E30" s="1146" t="s">
        <v>21</v>
      </c>
      <c r="F30" s="756" t="str">
        <f>AO1</f>
        <v>Vacas em Sistema Intensivo (Lactação Maior que 3 Semanas)</v>
      </c>
      <c r="G30" s="1220"/>
      <c r="H30" s="1226">
        <v>178.5</v>
      </c>
      <c r="I30" s="1238">
        <f>Minerais!$F$22</f>
        <v>99.216764145481648</v>
      </c>
      <c r="J30" s="1228">
        <v>216</v>
      </c>
      <c r="K30" s="1238">
        <f>Minerais!$F$22</f>
        <v>99.216764145481648</v>
      </c>
      <c r="L30" s="1228">
        <v>249.6</v>
      </c>
      <c r="M30" s="1238">
        <f>Minerais!$F$22</f>
        <v>99.216764145481648</v>
      </c>
      <c r="N30" s="1228">
        <v>172.8</v>
      </c>
      <c r="O30" s="1238">
        <f>Minerais!$F$22</f>
        <v>99.216764145481648</v>
      </c>
      <c r="P30" s="1228">
        <v>178.1</v>
      </c>
      <c r="Q30" s="1238">
        <f>Minerais!$F$22</f>
        <v>99.216764145481648</v>
      </c>
      <c r="R30" s="1228">
        <v>181.8</v>
      </c>
      <c r="S30" s="1238">
        <f>Minerais!$F$22</f>
        <v>99.216764145481648</v>
      </c>
      <c r="T30" s="1228">
        <v>169.6</v>
      </c>
      <c r="U30" s="1238">
        <f>Minerais!$F$22</f>
        <v>99.216764145481648</v>
      </c>
      <c r="V30" s="1228">
        <v>178.1</v>
      </c>
      <c r="W30" s="1238">
        <f>Minerais!$F$22</f>
        <v>99.216764145481648</v>
      </c>
      <c r="X30" s="1228">
        <v>178.1</v>
      </c>
      <c r="Y30" s="1238">
        <f>Minerais!$F$22</f>
        <v>99.216764145481648</v>
      </c>
      <c r="Z30" s="1230"/>
      <c r="AA30" s="1241" t="s">
        <v>294</v>
      </c>
      <c r="AB30" s="1232" t="s">
        <v>21</v>
      </c>
      <c r="AC30" s="1233">
        <f t="shared" ref="AC30:AC37" si="34">AE30</f>
        <v>1002.32</v>
      </c>
      <c r="AD30" s="1234">
        <v>9999999</v>
      </c>
      <c r="AE30" s="1235">
        <f>(7.99+(0.00442*AE11))*AE51</f>
        <v>1002.32</v>
      </c>
      <c r="AF30" s="1236" t="s">
        <v>21</v>
      </c>
      <c r="AG30" s="1233">
        <f t="shared" ref="AG30:AG37" si="35">AI30</f>
        <v>1000</v>
      </c>
      <c r="AH30" s="1234">
        <v>9999999</v>
      </c>
      <c r="AI30" s="595">
        <f>10*AI51</f>
        <v>1000</v>
      </c>
      <c r="AJ30" s="1236" t="s">
        <v>21</v>
      </c>
      <c r="AK30" s="1233">
        <f t="shared" ref="AK30:AK37" si="36">AM30</f>
        <v>1000</v>
      </c>
      <c r="AL30" s="1234">
        <v>9999999</v>
      </c>
      <c r="AM30" s="1237">
        <f>10*AM51</f>
        <v>1000</v>
      </c>
      <c r="AN30" s="1237"/>
      <c r="AO30" s="1233">
        <f t="shared" ref="AO30:AO37" si="37">AQ30</f>
        <v>1002.32</v>
      </c>
      <c r="AP30" s="1234">
        <v>9999999</v>
      </c>
      <c r="AQ30" s="595">
        <f>(7.99+(0.00442*AQ11))*AQ51</f>
        <v>1002.32</v>
      </c>
      <c r="AR30" s="1236" t="s">
        <v>21</v>
      </c>
      <c r="AS30" s="1233">
        <f t="shared" ref="AS30:AS37" si="38">AU30</f>
        <v>1002.32</v>
      </c>
      <c r="AT30" s="1234">
        <v>9999999</v>
      </c>
      <c r="AU30" s="595">
        <f>(7.99+(0.00442*AU11))*AU51</f>
        <v>1002.32</v>
      </c>
      <c r="AV30" s="1236" t="s">
        <v>21</v>
      </c>
      <c r="AW30" s="1053"/>
      <c r="AX30" s="1053"/>
      <c r="AY30" s="1053"/>
      <c r="AZ30" s="1053"/>
    </row>
    <row r="31" spans="1:52">
      <c r="A31" s="1055">
        <v>14</v>
      </c>
      <c r="B31" s="1221" t="s">
        <v>302</v>
      </c>
      <c r="C31" s="1222">
        <f t="shared" si="31"/>
        <v>4094.56</v>
      </c>
      <c r="D31" s="1222">
        <f t="shared" si="32"/>
        <v>9999999</v>
      </c>
      <c r="E31" s="1147" t="s">
        <v>21</v>
      </c>
      <c r="F31" s="756" t="str">
        <f>AS1</f>
        <v>Vacas - Exig. Brasileiras (Lactação Maior que 3 Semanas)</v>
      </c>
      <c r="G31" s="1220"/>
      <c r="H31" s="1226">
        <v>797.3</v>
      </c>
      <c r="I31" s="1238">
        <f>Minerais!$F$23</f>
        <v>496.08382072740824</v>
      </c>
      <c r="J31" s="1228">
        <v>877.5</v>
      </c>
      <c r="K31" s="1238">
        <f>Minerais!$F$23</f>
        <v>496.08382072740824</v>
      </c>
      <c r="L31" s="1228">
        <v>1138.8</v>
      </c>
      <c r="M31" s="1238">
        <f>Minerais!$F$23</f>
        <v>496.08382072740824</v>
      </c>
      <c r="N31" s="1228">
        <v>302.39999999999998</v>
      </c>
      <c r="O31" s="1238">
        <f>Minerais!$F$23</f>
        <v>496.08382072740824</v>
      </c>
      <c r="P31" s="1228">
        <v>301.39999999999998</v>
      </c>
      <c r="Q31" s="1238">
        <f>Minerais!$F$23</f>
        <v>496.08382072740824</v>
      </c>
      <c r="R31" s="1228">
        <v>303</v>
      </c>
      <c r="S31" s="1238">
        <f>Minerais!$F$23</f>
        <v>496.08382072740824</v>
      </c>
      <c r="T31" s="1228">
        <v>318</v>
      </c>
      <c r="U31" s="1238">
        <f>Minerais!$F$23</f>
        <v>496.08382072740824</v>
      </c>
      <c r="V31" s="1228">
        <v>301.39999999999998</v>
      </c>
      <c r="W31" s="1238">
        <f>Minerais!$F$23</f>
        <v>496.08382072740824</v>
      </c>
      <c r="X31" s="1228">
        <v>301.39999999999998</v>
      </c>
      <c r="Y31" s="1238">
        <f>Minerais!$F$23</f>
        <v>496.08382072740824</v>
      </c>
      <c r="Z31" s="1230"/>
      <c r="AA31" s="1239" t="s">
        <v>302</v>
      </c>
      <c r="AB31" s="1240" t="s">
        <v>21</v>
      </c>
      <c r="AC31" s="1233">
        <f t="shared" si="34"/>
        <v>4094.56</v>
      </c>
      <c r="AD31" s="1234">
        <v>9999999</v>
      </c>
      <c r="AE31" s="1235">
        <f>(38-(0.00664*AE11)+(0.4*AE12))*AE51</f>
        <v>4094.56</v>
      </c>
      <c r="AF31" s="1236" t="s">
        <v>21</v>
      </c>
      <c r="AG31" s="1233">
        <f t="shared" si="35"/>
        <v>4000</v>
      </c>
      <c r="AH31" s="1234">
        <v>9999999</v>
      </c>
      <c r="AI31" s="595">
        <f>(40*AI51)</f>
        <v>4000</v>
      </c>
      <c r="AJ31" s="1236" t="s">
        <v>21</v>
      </c>
      <c r="AK31" s="1233">
        <f t="shared" si="36"/>
        <v>1649.22</v>
      </c>
      <c r="AL31" s="1234">
        <v>9999999</v>
      </c>
      <c r="AM31" s="1237">
        <f>(4475-(9.8*AM11)+(0.00795*AM11*AM11))</f>
        <v>1649.22</v>
      </c>
      <c r="AN31" s="1237"/>
      <c r="AO31" s="1233">
        <f t="shared" si="37"/>
        <v>4094.56</v>
      </c>
      <c r="AP31" s="1234">
        <v>9999999</v>
      </c>
      <c r="AQ31" s="595">
        <f>(38-(0.00664*AQ11)+(0.4*AQ12))*AQ51</f>
        <v>4094.56</v>
      </c>
      <c r="AR31" s="1236" t="s">
        <v>21</v>
      </c>
      <c r="AS31" s="1233">
        <f t="shared" si="38"/>
        <v>4094.56</v>
      </c>
      <c r="AT31" s="1234">
        <v>9999999</v>
      </c>
      <c r="AU31" s="595">
        <f>(38-(0.00664*AU11)+(0.4*AU12))*AU51</f>
        <v>4094.56</v>
      </c>
      <c r="AV31" s="1236" t="s">
        <v>21</v>
      </c>
      <c r="AW31" s="1053"/>
      <c r="AX31" s="1053"/>
      <c r="AY31" s="1053"/>
      <c r="AZ31" s="1053"/>
    </row>
    <row r="32" spans="1:52">
      <c r="A32" s="1055">
        <v>15</v>
      </c>
      <c r="B32" s="1218" t="s">
        <v>308</v>
      </c>
      <c r="C32" s="1219">
        <f t="shared" si="31"/>
        <v>1209.3599999999999</v>
      </c>
      <c r="D32" s="1219">
        <f t="shared" si="32"/>
        <v>9999999</v>
      </c>
      <c r="E32" s="1146" t="s">
        <v>21</v>
      </c>
      <c r="F32" s="1174"/>
      <c r="G32" s="1220"/>
      <c r="H32" s="1226">
        <v>249.9</v>
      </c>
      <c r="I32" s="1238">
        <f>Minerais!$F$24</f>
        <v>992.16764145481648</v>
      </c>
      <c r="J32" s="1228">
        <v>256.5</v>
      </c>
      <c r="K32" s="1238">
        <f>Minerais!$F$24</f>
        <v>992.16764145481648</v>
      </c>
      <c r="L32" s="1228">
        <v>343.2</v>
      </c>
      <c r="M32" s="1238">
        <f>Minerais!$F$24</f>
        <v>992.16764145481648</v>
      </c>
      <c r="N32" s="1228">
        <v>187.2</v>
      </c>
      <c r="O32" s="1238">
        <f>Minerais!$F$24</f>
        <v>992.16764145481648</v>
      </c>
      <c r="P32" s="1228">
        <v>178.1</v>
      </c>
      <c r="Q32" s="1238">
        <f>Minerais!$F$24</f>
        <v>992.16764145481648</v>
      </c>
      <c r="R32" s="1228">
        <v>181.8</v>
      </c>
      <c r="S32" s="1238">
        <f>Minerais!$F$24</f>
        <v>992.16764145481648</v>
      </c>
      <c r="T32" s="1228">
        <v>275.60000000000002</v>
      </c>
      <c r="U32" s="1238">
        <f>Minerais!$F$24</f>
        <v>992.16764145481648</v>
      </c>
      <c r="V32" s="1228">
        <v>178.1</v>
      </c>
      <c r="W32" s="1238">
        <f>Minerais!$F$24</f>
        <v>992.16764145481648</v>
      </c>
      <c r="X32" s="1228">
        <v>178.1</v>
      </c>
      <c r="Y32" s="1238">
        <f>Minerais!$F$24</f>
        <v>992.16764145481648</v>
      </c>
      <c r="Z32" s="1230"/>
      <c r="AA32" s="1241" t="s">
        <v>308</v>
      </c>
      <c r="AB32" s="1232" t="s">
        <v>21</v>
      </c>
      <c r="AC32" s="1233">
        <f t="shared" si="34"/>
        <v>1209.3599999999999</v>
      </c>
      <c r="AD32" s="1234">
        <v>9999999</v>
      </c>
      <c r="AE32" s="1235">
        <f>(12-(0.00609*AE11)+(0.193*AE12))*AE51</f>
        <v>1209.3599999999999</v>
      </c>
      <c r="AF32" s="1236" t="s">
        <v>21</v>
      </c>
      <c r="AG32" s="1233">
        <f t="shared" si="35"/>
        <v>5000</v>
      </c>
      <c r="AH32" s="1234">
        <v>9999999</v>
      </c>
      <c r="AI32" s="595">
        <f>(50*AI51)</f>
        <v>5000</v>
      </c>
      <c r="AJ32" s="1236" t="s">
        <v>21</v>
      </c>
      <c r="AK32" s="1233">
        <f t="shared" si="36"/>
        <v>1543.88</v>
      </c>
      <c r="AL32" s="1234">
        <v>9999999</v>
      </c>
      <c r="AM32" s="1237">
        <f>(8040-(23*AM11)+(0.0193*AM11*AM11))</f>
        <v>1543.88</v>
      </c>
      <c r="AN32" s="1237"/>
      <c r="AO32" s="1233">
        <f t="shared" si="37"/>
        <v>1209.3599999999999</v>
      </c>
      <c r="AP32" s="1234">
        <v>9999999</v>
      </c>
      <c r="AQ32" s="595">
        <f>(12-(0.00609*AQ11)+(0.193*AQ12))*AQ51</f>
        <v>1209.3599999999999</v>
      </c>
      <c r="AR32" s="1236" t="s">
        <v>21</v>
      </c>
      <c r="AS32" s="1233">
        <f t="shared" si="38"/>
        <v>1209.3599999999999</v>
      </c>
      <c r="AT32" s="1234">
        <v>9999999</v>
      </c>
      <c r="AU32" s="595">
        <f>(12-(0.00609*AU11)+(0.193*AU12))*AU51</f>
        <v>1209.3599999999999</v>
      </c>
      <c r="AV32" s="1236" t="s">
        <v>21</v>
      </c>
      <c r="AW32" s="1053"/>
      <c r="AX32" s="1053"/>
      <c r="AY32" s="1053"/>
      <c r="AZ32" s="1053"/>
    </row>
    <row r="33" spans="1:52">
      <c r="A33" s="1055">
        <v>16</v>
      </c>
      <c r="B33" s="1221" t="s">
        <v>298</v>
      </c>
      <c r="C33" s="1222">
        <f t="shared" si="31"/>
        <v>1263.54</v>
      </c>
      <c r="D33" s="1222">
        <f t="shared" si="32"/>
        <v>9999999</v>
      </c>
      <c r="E33" s="1147" t="s">
        <v>21</v>
      </c>
      <c r="F33" s="756"/>
      <c r="G33" s="1220"/>
      <c r="H33" s="1226">
        <v>226.1</v>
      </c>
      <c r="I33" s="1238">
        <f>Minerais!$F$25</f>
        <v>992.16764145481648</v>
      </c>
      <c r="J33" s="1228">
        <v>283.5</v>
      </c>
      <c r="K33" s="1238">
        <f>Minerais!$F$25</f>
        <v>992.16764145481648</v>
      </c>
      <c r="L33" s="1228">
        <v>327.60000000000002</v>
      </c>
      <c r="M33" s="1238">
        <f>Minerais!$F$25</f>
        <v>992.16764145481648</v>
      </c>
      <c r="N33" s="1228">
        <v>230.4</v>
      </c>
      <c r="O33" s="1238">
        <f>Minerais!$F$25</f>
        <v>992.16764145481648</v>
      </c>
      <c r="P33" s="1228">
        <v>246.6</v>
      </c>
      <c r="Q33" s="1238">
        <f>Minerais!$F$25</f>
        <v>992.16764145481648</v>
      </c>
      <c r="R33" s="1228">
        <v>242.4</v>
      </c>
      <c r="S33" s="1238">
        <f>Minerais!$F$25</f>
        <v>992.16764145481648</v>
      </c>
      <c r="T33" s="1228">
        <v>233.2</v>
      </c>
      <c r="U33" s="1238">
        <f>Minerais!$F$25</f>
        <v>992.16764145481648</v>
      </c>
      <c r="V33" s="1228">
        <v>246.6</v>
      </c>
      <c r="W33" s="1238">
        <f>Minerais!$F$25</f>
        <v>992.16764145481648</v>
      </c>
      <c r="X33" s="1228">
        <v>246.6</v>
      </c>
      <c r="Y33" s="1238">
        <f>Minerais!$F$25</f>
        <v>992.16764145481648</v>
      </c>
      <c r="Z33" s="1230"/>
      <c r="AA33" s="1239" t="s">
        <v>298</v>
      </c>
      <c r="AB33" s="1240" t="s">
        <v>21</v>
      </c>
      <c r="AC33" s="1233">
        <f t="shared" si="34"/>
        <v>1263.54</v>
      </c>
      <c r="AD33" s="1234">
        <v>9999999</v>
      </c>
      <c r="AE33" s="1235">
        <f>(9.63+(0.00759*AE11)-(0.0324*AE12))*AE51</f>
        <v>1263.54</v>
      </c>
      <c r="AF33" s="1236" t="s">
        <v>21</v>
      </c>
      <c r="AG33" s="1233">
        <f t="shared" si="35"/>
        <v>4000</v>
      </c>
      <c r="AH33" s="1234">
        <v>9999999</v>
      </c>
      <c r="AI33" s="595">
        <f>(40*AI51)</f>
        <v>4000</v>
      </c>
      <c r="AJ33" s="1236" t="s">
        <v>21</v>
      </c>
      <c r="AK33" s="1233">
        <f t="shared" si="36"/>
        <v>1514.1880000000006</v>
      </c>
      <c r="AL33" s="1234">
        <v>9999999</v>
      </c>
      <c r="AM33" s="1237">
        <f>(3047-(5.14*AM11)+(0.00393*AM11*AM11))</f>
        <v>1514.1880000000006</v>
      </c>
      <c r="AN33" s="1237"/>
      <c r="AO33" s="1233">
        <f t="shared" si="37"/>
        <v>1263.54</v>
      </c>
      <c r="AP33" s="1234">
        <v>9999999</v>
      </c>
      <c r="AQ33" s="595">
        <f>(9.63+(0.00759*AQ11)-(0.0324*AQ12))*AQ51</f>
        <v>1263.54</v>
      </c>
      <c r="AR33" s="1236" t="s">
        <v>21</v>
      </c>
      <c r="AS33" s="1233">
        <f t="shared" si="38"/>
        <v>1263.54</v>
      </c>
      <c r="AT33" s="1234">
        <v>9999999</v>
      </c>
      <c r="AU33" s="595">
        <f>(9.63+(0.00759*AU11)-(0.0324*AU12))*AU51</f>
        <v>1263.54</v>
      </c>
      <c r="AV33" s="1236" t="s">
        <v>21</v>
      </c>
      <c r="AW33" s="1053"/>
      <c r="AX33" s="1053"/>
      <c r="AY33" s="1053"/>
      <c r="AZ33" s="1053"/>
    </row>
    <row r="34" spans="1:52">
      <c r="A34" s="1055">
        <v>17</v>
      </c>
      <c r="B34" s="1218" t="s">
        <v>296</v>
      </c>
      <c r="C34" s="1219">
        <f t="shared" si="31"/>
        <v>51.744</v>
      </c>
      <c r="D34" s="1219">
        <f t="shared" si="32"/>
        <v>9999999</v>
      </c>
      <c r="E34" s="1146" t="s">
        <v>21</v>
      </c>
      <c r="F34" s="756"/>
      <c r="G34" s="1220"/>
      <c r="H34" s="1226">
        <v>7.9730000000000008</v>
      </c>
      <c r="I34" s="1238">
        <f>Minerais!$F$26</f>
        <v>49.608382072740824</v>
      </c>
      <c r="J34" s="1228">
        <v>11.88</v>
      </c>
      <c r="K34" s="1238">
        <f>Minerais!$F$26</f>
        <v>49.608382072740824</v>
      </c>
      <c r="L34" s="1228">
        <v>12.012</v>
      </c>
      <c r="M34" s="1238">
        <f>Minerais!$F$26</f>
        <v>49.608382072740824</v>
      </c>
      <c r="N34" s="1228">
        <v>5.76</v>
      </c>
      <c r="O34" s="1238">
        <f>Minerais!$F$26</f>
        <v>49.608382072740824</v>
      </c>
      <c r="P34" s="1228">
        <v>5.48</v>
      </c>
      <c r="Q34" s="1238">
        <f>Minerais!$F$26</f>
        <v>49.608382072740824</v>
      </c>
      <c r="R34" s="1228">
        <v>5.05</v>
      </c>
      <c r="S34" s="1238">
        <f>Minerais!$F$26</f>
        <v>49.608382072740824</v>
      </c>
      <c r="T34" s="1228">
        <v>4.24</v>
      </c>
      <c r="U34" s="1238">
        <f>Minerais!$F$26</f>
        <v>49.608382072740824</v>
      </c>
      <c r="V34" s="1228">
        <v>5.48</v>
      </c>
      <c r="W34" s="1238">
        <f>Minerais!$F$26</f>
        <v>49.608382072740824</v>
      </c>
      <c r="X34" s="1228">
        <v>5.48</v>
      </c>
      <c r="Y34" s="1238">
        <f>Minerais!$F$26</f>
        <v>49.608382072740824</v>
      </c>
      <c r="Z34" s="1230"/>
      <c r="AA34" s="1241" t="s">
        <v>296</v>
      </c>
      <c r="AB34" s="1232" t="s">
        <v>21</v>
      </c>
      <c r="AC34" s="1233">
        <f t="shared" si="34"/>
        <v>51.744</v>
      </c>
      <c r="AD34" s="1234">
        <v>9999999</v>
      </c>
      <c r="AE34" s="1235">
        <f>(0.34+(0.000599*AE11)-(0.00654*AE12))*AE51</f>
        <v>51.744</v>
      </c>
      <c r="AF34" s="1236" t="s">
        <v>21</v>
      </c>
      <c r="AG34" s="1233">
        <f t="shared" si="35"/>
        <v>25</v>
      </c>
      <c r="AH34" s="1234">
        <v>9999999</v>
      </c>
      <c r="AI34" s="595">
        <f>(0.25*AI51)</f>
        <v>25</v>
      </c>
      <c r="AJ34" s="1236" t="s">
        <v>21</v>
      </c>
      <c r="AK34" s="1233">
        <f t="shared" si="36"/>
        <v>30.096399999999999</v>
      </c>
      <c r="AL34" s="1234">
        <v>9999999</v>
      </c>
      <c r="AM34" s="1237">
        <f>(23.5+(0.024*AM11)-(0.000021*AM11*AM11))</f>
        <v>30.096399999999999</v>
      </c>
      <c r="AN34" s="1237"/>
      <c r="AO34" s="1233">
        <f t="shared" si="37"/>
        <v>51.744</v>
      </c>
      <c r="AP34" s="1234">
        <v>9999999</v>
      </c>
      <c r="AQ34" s="595">
        <f>(0.34+(0.000599*AQ11)-(0.00654*AQ12))*AQ51</f>
        <v>51.744</v>
      </c>
      <c r="AR34" s="1236" t="s">
        <v>21</v>
      </c>
      <c r="AS34" s="1233">
        <f t="shared" si="38"/>
        <v>51.744</v>
      </c>
      <c r="AT34" s="1234">
        <v>9999999</v>
      </c>
      <c r="AU34" s="595">
        <f>(0.34+(0.000599*AU11)-(0.00654*AU12))*AU51</f>
        <v>51.744</v>
      </c>
      <c r="AV34" s="1236" t="s">
        <v>21</v>
      </c>
      <c r="AW34" s="1053"/>
      <c r="AX34" s="1053"/>
      <c r="AY34" s="1053"/>
      <c r="AZ34" s="1053"/>
    </row>
    <row r="35" spans="1:52">
      <c r="A35" s="1055">
        <v>18</v>
      </c>
      <c r="B35" s="1221" t="s">
        <v>292</v>
      </c>
      <c r="C35" s="1222">
        <f t="shared" si="31"/>
        <v>11</v>
      </c>
      <c r="D35" s="1222">
        <f t="shared" si="32"/>
        <v>9999999</v>
      </c>
      <c r="E35" s="1147" t="s">
        <v>21</v>
      </c>
      <c r="F35" s="756"/>
      <c r="G35" s="1220"/>
      <c r="H35" s="1226">
        <v>1.3089999999999999</v>
      </c>
      <c r="I35" s="1238">
        <f>Minerais!$F$27</f>
        <v>9.9216764145481644</v>
      </c>
      <c r="J35" s="1228">
        <v>1.4850000000000001</v>
      </c>
      <c r="K35" s="1238">
        <f>Minerais!$F$27</f>
        <v>9.9216764145481644</v>
      </c>
      <c r="L35" s="1228">
        <v>1.716</v>
      </c>
      <c r="M35" s="1238">
        <f>Minerais!$F$27</f>
        <v>9.9216764145481644</v>
      </c>
      <c r="N35" s="1228">
        <v>1.5840000000000001</v>
      </c>
      <c r="O35" s="1238">
        <f>Minerais!$F$27</f>
        <v>9.9216764145481644</v>
      </c>
      <c r="P35" s="1228">
        <v>1.5069999999999999</v>
      </c>
      <c r="Q35" s="1238">
        <f>Minerais!$F$27</f>
        <v>9.9216764145481644</v>
      </c>
      <c r="R35" s="1228">
        <v>1.111</v>
      </c>
      <c r="S35" s="1238">
        <f>Minerais!$F$27</f>
        <v>9.9216764145481644</v>
      </c>
      <c r="T35" s="1228">
        <v>1.1659999999999999</v>
      </c>
      <c r="U35" s="1238">
        <f>Minerais!$F$27</f>
        <v>9.9216764145481644</v>
      </c>
      <c r="V35" s="1228">
        <v>1.5069999999999999</v>
      </c>
      <c r="W35" s="1238">
        <f>Minerais!$F$27</f>
        <v>9.9216764145481644</v>
      </c>
      <c r="X35" s="1228">
        <v>1.5069999999999999</v>
      </c>
      <c r="Y35" s="1238">
        <f>Minerais!$F$27</f>
        <v>9.9216764145481644</v>
      </c>
      <c r="Z35" s="1230"/>
      <c r="AA35" s="1239" t="s">
        <v>292</v>
      </c>
      <c r="AB35" s="1240" t="s">
        <v>21</v>
      </c>
      <c r="AC35" s="1233">
        <f t="shared" si="34"/>
        <v>11</v>
      </c>
      <c r="AD35" s="1234">
        <v>9999999</v>
      </c>
      <c r="AE35" s="1235">
        <f>0.11*AE51</f>
        <v>11</v>
      </c>
      <c r="AF35" s="1236" t="s">
        <v>21</v>
      </c>
      <c r="AG35" s="1233">
        <f t="shared" si="35"/>
        <v>10</v>
      </c>
      <c r="AH35" s="1234">
        <v>9999999</v>
      </c>
      <c r="AI35" s="595">
        <f>10</f>
        <v>10</v>
      </c>
      <c r="AJ35" s="1236" t="s">
        <v>21</v>
      </c>
      <c r="AK35" s="1233">
        <f t="shared" si="36"/>
        <v>11</v>
      </c>
      <c r="AL35" s="1234">
        <v>9999999</v>
      </c>
      <c r="AM35" s="1237">
        <f>11</f>
        <v>11</v>
      </c>
      <c r="AN35" s="1237"/>
      <c r="AO35" s="1233">
        <f t="shared" si="37"/>
        <v>11</v>
      </c>
      <c r="AP35" s="1234">
        <v>9999999</v>
      </c>
      <c r="AQ35" s="595">
        <f>0.11*AQ51</f>
        <v>11</v>
      </c>
      <c r="AR35" s="1236" t="s">
        <v>21</v>
      </c>
      <c r="AS35" s="1233">
        <f t="shared" si="38"/>
        <v>11</v>
      </c>
      <c r="AT35" s="1234">
        <v>9999999</v>
      </c>
      <c r="AU35" s="595">
        <f>0.11*AU51</f>
        <v>11</v>
      </c>
      <c r="AV35" s="1236" t="s">
        <v>21</v>
      </c>
      <c r="AW35" s="1053"/>
      <c r="AX35" s="1053"/>
      <c r="AY35" s="1053"/>
      <c r="AZ35" s="1053"/>
    </row>
    <row r="36" spans="1:52">
      <c r="A36" s="1055">
        <v>19</v>
      </c>
      <c r="B36" s="1218" t="s">
        <v>300</v>
      </c>
      <c r="C36" s="1219">
        <f t="shared" si="31"/>
        <v>30</v>
      </c>
      <c r="D36" s="1219">
        <f t="shared" si="32"/>
        <v>9999999</v>
      </c>
      <c r="E36" s="1146" t="s">
        <v>21</v>
      </c>
      <c r="F36" s="756"/>
      <c r="G36" s="1220"/>
      <c r="H36" s="1226">
        <v>3.57</v>
      </c>
      <c r="I36" s="1238">
        <f>Minerais!$F$28</f>
        <v>1.984335282909633</v>
      </c>
      <c r="J36" s="1228">
        <v>4.05</v>
      </c>
      <c r="K36" s="1238">
        <f>Minerais!$F$28</f>
        <v>1.984335282909633</v>
      </c>
      <c r="L36" s="1228">
        <v>4.68</v>
      </c>
      <c r="M36" s="1238">
        <f>Minerais!$F$28</f>
        <v>1.984335282909633</v>
      </c>
      <c r="N36" s="1228">
        <v>4.32</v>
      </c>
      <c r="O36" s="1238">
        <f>Minerais!$F$28</f>
        <v>1.984335282909633</v>
      </c>
      <c r="P36" s="1228">
        <v>4.1100000000000003</v>
      </c>
      <c r="Q36" s="1238">
        <f>Minerais!$F$28</f>
        <v>1.984335282909633</v>
      </c>
      <c r="R36" s="1228">
        <v>3.03</v>
      </c>
      <c r="S36" s="1238">
        <f>Minerais!$F$28</f>
        <v>1.984335282909633</v>
      </c>
      <c r="T36" s="1228">
        <v>3.18</v>
      </c>
      <c r="U36" s="1238">
        <f>Minerais!$F$28</f>
        <v>1.984335282909633</v>
      </c>
      <c r="V36" s="1228">
        <v>4.1100000000000003</v>
      </c>
      <c r="W36" s="1238">
        <f>Minerais!$F$28</f>
        <v>1.984335282909633</v>
      </c>
      <c r="X36" s="1228">
        <v>4.1100000000000003</v>
      </c>
      <c r="Y36" s="1238">
        <f>Minerais!$F$28</f>
        <v>1.984335282909633</v>
      </c>
      <c r="Z36" s="1230"/>
      <c r="AA36" s="1241" t="s">
        <v>300</v>
      </c>
      <c r="AB36" s="1232" t="s">
        <v>21</v>
      </c>
      <c r="AC36" s="1233">
        <f t="shared" si="34"/>
        <v>30</v>
      </c>
      <c r="AD36" s="1234">
        <v>9999999</v>
      </c>
      <c r="AE36" s="1235">
        <f>0.3*AE51</f>
        <v>30</v>
      </c>
      <c r="AF36" s="1236" t="s">
        <v>21</v>
      </c>
      <c r="AG36" s="1233">
        <f t="shared" si="35"/>
        <v>30</v>
      </c>
      <c r="AH36" s="1234">
        <v>9999999</v>
      </c>
      <c r="AI36" s="595">
        <f>30</f>
        <v>30</v>
      </c>
      <c r="AJ36" s="1236" t="s">
        <v>21</v>
      </c>
      <c r="AK36" s="1233">
        <f t="shared" si="36"/>
        <v>30</v>
      </c>
      <c r="AL36" s="1234">
        <v>9999999</v>
      </c>
      <c r="AM36" s="1237">
        <f>30</f>
        <v>30</v>
      </c>
      <c r="AN36" s="1237"/>
      <c r="AO36" s="1233">
        <f t="shared" si="37"/>
        <v>30</v>
      </c>
      <c r="AP36" s="1234">
        <v>9999999</v>
      </c>
      <c r="AQ36" s="595">
        <f>0.3*AQ51</f>
        <v>30</v>
      </c>
      <c r="AR36" s="1236" t="s">
        <v>21</v>
      </c>
      <c r="AS36" s="1233">
        <f t="shared" si="38"/>
        <v>30</v>
      </c>
      <c r="AT36" s="1234">
        <v>9999999</v>
      </c>
      <c r="AU36" s="595">
        <f>0.3*AU51</f>
        <v>30</v>
      </c>
      <c r="AV36" s="1236" t="s">
        <v>21</v>
      </c>
      <c r="AW36" s="1053"/>
      <c r="AX36" s="1053"/>
      <c r="AY36" s="1053"/>
      <c r="AZ36" s="1053"/>
    </row>
    <row r="37" spans="1:52">
      <c r="A37" s="1055">
        <v>20</v>
      </c>
      <c r="B37" s="1221" t="s">
        <v>315</v>
      </c>
      <c r="C37" s="1222">
        <f t="shared" si="31"/>
        <v>316050</v>
      </c>
      <c r="D37" s="1222">
        <f t="shared" si="32"/>
        <v>9999999</v>
      </c>
      <c r="E37" s="1147" t="s">
        <v>41</v>
      </c>
      <c r="F37" s="756"/>
      <c r="G37" s="1220"/>
      <c r="H37" s="1226">
        <v>49896.7</v>
      </c>
      <c r="I37" s="1238">
        <v>999999</v>
      </c>
      <c r="J37" s="1228">
        <v>74790</v>
      </c>
      <c r="K37" s="1238">
        <v>999999</v>
      </c>
      <c r="L37" s="1228">
        <v>74802</v>
      </c>
      <c r="M37" s="1238">
        <v>999999</v>
      </c>
      <c r="N37" s="1228">
        <v>80294.399999999994</v>
      </c>
      <c r="O37" s="1238">
        <v>999999</v>
      </c>
      <c r="P37" s="1228">
        <v>82611</v>
      </c>
      <c r="Q37" s="1238">
        <v>999999</v>
      </c>
      <c r="R37" s="1228">
        <v>83264.399999999994</v>
      </c>
      <c r="S37" s="1238">
        <v>999999</v>
      </c>
      <c r="T37" s="1228">
        <v>74995</v>
      </c>
      <c r="U37" s="1238">
        <v>999999</v>
      </c>
      <c r="V37" s="1228">
        <v>100010</v>
      </c>
      <c r="W37" s="1238">
        <v>999999</v>
      </c>
      <c r="X37" s="1228">
        <v>100010</v>
      </c>
      <c r="Y37" s="1238">
        <v>999999</v>
      </c>
      <c r="Z37" s="1230"/>
      <c r="AA37" s="1239" t="s">
        <v>315</v>
      </c>
      <c r="AB37" s="1240" t="s">
        <v>41</v>
      </c>
      <c r="AC37" s="1233">
        <f t="shared" si="34"/>
        <v>316050</v>
      </c>
      <c r="AD37" s="1234">
        <v>9999999</v>
      </c>
      <c r="AE37" s="1235">
        <f>(1925+(4*AE11)-(40.3*AE12))*AE51</f>
        <v>316050</v>
      </c>
      <c r="AF37" s="1236" t="s">
        <v>1357</v>
      </c>
      <c r="AG37" s="1233">
        <f t="shared" si="35"/>
        <v>400000</v>
      </c>
      <c r="AH37" s="1234">
        <v>9999999</v>
      </c>
      <c r="AI37" s="595">
        <f>400000</f>
        <v>400000</v>
      </c>
      <c r="AJ37" s="1236" t="s">
        <v>1357</v>
      </c>
      <c r="AK37" s="1233">
        <f t="shared" si="36"/>
        <v>320000</v>
      </c>
      <c r="AL37" s="1234">
        <v>9999999</v>
      </c>
      <c r="AM37" s="1237">
        <f>320000</f>
        <v>320000</v>
      </c>
      <c r="AN37" s="1237"/>
      <c r="AO37" s="1233">
        <f t="shared" si="37"/>
        <v>316050</v>
      </c>
      <c r="AP37" s="1234">
        <v>9999999</v>
      </c>
      <c r="AQ37" s="595">
        <f>(1925+(4*AQ11)-(40.3*AQ12))*AQ51</f>
        <v>316050</v>
      </c>
      <c r="AR37" s="1236" t="s">
        <v>1357</v>
      </c>
      <c r="AS37" s="1233">
        <f t="shared" si="38"/>
        <v>316050</v>
      </c>
      <c r="AT37" s="1234">
        <v>9999999</v>
      </c>
      <c r="AU37" s="595">
        <f>(1925+(4*AU11)-(40.3*AU12))*AU51</f>
        <v>316050</v>
      </c>
      <c r="AV37" s="1236" t="s">
        <v>1357</v>
      </c>
      <c r="AW37" s="1053"/>
      <c r="AX37" s="1053"/>
      <c r="AY37" s="1053"/>
      <c r="AZ37" s="1053"/>
    </row>
    <row r="38" spans="1:52">
      <c r="A38" s="1055">
        <v>21</v>
      </c>
      <c r="B38" s="1218" t="s">
        <v>1227</v>
      </c>
      <c r="C38" s="1219">
        <f t="shared" si="31"/>
        <v>0</v>
      </c>
      <c r="D38" s="1219">
        <f t="shared" si="32"/>
        <v>999999</v>
      </c>
      <c r="E38" s="1146" t="s">
        <v>41</v>
      </c>
      <c r="F38" s="756"/>
      <c r="G38" s="1220"/>
      <c r="H38" s="1226">
        <v>13601.7</v>
      </c>
      <c r="I38" s="1238">
        <v>999999</v>
      </c>
      <c r="J38" s="1228">
        <v>20398.5</v>
      </c>
      <c r="K38" s="1238">
        <v>999999</v>
      </c>
      <c r="L38" s="1228">
        <v>20404.8</v>
      </c>
      <c r="M38" s="1238">
        <v>999999</v>
      </c>
      <c r="N38" s="1228">
        <v>21888</v>
      </c>
      <c r="O38" s="1238">
        <v>999999</v>
      </c>
      <c r="P38" s="1228">
        <v>22536.5</v>
      </c>
      <c r="Q38" s="1238">
        <v>999999</v>
      </c>
      <c r="R38" s="1228">
        <v>22714.9</v>
      </c>
      <c r="S38" s="1238">
        <v>999999</v>
      </c>
      <c r="T38" s="1228">
        <v>20002.2</v>
      </c>
      <c r="U38" s="1238">
        <v>999999</v>
      </c>
      <c r="V38" s="1228">
        <v>24988.799999999999</v>
      </c>
      <c r="W38" s="1238">
        <v>999999</v>
      </c>
      <c r="X38" s="1228">
        <v>24988.799999999999</v>
      </c>
      <c r="Y38" s="1238">
        <v>999999</v>
      </c>
      <c r="Z38" s="1230"/>
      <c r="AA38" s="1241" t="s">
        <v>1227</v>
      </c>
      <c r="AB38" s="1232" t="s">
        <v>41</v>
      </c>
      <c r="AC38" s="1243"/>
      <c r="AD38" s="1230"/>
      <c r="AE38" s="1230"/>
      <c r="AF38" s="1244"/>
      <c r="AG38" s="1243"/>
      <c r="AH38" s="1230"/>
      <c r="AI38" s="1230"/>
      <c r="AJ38" s="1244"/>
      <c r="AK38" s="1230"/>
      <c r="AL38" s="1230"/>
      <c r="AM38" s="1230"/>
      <c r="AN38" s="1230"/>
      <c r="AO38" s="1243"/>
      <c r="AP38" s="1230"/>
      <c r="AQ38" s="1230"/>
      <c r="AR38" s="1244"/>
      <c r="AS38" s="1243"/>
      <c r="AT38" s="1230"/>
      <c r="AU38" s="1230"/>
      <c r="AV38" s="1244"/>
      <c r="AW38" s="1053"/>
      <c r="AX38" s="1053"/>
      <c r="AY38" s="1053"/>
      <c r="AZ38" s="1053"/>
    </row>
    <row r="39" spans="1:52">
      <c r="A39" s="1055">
        <v>22</v>
      </c>
      <c r="B39" s="1221" t="s">
        <v>1228</v>
      </c>
      <c r="C39" s="1222">
        <f t="shared" si="31"/>
        <v>0</v>
      </c>
      <c r="D39" s="1222">
        <f t="shared" si="32"/>
        <v>999999</v>
      </c>
      <c r="E39" s="1147" t="s">
        <v>41</v>
      </c>
      <c r="F39" s="756"/>
      <c r="G39" s="1220"/>
      <c r="H39" s="1226">
        <v>368.9</v>
      </c>
      <c r="I39" s="1238">
        <v>999999</v>
      </c>
      <c r="J39" s="1228">
        <v>540</v>
      </c>
      <c r="K39" s="1238">
        <v>999999</v>
      </c>
      <c r="L39" s="1228">
        <v>546</v>
      </c>
      <c r="M39" s="1238">
        <v>999999</v>
      </c>
      <c r="N39" s="1228">
        <v>1166.4000000000001</v>
      </c>
      <c r="O39" s="1238">
        <v>999999</v>
      </c>
      <c r="P39" s="1228">
        <v>1205.5999999999999</v>
      </c>
      <c r="Q39" s="1238">
        <v>999999</v>
      </c>
      <c r="R39" s="1228">
        <v>1212</v>
      </c>
      <c r="S39" s="1238">
        <v>999999</v>
      </c>
      <c r="T39" s="1228">
        <v>1197.8</v>
      </c>
      <c r="U39" s="1238">
        <v>999999</v>
      </c>
      <c r="V39" s="1228">
        <v>1808.4</v>
      </c>
      <c r="W39" s="1238">
        <v>999999</v>
      </c>
      <c r="X39" s="1228">
        <v>1808.4</v>
      </c>
      <c r="Y39" s="1238">
        <v>999999</v>
      </c>
      <c r="Z39" s="1230"/>
      <c r="AA39" s="1239" t="s">
        <v>1228</v>
      </c>
      <c r="AB39" s="1240" t="s">
        <v>41</v>
      </c>
      <c r="AC39" s="1243"/>
      <c r="AD39" s="1230"/>
      <c r="AE39" s="1230"/>
      <c r="AF39" s="1244"/>
      <c r="AG39" s="1243"/>
      <c r="AH39" s="1230"/>
      <c r="AI39" s="1230"/>
      <c r="AJ39" s="1244"/>
      <c r="AK39" s="1230"/>
      <c r="AL39" s="1230"/>
      <c r="AM39" s="1230"/>
      <c r="AN39" s="1230"/>
      <c r="AO39" s="1243"/>
      <c r="AP39" s="1230"/>
      <c r="AQ39" s="1230"/>
      <c r="AR39" s="1244"/>
      <c r="AS39" s="1243"/>
      <c r="AT39" s="1230"/>
      <c r="AU39" s="1230"/>
      <c r="AV39" s="1244"/>
      <c r="AW39" s="1053"/>
      <c r="AX39" s="1053"/>
      <c r="AY39" s="1053"/>
      <c r="AZ39" s="1053"/>
    </row>
    <row r="40" spans="1:52">
      <c r="A40" s="1055">
        <v>23</v>
      </c>
      <c r="B40" s="1218" t="s">
        <v>497</v>
      </c>
      <c r="C40" s="1223">
        <f t="shared" si="31"/>
        <v>0</v>
      </c>
      <c r="D40" s="1223">
        <f t="shared" si="32"/>
        <v>999999</v>
      </c>
      <c r="E40" s="1146" t="s">
        <v>1223</v>
      </c>
      <c r="F40" s="756"/>
      <c r="G40" s="1220"/>
      <c r="H40" s="1245">
        <v>0</v>
      </c>
      <c r="I40" s="1246">
        <v>999999</v>
      </c>
      <c r="J40" s="1247">
        <v>0</v>
      </c>
      <c r="K40" s="1246">
        <v>999999</v>
      </c>
      <c r="L40" s="1247">
        <v>0</v>
      </c>
      <c r="M40" s="1246">
        <v>999999</v>
      </c>
      <c r="N40" s="1247">
        <v>0</v>
      </c>
      <c r="O40" s="1246">
        <v>999999</v>
      </c>
      <c r="P40" s="1247">
        <v>0</v>
      </c>
      <c r="Q40" s="1246">
        <v>999999</v>
      </c>
      <c r="R40" s="1247">
        <v>0</v>
      </c>
      <c r="S40" s="1246">
        <v>999999</v>
      </c>
      <c r="T40" s="1247">
        <v>0</v>
      </c>
      <c r="U40" s="1246">
        <v>999999</v>
      </c>
      <c r="V40" s="1247">
        <v>0</v>
      </c>
      <c r="W40" s="1246">
        <v>999999</v>
      </c>
      <c r="X40" s="1247">
        <v>-150</v>
      </c>
      <c r="Y40" s="1246">
        <v>999999</v>
      </c>
      <c r="Z40" s="1230"/>
      <c r="AA40" s="1241" t="s">
        <v>497</v>
      </c>
      <c r="AB40" s="1232" t="s">
        <v>1223</v>
      </c>
      <c r="AC40" s="1243"/>
      <c r="AD40" s="1230"/>
      <c r="AE40" s="1230"/>
      <c r="AF40" s="1244"/>
      <c r="AG40" s="1243"/>
      <c r="AH40" s="1230"/>
      <c r="AI40" s="1230"/>
      <c r="AJ40" s="1244"/>
      <c r="AK40" s="1230"/>
      <c r="AL40" s="1230"/>
      <c r="AM40" s="1230"/>
      <c r="AN40" s="1230"/>
      <c r="AO40" s="1243"/>
      <c r="AP40" s="1230"/>
      <c r="AQ40" s="1230"/>
      <c r="AR40" s="1244"/>
      <c r="AS40" s="1243"/>
      <c r="AT40" s="1230"/>
      <c r="AU40" s="1230"/>
      <c r="AV40" s="1244"/>
      <c r="AW40" s="1053"/>
      <c r="AX40" s="1053"/>
      <c r="AY40" s="1053"/>
      <c r="AZ40" s="1053"/>
    </row>
    <row r="41" spans="1:52">
      <c r="A41" s="1055">
        <v>24</v>
      </c>
      <c r="B41" s="1221" t="s">
        <v>1226</v>
      </c>
      <c r="C41" s="1222">
        <f t="shared" si="31"/>
        <v>0</v>
      </c>
      <c r="D41" s="1222">
        <f t="shared" si="32"/>
        <v>999999</v>
      </c>
      <c r="E41" s="1147" t="s">
        <v>10</v>
      </c>
      <c r="F41" s="756"/>
      <c r="G41" s="1220"/>
      <c r="H41" s="1248">
        <v>0</v>
      </c>
      <c r="I41" s="1249">
        <v>999999</v>
      </c>
      <c r="J41" s="1250">
        <v>0</v>
      </c>
      <c r="K41" s="1249">
        <v>999999</v>
      </c>
      <c r="L41" s="1250">
        <v>0</v>
      </c>
      <c r="M41" s="1249">
        <v>999999</v>
      </c>
      <c r="N41" s="1250">
        <v>0</v>
      </c>
      <c r="O41" s="1249">
        <v>999999</v>
      </c>
      <c r="P41" s="1250">
        <v>0</v>
      </c>
      <c r="Q41" s="1249">
        <v>999999</v>
      </c>
      <c r="R41" s="1250">
        <v>0</v>
      </c>
      <c r="S41" s="1249">
        <v>999999</v>
      </c>
      <c r="T41" s="1250">
        <v>0</v>
      </c>
      <c r="U41" s="1249">
        <v>999999</v>
      </c>
      <c r="V41" s="1250">
        <v>0</v>
      </c>
      <c r="W41" s="1249">
        <v>999999</v>
      </c>
      <c r="X41" s="1250">
        <v>0</v>
      </c>
      <c r="Y41" s="1249">
        <v>999999</v>
      </c>
      <c r="Z41" s="1230"/>
      <c r="AA41" s="1239" t="s">
        <v>1226</v>
      </c>
      <c r="AB41" s="1240" t="s">
        <v>10</v>
      </c>
      <c r="AC41" s="1243"/>
      <c r="AD41" s="1230"/>
      <c r="AE41" s="1230"/>
      <c r="AF41" s="1244"/>
      <c r="AG41" s="1243"/>
      <c r="AH41" s="1230"/>
      <c r="AI41" s="1230"/>
      <c r="AJ41" s="1244"/>
      <c r="AK41" s="1230"/>
      <c r="AL41" s="1230"/>
      <c r="AM41" s="1230"/>
      <c r="AN41" s="1230"/>
      <c r="AO41" s="1243"/>
      <c r="AP41" s="1230"/>
      <c r="AQ41" s="1230"/>
      <c r="AR41" s="1244"/>
      <c r="AS41" s="1243"/>
      <c r="AT41" s="1230"/>
      <c r="AU41" s="1230"/>
      <c r="AV41" s="1244"/>
      <c r="AW41" s="1053"/>
      <c r="AX41" s="1053"/>
      <c r="AY41" s="1053"/>
      <c r="AZ41" s="1053"/>
    </row>
    <row r="42" spans="1:52">
      <c r="A42" s="1055">
        <v>25</v>
      </c>
      <c r="B42" s="1218" t="s">
        <v>673</v>
      </c>
      <c r="C42" s="1219">
        <f t="shared" si="31"/>
        <v>0</v>
      </c>
      <c r="D42" s="1219">
        <f t="shared" si="32"/>
        <v>999999</v>
      </c>
      <c r="E42" s="1146" t="s">
        <v>7</v>
      </c>
      <c r="F42" s="756"/>
      <c r="G42" s="1220"/>
      <c r="H42" s="1248">
        <v>0</v>
      </c>
      <c r="I42" s="1238">
        <f>H21*0.3</f>
        <v>0.37485000000000002</v>
      </c>
      <c r="J42" s="1250">
        <v>0</v>
      </c>
      <c r="K42" s="1238">
        <f>J21*0.3</f>
        <v>0.42524999999999996</v>
      </c>
      <c r="L42" s="1250">
        <v>0</v>
      </c>
      <c r="M42" s="1238">
        <f>L21*0.3</f>
        <v>0.49139999999999995</v>
      </c>
      <c r="N42" s="1250">
        <v>0</v>
      </c>
      <c r="O42" s="1238">
        <f>N21*0.3</f>
        <v>0.33263999999999999</v>
      </c>
      <c r="P42" s="1250">
        <v>0</v>
      </c>
      <c r="Q42" s="1238">
        <f>P21*0.3</f>
        <v>0.35757</v>
      </c>
      <c r="R42" s="1250">
        <v>0</v>
      </c>
      <c r="S42" s="1238">
        <f>R21*0.3</f>
        <v>0.29087999999999997</v>
      </c>
      <c r="T42" s="1250">
        <v>0</v>
      </c>
      <c r="U42" s="1238">
        <f>T21*0.3</f>
        <v>0.32435999999999998</v>
      </c>
      <c r="V42" s="1250">
        <v>0</v>
      </c>
      <c r="W42" s="1238">
        <f>V21*0.3</f>
        <v>0.33290999999999998</v>
      </c>
      <c r="X42" s="1250">
        <v>0</v>
      </c>
      <c r="Y42" s="1238">
        <f>X21*0.3</f>
        <v>0.32057999999999998</v>
      </c>
      <c r="Z42" s="1230"/>
      <c r="AA42" s="1241" t="s">
        <v>673</v>
      </c>
      <c r="AB42" s="1232" t="s">
        <v>7</v>
      </c>
      <c r="AC42" s="1243"/>
      <c r="AD42" s="1230"/>
      <c r="AE42" s="1230"/>
      <c r="AF42" s="1244"/>
      <c r="AG42" s="1243"/>
      <c r="AH42" s="1230"/>
      <c r="AI42" s="1230"/>
      <c r="AJ42" s="1244"/>
      <c r="AK42" s="1230"/>
      <c r="AL42" s="1230"/>
      <c r="AM42" s="1230"/>
      <c r="AN42" s="1230"/>
      <c r="AO42" s="1243"/>
      <c r="AP42" s="1230"/>
      <c r="AQ42" s="1230"/>
      <c r="AR42" s="1244"/>
      <c r="AS42" s="1243"/>
      <c r="AT42" s="1230"/>
      <c r="AU42" s="1230"/>
      <c r="AV42" s="1244"/>
      <c r="AW42" s="1053"/>
      <c r="AX42" s="1053"/>
      <c r="AY42" s="1053"/>
      <c r="AZ42" s="1053"/>
    </row>
    <row r="43" spans="1:52">
      <c r="A43" s="1055">
        <v>26</v>
      </c>
      <c r="B43" s="1221" t="s">
        <v>306</v>
      </c>
      <c r="C43" s="1222">
        <f t="shared" si="31"/>
        <v>0</v>
      </c>
      <c r="D43" s="1222">
        <f t="shared" si="32"/>
        <v>999999</v>
      </c>
      <c r="E43" s="1147" t="s">
        <v>33</v>
      </c>
      <c r="F43" s="756"/>
      <c r="G43" s="1220"/>
      <c r="H43" s="1248">
        <v>0</v>
      </c>
      <c r="I43" s="1249">
        <v>999999</v>
      </c>
      <c r="J43" s="1250">
        <v>0</v>
      </c>
      <c r="K43" s="1249">
        <v>999999</v>
      </c>
      <c r="L43" s="1250">
        <v>0</v>
      </c>
      <c r="M43" s="1249">
        <v>999999</v>
      </c>
      <c r="N43" s="1250">
        <v>0</v>
      </c>
      <c r="O43" s="1249">
        <v>999999</v>
      </c>
      <c r="P43" s="1250">
        <v>0</v>
      </c>
      <c r="Q43" s="1249">
        <v>999999</v>
      </c>
      <c r="R43" s="1250">
        <v>0</v>
      </c>
      <c r="S43" s="1249">
        <v>999999</v>
      </c>
      <c r="T43" s="1250">
        <v>0</v>
      </c>
      <c r="U43" s="1249">
        <v>999999</v>
      </c>
      <c r="V43" s="1250">
        <v>0</v>
      </c>
      <c r="W43" s="1249">
        <v>999999</v>
      </c>
      <c r="X43" s="1250">
        <v>0</v>
      </c>
      <c r="Y43" s="1249">
        <v>999999</v>
      </c>
      <c r="Z43" s="1230"/>
      <c r="AA43" s="1239" t="s">
        <v>306</v>
      </c>
      <c r="AB43" s="1240" t="s">
        <v>33</v>
      </c>
      <c r="AC43" s="1243"/>
      <c r="AD43" s="1230"/>
      <c r="AE43" s="1230"/>
      <c r="AF43" s="1244"/>
      <c r="AG43" s="1243"/>
      <c r="AH43" s="1230"/>
      <c r="AI43" s="1230"/>
      <c r="AJ43" s="1244"/>
      <c r="AK43" s="1230"/>
      <c r="AL43" s="1230"/>
      <c r="AM43" s="1230"/>
      <c r="AN43" s="1230"/>
      <c r="AO43" s="1243"/>
      <c r="AP43" s="1230"/>
      <c r="AQ43" s="1230"/>
      <c r="AR43" s="1244"/>
      <c r="AS43" s="1243"/>
      <c r="AT43" s="1230"/>
      <c r="AU43" s="1230"/>
      <c r="AV43" s="1244"/>
      <c r="AW43" s="1053"/>
      <c r="AX43" s="1053"/>
      <c r="AY43" s="1053"/>
      <c r="AZ43" s="1053"/>
    </row>
    <row r="44" spans="1:52">
      <c r="A44" s="1055">
        <v>27</v>
      </c>
      <c r="B44" s="1218" t="s">
        <v>263</v>
      </c>
      <c r="C44" s="1219">
        <f t="shared" si="31"/>
        <v>0</v>
      </c>
      <c r="D44" s="1219">
        <f t="shared" si="32"/>
        <v>999999</v>
      </c>
      <c r="E44" s="1146" t="s">
        <v>7</v>
      </c>
      <c r="F44" s="756"/>
      <c r="G44" s="1220"/>
      <c r="H44" s="1248">
        <v>0</v>
      </c>
      <c r="I44" s="1249">
        <v>999999</v>
      </c>
      <c r="J44" s="1250">
        <v>0</v>
      </c>
      <c r="K44" s="1249">
        <v>999999</v>
      </c>
      <c r="L44" s="1250">
        <v>0</v>
      </c>
      <c r="M44" s="1249">
        <v>999999</v>
      </c>
      <c r="N44" s="1250">
        <v>0</v>
      </c>
      <c r="O44" s="1249">
        <v>999999</v>
      </c>
      <c r="P44" s="1250">
        <v>0</v>
      </c>
      <c r="Q44" s="1249">
        <v>999999</v>
      </c>
      <c r="R44" s="1250">
        <v>0</v>
      </c>
      <c r="S44" s="1249">
        <v>999999</v>
      </c>
      <c r="T44" s="1250">
        <v>0</v>
      </c>
      <c r="U44" s="1249">
        <v>999999</v>
      </c>
      <c r="V44" s="1250">
        <v>0</v>
      </c>
      <c r="W44" s="1249">
        <v>999999</v>
      </c>
      <c r="X44" s="1250">
        <v>0</v>
      </c>
      <c r="Y44" s="1249">
        <v>999999</v>
      </c>
      <c r="Z44" s="1230"/>
      <c r="AA44" s="1241" t="s">
        <v>263</v>
      </c>
      <c r="AB44" s="1232" t="s">
        <v>7</v>
      </c>
      <c r="AC44" s="1243"/>
      <c r="AD44" s="1230"/>
      <c r="AE44" s="1230"/>
      <c r="AF44" s="1244"/>
      <c r="AG44" s="1243"/>
      <c r="AH44" s="1230"/>
      <c r="AI44" s="1230"/>
      <c r="AJ44" s="1244"/>
      <c r="AK44" s="1230"/>
      <c r="AL44" s="1230"/>
      <c r="AM44" s="1230"/>
      <c r="AN44" s="1230"/>
      <c r="AO44" s="1243"/>
      <c r="AP44" s="1230"/>
      <c r="AQ44" s="1230"/>
      <c r="AR44" s="1244"/>
      <c r="AS44" s="1243"/>
      <c r="AT44" s="1230"/>
      <c r="AU44" s="1230"/>
      <c r="AV44" s="1244"/>
      <c r="AW44" s="1053"/>
      <c r="AX44" s="1053"/>
      <c r="AY44" s="1053"/>
      <c r="AZ44" s="1053"/>
    </row>
    <row r="45" spans="1:52">
      <c r="A45" s="1055">
        <v>28</v>
      </c>
      <c r="B45" s="1221" t="s">
        <v>289</v>
      </c>
      <c r="C45" s="1222">
        <f t="shared" si="31"/>
        <v>0</v>
      </c>
      <c r="D45" s="1222">
        <f t="shared" si="32"/>
        <v>999999</v>
      </c>
      <c r="E45" s="1147" t="s">
        <v>10</v>
      </c>
      <c r="F45" s="756"/>
      <c r="G45" s="1220"/>
      <c r="H45" s="1248">
        <v>0</v>
      </c>
      <c r="I45" s="1249">
        <v>999999</v>
      </c>
      <c r="J45" s="1250">
        <v>0</v>
      </c>
      <c r="K45" s="1249">
        <v>999999</v>
      </c>
      <c r="L45" s="1250">
        <v>0</v>
      </c>
      <c r="M45" s="1249">
        <v>999999</v>
      </c>
      <c r="N45" s="1250">
        <v>0</v>
      </c>
      <c r="O45" s="1249">
        <v>999999</v>
      </c>
      <c r="P45" s="1250">
        <v>0</v>
      </c>
      <c r="Q45" s="1249">
        <v>999999</v>
      </c>
      <c r="R45" s="1250">
        <v>0</v>
      </c>
      <c r="S45" s="1249">
        <v>999999</v>
      </c>
      <c r="T45" s="1250">
        <v>0</v>
      </c>
      <c r="U45" s="1249">
        <v>999999</v>
      </c>
      <c r="V45" s="1250">
        <v>0</v>
      </c>
      <c r="W45" s="1249">
        <v>999999</v>
      </c>
      <c r="X45" s="1250">
        <v>0</v>
      </c>
      <c r="Y45" s="1249">
        <v>999999</v>
      </c>
      <c r="Z45" s="1230"/>
      <c r="AA45" s="1239" t="s">
        <v>289</v>
      </c>
      <c r="AB45" s="1240" t="s">
        <v>10</v>
      </c>
      <c r="AC45" s="1243"/>
      <c r="AD45" s="1230"/>
      <c r="AE45" s="1230"/>
      <c r="AF45" s="1244"/>
      <c r="AG45" s="1243"/>
      <c r="AH45" s="1230"/>
      <c r="AI45" s="1230"/>
      <c r="AJ45" s="1244"/>
      <c r="AK45" s="1230"/>
      <c r="AL45" s="1230"/>
      <c r="AM45" s="1230"/>
      <c r="AN45" s="1230"/>
      <c r="AO45" s="1243"/>
      <c r="AP45" s="1230"/>
      <c r="AQ45" s="1230"/>
      <c r="AR45" s="1244"/>
      <c r="AS45" s="1243"/>
      <c r="AT45" s="1230"/>
      <c r="AU45" s="1230"/>
      <c r="AV45" s="1244"/>
      <c r="AW45" s="1053"/>
      <c r="AX45" s="1053"/>
      <c r="AY45" s="1053"/>
      <c r="AZ45" s="1053"/>
    </row>
    <row r="46" spans="1:52">
      <c r="A46" s="1055">
        <v>29</v>
      </c>
      <c r="B46" s="1218" t="s">
        <v>290</v>
      </c>
      <c r="C46" s="1219">
        <f t="shared" si="31"/>
        <v>0</v>
      </c>
      <c r="D46" s="1219">
        <f t="shared" si="32"/>
        <v>999999</v>
      </c>
      <c r="E46" s="1146" t="s">
        <v>10</v>
      </c>
      <c r="F46" s="1174"/>
      <c r="G46" s="1220"/>
      <c r="H46" s="1248">
        <v>0</v>
      </c>
      <c r="I46" s="1249">
        <v>999999</v>
      </c>
      <c r="J46" s="1250">
        <v>0</v>
      </c>
      <c r="K46" s="1249">
        <v>999999</v>
      </c>
      <c r="L46" s="1250">
        <v>0</v>
      </c>
      <c r="M46" s="1249">
        <v>999999</v>
      </c>
      <c r="N46" s="1250">
        <v>0</v>
      </c>
      <c r="O46" s="1249">
        <v>999999</v>
      </c>
      <c r="P46" s="1250">
        <v>0</v>
      </c>
      <c r="Q46" s="1249">
        <v>999999</v>
      </c>
      <c r="R46" s="1250">
        <v>0</v>
      </c>
      <c r="S46" s="1249">
        <v>999999</v>
      </c>
      <c r="T46" s="1250">
        <v>0</v>
      </c>
      <c r="U46" s="1249">
        <v>999999</v>
      </c>
      <c r="V46" s="1250">
        <v>0</v>
      </c>
      <c r="W46" s="1249">
        <v>999999</v>
      </c>
      <c r="X46" s="1250">
        <v>0</v>
      </c>
      <c r="Y46" s="1249">
        <v>999999</v>
      </c>
      <c r="Z46" s="1230"/>
      <c r="AA46" s="1241" t="s">
        <v>290</v>
      </c>
      <c r="AB46" s="1232" t="s">
        <v>10</v>
      </c>
      <c r="AC46" s="1243"/>
      <c r="AD46" s="1230"/>
      <c r="AE46" s="1230"/>
      <c r="AF46" s="1244"/>
      <c r="AG46" s="1243"/>
      <c r="AH46" s="1230"/>
      <c r="AI46" s="1230"/>
      <c r="AJ46" s="1244"/>
      <c r="AK46" s="1230"/>
      <c r="AL46" s="1230"/>
      <c r="AM46" s="1230"/>
      <c r="AN46" s="1230"/>
      <c r="AO46" s="1243"/>
      <c r="AP46" s="1230"/>
      <c r="AQ46" s="1230"/>
      <c r="AR46" s="1244"/>
      <c r="AS46" s="1243"/>
      <c r="AT46" s="1230"/>
      <c r="AU46" s="1230"/>
      <c r="AV46" s="1244"/>
      <c r="AW46" s="1053"/>
      <c r="AX46" s="1053"/>
      <c r="AY46" s="1053"/>
      <c r="AZ46" s="1053"/>
    </row>
    <row r="47" spans="1:52">
      <c r="A47" s="1055">
        <v>30</v>
      </c>
      <c r="B47" s="1221" t="s">
        <v>426</v>
      </c>
      <c r="C47" s="1222">
        <f t="shared" si="31"/>
        <v>0</v>
      </c>
      <c r="D47" s="1222">
        <f t="shared" si="32"/>
        <v>999999</v>
      </c>
      <c r="E47" s="1147" t="s">
        <v>21</v>
      </c>
      <c r="F47" s="1174"/>
      <c r="G47" s="1220"/>
      <c r="H47" s="1248">
        <v>0</v>
      </c>
      <c r="I47" s="1249">
        <v>999999</v>
      </c>
      <c r="J47" s="1250">
        <v>0</v>
      </c>
      <c r="K47" s="1249">
        <v>999999</v>
      </c>
      <c r="L47" s="1250">
        <v>0</v>
      </c>
      <c r="M47" s="1249">
        <v>999999</v>
      </c>
      <c r="N47" s="1250">
        <v>0</v>
      </c>
      <c r="O47" s="1249">
        <v>999999</v>
      </c>
      <c r="P47" s="1250">
        <v>0</v>
      </c>
      <c r="Q47" s="1249">
        <v>999999</v>
      </c>
      <c r="R47" s="1250">
        <v>0</v>
      </c>
      <c r="S47" s="1249">
        <v>999999</v>
      </c>
      <c r="T47" s="1250">
        <v>0</v>
      </c>
      <c r="U47" s="1249">
        <v>999999</v>
      </c>
      <c r="V47" s="1250">
        <v>0</v>
      </c>
      <c r="W47" s="1249">
        <v>999999</v>
      </c>
      <c r="X47" s="1250">
        <v>0</v>
      </c>
      <c r="Y47" s="1249">
        <v>999999</v>
      </c>
      <c r="Z47" s="1230"/>
      <c r="AA47" s="1239" t="s">
        <v>426</v>
      </c>
      <c r="AB47" s="1240" t="s">
        <v>21</v>
      </c>
      <c r="AC47" s="1243"/>
      <c r="AD47" s="1230"/>
      <c r="AE47" s="1230"/>
      <c r="AF47" s="1244"/>
      <c r="AG47" s="1243"/>
      <c r="AH47" s="1230"/>
      <c r="AI47" s="1230"/>
      <c r="AJ47" s="1244"/>
      <c r="AK47" s="1230"/>
      <c r="AL47" s="1230"/>
      <c r="AM47" s="1230"/>
      <c r="AN47" s="1230"/>
      <c r="AO47" s="1243"/>
      <c r="AP47" s="1230"/>
      <c r="AQ47" s="1230"/>
      <c r="AR47" s="1244"/>
      <c r="AS47" s="1243"/>
      <c r="AT47" s="1230"/>
      <c r="AU47" s="1230"/>
      <c r="AV47" s="1244"/>
      <c r="AW47" s="1053"/>
      <c r="AX47" s="1053"/>
      <c r="AY47" s="1053"/>
      <c r="AZ47" s="1053"/>
    </row>
    <row r="48" spans="1:52">
      <c r="A48" s="1055">
        <v>31</v>
      </c>
      <c r="B48" s="1218" t="s">
        <v>3</v>
      </c>
      <c r="C48" s="1219">
        <f t="shared" si="31"/>
        <v>0</v>
      </c>
      <c r="D48" s="1219">
        <f t="shared" si="32"/>
        <v>999999</v>
      </c>
      <c r="E48" s="1146" t="s">
        <v>1224</v>
      </c>
      <c r="F48" s="1174"/>
      <c r="G48" s="1220"/>
      <c r="H48" s="1248">
        <v>0</v>
      </c>
      <c r="I48" s="1249">
        <v>999999</v>
      </c>
      <c r="J48" s="1250">
        <v>0</v>
      </c>
      <c r="K48" s="1249">
        <v>999999</v>
      </c>
      <c r="L48" s="1250">
        <v>0</v>
      </c>
      <c r="M48" s="1249">
        <v>999999</v>
      </c>
      <c r="N48" s="1250">
        <v>0</v>
      </c>
      <c r="O48" s="1249">
        <v>999999</v>
      </c>
      <c r="P48" s="1250">
        <v>0</v>
      </c>
      <c r="Q48" s="1249">
        <v>999999</v>
      </c>
      <c r="R48" s="1250">
        <v>0</v>
      </c>
      <c r="S48" s="1249">
        <v>999999</v>
      </c>
      <c r="T48" s="1250">
        <v>0</v>
      </c>
      <c r="U48" s="1249">
        <v>999999</v>
      </c>
      <c r="V48" s="1250">
        <v>0</v>
      </c>
      <c r="W48" s="1249">
        <v>999999</v>
      </c>
      <c r="X48" s="1250">
        <v>0</v>
      </c>
      <c r="Y48" s="1249">
        <v>999999</v>
      </c>
      <c r="Z48" s="1230"/>
      <c r="AA48" s="1241" t="s">
        <v>3</v>
      </c>
      <c r="AB48" s="1232" t="s">
        <v>1224</v>
      </c>
      <c r="AC48" s="1243"/>
      <c r="AD48" s="1230"/>
      <c r="AE48" s="1230"/>
      <c r="AF48" s="1244"/>
      <c r="AG48" s="1243"/>
      <c r="AH48" s="1230"/>
      <c r="AI48" s="1230"/>
      <c r="AJ48" s="1244"/>
      <c r="AK48" s="1230"/>
      <c r="AL48" s="1230"/>
      <c r="AM48" s="1230"/>
      <c r="AN48" s="1230"/>
      <c r="AO48" s="1243"/>
      <c r="AP48" s="1230"/>
      <c r="AQ48" s="1230"/>
      <c r="AR48" s="1244"/>
      <c r="AS48" s="1243"/>
      <c r="AT48" s="1230"/>
      <c r="AU48" s="1230"/>
      <c r="AV48" s="1244"/>
      <c r="AW48" s="1053"/>
      <c r="AX48" s="1053"/>
      <c r="AY48" s="1053"/>
      <c r="AZ48" s="1053"/>
    </row>
    <row r="49" spans="1:52">
      <c r="A49" s="1055">
        <v>32</v>
      </c>
      <c r="B49" s="1221" t="s">
        <v>498</v>
      </c>
      <c r="C49" s="1222">
        <f t="shared" si="31"/>
        <v>0</v>
      </c>
      <c r="D49" s="1222">
        <f t="shared" si="32"/>
        <v>999999</v>
      </c>
      <c r="E49" s="1147" t="s">
        <v>1224</v>
      </c>
      <c r="F49" s="756"/>
      <c r="G49" s="1220"/>
      <c r="H49" s="1248">
        <v>0</v>
      </c>
      <c r="I49" s="1249">
        <v>999999</v>
      </c>
      <c r="J49" s="1250">
        <v>0</v>
      </c>
      <c r="K49" s="1249">
        <v>999999</v>
      </c>
      <c r="L49" s="1250">
        <v>0</v>
      </c>
      <c r="M49" s="1249">
        <v>999999</v>
      </c>
      <c r="N49" s="1250">
        <v>0</v>
      </c>
      <c r="O49" s="1249">
        <v>999999</v>
      </c>
      <c r="P49" s="1250">
        <v>0</v>
      </c>
      <c r="Q49" s="1249">
        <v>999999</v>
      </c>
      <c r="R49" s="1250">
        <v>0</v>
      </c>
      <c r="S49" s="1249">
        <v>999999</v>
      </c>
      <c r="T49" s="1250">
        <v>0</v>
      </c>
      <c r="U49" s="1249">
        <v>999999</v>
      </c>
      <c r="V49" s="1250">
        <v>0</v>
      </c>
      <c r="W49" s="1249">
        <v>999999</v>
      </c>
      <c r="X49" s="1250">
        <v>0</v>
      </c>
      <c r="Y49" s="1249">
        <v>999999</v>
      </c>
      <c r="Z49" s="1230"/>
      <c r="AA49" s="1239" t="s">
        <v>498</v>
      </c>
      <c r="AB49" s="1240" t="s">
        <v>1224</v>
      </c>
      <c r="AC49" s="1243"/>
      <c r="AD49" s="1230"/>
      <c r="AE49" s="1230"/>
      <c r="AF49" s="1244"/>
      <c r="AG49" s="1243"/>
      <c r="AH49" s="1230"/>
      <c r="AI49" s="1230"/>
      <c r="AJ49" s="1244"/>
      <c r="AK49" s="1230"/>
      <c r="AL49" s="1230"/>
      <c r="AM49" s="1230"/>
      <c r="AN49" s="1230"/>
      <c r="AO49" s="1243"/>
      <c r="AP49" s="1230"/>
      <c r="AQ49" s="1230"/>
      <c r="AR49" s="1244"/>
      <c r="AS49" s="1243"/>
      <c r="AT49" s="1230"/>
      <c r="AU49" s="1230"/>
      <c r="AV49" s="1244"/>
      <c r="AW49" s="1053"/>
      <c r="AX49" s="1053"/>
      <c r="AY49" s="1053"/>
      <c r="AZ49" s="1053"/>
    </row>
    <row r="50" spans="1:52">
      <c r="A50" s="1055">
        <v>33</v>
      </c>
      <c r="B50" s="1218" t="s">
        <v>499</v>
      </c>
      <c r="C50" s="1219">
        <f t="shared" si="31"/>
        <v>0</v>
      </c>
      <c r="D50" s="1219">
        <f t="shared" si="32"/>
        <v>999999</v>
      </c>
      <c r="E50" s="1146" t="s">
        <v>1225</v>
      </c>
      <c r="F50" s="756"/>
      <c r="G50" s="1220"/>
      <c r="H50" s="1248">
        <v>0</v>
      </c>
      <c r="I50" s="1249">
        <v>999999</v>
      </c>
      <c r="J50" s="1250">
        <v>0</v>
      </c>
      <c r="K50" s="1249">
        <v>999999</v>
      </c>
      <c r="L50" s="1250">
        <v>0</v>
      </c>
      <c r="M50" s="1249">
        <v>999999</v>
      </c>
      <c r="N50" s="1250">
        <v>0</v>
      </c>
      <c r="O50" s="1249">
        <v>999999</v>
      </c>
      <c r="P50" s="1250">
        <v>0</v>
      </c>
      <c r="Q50" s="1249">
        <v>999999</v>
      </c>
      <c r="R50" s="1250">
        <v>0</v>
      </c>
      <c r="S50" s="1249">
        <v>999999</v>
      </c>
      <c r="T50" s="1250">
        <v>0</v>
      </c>
      <c r="U50" s="1249">
        <v>999999</v>
      </c>
      <c r="V50" s="1250">
        <v>0</v>
      </c>
      <c r="W50" s="1249">
        <v>999999</v>
      </c>
      <c r="X50" s="1250">
        <v>0</v>
      </c>
      <c r="Y50" s="1249">
        <v>999999</v>
      </c>
      <c r="Z50" s="1230"/>
      <c r="AA50" s="1241" t="s">
        <v>499</v>
      </c>
      <c r="AB50" s="1232" t="s">
        <v>1225</v>
      </c>
      <c r="AC50" s="1243"/>
      <c r="AD50" s="1230"/>
      <c r="AE50" s="1230"/>
      <c r="AF50" s="1244"/>
      <c r="AG50" s="1243"/>
      <c r="AH50" s="1230"/>
      <c r="AI50" s="1230"/>
      <c r="AJ50" s="1244"/>
      <c r="AK50" s="1230"/>
      <c r="AL50" s="1230"/>
      <c r="AM50" s="1230"/>
      <c r="AN50" s="1230"/>
      <c r="AO50" s="1243"/>
      <c r="AP50" s="1230"/>
      <c r="AQ50" s="1230"/>
      <c r="AR50" s="1244"/>
      <c r="AS50" s="1243"/>
      <c r="AT50" s="1230"/>
      <c r="AU50" s="1230"/>
      <c r="AV50" s="1244"/>
      <c r="AW50" s="1053"/>
      <c r="AX50" s="1053"/>
      <c r="AY50" s="1053"/>
      <c r="AZ50" s="1053"/>
    </row>
    <row r="51" spans="1:52" ht="15" thickBot="1">
      <c r="A51" s="1055">
        <v>34</v>
      </c>
      <c r="B51" s="1224" t="s">
        <v>437</v>
      </c>
      <c r="C51" s="1225">
        <f t="shared" si="31"/>
        <v>0</v>
      </c>
      <c r="D51" s="1225">
        <f t="shared" si="32"/>
        <v>9999999</v>
      </c>
      <c r="E51" s="1150" t="s">
        <v>42</v>
      </c>
      <c r="F51" s="756"/>
      <c r="G51" s="1220"/>
      <c r="H51" s="1251">
        <v>0</v>
      </c>
      <c r="I51" s="1252">
        <v>999999</v>
      </c>
      <c r="J51" s="1253">
        <v>0</v>
      </c>
      <c r="K51" s="1252">
        <v>999999</v>
      </c>
      <c r="L51" s="1253">
        <v>0</v>
      </c>
      <c r="M51" s="1252">
        <v>999999</v>
      </c>
      <c r="N51" s="1253">
        <v>0</v>
      </c>
      <c r="O51" s="1252">
        <v>999999</v>
      </c>
      <c r="P51" s="1253">
        <v>0</v>
      </c>
      <c r="Q51" s="1252">
        <v>999999</v>
      </c>
      <c r="R51" s="1253">
        <v>0</v>
      </c>
      <c r="S51" s="1252">
        <v>999999</v>
      </c>
      <c r="T51" s="1253">
        <v>0</v>
      </c>
      <c r="U51" s="1252">
        <v>999999</v>
      </c>
      <c r="V51" s="1253">
        <v>0</v>
      </c>
      <c r="W51" s="1252">
        <v>999999</v>
      </c>
      <c r="X51" s="1253">
        <v>0</v>
      </c>
      <c r="Y51" s="1252">
        <v>999999</v>
      </c>
      <c r="Z51" s="1230"/>
      <c r="AA51" s="1254" t="s">
        <v>437</v>
      </c>
      <c r="AB51" s="1255" t="s">
        <v>42</v>
      </c>
      <c r="AC51" s="1256">
        <v>0</v>
      </c>
      <c r="AD51" s="1257">
        <v>9999999</v>
      </c>
      <c r="AE51" s="1258">
        <v>100</v>
      </c>
      <c r="AF51" s="1259"/>
      <c r="AG51" s="1256">
        <v>0</v>
      </c>
      <c r="AH51" s="1257">
        <v>9999999</v>
      </c>
      <c r="AI51" s="1258">
        <v>100</v>
      </c>
      <c r="AJ51" s="1260" t="s">
        <v>7</v>
      </c>
      <c r="AK51" s="1256">
        <v>0</v>
      </c>
      <c r="AL51" s="1257">
        <v>9999999</v>
      </c>
      <c r="AM51" s="1258">
        <v>100</v>
      </c>
      <c r="AN51" s="1260" t="s">
        <v>7</v>
      </c>
      <c r="AO51" s="1256">
        <v>0</v>
      </c>
      <c r="AP51" s="1257">
        <v>9999999</v>
      </c>
      <c r="AQ51" s="1258">
        <v>100</v>
      </c>
      <c r="AR51" s="1260" t="s">
        <v>7</v>
      </c>
      <c r="AS51" s="1256">
        <v>0</v>
      </c>
      <c r="AT51" s="1257">
        <v>9999999</v>
      </c>
      <c r="AU51" s="1258">
        <v>100</v>
      </c>
      <c r="AV51" s="1260" t="s">
        <v>7</v>
      </c>
      <c r="AW51" s="1053"/>
      <c r="AX51" s="1053"/>
      <c r="AY51" s="1053"/>
      <c r="AZ51" s="1053"/>
    </row>
    <row r="52" spans="1:52" ht="15" thickTop="1">
      <c r="A52" s="1053"/>
      <c r="B52" s="1053"/>
      <c r="C52" s="1053"/>
      <c r="D52" s="1053"/>
      <c r="E52" s="1053"/>
      <c r="F52" s="1053"/>
      <c r="G52" s="1053"/>
      <c r="H52" s="1053"/>
      <c r="I52" s="1053"/>
      <c r="J52" s="1053"/>
      <c r="K52" s="1053"/>
      <c r="L52" s="1053"/>
      <c r="M52" s="1053"/>
      <c r="N52" s="1053"/>
      <c r="O52" s="1053"/>
      <c r="P52" s="1053"/>
      <c r="Q52" s="1053"/>
      <c r="R52" s="1053"/>
      <c r="S52" s="1053"/>
      <c r="T52" s="1053"/>
      <c r="U52" s="1053"/>
      <c r="V52" s="1053"/>
      <c r="W52" s="1053"/>
      <c r="X52" s="1053"/>
      <c r="Y52" s="1053"/>
      <c r="Z52" s="1053"/>
      <c r="AA52" s="1053"/>
      <c r="AB52" s="1053"/>
      <c r="AC52" s="1053"/>
      <c r="AD52" s="1053"/>
      <c r="AE52" s="1053"/>
      <c r="AF52" s="1053"/>
      <c r="AG52" s="1053"/>
      <c r="AH52" s="1053"/>
      <c r="AI52" s="1053"/>
      <c r="AJ52" s="1053"/>
      <c r="AK52" s="1053"/>
      <c r="AL52" s="1053"/>
      <c r="AM52" s="1053"/>
      <c r="AN52" s="1053"/>
      <c r="AO52" s="1056" t="s">
        <v>1351</v>
      </c>
      <c r="AP52" s="1057">
        <f>-36.72+(0.01123*AQ11)+(0.1232*AQ12)+(0.5296*AQ19)</f>
        <v>5.2376553600000015</v>
      </c>
      <c r="AQ52" s="1053"/>
      <c r="AR52" s="1053"/>
      <c r="AS52" s="1053"/>
      <c r="AT52" s="1053"/>
      <c r="AU52" s="1053"/>
      <c r="AV52" s="1053"/>
      <c r="AW52" s="1053"/>
      <c r="AX52" s="1053"/>
      <c r="AY52" s="1053"/>
      <c r="AZ52" s="1053"/>
    </row>
    <row r="53" spans="1:52" ht="67.5">
      <c r="A53" s="1053"/>
      <c r="B53" s="1053"/>
      <c r="C53" s="1053"/>
      <c r="D53" s="1053"/>
      <c r="E53" s="1053"/>
      <c r="F53" s="1053"/>
      <c r="G53" s="1053"/>
      <c r="H53" s="1058" t="s">
        <v>1203</v>
      </c>
      <c r="I53" s="1059" t="str">
        <f t="shared" ref="I53:I55" si="39">H53</f>
        <v>Vacas 0-3 semanas lactação              PV adulto</v>
      </c>
      <c r="J53" s="1060" t="s">
        <v>1204</v>
      </c>
      <c r="K53" s="1059" t="str">
        <f t="shared" ref="K53:K55" si="40">J53</f>
        <v>Vacas 0-3 semanas lactação          PV adulto</v>
      </c>
      <c r="L53" s="1060" t="s">
        <v>1205</v>
      </c>
      <c r="M53" s="1059" t="str">
        <f>L53</f>
        <v>Vacas 0-3 semanas lactação         PV adulto</v>
      </c>
      <c r="N53" s="1060" t="s">
        <v>1206</v>
      </c>
      <c r="O53" s="1059" t="str">
        <f t="shared" ref="O53:O55" si="41">N53</f>
        <v>Vacas secas         PV adulto PV+concepto 730 Gestação (d) 240</v>
      </c>
      <c r="P53" s="1060" t="s">
        <v>1207</v>
      </c>
      <c r="Q53" s="1059" t="str">
        <f t="shared" ref="Q53:Q55" si="42">P53</f>
        <v>PV+concepto 751 Gestação (d) 270</v>
      </c>
      <c r="R53" s="1060" t="s">
        <v>1208</v>
      </c>
      <c r="S53" s="1059" t="str">
        <f t="shared" ref="S53:S55" si="43">R53</f>
        <v xml:space="preserve"> Vacas secas      PV adulto PV+concepto 757 Gestação (d) 279</v>
      </c>
      <c r="T53" s="1060" t="s">
        <v>1209</v>
      </c>
      <c r="U53" s="1059" t="str">
        <f t="shared" ref="U53:U55" si="44">T53</f>
        <v>Novilhas PV adulto PV+concepto 625 Gestação (d) 270</v>
      </c>
      <c r="V53" s="1060" t="s">
        <v>1210</v>
      </c>
      <c r="W53" s="1059" t="str">
        <f t="shared" ref="W53:W55" si="45">V53</f>
        <v>Vacas Padrão PV adulto  PV+concepto 751 Gestação (d) 270</v>
      </c>
      <c r="X53" s="1060" t="s">
        <v>1211</v>
      </c>
      <c r="Y53" s="1059" t="str">
        <f t="shared" ref="Y53:Y55" si="46">X53</f>
        <v>Vacas Aniônica PV adulto  PV+concepto 751 Gestação (d) 270</v>
      </c>
      <c r="Z53" s="1053"/>
      <c r="AA53" s="1053"/>
      <c r="AB53" s="1053"/>
      <c r="AC53" s="1053"/>
      <c r="AD53" s="1053"/>
      <c r="AE53" s="1053"/>
      <c r="AF53" s="1053"/>
      <c r="AG53" s="1053"/>
      <c r="AH53" s="1053"/>
      <c r="AI53" s="1053"/>
      <c r="AJ53" s="1053"/>
      <c r="AK53" s="1053"/>
      <c r="AL53" s="1053"/>
      <c r="AM53" s="1053"/>
      <c r="AN53" s="1053"/>
      <c r="AO53" s="1053"/>
      <c r="AP53" s="1053"/>
      <c r="AQ53" s="1053"/>
      <c r="AR53" s="1053"/>
      <c r="AS53" s="1053"/>
      <c r="AT53" s="1053"/>
      <c r="AU53" s="1053"/>
      <c r="AV53" s="1053"/>
      <c r="AW53" s="1053"/>
      <c r="AX53" s="1053"/>
      <c r="AY53" s="1053"/>
      <c r="AZ53" s="1053"/>
    </row>
    <row r="54" spans="1:52" ht="33.75">
      <c r="A54" s="1053"/>
      <c r="B54" s="1053"/>
      <c r="C54" s="1053"/>
      <c r="D54" s="1053"/>
      <c r="E54" s="1053"/>
      <c r="F54" s="1053"/>
      <c r="G54" s="1053"/>
      <c r="H54" s="1061" t="s">
        <v>1212</v>
      </c>
      <c r="I54" s="1062" t="str">
        <f t="shared" si="39"/>
        <v xml:space="preserve">   Leite (kg/dia) 25</v>
      </c>
      <c r="J54" s="1063" t="s">
        <v>1213</v>
      </c>
      <c r="K54" s="1062" t="str">
        <f t="shared" si="40"/>
        <v>Leite (kg/dia) 25 Gordura (%) 3,5</v>
      </c>
      <c r="L54" s="1063" t="s">
        <v>1214</v>
      </c>
      <c r="M54" s="1062" t="str">
        <f t="shared" ref="M54:M55" si="47">L54</f>
        <v>Leite (kg/dia) 35</v>
      </c>
      <c r="N54" s="1063" t="s">
        <v>1215</v>
      </c>
      <c r="O54" s="1062" t="str">
        <f t="shared" si="41"/>
        <v>Peso do bezerro = 45kg</v>
      </c>
      <c r="P54" s="1063" t="s">
        <v>1215</v>
      </c>
      <c r="Q54" s="1062" t="str">
        <f t="shared" si="42"/>
        <v>Peso do bezerro = 45kg</v>
      </c>
      <c r="R54" s="1063" t="s">
        <v>1215</v>
      </c>
      <c r="S54" s="1062" t="str">
        <f t="shared" si="43"/>
        <v>Peso do bezerro = 45kg</v>
      </c>
      <c r="T54" s="1063" t="s">
        <v>1216</v>
      </c>
      <c r="U54" s="1062" t="str">
        <f t="shared" si="44"/>
        <v>em final de gestação</v>
      </c>
      <c r="V54" s="1063"/>
      <c r="W54" s="1062">
        <f t="shared" si="45"/>
        <v>0</v>
      </c>
      <c r="X54" s="1063"/>
      <c r="Y54" s="1062">
        <f t="shared" si="46"/>
        <v>0</v>
      </c>
      <c r="Z54" s="1053"/>
      <c r="AA54" s="1053"/>
      <c r="AB54" s="1053"/>
      <c r="AC54" s="1053"/>
      <c r="AD54" s="1053"/>
      <c r="AE54" s="1053"/>
      <c r="AF54" s="1053"/>
      <c r="AG54" s="1053"/>
      <c r="AH54" s="1053"/>
      <c r="AI54" s="1053"/>
      <c r="AJ54" s="1053"/>
      <c r="AK54" s="1053"/>
      <c r="AL54" s="1053"/>
      <c r="AM54" s="1053"/>
      <c r="AN54" s="1053"/>
      <c r="AO54" s="1053"/>
      <c r="AP54" s="1053"/>
      <c r="AQ54" s="1053"/>
      <c r="AR54" s="1053"/>
      <c r="AS54" s="1053"/>
      <c r="AT54" s="1053"/>
      <c r="AU54" s="1053"/>
      <c r="AV54" s="1053"/>
      <c r="AW54" s="1053"/>
      <c r="AX54" s="1053"/>
      <c r="AY54" s="1053"/>
      <c r="AZ54" s="1053"/>
    </row>
    <row r="55" spans="1:52" ht="33.75">
      <c r="A55" s="1053"/>
      <c r="B55" s="1053"/>
      <c r="C55" s="1053"/>
      <c r="D55" s="1053"/>
      <c r="E55" s="1053"/>
      <c r="F55" s="1053"/>
      <c r="G55" s="1053"/>
      <c r="H55" s="1058" t="s">
        <v>1217</v>
      </c>
      <c r="I55" s="1059" t="str">
        <f t="shared" si="39"/>
        <v>Gordura (%) 4,2 Proteína (%) 3,6</v>
      </c>
      <c r="J55" s="1060" t="s">
        <v>1218</v>
      </c>
      <c r="K55" s="1059" t="str">
        <f t="shared" si="40"/>
        <v>Proteína (%) 3,0</v>
      </c>
      <c r="L55" s="1060" t="s">
        <v>1219</v>
      </c>
      <c r="M55" s="1059" t="str">
        <f t="shared" si="47"/>
        <v>Gordura (%) 3,5  Proteína (%) 3,0</v>
      </c>
      <c r="N55" s="1060" t="s">
        <v>1220</v>
      </c>
      <c r="O55" s="1059" t="str">
        <f t="shared" si="41"/>
        <v>GDP sem feto=0,67kg/dia</v>
      </c>
      <c r="P55" s="1060" t="s">
        <v>1220</v>
      </c>
      <c r="Q55" s="1059" t="str">
        <f t="shared" si="42"/>
        <v>GDP sem feto=0,67kg/dia</v>
      </c>
      <c r="R55" s="1060" t="s">
        <v>1220</v>
      </c>
      <c r="S55" s="1059" t="str">
        <f t="shared" si="43"/>
        <v>GDP sem feto=0,67kg/dia</v>
      </c>
      <c r="T55" s="1060" t="s">
        <v>1221</v>
      </c>
      <c r="U55" s="1059" t="str">
        <f t="shared" si="44"/>
        <v>GPD =300g/dia + concepto 700g/dia</v>
      </c>
      <c r="V55" s="1060" t="s">
        <v>1222</v>
      </c>
      <c r="W55" s="1059" t="str">
        <f t="shared" si="45"/>
        <v>Final de gestação ou transição</v>
      </c>
      <c r="X55" s="1060" t="s">
        <v>1222</v>
      </c>
      <c r="Y55" s="1059" t="str">
        <f t="shared" si="46"/>
        <v>Final de gestação ou transição</v>
      </c>
      <c r="Z55" s="1053"/>
      <c r="AA55" s="1053"/>
      <c r="AB55" s="1053"/>
      <c r="AC55" s="1053"/>
      <c r="AD55" s="1053"/>
      <c r="AE55" s="1053"/>
      <c r="AF55" s="1053"/>
      <c r="AG55" s="1053"/>
      <c r="AH55" s="1053"/>
      <c r="AI55" s="1053"/>
      <c r="AJ55" s="1053"/>
      <c r="AK55" s="1053"/>
      <c r="AL55" s="1053"/>
      <c r="AM55" s="1053"/>
      <c r="AN55" s="1053"/>
      <c r="AO55" s="1053"/>
      <c r="AP55" s="1053"/>
      <c r="AQ55" s="1053"/>
      <c r="AR55" s="1053"/>
      <c r="AS55" s="1053"/>
      <c r="AT55" s="1053"/>
      <c r="AU55" s="1053"/>
      <c r="AV55" s="1053"/>
      <c r="AW55" s="1053"/>
      <c r="AX55" s="1053"/>
      <c r="AY55" s="1053"/>
      <c r="AZ55" s="1053"/>
    </row>
    <row r="56" spans="1:52">
      <c r="A56" s="1053"/>
      <c r="B56" s="1064" t="s">
        <v>69</v>
      </c>
      <c r="C56" s="1053"/>
      <c r="D56" s="1053"/>
      <c r="E56" s="1053"/>
      <c r="F56" s="1053"/>
      <c r="G56" s="1053"/>
      <c r="H56" s="1053"/>
      <c r="I56" s="1053"/>
      <c r="J56" s="1053"/>
      <c r="K56" s="1053"/>
      <c r="L56" s="1053"/>
      <c r="M56" s="1053"/>
      <c r="N56" s="1053"/>
      <c r="O56" s="1053"/>
      <c r="P56" s="1053"/>
      <c r="Q56" s="1053"/>
      <c r="R56" s="1053"/>
      <c r="S56" s="1053"/>
      <c r="T56" s="1053"/>
      <c r="U56" s="1053"/>
      <c r="V56" s="1053"/>
      <c r="W56" s="1053"/>
      <c r="X56" s="1053"/>
      <c r="Y56" s="1053"/>
      <c r="Z56" s="1053"/>
      <c r="AA56" s="1053"/>
      <c r="AB56" s="1053"/>
      <c r="AC56" s="1053"/>
      <c r="AD56" s="1053"/>
      <c r="AE56" s="1053"/>
      <c r="AF56" s="1053"/>
      <c r="AG56" s="1053"/>
      <c r="AH56" s="1053"/>
      <c r="AI56" s="1053"/>
      <c r="AJ56" s="1053"/>
      <c r="AK56" s="1053"/>
      <c r="AL56" s="1053"/>
      <c r="AM56" s="1053"/>
      <c r="AN56" s="1053"/>
      <c r="AO56" s="1053"/>
      <c r="AP56" s="1053"/>
      <c r="AQ56" s="1053"/>
      <c r="AR56" s="1053"/>
      <c r="AS56" s="1053"/>
      <c r="AT56" s="1053"/>
      <c r="AU56" s="1053"/>
      <c r="AV56" s="1053"/>
      <c r="AW56" s="1053"/>
      <c r="AX56" s="1053"/>
      <c r="AY56" s="1053"/>
      <c r="AZ56" s="1053"/>
    </row>
    <row r="57" spans="1:52">
      <c r="A57" s="1053"/>
      <c r="B57" s="1065" t="str">
        <f>C10&amp;" - "&amp;D10&amp;" "&amp;"   "&amp;B10</f>
        <v>0 - 0    PV Adulto (Kg)</v>
      </c>
      <c r="C57" s="1053"/>
      <c r="D57" s="1053"/>
      <c r="E57" s="1053"/>
      <c r="F57" s="1053"/>
      <c r="G57" s="1053"/>
      <c r="H57" s="1053"/>
      <c r="I57" s="1053"/>
      <c r="J57" s="1053"/>
      <c r="K57" s="1053"/>
      <c r="L57" s="1053"/>
      <c r="M57" s="1053"/>
      <c r="N57" s="1053"/>
      <c r="O57" s="1053"/>
      <c r="P57" s="1053"/>
      <c r="Q57" s="1053"/>
      <c r="R57" s="1053"/>
      <c r="S57" s="1053"/>
      <c r="T57" s="1053"/>
      <c r="U57" s="1053"/>
      <c r="V57" s="1053"/>
      <c r="W57" s="1053"/>
      <c r="X57" s="1053"/>
      <c r="Y57" s="1053"/>
      <c r="Z57" s="1053"/>
      <c r="AA57" s="1053"/>
      <c r="AB57" s="1053"/>
      <c r="AC57" s="1053"/>
      <c r="AD57" s="1053"/>
      <c r="AE57" s="1053"/>
      <c r="AF57" s="1053"/>
      <c r="AG57" s="1053"/>
      <c r="AH57" s="1053"/>
      <c r="AI57" s="1053"/>
      <c r="AJ57" s="1053"/>
      <c r="AK57" s="1053"/>
      <c r="AL57" s="1053"/>
      <c r="AM57" s="1053"/>
      <c r="AN57" s="1053"/>
      <c r="AO57" s="1053"/>
      <c r="AP57" s="1053"/>
      <c r="AQ57" s="1053"/>
      <c r="AR57" s="1053"/>
      <c r="AS57" s="1053"/>
      <c r="AT57" s="1053"/>
      <c r="AU57" s="1053"/>
      <c r="AV57" s="1053"/>
      <c r="AW57" s="1053"/>
      <c r="AX57" s="1053"/>
      <c r="AY57" s="1053"/>
      <c r="AZ57" s="1053"/>
    </row>
    <row r="58" spans="1:52">
      <c r="A58" s="1053"/>
      <c r="B58" s="1065" t="str">
        <f t="shared" ref="B58:B63" si="48">C11&amp;" - "&amp;D11&amp;" "&amp;"   "&amp;B11</f>
        <v>300 - 700    PV Atual (kg)</v>
      </c>
      <c r="C58" s="1053"/>
      <c r="D58" s="1053"/>
      <c r="E58" s="1053"/>
      <c r="F58" s="1053"/>
      <c r="G58" s="1053"/>
      <c r="H58" s="1053"/>
      <c r="I58" s="1053"/>
      <c r="J58" s="1053"/>
      <c r="K58" s="1053"/>
      <c r="L58" s="1053"/>
      <c r="M58" s="1053"/>
      <c r="N58" s="1053"/>
      <c r="O58" s="1053"/>
      <c r="P58" s="1053"/>
      <c r="Q58" s="1053"/>
      <c r="R58" s="1053"/>
      <c r="S58" s="1053"/>
      <c r="T58" s="1053"/>
      <c r="U58" s="1053"/>
      <c r="V58" s="1053"/>
      <c r="W58" s="1053"/>
      <c r="X58" s="1053"/>
      <c r="Y58" s="1053"/>
      <c r="Z58" s="1053"/>
      <c r="AA58" s="1053"/>
      <c r="AB58" s="1053"/>
      <c r="AC58" s="1053"/>
      <c r="AD58" s="1053"/>
      <c r="AE58" s="1053"/>
      <c r="AF58" s="1053"/>
      <c r="AG58" s="1053"/>
      <c r="AH58" s="1053"/>
      <c r="AI58" s="1053"/>
      <c r="AJ58" s="1053"/>
      <c r="AK58" s="1053"/>
      <c r="AL58" s="1053"/>
      <c r="AM58" s="1053"/>
      <c r="AN58" s="1053"/>
      <c r="AO58" s="1053"/>
      <c r="AP58" s="1053"/>
      <c r="AQ58" s="1053"/>
      <c r="AR58" s="1053"/>
      <c r="AS58" s="1053"/>
      <c r="AT58" s="1053"/>
      <c r="AU58" s="1053"/>
      <c r="AV58" s="1053"/>
      <c r="AW58" s="1053"/>
      <c r="AX58" s="1053"/>
      <c r="AY58" s="1053"/>
      <c r="AZ58" s="1053"/>
    </row>
    <row r="59" spans="1:52">
      <c r="A59" s="1053"/>
      <c r="B59" s="1065" t="str">
        <f t="shared" si="48"/>
        <v>0 - 60    Prod Leite (kg/dia)</v>
      </c>
      <c r="C59" s="1053"/>
      <c r="D59" s="1053"/>
      <c r="E59" s="1053"/>
      <c r="F59" s="1053"/>
      <c r="G59" s="1053"/>
      <c r="H59" s="1053"/>
      <c r="I59" s="1053"/>
      <c r="J59" s="1053"/>
      <c r="K59" s="1053"/>
      <c r="L59" s="1053"/>
      <c r="M59" s="1053"/>
      <c r="N59" s="1053"/>
      <c r="O59" s="1053"/>
      <c r="P59" s="1053"/>
      <c r="Q59" s="1053"/>
      <c r="R59" s="1053"/>
      <c r="S59" s="1053"/>
      <c r="T59" s="1053"/>
      <c r="U59" s="1053"/>
      <c r="V59" s="1053"/>
      <c r="W59" s="1053"/>
      <c r="X59" s="1053"/>
      <c r="Y59" s="1053"/>
      <c r="Z59" s="1053"/>
      <c r="AA59" s="1053"/>
      <c r="AB59" s="1053"/>
      <c r="AC59" s="1053"/>
      <c r="AD59" s="1053"/>
      <c r="AE59" s="1053"/>
      <c r="AF59" s="1053"/>
      <c r="AG59" s="1053"/>
      <c r="AH59" s="1053"/>
      <c r="AI59" s="1053"/>
      <c r="AJ59" s="1053"/>
      <c r="AK59" s="1053"/>
      <c r="AL59" s="1053"/>
      <c r="AM59" s="1053"/>
      <c r="AN59" s="1053"/>
      <c r="AO59" s="1053"/>
      <c r="AP59" s="1053"/>
      <c r="AQ59" s="1053"/>
      <c r="AR59" s="1053"/>
      <c r="AS59" s="1053"/>
      <c r="AT59" s="1053"/>
      <c r="AU59" s="1053"/>
      <c r="AV59" s="1053"/>
      <c r="AW59" s="1053"/>
      <c r="AX59" s="1053"/>
      <c r="AY59" s="1053"/>
      <c r="AZ59" s="1053"/>
    </row>
    <row r="60" spans="1:52">
      <c r="A60" s="1053"/>
      <c r="B60" s="1065" t="str">
        <f t="shared" si="48"/>
        <v>0 - 0    Gordura (%)</v>
      </c>
      <c r="C60" s="1053"/>
      <c r="D60" s="1053"/>
      <c r="E60" s="1053"/>
      <c r="F60" s="1053"/>
      <c r="G60" s="1053"/>
      <c r="H60" s="1053"/>
      <c r="I60" s="1053"/>
      <c r="J60" s="1053"/>
      <c r="K60" s="1053"/>
      <c r="L60" s="1053"/>
      <c r="M60" s="1053"/>
      <c r="N60" s="1053"/>
      <c r="O60" s="1053"/>
      <c r="P60" s="1053"/>
      <c r="Q60" s="1053"/>
      <c r="R60" s="1053"/>
      <c r="S60" s="1053"/>
      <c r="T60" s="1053"/>
      <c r="U60" s="1053"/>
      <c r="V60" s="1053"/>
      <c r="W60" s="1053"/>
      <c r="X60" s="1053"/>
      <c r="Y60" s="1053"/>
      <c r="Z60" s="1053"/>
      <c r="AA60" s="1053"/>
      <c r="AB60" s="1053"/>
      <c r="AC60" s="1053"/>
      <c r="AD60" s="1053"/>
      <c r="AE60" s="1053"/>
      <c r="AF60" s="1053"/>
      <c r="AG60" s="1053"/>
      <c r="AH60" s="1053"/>
      <c r="AI60" s="1053"/>
      <c r="AJ60" s="1053"/>
      <c r="AK60" s="1053"/>
      <c r="AL60" s="1053"/>
      <c r="AM60" s="1053"/>
      <c r="AN60" s="1053"/>
      <c r="AO60" s="1053"/>
      <c r="AP60" s="1053"/>
      <c r="AQ60" s="1053"/>
      <c r="AR60" s="1053"/>
      <c r="AS60" s="1053"/>
      <c r="AT60" s="1053"/>
      <c r="AU60" s="1053"/>
      <c r="AV60" s="1053"/>
      <c r="AW60" s="1053"/>
      <c r="AX60" s="1053"/>
      <c r="AY60" s="1053"/>
      <c r="AZ60" s="1053"/>
    </row>
    <row r="61" spans="1:52">
      <c r="A61" s="1053"/>
      <c r="B61" s="1065" t="str">
        <f t="shared" si="48"/>
        <v>0 - 0    Proteína (%)</v>
      </c>
      <c r="C61" s="1053"/>
      <c r="D61" s="1053"/>
      <c r="E61" s="1053"/>
      <c r="F61" s="1053"/>
      <c r="G61" s="1053"/>
      <c r="H61" s="1053"/>
      <c r="I61" s="1053"/>
      <c r="J61" s="1053"/>
      <c r="K61" s="1053"/>
      <c r="L61" s="1053"/>
      <c r="M61" s="1053"/>
      <c r="N61" s="1053"/>
      <c r="O61" s="1053"/>
      <c r="P61" s="1053"/>
      <c r="Q61" s="1053"/>
      <c r="R61" s="1053"/>
      <c r="S61" s="1053"/>
      <c r="T61" s="1053"/>
      <c r="U61" s="1053"/>
      <c r="V61" s="1053"/>
      <c r="W61" s="1053"/>
      <c r="X61" s="1053"/>
      <c r="Y61" s="1053"/>
      <c r="Z61" s="1053"/>
      <c r="AA61" s="1053"/>
      <c r="AB61" s="1053"/>
      <c r="AC61" s="1053"/>
      <c r="AD61" s="1053"/>
      <c r="AE61" s="1053"/>
      <c r="AF61" s="1053"/>
      <c r="AG61" s="1053"/>
      <c r="AH61" s="1053"/>
      <c r="AI61" s="1053"/>
      <c r="AJ61" s="1053"/>
      <c r="AK61" s="1053"/>
      <c r="AL61" s="1053"/>
      <c r="AM61" s="1053"/>
      <c r="AN61" s="1053"/>
      <c r="AO61" s="1053"/>
      <c r="AP61" s="1053"/>
      <c r="AQ61" s="1053"/>
      <c r="AR61" s="1053"/>
      <c r="AS61" s="1053"/>
      <c r="AT61" s="1053"/>
      <c r="AU61" s="1053"/>
      <c r="AV61" s="1053"/>
      <c r="AW61" s="1053"/>
      <c r="AX61" s="1053"/>
      <c r="AY61" s="1053"/>
      <c r="AZ61" s="1053"/>
    </row>
    <row r="62" spans="1:52">
      <c r="A62" s="1053"/>
      <c r="B62" s="1065" t="str">
        <f t="shared" si="48"/>
        <v>0 - 0    Dias de gestação</v>
      </c>
      <c r="C62" s="1053"/>
      <c r="D62" s="1053"/>
      <c r="E62" s="1053"/>
      <c r="F62" s="1053"/>
      <c r="G62" s="1053"/>
      <c r="H62" s="1053"/>
      <c r="I62" s="1053"/>
      <c r="J62" s="1053"/>
      <c r="K62" s="1053"/>
      <c r="L62" s="1053"/>
      <c r="M62" s="1053"/>
      <c r="N62" s="1053"/>
      <c r="O62" s="1053"/>
      <c r="P62" s="1053"/>
      <c r="Q62" s="1053"/>
      <c r="R62" s="1053"/>
      <c r="S62" s="1053"/>
      <c r="T62" s="1053"/>
      <c r="U62" s="1053"/>
      <c r="V62" s="1053"/>
      <c r="W62" s="1053"/>
      <c r="X62" s="1053"/>
      <c r="Y62" s="1053"/>
      <c r="Z62" s="1053"/>
      <c r="AA62" s="1053"/>
      <c r="AB62" s="1053"/>
      <c r="AC62" s="1053"/>
      <c r="AD62" s="1053"/>
      <c r="AE62" s="1053"/>
      <c r="AF62" s="1053"/>
      <c r="AG62" s="1053"/>
      <c r="AH62" s="1053"/>
      <c r="AI62" s="1053"/>
      <c r="AJ62" s="1053"/>
      <c r="AK62" s="1053"/>
      <c r="AL62" s="1053"/>
      <c r="AM62" s="1053"/>
      <c r="AN62" s="1053"/>
      <c r="AO62" s="1053"/>
      <c r="AP62" s="1053"/>
      <c r="AQ62" s="1053"/>
      <c r="AR62" s="1053"/>
      <c r="AS62" s="1053"/>
      <c r="AT62" s="1053"/>
      <c r="AU62" s="1053"/>
      <c r="AV62" s="1053"/>
      <c r="AW62" s="1053"/>
      <c r="AX62" s="1053"/>
      <c r="AY62" s="1053"/>
      <c r="AZ62" s="1053"/>
    </row>
    <row r="63" spans="1:52">
      <c r="A63" s="1053"/>
      <c r="B63" s="1065" t="str">
        <f t="shared" si="48"/>
        <v>0 - 0    GMD (KG)</v>
      </c>
      <c r="C63" s="1053"/>
      <c r="D63" s="1053"/>
      <c r="E63" s="1053"/>
      <c r="F63" s="1053"/>
      <c r="G63" s="1053"/>
      <c r="H63" s="1053"/>
      <c r="I63" s="1053"/>
      <c r="J63" s="1053"/>
      <c r="K63" s="1053"/>
      <c r="L63" s="1053"/>
      <c r="M63" s="1053"/>
      <c r="N63" s="1053"/>
      <c r="O63" s="1053"/>
      <c r="P63" s="1053"/>
      <c r="Q63" s="1053"/>
      <c r="R63" s="1053"/>
      <c r="S63" s="1053"/>
      <c r="T63" s="1053"/>
      <c r="U63" s="1053"/>
      <c r="V63" s="1053"/>
      <c r="W63" s="1053"/>
      <c r="X63" s="1053"/>
      <c r="Y63" s="1053"/>
      <c r="Z63" s="1053"/>
      <c r="AA63" s="1053"/>
      <c r="AB63" s="1053"/>
      <c r="AC63" s="1053"/>
      <c r="AD63" s="1053"/>
      <c r="AE63" s="1053"/>
      <c r="AF63" s="1053"/>
      <c r="AG63" s="1053"/>
      <c r="AH63" s="1053"/>
      <c r="AI63" s="1053"/>
      <c r="AJ63" s="1053"/>
      <c r="AK63" s="1053"/>
      <c r="AL63" s="1053"/>
      <c r="AM63" s="1053"/>
      <c r="AN63" s="1053"/>
      <c r="AO63" s="1053"/>
      <c r="AP63" s="1053"/>
      <c r="AQ63" s="1053"/>
      <c r="AR63" s="1053"/>
      <c r="AS63" s="1053"/>
      <c r="AT63" s="1053"/>
      <c r="AU63" s="1053"/>
      <c r="AV63" s="1053"/>
      <c r="AW63" s="1053"/>
      <c r="AX63" s="1053"/>
      <c r="AY63" s="1053"/>
      <c r="AZ63" s="1053"/>
    </row>
    <row r="64" spans="1:52">
      <c r="A64" s="1053"/>
      <c r="B64" s="1053"/>
      <c r="C64" s="1053"/>
      <c r="D64" s="1053"/>
      <c r="E64" s="1053"/>
      <c r="F64" s="1053"/>
      <c r="G64" s="1053"/>
      <c r="H64" s="1053"/>
      <c r="I64" s="1053"/>
      <c r="J64" s="1053"/>
      <c r="K64" s="1053"/>
      <c r="L64" s="1053"/>
      <c r="M64" s="1053"/>
      <c r="N64" s="1053"/>
      <c r="O64" s="1053"/>
      <c r="P64" s="1053"/>
      <c r="Q64" s="1053"/>
      <c r="R64" s="1053"/>
      <c r="S64" s="1053"/>
      <c r="T64" s="1053"/>
      <c r="U64" s="1053"/>
      <c r="V64" s="1053"/>
      <c r="W64" s="1053"/>
      <c r="X64" s="1053"/>
      <c r="Y64" s="1053"/>
      <c r="Z64" s="1053"/>
      <c r="AA64" s="1053"/>
      <c r="AB64" s="1053"/>
      <c r="AC64" s="1053"/>
      <c r="AD64" s="1053"/>
      <c r="AE64" s="1053"/>
      <c r="AF64" s="1053"/>
      <c r="AG64" s="1053"/>
      <c r="AH64" s="1053"/>
      <c r="AI64" s="1053"/>
      <c r="AJ64" s="1053"/>
      <c r="AK64" s="1053"/>
      <c r="AL64" s="1053"/>
      <c r="AM64" s="1053"/>
      <c r="AN64" s="1053"/>
      <c r="AO64" s="1053"/>
      <c r="AP64" s="1053"/>
      <c r="AQ64" s="1053"/>
      <c r="AR64" s="1053"/>
      <c r="AS64" s="1053"/>
      <c r="AT64" s="1053"/>
      <c r="AU64" s="1053"/>
      <c r="AV64" s="1053"/>
      <c r="AW64" s="1053"/>
      <c r="AX64" s="1053"/>
      <c r="AY64" s="1053"/>
      <c r="AZ64" s="1053"/>
    </row>
    <row r="65" spans="1:52">
      <c r="A65" s="1053"/>
      <c r="B65" s="1053"/>
      <c r="C65" s="1053"/>
      <c r="D65" s="1053"/>
      <c r="E65" s="1053"/>
      <c r="F65" s="1053"/>
      <c r="G65" s="1053"/>
      <c r="H65" s="1053"/>
      <c r="I65" s="1053"/>
      <c r="J65" s="1053"/>
      <c r="K65" s="1053"/>
      <c r="L65" s="1053"/>
      <c r="M65" s="1053"/>
      <c r="N65" s="1053"/>
      <c r="O65" s="1053"/>
      <c r="P65" s="1053"/>
      <c r="Q65" s="1053"/>
      <c r="R65" s="1053"/>
      <c r="S65" s="1053"/>
      <c r="T65" s="1053"/>
      <c r="U65" s="1053"/>
      <c r="V65" s="1053"/>
      <c r="W65" s="1053"/>
      <c r="X65" s="1053"/>
      <c r="Y65" s="1053"/>
      <c r="Z65" s="1053"/>
      <c r="AA65" s="1053"/>
      <c r="AB65" s="1053"/>
      <c r="AC65" s="1053"/>
      <c r="AD65" s="1053"/>
      <c r="AE65" s="1053"/>
      <c r="AF65" s="1053"/>
      <c r="AG65" s="1053"/>
      <c r="AH65" s="1053"/>
      <c r="AI65" s="1053"/>
      <c r="AJ65" s="1053"/>
      <c r="AK65" s="1053"/>
      <c r="AL65" s="1053"/>
      <c r="AM65" s="1053"/>
      <c r="AN65" s="1053"/>
      <c r="AO65" s="1053"/>
      <c r="AP65" s="1053"/>
      <c r="AQ65" s="1053"/>
      <c r="AR65" s="1053"/>
      <c r="AS65" s="1053"/>
      <c r="AT65" s="1053"/>
      <c r="AU65" s="1053"/>
      <c r="AV65" s="1053"/>
      <c r="AW65" s="1053"/>
      <c r="AX65" s="1053"/>
      <c r="AY65" s="1053"/>
      <c r="AZ65" s="1053"/>
    </row>
    <row r="66" spans="1:52">
      <c r="A66" s="1053"/>
      <c r="B66" s="1053"/>
      <c r="C66" s="1053"/>
      <c r="D66" s="1053"/>
      <c r="E66" s="1053"/>
      <c r="F66" s="1053"/>
      <c r="G66" s="1053"/>
      <c r="H66" s="1053"/>
      <c r="I66" s="1053"/>
      <c r="J66" s="1053"/>
      <c r="K66" s="1053"/>
      <c r="L66" s="1053"/>
      <c r="M66" s="1053"/>
      <c r="N66" s="1053"/>
      <c r="O66" s="1053"/>
      <c r="P66" s="1053"/>
      <c r="Q66" s="1053"/>
      <c r="R66" s="1053"/>
      <c r="S66" s="1053"/>
      <c r="T66" s="1053"/>
      <c r="U66" s="1053"/>
      <c r="V66" s="1053"/>
      <c r="W66" s="1053"/>
      <c r="X66" s="1053"/>
      <c r="Y66" s="1053"/>
      <c r="Z66" s="1053"/>
      <c r="AA66" s="1053"/>
      <c r="AB66" s="1053"/>
      <c r="AC66" s="1053"/>
      <c r="AD66" s="1053"/>
      <c r="AE66" s="1053"/>
      <c r="AF66" s="1053"/>
      <c r="AG66" s="1053"/>
      <c r="AH66" s="1053"/>
      <c r="AI66" s="1053"/>
      <c r="AJ66" s="1053"/>
      <c r="AK66" s="1053"/>
      <c r="AL66" s="1053"/>
      <c r="AM66" s="1053"/>
      <c r="AN66" s="1053"/>
      <c r="AO66" s="1053"/>
      <c r="AP66" s="1053"/>
      <c r="AQ66" s="1053"/>
      <c r="AR66" s="1053"/>
      <c r="AS66" s="1053"/>
      <c r="AT66" s="1053"/>
      <c r="AU66" s="1053"/>
      <c r="AV66" s="1053"/>
      <c r="AW66" s="1053"/>
      <c r="AX66" s="1053"/>
      <c r="AY66" s="1053"/>
      <c r="AZ66" s="1053"/>
    </row>
    <row r="67" spans="1:52">
      <c r="A67" s="1053"/>
      <c r="B67" s="1053"/>
      <c r="C67" s="1053"/>
      <c r="D67" s="1053"/>
      <c r="E67" s="1053"/>
      <c r="F67" s="1053"/>
      <c r="G67" s="1053"/>
      <c r="H67" s="1053"/>
      <c r="I67" s="1053"/>
      <c r="J67" s="1053"/>
      <c r="K67" s="1053"/>
      <c r="L67" s="1053"/>
      <c r="M67" s="1053"/>
      <c r="N67" s="1053"/>
      <c r="O67" s="1053"/>
      <c r="P67" s="1053"/>
      <c r="Q67" s="1053"/>
      <c r="R67" s="1053"/>
      <c r="S67" s="1053"/>
      <c r="T67" s="1053"/>
      <c r="U67" s="1053"/>
      <c r="V67" s="1053"/>
      <c r="W67" s="1053"/>
      <c r="X67" s="1053"/>
      <c r="Y67" s="1053"/>
      <c r="Z67" s="1053"/>
      <c r="AA67" s="1053"/>
      <c r="AB67" s="1053"/>
      <c r="AC67" s="1053"/>
      <c r="AD67" s="1053"/>
      <c r="AE67" s="1053"/>
      <c r="AF67" s="1053"/>
      <c r="AG67" s="1053"/>
      <c r="AH67" s="1053"/>
      <c r="AI67" s="1053"/>
      <c r="AJ67" s="1053"/>
      <c r="AK67" s="1053"/>
      <c r="AL67" s="1053"/>
      <c r="AM67" s="1053"/>
      <c r="AN67" s="1053"/>
      <c r="AO67" s="1053"/>
      <c r="AP67" s="1053"/>
      <c r="AQ67" s="1053"/>
      <c r="AR67" s="1053"/>
      <c r="AS67" s="1053"/>
      <c r="AT67" s="1053"/>
      <c r="AU67" s="1053"/>
      <c r="AV67" s="1053"/>
      <c r="AW67" s="1053"/>
      <c r="AX67" s="1053"/>
      <c r="AY67" s="1053"/>
      <c r="AZ67" s="1053"/>
    </row>
    <row r="68" spans="1:52">
      <c r="A68" s="1053"/>
      <c r="B68" s="1053"/>
      <c r="C68" s="1053"/>
      <c r="D68" s="1053"/>
      <c r="E68" s="1053"/>
      <c r="F68" s="1053"/>
      <c r="G68" s="1053"/>
      <c r="H68" s="1053"/>
      <c r="I68" s="1053"/>
      <c r="J68" s="1053"/>
      <c r="K68" s="1053"/>
      <c r="L68" s="1053"/>
      <c r="M68" s="1053"/>
      <c r="N68" s="1053"/>
      <c r="O68" s="1053"/>
      <c r="P68" s="1053"/>
      <c r="Q68" s="1053"/>
      <c r="R68" s="1053"/>
      <c r="S68" s="1053"/>
      <c r="T68" s="1053"/>
      <c r="U68" s="1053"/>
      <c r="V68" s="1053"/>
      <c r="W68" s="1053"/>
      <c r="X68" s="1053"/>
      <c r="Y68" s="1053"/>
      <c r="Z68" s="1053"/>
      <c r="AA68" s="1053"/>
      <c r="AB68" s="1053"/>
      <c r="AC68" s="1053"/>
      <c r="AD68" s="1053"/>
      <c r="AE68" s="1053"/>
      <c r="AF68" s="1053"/>
      <c r="AG68" s="1053"/>
      <c r="AH68" s="1053"/>
      <c r="AI68" s="1053"/>
      <c r="AJ68" s="1053"/>
      <c r="AK68" s="1053"/>
      <c r="AL68" s="1053"/>
      <c r="AM68" s="1053"/>
      <c r="AN68" s="1053"/>
      <c r="AO68" s="1053"/>
      <c r="AP68" s="1053"/>
      <c r="AQ68" s="1053"/>
      <c r="AR68" s="1053"/>
      <c r="AS68" s="1053"/>
      <c r="AT68" s="1053"/>
      <c r="AU68" s="1053"/>
      <c r="AV68" s="1053"/>
      <c r="AW68" s="1053"/>
      <c r="AX68" s="1053"/>
      <c r="AY68" s="1053"/>
      <c r="AZ68" s="1053"/>
    </row>
    <row r="69" spans="1:52">
      <c r="A69" s="1053"/>
      <c r="B69" s="1053"/>
      <c r="C69" s="1053"/>
      <c r="D69" s="1053"/>
      <c r="E69" s="1053"/>
      <c r="F69" s="1053"/>
      <c r="G69" s="1053"/>
      <c r="H69" s="1053"/>
      <c r="I69" s="1053"/>
      <c r="J69" s="1053"/>
      <c r="K69" s="1053"/>
      <c r="L69" s="1053"/>
      <c r="M69" s="1053"/>
      <c r="N69" s="1053"/>
      <c r="O69" s="1053"/>
      <c r="P69" s="1053"/>
      <c r="Q69" s="1053"/>
      <c r="R69" s="1053"/>
      <c r="S69" s="1053"/>
      <c r="T69" s="1053"/>
      <c r="U69" s="1053"/>
      <c r="V69" s="1053"/>
      <c r="W69" s="1053"/>
      <c r="X69" s="1053"/>
      <c r="Y69" s="1053"/>
      <c r="Z69" s="1053"/>
      <c r="AA69" s="1053"/>
      <c r="AB69" s="1053"/>
      <c r="AC69" s="1053"/>
      <c r="AD69" s="1053"/>
      <c r="AE69" s="1053"/>
      <c r="AF69" s="1053"/>
      <c r="AG69" s="1053"/>
      <c r="AH69" s="1053"/>
      <c r="AI69" s="1053"/>
      <c r="AJ69" s="1053"/>
      <c r="AK69" s="1053"/>
      <c r="AL69" s="1053"/>
      <c r="AM69" s="1053"/>
      <c r="AN69" s="1053"/>
      <c r="AO69" s="1053"/>
      <c r="AP69" s="1053"/>
      <c r="AQ69" s="1053"/>
      <c r="AR69" s="1053"/>
      <c r="AS69" s="1053"/>
      <c r="AT69" s="1053"/>
      <c r="AU69" s="1053"/>
      <c r="AV69" s="1053"/>
      <c r="AW69" s="1053"/>
      <c r="AX69" s="1053"/>
      <c r="AY69" s="1053"/>
      <c r="AZ69" s="1053"/>
    </row>
    <row r="70" spans="1:52">
      <c r="A70" s="1053"/>
      <c r="B70" s="1053"/>
      <c r="C70" s="1053"/>
      <c r="D70" s="1053"/>
      <c r="E70" s="1053"/>
      <c r="F70" s="1053"/>
      <c r="G70" s="1053"/>
      <c r="H70" s="1053"/>
      <c r="I70" s="1053"/>
      <c r="J70" s="1053"/>
      <c r="K70" s="1053"/>
      <c r="L70" s="1053"/>
      <c r="M70" s="1053"/>
      <c r="N70" s="1053"/>
      <c r="O70" s="1053"/>
      <c r="P70" s="1053"/>
      <c r="Q70" s="1053"/>
      <c r="R70" s="1053"/>
      <c r="S70" s="1053"/>
      <c r="T70" s="1053"/>
      <c r="U70" s="1053"/>
      <c r="V70" s="1053"/>
      <c r="W70" s="1053"/>
      <c r="X70" s="1053"/>
      <c r="Y70" s="1053"/>
      <c r="Z70" s="1053"/>
      <c r="AA70" s="1053"/>
      <c r="AB70" s="1053"/>
      <c r="AC70" s="1053"/>
      <c r="AD70" s="1053"/>
      <c r="AE70" s="1053"/>
      <c r="AF70" s="1053"/>
      <c r="AG70" s="1053"/>
      <c r="AH70" s="1053"/>
      <c r="AI70" s="1053"/>
      <c r="AJ70" s="1053"/>
      <c r="AK70" s="1053"/>
      <c r="AL70" s="1053"/>
      <c r="AM70" s="1053"/>
      <c r="AN70" s="1053"/>
      <c r="AO70" s="1053"/>
      <c r="AP70" s="1053"/>
      <c r="AQ70" s="1053"/>
      <c r="AR70" s="1053"/>
      <c r="AS70" s="1053"/>
      <c r="AT70" s="1053"/>
      <c r="AU70" s="1053"/>
      <c r="AV70" s="1053"/>
      <c r="AW70" s="1053"/>
      <c r="AX70" s="1053"/>
      <c r="AY70" s="1053"/>
      <c r="AZ70" s="1053"/>
    </row>
    <row r="71" spans="1:52">
      <c r="A71" s="1053"/>
      <c r="B71" s="1053"/>
      <c r="C71" s="1053"/>
      <c r="D71" s="1053"/>
      <c r="E71" s="1053"/>
      <c r="F71" s="1053"/>
      <c r="G71" s="1053"/>
      <c r="H71" s="1053"/>
      <c r="I71" s="1053"/>
      <c r="J71" s="1053"/>
      <c r="K71" s="1053"/>
      <c r="L71" s="1053"/>
      <c r="M71" s="1053"/>
      <c r="N71" s="1053"/>
      <c r="O71" s="1053"/>
      <c r="P71" s="1053"/>
      <c r="Q71" s="1053"/>
      <c r="R71" s="1053"/>
      <c r="S71" s="1053"/>
      <c r="T71" s="1053"/>
      <c r="U71" s="1053"/>
      <c r="V71" s="1053"/>
      <c r="W71" s="1053"/>
      <c r="X71" s="1053"/>
      <c r="Y71" s="1053"/>
      <c r="Z71" s="1053"/>
      <c r="AA71" s="1053"/>
      <c r="AB71" s="1053"/>
      <c r="AC71" s="1053"/>
      <c r="AD71" s="1053"/>
      <c r="AE71" s="1053"/>
      <c r="AF71" s="1053"/>
      <c r="AG71" s="1053"/>
      <c r="AH71" s="1053"/>
      <c r="AI71" s="1053"/>
      <c r="AJ71" s="1053"/>
      <c r="AK71" s="1053"/>
      <c r="AL71" s="1053"/>
      <c r="AM71" s="1053"/>
      <c r="AN71" s="1053"/>
      <c r="AO71" s="1053"/>
      <c r="AP71" s="1053"/>
      <c r="AQ71" s="1053"/>
      <c r="AR71" s="1053"/>
      <c r="AS71" s="1053"/>
      <c r="AT71" s="1053"/>
      <c r="AU71" s="1053"/>
      <c r="AV71" s="1053"/>
      <c r="AW71" s="1053"/>
      <c r="AX71" s="1053"/>
      <c r="AY71" s="1053"/>
      <c r="AZ71" s="1053"/>
    </row>
    <row r="72" spans="1:52">
      <c r="A72" s="1053"/>
      <c r="B72" s="1053"/>
      <c r="C72" s="1053"/>
      <c r="D72" s="1053"/>
      <c r="E72" s="1053"/>
      <c r="F72" s="1053"/>
      <c r="G72" s="1053"/>
      <c r="H72" s="1053"/>
      <c r="I72" s="1053"/>
      <c r="J72" s="1053"/>
      <c r="K72" s="1053"/>
      <c r="L72" s="1053"/>
      <c r="M72" s="1053"/>
      <c r="N72" s="1053"/>
      <c r="O72" s="1053"/>
      <c r="P72" s="1053"/>
      <c r="Q72" s="1053"/>
      <c r="R72" s="1053"/>
      <c r="S72" s="1053"/>
      <c r="T72" s="1053"/>
      <c r="U72" s="1053"/>
      <c r="V72" s="1053"/>
      <c r="W72" s="1053"/>
      <c r="X72" s="1053"/>
      <c r="Y72" s="1053"/>
      <c r="Z72" s="1053"/>
      <c r="AA72" s="1053"/>
      <c r="AB72" s="1053"/>
      <c r="AC72" s="1053"/>
      <c r="AD72" s="1053"/>
      <c r="AE72" s="1053"/>
      <c r="AF72" s="1053"/>
      <c r="AG72" s="1053"/>
      <c r="AH72" s="1053"/>
      <c r="AI72" s="1053"/>
      <c r="AJ72" s="1053"/>
      <c r="AK72" s="1053"/>
      <c r="AL72" s="1053"/>
      <c r="AM72" s="1053"/>
      <c r="AN72" s="1053"/>
      <c r="AO72" s="1053"/>
      <c r="AP72" s="1053"/>
      <c r="AQ72" s="1053"/>
      <c r="AR72" s="1053"/>
      <c r="AS72" s="1053"/>
      <c r="AT72" s="1053"/>
      <c r="AU72" s="1053"/>
      <c r="AV72" s="1053"/>
      <c r="AW72" s="1053"/>
      <c r="AX72" s="1053"/>
      <c r="AY72" s="1053"/>
      <c r="AZ72" s="1053"/>
    </row>
    <row r="73" spans="1:52">
      <c r="A73" s="1053"/>
      <c r="B73" s="1053"/>
      <c r="C73" s="1053"/>
      <c r="D73" s="1053"/>
      <c r="E73" s="1053"/>
      <c r="F73" s="1053"/>
      <c r="G73" s="1053"/>
      <c r="H73" s="1053"/>
      <c r="I73" s="1053"/>
      <c r="J73" s="1053"/>
      <c r="K73" s="1053"/>
      <c r="L73" s="1053"/>
      <c r="M73" s="1053"/>
      <c r="N73" s="1053"/>
      <c r="O73" s="1053"/>
      <c r="P73" s="1053"/>
      <c r="Q73" s="1053"/>
      <c r="R73" s="1053"/>
      <c r="S73" s="1053"/>
      <c r="T73" s="1053"/>
      <c r="U73" s="1053"/>
      <c r="V73" s="1053"/>
      <c r="W73" s="1053"/>
      <c r="X73" s="1053"/>
      <c r="Y73" s="1053"/>
      <c r="Z73" s="1053"/>
      <c r="AA73" s="1053"/>
      <c r="AB73" s="1053"/>
      <c r="AC73" s="1053"/>
      <c r="AD73" s="1053"/>
      <c r="AE73" s="1053"/>
      <c r="AF73" s="1053"/>
      <c r="AG73" s="1053"/>
      <c r="AH73" s="1053"/>
      <c r="AI73" s="1053"/>
      <c r="AJ73" s="1053"/>
      <c r="AK73" s="1053"/>
      <c r="AL73" s="1053"/>
      <c r="AM73" s="1053"/>
      <c r="AN73" s="1053"/>
      <c r="AO73" s="1053"/>
      <c r="AP73" s="1053"/>
      <c r="AQ73" s="1053"/>
      <c r="AR73" s="1053"/>
      <c r="AS73" s="1053"/>
      <c r="AT73" s="1053"/>
      <c r="AU73" s="1053"/>
      <c r="AV73" s="1053"/>
      <c r="AW73" s="1053"/>
      <c r="AX73" s="1053"/>
      <c r="AY73" s="1053"/>
      <c r="AZ73" s="1053"/>
    </row>
    <row r="74" spans="1:52">
      <c r="A74" s="1053"/>
      <c r="B74" s="1053"/>
      <c r="C74" s="1053"/>
      <c r="D74" s="1053"/>
      <c r="E74" s="1053"/>
      <c r="F74" s="1053"/>
      <c r="G74" s="1053"/>
      <c r="H74" s="1053"/>
      <c r="I74" s="1053"/>
      <c r="J74" s="1053"/>
      <c r="K74" s="1053"/>
      <c r="L74" s="1053"/>
      <c r="M74" s="1053"/>
      <c r="N74" s="1053"/>
      <c r="O74" s="1053"/>
      <c r="P74" s="1053"/>
      <c r="Q74" s="1053"/>
      <c r="R74" s="1053"/>
      <c r="S74" s="1053"/>
      <c r="T74" s="1053"/>
      <c r="U74" s="1053"/>
      <c r="V74" s="1053"/>
      <c r="W74" s="1053"/>
      <c r="X74" s="1053"/>
      <c r="Y74" s="1053"/>
      <c r="Z74" s="1053"/>
      <c r="AA74" s="1053"/>
      <c r="AB74" s="1053"/>
      <c r="AC74" s="1053"/>
      <c r="AD74" s="1053"/>
      <c r="AE74" s="1053"/>
      <c r="AF74" s="1053"/>
      <c r="AG74" s="1053"/>
      <c r="AH74" s="1053"/>
      <c r="AI74" s="1053"/>
      <c r="AJ74" s="1053"/>
      <c r="AK74" s="1053"/>
      <c r="AL74" s="1053"/>
      <c r="AM74" s="1053"/>
      <c r="AN74" s="1053"/>
      <c r="AO74" s="1053"/>
      <c r="AP74" s="1053"/>
      <c r="AQ74" s="1053"/>
      <c r="AR74" s="1053"/>
      <c r="AS74" s="1053"/>
      <c r="AT74" s="1053"/>
      <c r="AU74" s="1053"/>
      <c r="AV74" s="1053"/>
      <c r="AW74" s="1053"/>
      <c r="AX74" s="1053"/>
      <c r="AY74" s="1053"/>
      <c r="AZ74" s="1053"/>
    </row>
    <row r="75" spans="1:52">
      <c r="A75" s="1053"/>
      <c r="B75" s="1053"/>
      <c r="C75" s="1053"/>
      <c r="D75" s="1053"/>
      <c r="E75" s="1053"/>
      <c r="F75" s="1053"/>
      <c r="G75" s="1053"/>
      <c r="H75" s="1053"/>
      <c r="I75" s="1053"/>
      <c r="J75" s="1053"/>
      <c r="K75" s="1053"/>
      <c r="L75" s="1053"/>
      <c r="M75" s="1053"/>
      <c r="N75" s="1053"/>
      <c r="O75" s="1053"/>
      <c r="P75" s="1053"/>
      <c r="Q75" s="1053"/>
      <c r="R75" s="1053"/>
      <c r="S75" s="1053"/>
      <c r="T75" s="1053"/>
      <c r="U75" s="1053"/>
      <c r="V75" s="1053"/>
      <c r="W75" s="1053"/>
      <c r="X75" s="1053"/>
      <c r="Y75" s="1053"/>
      <c r="Z75" s="1053"/>
      <c r="AA75" s="1053"/>
      <c r="AB75" s="1053"/>
      <c r="AC75" s="1053"/>
      <c r="AD75" s="1053"/>
      <c r="AE75" s="1053"/>
      <c r="AF75" s="1053"/>
      <c r="AG75" s="1053"/>
      <c r="AH75" s="1053"/>
      <c r="AI75" s="1053"/>
      <c r="AJ75" s="1053"/>
      <c r="AK75" s="1053"/>
      <c r="AL75" s="1053"/>
      <c r="AM75" s="1053"/>
      <c r="AN75" s="1053"/>
      <c r="AO75" s="1053"/>
      <c r="AP75" s="1053"/>
      <c r="AQ75" s="1053"/>
      <c r="AR75" s="1053"/>
      <c r="AS75" s="1053"/>
      <c r="AT75" s="1053"/>
      <c r="AU75" s="1053"/>
      <c r="AV75" s="1053"/>
      <c r="AW75" s="1053"/>
      <c r="AX75" s="1053"/>
      <c r="AY75" s="1053"/>
      <c r="AZ75" s="1053"/>
    </row>
    <row r="76" spans="1:52">
      <c r="A76" s="1053"/>
      <c r="B76" s="1053"/>
      <c r="C76" s="1053"/>
      <c r="D76" s="1053"/>
      <c r="E76" s="1053"/>
      <c r="F76" s="1053"/>
      <c r="G76" s="1053"/>
      <c r="H76" s="1053"/>
      <c r="I76" s="1053"/>
      <c r="J76" s="1053"/>
      <c r="K76" s="1053"/>
      <c r="L76" s="1053"/>
      <c r="M76" s="1053"/>
      <c r="N76" s="1053"/>
      <c r="O76" s="1053"/>
      <c r="P76" s="1053"/>
      <c r="Q76" s="1053"/>
      <c r="R76" s="1053"/>
      <c r="S76" s="1053"/>
      <c r="T76" s="1053"/>
      <c r="U76" s="1053"/>
      <c r="V76" s="1053"/>
      <c r="W76" s="1053"/>
      <c r="X76" s="1053"/>
      <c r="Y76" s="1053"/>
      <c r="Z76" s="1053"/>
      <c r="AA76" s="1053"/>
      <c r="AB76" s="1053"/>
      <c r="AC76" s="1053"/>
      <c r="AD76" s="1053"/>
      <c r="AE76" s="1053"/>
      <c r="AF76" s="1053"/>
      <c r="AG76" s="1053"/>
      <c r="AH76" s="1053"/>
      <c r="AI76" s="1053"/>
      <c r="AJ76" s="1053"/>
      <c r="AK76" s="1053"/>
      <c r="AL76" s="1053"/>
      <c r="AM76" s="1053"/>
      <c r="AN76" s="1053"/>
      <c r="AO76" s="1053"/>
      <c r="AP76" s="1053"/>
      <c r="AQ76" s="1053"/>
      <c r="AR76" s="1053"/>
      <c r="AS76" s="1053"/>
      <c r="AT76" s="1053"/>
      <c r="AU76" s="1053"/>
      <c r="AV76" s="1053"/>
      <c r="AW76" s="1053"/>
      <c r="AX76" s="1053"/>
      <c r="AY76" s="1053"/>
      <c r="AZ76" s="1053"/>
    </row>
    <row r="77" spans="1:52">
      <c r="A77" s="1053"/>
      <c r="B77" s="1053"/>
      <c r="C77" s="1053"/>
      <c r="D77" s="1053"/>
      <c r="E77" s="1053"/>
      <c r="F77" s="1053"/>
      <c r="G77" s="1053"/>
      <c r="H77" s="1053"/>
      <c r="I77" s="1053"/>
      <c r="J77" s="1053"/>
      <c r="K77" s="1053"/>
      <c r="L77" s="1053"/>
      <c r="M77" s="1053"/>
      <c r="N77" s="1053"/>
      <c r="O77" s="1053"/>
      <c r="P77" s="1053"/>
      <c r="Q77" s="1053"/>
      <c r="R77" s="1053"/>
      <c r="S77" s="1053"/>
      <c r="T77" s="1053"/>
      <c r="U77" s="1053"/>
      <c r="V77" s="1053"/>
      <c r="W77" s="1053"/>
      <c r="X77" s="1053"/>
      <c r="Y77" s="1053"/>
      <c r="Z77" s="1053"/>
      <c r="AA77" s="1053"/>
      <c r="AB77" s="1053"/>
      <c r="AC77" s="1053"/>
      <c r="AD77" s="1053"/>
      <c r="AE77" s="1053"/>
      <c r="AF77" s="1053"/>
      <c r="AG77" s="1053"/>
      <c r="AH77" s="1053"/>
      <c r="AI77" s="1053"/>
      <c r="AJ77" s="1053"/>
      <c r="AK77" s="1053"/>
      <c r="AL77" s="1053"/>
      <c r="AM77" s="1053"/>
      <c r="AN77" s="1053"/>
      <c r="AO77" s="1053"/>
      <c r="AP77" s="1053"/>
      <c r="AQ77" s="1053"/>
      <c r="AR77" s="1053"/>
      <c r="AS77" s="1053"/>
      <c r="AT77" s="1053"/>
      <c r="AU77" s="1053"/>
      <c r="AV77" s="1053"/>
      <c r="AW77" s="1053"/>
      <c r="AX77" s="1053"/>
      <c r="AY77" s="1053"/>
      <c r="AZ77" s="1053"/>
    </row>
    <row r="78" spans="1:52">
      <c r="A78" s="1053"/>
      <c r="B78" s="1053"/>
      <c r="C78" s="1053"/>
      <c r="D78" s="1053"/>
      <c r="E78" s="1053"/>
      <c r="F78" s="1053"/>
      <c r="G78" s="1053"/>
      <c r="H78" s="1053"/>
      <c r="I78" s="1053"/>
      <c r="J78" s="1053"/>
      <c r="K78" s="1053"/>
      <c r="L78" s="1053"/>
      <c r="M78" s="1053"/>
      <c r="N78" s="1053"/>
      <c r="O78" s="1053"/>
      <c r="P78" s="1053"/>
      <c r="Q78" s="1053"/>
      <c r="R78" s="1053"/>
      <c r="S78" s="1053"/>
      <c r="T78" s="1053"/>
      <c r="U78" s="1053"/>
      <c r="V78" s="1053"/>
      <c r="W78" s="1053"/>
      <c r="X78" s="1053"/>
      <c r="Y78" s="1053"/>
      <c r="Z78" s="1053"/>
      <c r="AA78" s="1053"/>
      <c r="AB78" s="1053"/>
      <c r="AC78" s="1053"/>
      <c r="AD78" s="1053"/>
      <c r="AE78" s="1053"/>
      <c r="AF78" s="1053"/>
      <c r="AG78" s="1053"/>
      <c r="AH78" s="1053"/>
      <c r="AI78" s="1053"/>
      <c r="AJ78" s="1053"/>
      <c r="AK78" s="1053"/>
      <c r="AL78" s="1053"/>
      <c r="AM78" s="1053"/>
      <c r="AN78" s="1053"/>
      <c r="AO78" s="1053"/>
      <c r="AP78" s="1053"/>
      <c r="AQ78" s="1053"/>
      <c r="AR78" s="1053"/>
      <c r="AS78" s="1053"/>
      <c r="AT78" s="1053"/>
      <c r="AU78" s="1053"/>
      <c r="AV78" s="1053"/>
      <c r="AW78" s="1053"/>
      <c r="AX78" s="1053"/>
      <c r="AY78" s="1053"/>
      <c r="AZ78" s="1053"/>
    </row>
    <row r="79" spans="1:52">
      <c r="A79" s="1053"/>
      <c r="B79" s="1053"/>
      <c r="C79" s="1053"/>
      <c r="D79" s="1053"/>
      <c r="E79" s="1053"/>
      <c r="F79" s="1053"/>
      <c r="G79" s="1053"/>
      <c r="H79" s="1053"/>
      <c r="I79" s="1053"/>
      <c r="J79" s="1053"/>
      <c r="K79" s="1053"/>
      <c r="L79" s="1053"/>
      <c r="M79" s="1053"/>
      <c r="N79" s="1053"/>
      <c r="O79" s="1053"/>
      <c r="P79" s="1053"/>
      <c r="Q79" s="1053"/>
      <c r="R79" s="1053"/>
      <c r="S79" s="1053"/>
      <c r="T79" s="1053"/>
      <c r="U79" s="1053"/>
      <c r="V79" s="1053"/>
      <c r="W79" s="1053"/>
      <c r="X79" s="1053"/>
      <c r="Y79" s="1053"/>
      <c r="Z79" s="1053"/>
      <c r="AA79" s="1053"/>
      <c r="AB79" s="1053"/>
      <c r="AC79" s="1053"/>
      <c r="AD79" s="1053"/>
      <c r="AE79" s="1053"/>
      <c r="AF79" s="1053"/>
      <c r="AG79" s="1053"/>
      <c r="AH79" s="1053"/>
      <c r="AI79" s="1053"/>
      <c r="AJ79" s="1053"/>
      <c r="AK79" s="1053"/>
      <c r="AL79" s="1053"/>
      <c r="AM79" s="1053"/>
      <c r="AN79" s="1053"/>
      <c r="AO79" s="1053"/>
      <c r="AP79" s="1053"/>
      <c r="AQ79" s="1053"/>
      <c r="AR79" s="1053"/>
      <c r="AS79" s="1053"/>
      <c r="AT79" s="1053"/>
      <c r="AU79" s="1053"/>
      <c r="AV79" s="1053"/>
      <c r="AW79" s="1053"/>
      <c r="AX79" s="1053"/>
      <c r="AY79" s="1053"/>
      <c r="AZ79" s="1053"/>
    </row>
    <row r="80" spans="1:52">
      <c r="A80" s="1053"/>
      <c r="B80" s="1053"/>
      <c r="C80" s="1053"/>
      <c r="D80" s="1053"/>
      <c r="E80" s="1053"/>
      <c r="F80" s="1053"/>
      <c r="G80" s="1053"/>
      <c r="H80" s="1053"/>
      <c r="I80" s="1053"/>
      <c r="J80" s="1053"/>
      <c r="K80" s="1053"/>
      <c r="L80" s="1053"/>
      <c r="M80" s="1053"/>
      <c r="N80" s="1053"/>
      <c r="O80" s="1053"/>
      <c r="P80" s="1053"/>
      <c r="Q80" s="1053"/>
      <c r="R80" s="1053"/>
      <c r="S80" s="1053"/>
      <c r="T80" s="1053"/>
      <c r="U80" s="1053"/>
      <c r="V80" s="1053"/>
      <c r="W80" s="1053"/>
      <c r="X80" s="1053"/>
      <c r="Y80" s="1053"/>
      <c r="Z80" s="1053"/>
      <c r="AA80" s="1053"/>
      <c r="AB80" s="1053"/>
      <c r="AC80" s="1053"/>
      <c r="AD80" s="1053"/>
      <c r="AE80" s="1053"/>
      <c r="AF80" s="1053"/>
      <c r="AG80" s="1053"/>
      <c r="AH80" s="1053"/>
      <c r="AI80" s="1053"/>
      <c r="AJ80" s="1053"/>
      <c r="AK80" s="1053"/>
      <c r="AL80" s="1053"/>
      <c r="AM80" s="1053"/>
      <c r="AN80" s="1053"/>
      <c r="AO80" s="1053"/>
      <c r="AP80" s="1053"/>
      <c r="AQ80" s="1053"/>
      <c r="AR80" s="1053"/>
      <c r="AS80" s="1053"/>
      <c r="AT80" s="1053"/>
      <c r="AU80" s="1053"/>
      <c r="AV80" s="1053"/>
      <c r="AW80" s="1053"/>
      <c r="AX80" s="1053"/>
      <c r="AY80" s="1053"/>
      <c r="AZ80" s="1053"/>
    </row>
    <row r="81" spans="1:52">
      <c r="A81" s="1053"/>
      <c r="B81" s="1053"/>
      <c r="C81" s="1053"/>
      <c r="D81" s="1053"/>
      <c r="E81" s="1053"/>
      <c r="F81" s="1053"/>
      <c r="G81" s="1053"/>
      <c r="H81" s="1053"/>
      <c r="I81" s="1053"/>
      <c r="J81" s="1053"/>
      <c r="K81" s="1053"/>
      <c r="L81" s="1053"/>
      <c r="M81" s="1053"/>
      <c r="N81" s="1053"/>
      <c r="O81" s="1053"/>
      <c r="P81" s="1053"/>
      <c r="Q81" s="1053"/>
      <c r="R81" s="1053"/>
      <c r="S81" s="1053"/>
      <c r="T81" s="1053"/>
      <c r="U81" s="1053"/>
      <c r="V81" s="1053"/>
      <c r="W81" s="1053"/>
      <c r="X81" s="1053"/>
      <c r="Y81" s="1053"/>
      <c r="Z81" s="1053"/>
      <c r="AA81" s="1053"/>
      <c r="AB81" s="1053"/>
      <c r="AC81" s="1053"/>
      <c r="AD81" s="1053"/>
      <c r="AE81" s="1053"/>
      <c r="AF81" s="1053"/>
      <c r="AG81" s="1053"/>
      <c r="AH81" s="1053"/>
      <c r="AI81" s="1053"/>
      <c r="AJ81" s="1053"/>
      <c r="AK81" s="1053"/>
      <c r="AL81" s="1053"/>
      <c r="AM81" s="1053"/>
      <c r="AN81" s="1053"/>
      <c r="AO81" s="1053"/>
      <c r="AP81" s="1053"/>
      <c r="AQ81" s="1053"/>
      <c r="AR81" s="1053"/>
      <c r="AS81" s="1053"/>
      <c r="AT81" s="1053"/>
      <c r="AU81" s="1053"/>
      <c r="AV81" s="1053"/>
      <c r="AW81" s="1053"/>
      <c r="AX81" s="1053"/>
      <c r="AY81" s="1053"/>
      <c r="AZ81" s="1053"/>
    </row>
    <row r="82" spans="1:52">
      <c r="A82" s="1053"/>
      <c r="B82" s="1053"/>
      <c r="C82" s="1053"/>
      <c r="D82" s="1053"/>
      <c r="E82" s="1053"/>
      <c r="F82" s="1053"/>
      <c r="G82" s="1053"/>
      <c r="H82" s="1053"/>
      <c r="I82" s="1053"/>
      <c r="J82" s="1053"/>
      <c r="K82" s="1053"/>
      <c r="L82" s="1053"/>
      <c r="M82" s="1053"/>
      <c r="N82" s="1053"/>
      <c r="O82" s="1053"/>
      <c r="P82" s="1053"/>
      <c r="Q82" s="1053"/>
      <c r="R82" s="1053"/>
      <c r="S82" s="1053"/>
      <c r="T82" s="1053"/>
      <c r="U82" s="1053"/>
      <c r="V82" s="1053"/>
      <c r="W82" s="1053"/>
      <c r="X82" s="1053"/>
      <c r="Y82" s="1053"/>
      <c r="Z82" s="1053"/>
      <c r="AA82" s="1053"/>
      <c r="AB82" s="1053"/>
      <c r="AC82" s="1053"/>
      <c r="AD82" s="1053"/>
      <c r="AE82" s="1053"/>
      <c r="AF82" s="1053"/>
      <c r="AG82" s="1053"/>
      <c r="AH82" s="1053"/>
      <c r="AI82" s="1053"/>
      <c r="AJ82" s="1053"/>
      <c r="AK82" s="1053"/>
      <c r="AL82" s="1053"/>
      <c r="AM82" s="1053"/>
      <c r="AN82" s="1053"/>
      <c r="AO82" s="1053"/>
      <c r="AP82" s="1053"/>
      <c r="AQ82" s="1053"/>
      <c r="AR82" s="1053"/>
      <c r="AS82" s="1053"/>
      <c r="AT82" s="1053"/>
      <c r="AU82" s="1053"/>
      <c r="AV82" s="1053"/>
      <c r="AW82" s="1053"/>
      <c r="AX82" s="1053"/>
      <c r="AY82" s="1053"/>
      <c r="AZ82" s="1053"/>
    </row>
    <row r="83" spans="1:52">
      <c r="A83" s="1053"/>
      <c r="B83" s="1053"/>
      <c r="C83" s="1053"/>
      <c r="D83" s="1053"/>
      <c r="E83" s="1053"/>
      <c r="F83" s="1053"/>
      <c r="G83" s="1053"/>
      <c r="H83" s="1053"/>
      <c r="I83" s="1053"/>
      <c r="J83" s="1053"/>
      <c r="K83" s="1053"/>
      <c r="L83" s="1053"/>
      <c r="M83" s="1053"/>
      <c r="N83" s="1053"/>
      <c r="O83" s="1053"/>
      <c r="P83" s="1053"/>
      <c r="Q83" s="1053"/>
      <c r="R83" s="1053"/>
      <c r="S83" s="1053"/>
      <c r="T83" s="1053"/>
      <c r="U83" s="1053"/>
      <c r="V83" s="1053"/>
      <c r="W83" s="1053"/>
      <c r="X83" s="1053"/>
      <c r="Y83" s="1053"/>
      <c r="Z83" s="1053"/>
      <c r="AA83" s="1053"/>
      <c r="AB83" s="1053"/>
      <c r="AC83" s="1053"/>
      <c r="AD83" s="1053"/>
      <c r="AE83" s="1053"/>
      <c r="AF83" s="1053"/>
      <c r="AG83" s="1053"/>
      <c r="AH83" s="1053"/>
      <c r="AI83" s="1053"/>
      <c r="AJ83" s="1053"/>
      <c r="AK83" s="1053"/>
      <c r="AL83" s="1053"/>
      <c r="AM83" s="1053"/>
      <c r="AN83" s="1053"/>
      <c r="AO83" s="1053"/>
      <c r="AP83" s="1053"/>
      <c r="AQ83" s="1053"/>
      <c r="AR83" s="1053"/>
      <c r="AS83" s="1053"/>
      <c r="AT83" s="1053"/>
      <c r="AU83" s="1053"/>
      <c r="AV83" s="1053"/>
      <c r="AW83" s="1053"/>
      <c r="AX83" s="1053"/>
      <c r="AY83" s="1053"/>
      <c r="AZ83" s="1053"/>
    </row>
    <row r="84" spans="1:52">
      <c r="A84" s="1053"/>
      <c r="B84" s="1053"/>
      <c r="C84" s="1053"/>
      <c r="D84" s="1053"/>
      <c r="E84" s="1053"/>
      <c r="F84" s="1053"/>
      <c r="G84" s="1053"/>
      <c r="H84" s="1053"/>
      <c r="I84" s="1053"/>
      <c r="J84" s="1053"/>
      <c r="K84" s="1053"/>
      <c r="L84" s="1053"/>
      <c r="M84" s="1053"/>
      <c r="N84" s="1053"/>
      <c r="O84" s="1053"/>
      <c r="P84" s="1053"/>
      <c r="Q84" s="1053"/>
      <c r="R84" s="1053"/>
      <c r="S84" s="1053"/>
      <c r="T84" s="1053"/>
      <c r="U84" s="1053"/>
      <c r="V84" s="1053"/>
      <c r="W84" s="1053"/>
      <c r="X84" s="1053"/>
      <c r="Y84" s="1053"/>
      <c r="Z84" s="1053"/>
      <c r="AA84" s="1053"/>
      <c r="AB84" s="1053"/>
      <c r="AC84" s="1053"/>
      <c r="AD84" s="1053"/>
      <c r="AE84" s="1053"/>
      <c r="AF84" s="1053"/>
      <c r="AG84" s="1053"/>
      <c r="AH84" s="1053"/>
      <c r="AI84" s="1053"/>
      <c r="AJ84" s="1053"/>
      <c r="AK84" s="1053"/>
      <c r="AL84" s="1053"/>
      <c r="AM84" s="1053"/>
      <c r="AN84" s="1053"/>
      <c r="AO84" s="1053"/>
      <c r="AP84" s="1053"/>
      <c r="AQ84" s="1053"/>
      <c r="AR84" s="1053"/>
      <c r="AS84" s="1053"/>
      <c r="AT84" s="1053"/>
      <c r="AU84" s="1053"/>
      <c r="AV84" s="1053"/>
      <c r="AW84" s="1053"/>
      <c r="AX84" s="1053"/>
      <c r="AY84" s="1053"/>
      <c r="AZ84" s="1053"/>
    </row>
    <row r="85" spans="1:52">
      <c r="A85" s="1053"/>
      <c r="B85" s="1053"/>
      <c r="C85" s="1053"/>
      <c r="D85" s="1053"/>
      <c r="E85" s="1053"/>
      <c r="F85" s="1053"/>
      <c r="G85" s="1053"/>
      <c r="H85" s="1053"/>
      <c r="I85" s="1053"/>
      <c r="J85" s="1053"/>
      <c r="K85" s="1053"/>
      <c r="L85" s="1053"/>
      <c r="M85" s="1053"/>
      <c r="N85" s="1053"/>
      <c r="O85" s="1053"/>
      <c r="P85" s="1053"/>
      <c r="Q85" s="1053"/>
      <c r="R85" s="1053"/>
      <c r="S85" s="1053"/>
      <c r="T85" s="1053"/>
      <c r="U85" s="1053"/>
      <c r="V85" s="1053"/>
      <c r="W85" s="1053"/>
      <c r="X85" s="1053"/>
      <c r="Y85" s="1053"/>
      <c r="Z85" s="1053"/>
      <c r="AA85" s="1053"/>
      <c r="AB85" s="1053"/>
      <c r="AC85" s="1053"/>
      <c r="AD85" s="1053"/>
      <c r="AE85" s="1053"/>
      <c r="AF85" s="1053"/>
      <c r="AG85" s="1053"/>
      <c r="AH85" s="1053"/>
      <c r="AI85" s="1053"/>
      <c r="AJ85" s="1053"/>
      <c r="AK85" s="1053"/>
      <c r="AL85" s="1053"/>
      <c r="AM85" s="1053"/>
      <c r="AN85" s="1053"/>
      <c r="AO85" s="1053"/>
      <c r="AP85" s="1053"/>
      <c r="AQ85" s="1053"/>
      <c r="AR85" s="1053"/>
      <c r="AS85" s="1053"/>
      <c r="AT85" s="1053"/>
      <c r="AU85" s="1053"/>
      <c r="AV85" s="1053"/>
      <c r="AW85" s="1053"/>
      <c r="AX85" s="1053"/>
      <c r="AY85" s="1053"/>
      <c r="AZ85" s="1053"/>
    </row>
    <row r="86" spans="1:52">
      <c r="A86" s="1053"/>
      <c r="B86" s="1053"/>
      <c r="C86" s="1053"/>
      <c r="D86" s="1053"/>
      <c r="E86" s="1053"/>
      <c r="F86" s="1053"/>
      <c r="G86" s="1053"/>
      <c r="H86" s="1053"/>
      <c r="I86" s="1053"/>
      <c r="J86" s="1053"/>
      <c r="K86" s="1053"/>
      <c r="L86" s="1053"/>
      <c r="M86" s="1053"/>
      <c r="N86" s="1053"/>
      <c r="O86" s="1053"/>
      <c r="P86" s="1053"/>
      <c r="Q86" s="1053"/>
      <c r="R86" s="1053"/>
      <c r="S86" s="1053"/>
      <c r="T86" s="1053"/>
      <c r="U86" s="1053"/>
      <c r="V86" s="1053"/>
      <c r="W86" s="1053"/>
      <c r="X86" s="1053"/>
      <c r="Y86" s="1053"/>
      <c r="Z86" s="1053"/>
      <c r="AA86" s="1053"/>
      <c r="AB86" s="1053"/>
      <c r="AC86" s="1053"/>
      <c r="AD86" s="1053"/>
      <c r="AE86" s="1053"/>
      <c r="AF86" s="1053"/>
      <c r="AG86" s="1053"/>
      <c r="AH86" s="1053"/>
      <c r="AI86" s="1053"/>
      <c r="AJ86" s="1053"/>
      <c r="AK86" s="1053"/>
      <c r="AL86" s="1053"/>
      <c r="AM86" s="1053"/>
      <c r="AN86" s="1053"/>
      <c r="AO86" s="1053"/>
      <c r="AP86" s="1053"/>
      <c r="AQ86" s="1053"/>
      <c r="AR86" s="1053"/>
      <c r="AS86" s="1053"/>
      <c r="AT86" s="1053"/>
      <c r="AU86" s="1053"/>
      <c r="AV86" s="1053"/>
      <c r="AW86" s="1053"/>
      <c r="AX86" s="1053"/>
      <c r="AY86" s="1053"/>
      <c r="AZ86" s="1053"/>
    </row>
    <row r="87" spans="1:52">
      <c r="A87" s="1053"/>
      <c r="B87" s="1053"/>
      <c r="C87" s="1053"/>
      <c r="D87" s="1053"/>
      <c r="E87" s="1053"/>
      <c r="F87" s="1053"/>
      <c r="G87" s="1053"/>
      <c r="H87" s="1053"/>
      <c r="I87" s="1053"/>
      <c r="J87" s="1053"/>
      <c r="K87" s="1053"/>
      <c r="L87" s="1053"/>
      <c r="M87" s="1053"/>
      <c r="N87" s="1053"/>
      <c r="O87" s="1053"/>
      <c r="P87" s="1053"/>
      <c r="Q87" s="1053"/>
      <c r="R87" s="1053"/>
      <c r="S87" s="1053"/>
      <c r="T87" s="1053"/>
      <c r="U87" s="1053"/>
      <c r="V87" s="1053"/>
      <c r="W87" s="1053"/>
      <c r="X87" s="1053"/>
      <c r="Y87" s="1053"/>
      <c r="Z87" s="1053"/>
      <c r="AA87" s="1053"/>
      <c r="AB87" s="1053"/>
      <c r="AC87" s="1053"/>
      <c r="AD87" s="1053"/>
      <c r="AE87" s="1053"/>
      <c r="AF87" s="1053"/>
      <c r="AG87" s="1053"/>
      <c r="AH87" s="1053"/>
      <c r="AI87" s="1053"/>
      <c r="AJ87" s="1053"/>
      <c r="AK87" s="1053"/>
      <c r="AL87" s="1053"/>
      <c r="AM87" s="1053"/>
      <c r="AN87" s="1053"/>
      <c r="AO87" s="1053"/>
      <c r="AP87" s="1053"/>
      <c r="AQ87" s="1053"/>
      <c r="AR87" s="1053"/>
      <c r="AS87" s="1053"/>
      <c r="AT87" s="1053"/>
      <c r="AU87" s="1053"/>
      <c r="AV87" s="1053"/>
      <c r="AW87" s="1053"/>
      <c r="AX87" s="1053"/>
      <c r="AY87" s="1053"/>
      <c r="AZ87" s="1053"/>
    </row>
    <row r="88" spans="1:52">
      <c r="A88" s="1053"/>
      <c r="B88" s="1053"/>
      <c r="C88" s="1053"/>
      <c r="D88" s="1053"/>
      <c r="E88" s="1053"/>
      <c r="F88" s="1053"/>
      <c r="G88" s="1053"/>
      <c r="H88" s="1053"/>
      <c r="I88" s="1053"/>
      <c r="J88" s="1053"/>
      <c r="K88" s="1053"/>
      <c r="L88" s="1053"/>
      <c r="M88" s="1053"/>
      <c r="N88" s="1053"/>
      <c r="O88" s="1053"/>
      <c r="P88" s="1053"/>
      <c r="Q88" s="1053"/>
      <c r="R88" s="1053"/>
      <c r="S88" s="1053"/>
      <c r="T88" s="1053"/>
      <c r="U88" s="1053"/>
      <c r="V88" s="1053"/>
      <c r="W88" s="1053"/>
      <c r="X88" s="1053"/>
      <c r="Y88" s="1053"/>
      <c r="Z88" s="1053"/>
      <c r="AA88" s="1053"/>
      <c r="AB88" s="1053"/>
      <c r="AC88" s="1053"/>
      <c r="AD88" s="1053"/>
      <c r="AE88" s="1053"/>
      <c r="AF88" s="1053"/>
      <c r="AG88" s="1053"/>
      <c r="AH88" s="1053"/>
      <c r="AI88" s="1053"/>
      <c r="AJ88" s="1053"/>
      <c r="AK88" s="1053"/>
      <c r="AL88" s="1053"/>
      <c r="AM88" s="1053"/>
      <c r="AN88" s="1053"/>
      <c r="AO88" s="1053"/>
      <c r="AP88" s="1053"/>
      <c r="AQ88" s="1053"/>
      <c r="AR88" s="1053"/>
      <c r="AS88" s="1053"/>
      <c r="AT88" s="1053"/>
      <c r="AU88" s="1053"/>
      <c r="AV88" s="1053"/>
      <c r="AW88" s="1053"/>
      <c r="AX88" s="1053"/>
      <c r="AY88" s="1053"/>
      <c r="AZ88" s="1053"/>
    </row>
    <row r="89" spans="1:52">
      <c r="A89" s="1053"/>
      <c r="B89" s="1053"/>
      <c r="C89" s="1053"/>
      <c r="D89" s="1053"/>
      <c r="E89" s="1053"/>
      <c r="F89" s="1053"/>
      <c r="G89" s="1053"/>
      <c r="H89" s="1053"/>
      <c r="I89" s="1053"/>
      <c r="J89" s="1053"/>
      <c r="K89" s="1053"/>
      <c r="L89" s="1053"/>
      <c r="M89" s="1053"/>
      <c r="N89" s="1053"/>
      <c r="O89" s="1053"/>
      <c r="P89" s="1053"/>
      <c r="Q89" s="1053"/>
      <c r="R89" s="1053"/>
      <c r="S89" s="1053"/>
      <c r="T89" s="1053"/>
      <c r="U89" s="1053"/>
      <c r="V89" s="1053"/>
      <c r="W89" s="1053"/>
      <c r="X89" s="1053"/>
      <c r="Y89" s="1053"/>
      <c r="Z89" s="1053"/>
      <c r="AA89" s="1053"/>
      <c r="AB89" s="1053"/>
      <c r="AC89" s="1053"/>
      <c r="AD89" s="1053"/>
      <c r="AE89" s="1053"/>
      <c r="AF89" s="1053"/>
      <c r="AG89" s="1053"/>
      <c r="AH89" s="1053"/>
      <c r="AI89" s="1053"/>
      <c r="AJ89" s="1053"/>
      <c r="AK89" s="1053"/>
      <c r="AL89" s="1053"/>
      <c r="AM89" s="1053"/>
      <c r="AN89" s="1053"/>
      <c r="AO89" s="1053"/>
      <c r="AP89" s="1053"/>
      <c r="AQ89" s="1053"/>
      <c r="AR89" s="1053"/>
      <c r="AS89" s="1053"/>
      <c r="AT89" s="1053"/>
      <c r="AU89" s="1053"/>
      <c r="AV89" s="1053"/>
      <c r="AW89" s="1053"/>
      <c r="AX89" s="1053"/>
      <c r="AY89" s="1053"/>
      <c r="AZ89" s="1053"/>
    </row>
    <row r="90" spans="1:52">
      <c r="A90" s="1053"/>
      <c r="B90" s="1053"/>
      <c r="C90" s="1053"/>
      <c r="D90" s="1053"/>
      <c r="E90" s="1053"/>
      <c r="F90" s="1053"/>
      <c r="G90" s="1053"/>
      <c r="H90" s="1053"/>
      <c r="I90" s="1053"/>
      <c r="J90" s="1053"/>
      <c r="K90" s="1053"/>
      <c r="L90" s="1053"/>
      <c r="M90" s="1053"/>
      <c r="N90" s="1053"/>
      <c r="O90" s="1053"/>
      <c r="P90" s="1053"/>
      <c r="Q90" s="1053"/>
      <c r="R90" s="1053"/>
      <c r="S90" s="1053"/>
      <c r="T90" s="1053"/>
      <c r="U90" s="1053"/>
      <c r="V90" s="1053"/>
      <c r="W90" s="1053"/>
      <c r="X90" s="1053"/>
      <c r="Y90" s="1053"/>
      <c r="Z90" s="1053"/>
      <c r="AA90" s="1053"/>
      <c r="AB90" s="1053"/>
      <c r="AC90" s="1053"/>
      <c r="AD90" s="1053"/>
      <c r="AE90" s="1053"/>
      <c r="AF90" s="1053"/>
      <c r="AG90" s="1053"/>
      <c r="AH90" s="1053"/>
      <c r="AI90" s="1053"/>
      <c r="AJ90" s="1053"/>
      <c r="AK90" s="1053"/>
      <c r="AL90" s="1053"/>
      <c r="AM90" s="1053"/>
      <c r="AN90" s="1053"/>
      <c r="AO90" s="1053"/>
      <c r="AP90" s="1053"/>
      <c r="AQ90" s="1053"/>
      <c r="AR90" s="1053"/>
      <c r="AS90" s="1053"/>
      <c r="AT90" s="1053"/>
      <c r="AU90" s="1053"/>
      <c r="AV90" s="1053"/>
      <c r="AW90" s="1053"/>
      <c r="AX90" s="1053"/>
      <c r="AY90" s="1053"/>
      <c r="AZ90" s="1053"/>
    </row>
    <row r="91" spans="1:52">
      <c r="A91" s="1053"/>
      <c r="B91" s="1053"/>
      <c r="C91" s="1053"/>
      <c r="D91" s="1053"/>
      <c r="E91" s="1053"/>
      <c r="F91" s="1053"/>
      <c r="G91" s="1053"/>
      <c r="H91" s="1053"/>
      <c r="I91" s="1053"/>
      <c r="J91" s="1053"/>
      <c r="K91" s="1053"/>
      <c r="L91" s="1053"/>
      <c r="M91" s="1053"/>
      <c r="N91" s="1053"/>
      <c r="O91" s="1053"/>
      <c r="P91" s="1053"/>
      <c r="Q91" s="1053"/>
      <c r="R91" s="1053"/>
      <c r="S91" s="1053"/>
      <c r="T91" s="1053"/>
      <c r="U91" s="1053"/>
      <c r="V91" s="1053"/>
      <c r="W91" s="1053"/>
      <c r="X91" s="1053"/>
      <c r="Y91" s="1053"/>
      <c r="Z91" s="1053"/>
      <c r="AA91" s="1053"/>
      <c r="AB91" s="1053"/>
      <c r="AC91" s="1053"/>
      <c r="AD91" s="1053"/>
      <c r="AE91" s="1053"/>
      <c r="AF91" s="1053"/>
      <c r="AG91" s="1053"/>
      <c r="AH91" s="1053"/>
      <c r="AI91" s="1053"/>
      <c r="AJ91" s="1053"/>
      <c r="AK91" s="1053"/>
      <c r="AL91" s="1053"/>
      <c r="AM91" s="1053"/>
      <c r="AN91" s="1053"/>
      <c r="AO91" s="1053"/>
      <c r="AP91" s="1053"/>
      <c r="AQ91" s="1053"/>
      <c r="AR91" s="1053"/>
      <c r="AS91" s="1053"/>
      <c r="AT91" s="1053"/>
      <c r="AU91" s="1053"/>
      <c r="AV91" s="1053"/>
      <c r="AW91" s="1053"/>
      <c r="AX91" s="1053"/>
      <c r="AY91" s="1053"/>
      <c r="AZ91" s="1053"/>
    </row>
    <row r="92" spans="1:52">
      <c r="A92" s="1053"/>
      <c r="B92" s="1053"/>
      <c r="C92" s="1053"/>
      <c r="D92" s="1053"/>
      <c r="E92" s="1053"/>
      <c r="F92" s="1053"/>
      <c r="G92" s="1053"/>
      <c r="H92" s="1053"/>
      <c r="I92" s="1053"/>
      <c r="J92" s="1053"/>
      <c r="K92" s="1053"/>
      <c r="L92" s="1053"/>
      <c r="M92" s="1053"/>
      <c r="N92" s="1053"/>
      <c r="O92" s="1053"/>
      <c r="P92" s="1053"/>
      <c r="Q92" s="1053"/>
      <c r="R92" s="1053"/>
      <c r="S92" s="1053"/>
      <c r="T92" s="1053"/>
      <c r="U92" s="1053"/>
      <c r="V92" s="1053"/>
      <c r="W92" s="1053"/>
      <c r="X92" s="1053"/>
      <c r="Y92" s="1053"/>
      <c r="Z92" s="1053"/>
      <c r="AA92" s="1053"/>
      <c r="AB92" s="1053"/>
      <c r="AC92" s="1053"/>
      <c r="AD92" s="1053"/>
      <c r="AE92" s="1053"/>
      <c r="AF92" s="1053"/>
      <c r="AG92" s="1053"/>
      <c r="AH92" s="1053"/>
      <c r="AI92" s="1053"/>
      <c r="AJ92" s="1053"/>
      <c r="AK92" s="1053"/>
      <c r="AL92" s="1053"/>
      <c r="AM92" s="1053"/>
      <c r="AN92" s="1053"/>
      <c r="AO92" s="1053"/>
      <c r="AP92" s="1053"/>
      <c r="AQ92" s="1053"/>
      <c r="AR92" s="1053"/>
      <c r="AS92" s="1053"/>
      <c r="AT92" s="1053"/>
      <c r="AU92" s="1053"/>
      <c r="AV92" s="1053"/>
      <c r="AW92" s="1053"/>
      <c r="AX92" s="1053"/>
      <c r="AY92" s="1053"/>
      <c r="AZ92" s="1053"/>
    </row>
    <row r="93" spans="1:52">
      <c r="A93" s="1053"/>
      <c r="B93" s="1053"/>
      <c r="C93" s="1053"/>
      <c r="D93" s="1053"/>
      <c r="E93" s="1053"/>
      <c r="F93" s="1053"/>
      <c r="G93" s="1053"/>
      <c r="H93" s="1053"/>
      <c r="I93" s="1053"/>
      <c r="J93" s="1053"/>
      <c r="K93" s="1053"/>
      <c r="L93" s="1053"/>
      <c r="M93" s="1053"/>
      <c r="N93" s="1053"/>
      <c r="O93" s="1053"/>
      <c r="P93" s="1053"/>
      <c r="Q93" s="1053"/>
      <c r="R93" s="1053"/>
      <c r="S93" s="1053"/>
      <c r="T93" s="1053"/>
      <c r="U93" s="1053"/>
      <c r="V93" s="1053"/>
      <c r="W93" s="1053"/>
      <c r="X93" s="1053"/>
      <c r="Y93" s="1053"/>
      <c r="Z93" s="1053"/>
      <c r="AA93" s="1053"/>
      <c r="AB93" s="1053"/>
      <c r="AC93" s="1053"/>
      <c r="AD93" s="1053"/>
      <c r="AE93" s="1053"/>
      <c r="AF93" s="1053"/>
      <c r="AG93" s="1053"/>
      <c r="AH93" s="1053"/>
      <c r="AI93" s="1053"/>
      <c r="AJ93" s="1053"/>
      <c r="AK93" s="1053"/>
      <c r="AL93" s="1053"/>
      <c r="AM93" s="1053"/>
      <c r="AN93" s="1053"/>
      <c r="AO93" s="1053"/>
      <c r="AP93" s="1053"/>
      <c r="AQ93" s="1053"/>
      <c r="AR93" s="1053"/>
      <c r="AS93" s="1053"/>
      <c r="AT93" s="1053"/>
      <c r="AU93" s="1053"/>
      <c r="AV93" s="1053"/>
      <c r="AW93" s="1053"/>
      <c r="AX93" s="1053"/>
      <c r="AY93" s="1053"/>
      <c r="AZ93" s="1053"/>
    </row>
    <row r="94" spans="1:52">
      <c r="A94" s="1053"/>
      <c r="B94" s="1053"/>
      <c r="C94" s="1053"/>
      <c r="D94" s="1053"/>
      <c r="E94" s="1053"/>
      <c r="F94" s="1053"/>
      <c r="G94" s="1053"/>
      <c r="H94" s="1053"/>
      <c r="I94" s="1053"/>
      <c r="J94" s="1053"/>
      <c r="K94" s="1053"/>
      <c r="L94" s="1053"/>
      <c r="M94" s="1053"/>
      <c r="N94" s="1053"/>
      <c r="O94" s="1053"/>
      <c r="P94" s="1053"/>
      <c r="Q94" s="1053"/>
      <c r="R94" s="1053"/>
      <c r="S94" s="1053"/>
      <c r="T94" s="1053"/>
      <c r="U94" s="1053"/>
      <c r="V94" s="1053"/>
      <c r="W94" s="1053"/>
      <c r="X94" s="1053"/>
      <c r="Y94" s="1053"/>
      <c r="Z94" s="1053"/>
      <c r="AA94" s="1053"/>
      <c r="AB94" s="1053"/>
      <c r="AC94" s="1053"/>
      <c r="AD94" s="1053"/>
      <c r="AE94" s="1053"/>
      <c r="AF94" s="1053"/>
      <c r="AG94" s="1053"/>
      <c r="AH94" s="1053"/>
      <c r="AI94" s="1053"/>
      <c r="AJ94" s="1053"/>
      <c r="AK94" s="1053"/>
      <c r="AL94" s="1053"/>
      <c r="AM94" s="1053"/>
      <c r="AN94" s="1053"/>
      <c r="AO94" s="1053"/>
      <c r="AP94" s="1053"/>
      <c r="AQ94" s="1053"/>
      <c r="AR94" s="1053"/>
      <c r="AS94" s="1053"/>
      <c r="AT94" s="1053"/>
      <c r="AU94" s="1053"/>
      <c r="AV94" s="1053"/>
      <c r="AW94" s="1053"/>
      <c r="AX94" s="1053"/>
      <c r="AY94" s="1053"/>
      <c r="AZ94" s="1053"/>
    </row>
    <row r="95" spans="1:52">
      <c r="A95" s="1053"/>
      <c r="B95" s="1053"/>
      <c r="C95" s="1053"/>
      <c r="D95" s="1053"/>
      <c r="E95" s="1053"/>
      <c r="F95" s="1053"/>
      <c r="G95" s="1053"/>
      <c r="H95" s="1053"/>
      <c r="I95" s="1053"/>
      <c r="J95" s="1053"/>
      <c r="K95" s="1053"/>
      <c r="L95" s="1053"/>
      <c r="M95" s="1053"/>
      <c r="N95" s="1053"/>
      <c r="O95" s="1053"/>
      <c r="P95" s="1053"/>
      <c r="Q95" s="1053"/>
      <c r="R95" s="1053"/>
      <c r="S95" s="1053"/>
      <c r="T95" s="1053"/>
      <c r="U95" s="1053"/>
      <c r="V95" s="1053"/>
      <c r="W95" s="1053"/>
      <c r="X95" s="1053"/>
      <c r="Y95" s="1053"/>
      <c r="Z95" s="1053"/>
      <c r="AA95" s="1053"/>
      <c r="AB95" s="1053"/>
      <c r="AC95" s="1053"/>
      <c r="AD95" s="1053"/>
      <c r="AE95" s="1053"/>
      <c r="AF95" s="1053"/>
      <c r="AG95" s="1053"/>
      <c r="AH95" s="1053"/>
      <c r="AI95" s="1053"/>
      <c r="AJ95" s="1053"/>
      <c r="AK95" s="1053"/>
      <c r="AL95" s="1053"/>
      <c r="AM95" s="1053"/>
      <c r="AN95" s="1053"/>
      <c r="AO95" s="1053"/>
      <c r="AP95" s="1053"/>
      <c r="AQ95" s="1053"/>
      <c r="AR95" s="1053"/>
      <c r="AS95" s="1053"/>
      <c r="AT95" s="1053"/>
      <c r="AU95" s="1053"/>
      <c r="AV95" s="1053"/>
      <c r="AW95" s="1053"/>
      <c r="AX95" s="1053"/>
      <c r="AY95" s="1053"/>
      <c r="AZ95" s="1053"/>
    </row>
    <row r="96" spans="1:52">
      <c r="A96" s="1053"/>
      <c r="B96" s="1053"/>
      <c r="C96" s="1053"/>
      <c r="D96" s="1053"/>
      <c r="E96" s="1053"/>
      <c r="F96" s="1053"/>
      <c r="G96" s="1053"/>
      <c r="H96" s="1053"/>
      <c r="I96" s="1053"/>
      <c r="J96" s="1053"/>
      <c r="K96" s="1053"/>
      <c r="L96" s="1053"/>
      <c r="M96" s="1053"/>
      <c r="N96" s="1053"/>
      <c r="O96" s="1053"/>
      <c r="P96" s="1053"/>
      <c r="Q96" s="1053"/>
      <c r="R96" s="1053"/>
      <c r="S96" s="1053"/>
      <c r="T96" s="1053"/>
      <c r="U96" s="1053"/>
      <c r="V96" s="1053"/>
      <c r="W96" s="1053"/>
      <c r="X96" s="1053"/>
      <c r="Y96" s="1053"/>
      <c r="Z96" s="1053"/>
      <c r="AA96" s="1053"/>
      <c r="AB96" s="1053"/>
      <c r="AC96" s="1053"/>
      <c r="AD96" s="1053"/>
      <c r="AE96" s="1053"/>
      <c r="AF96" s="1053"/>
      <c r="AG96" s="1053"/>
      <c r="AH96" s="1053"/>
      <c r="AI96" s="1053"/>
      <c r="AJ96" s="1053"/>
      <c r="AK96" s="1053"/>
      <c r="AL96" s="1053"/>
      <c r="AM96" s="1053"/>
      <c r="AN96" s="1053"/>
      <c r="AO96" s="1053"/>
      <c r="AP96" s="1053"/>
      <c r="AQ96" s="1053"/>
      <c r="AR96" s="1053"/>
      <c r="AS96" s="1053"/>
      <c r="AT96" s="1053"/>
      <c r="AU96" s="1053"/>
      <c r="AV96" s="1053"/>
      <c r="AW96" s="1053"/>
      <c r="AX96" s="1053"/>
      <c r="AY96" s="1053"/>
      <c r="AZ96" s="1053"/>
    </row>
    <row r="97" spans="1:52">
      <c r="A97" s="1053"/>
      <c r="B97" s="1053"/>
      <c r="C97" s="1053"/>
      <c r="D97" s="1053"/>
      <c r="E97" s="1053"/>
      <c r="F97" s="1053"/>
      <c r="G97" s="1053"/>
      <c r="H97" s="1053"/>
      <c r="I97" s="1053"/>
      <c r="J97" s="1053"/>
      <c r="K97" s="1053"/>
      <c r="L97" s="1053"/>
      <c r="M97" s="1053"/>
      <c r="N97" s="1053"/>
      <c r="O97" s="1053"/>
      <c r="P97" s="1053"/>
      <c r="Q97" s="1053"/>
      <c r="R97" s="1053"/>
      <c r="S97" s="1053"/>
      <c r="T97" s="1053"/>
      <c r="U97" s="1053"/>
      <c r="V97" s="1053"/>
      <c r="W97" s="1053"/>
      <c r="X97" s="1053"/>
      <c r="Y97" s="1053"/>
      <c r="Z97" s="1053"/>
      <c r="AA97" s="1053"/>
      <c r="AB97" s="1053"/>
      <c r="AC97" s="1053"/>
      <c r="AD97" s="1053"/>
      <c r="AE97" s="1053"/>
      <c r="AF97" s="1053"/>
      <c r="AG97" s="1053"/>
      <c r="AH97" s="1053"/>
      <c r="AI97" s="1053"/>
      <c r="AJ97" s="1053"/>
      <c r="AK97" s="1053"/>
      <c r="AL97" s="1053"/>
      <c r="AM97" s="1053"/>
      <c r="AN97" s="1053"/>
      <c r="AO97" s="1053"/>
      <c r="AP97" s="1053"/>
      <c r="AQ97" s="1053"/>
      <c r="AR97" s="1053"/>
      <c r="AS97" s="1053"/>
      <c r="AT97" s="1053"/>
      <c r="AU97" s="1053"/>
      <c r="AV97" s="1053"/>
      <c r="AW97" s="1053"/>
      <c r="AX97" s="1053"/>
      <c r="AY97" s="1053"/>
      <c r="AZ97" s="1053"/>
    </row>
    <row r="98" spans="1:52">
      <c r="A98" s="1053"/>
      <c r="B98" s="1053"/>
      <c r="C98" s="1053"/>
      <c r="D98" s="1053"/>
      <c r="E98" s="1053"/>
      <c r="F98" s="1053"/>
      <c r="G98" s="1053"/>
      <c r="H98" s="1053"/>
      <c r="I98" s="1053"/>
      <c r="J98" s="1053"/>
      <c r="K98" s="1053"/>
      <c r="L98" s="1053"/>
      <c r="M98" s="1053"/>
      <c r="N98" s="1053"/>
      <c r="O98" s="1053"/>
      <c r="P98" s="1053"/>
      <c r="Q98" s="1053"/>
      <c r="R98" s="1053"/>
      <c r="S98" s="1053"/>
      <c r="T98" s="1053"/>
      <c r="U98" s="1053"/>
      <c r="V98" s="1053"/>
      <c r="W98" s="1053"/>
      <c r="X98" s="1053"/>
      <c r="Y98" s="1053"/>
      <c r="Z98" s="1053"/>
      <c r="AA98" s="1053"/>
      <c r="AB98" s="1053"/>
      <c r="AC98" s="1053"/>
      <c r="AD98" s="1053"/>
      <c r="AE98" s="1053"/>
      <c r="AF98" s="1053"/>
      <c r="AG98" s="1053"/>
      <c r="AH98" s="1053"/>
      <c r="AI98" s="1053"/>
      <c r="AJ98" s="1053"/>
      <c r="AK98" s="1053"/>
      <c r="AL98" s="1053"/>
      <c r="AM98" s="1053"/>
      <c r="AN98" s="1053"/>
      <c r="AO98" s="1053"/>
      <c r="AP98" s="1053"/>
      <c r="AQ98" s="1053"/>
      <c r="AR98" s="1053"/>
      <c r="AS98" s="1053"/>
      <c r="AT98" s="1053"/>
      <c r="AU98" s="1053"/>
      <c r="AV98" s="1053"/>
      <c r="AW98" s="1053"/>
      <c r="AX98" s="1053"/>
      <c r="AY98" s="1053"/>
      <c r="AZ98" s="1053"/>
    </row>
    <row r="99" spans="1:52">
      <c r="A99" s="1053"/>
      <c r="B99" s="1053"/>
      <c r="C99" s="1053"/>
      <c r="D99" s="1053"/>
      <c r="E99" s="1053"/>
      <c r="F99" s="1053"/>
      <c r="G99" s="1053"/>
      <c r="H99" s="1053"/>
      <c r="I99" s="1053"/>
      <c r="J99" s="1053"/>
      <c r="K99" s="1053"/>
      <c r="L99" s="1053"/>
      <c r="M99" s="1053"/>
      <c r="N99" s="1053"/>
      <c r="O99" s="1053"/>
      <c r="P99" s="1053"/>
      <c r="Q99" s="1053"/>
      <c r="R99" s="1053"/>
      <c r="S99" s="1053"/>
      <c r="T99" s="1053"/>
      <c r="U99" s="1053"/>
      <c r="V99" s="1053"/>
      <c r="W99" s="1053"/>
      <c r="X99" s="1053"/>
      <c r="Y99" s="1053"/>
      <c r="Z99" s="1053"/>
      <c r="AA99" s="1053"/>
      <c r="AB99" s="1053"/>
      <c r="AC99" s="1053"/>
      <c r="AD99" s="1053"/>
      <c r="AE99" s="1053"/>
      <c r="AF99" s="1053"/>
      <c r="AG99" s="1053"/>
      <c r="AH99" s="1053"/>
      <c r="AI99" s="1053"/>
      <c r="AJ99" s="1053"/>
      <c r="AK99" s="1053"/>
      <c r="AL99" s="1053"/>
      <c r="AM99" s="1053"/>
      <c r="AN99" s="1053"/>
      <c r="AO99" s="1053"/>
      <c r="AP99" s="1053"/>
      <c r="AQ99" s="1053"/>
      <c r="AR99" s="1053"/>
      <c r="AS99" s="1053"/>
      <c r="AT99" s="1053"/>
      <c r="AU99" s="1053"/>
      <c r="AV99" s="1053"/>
      <c r="AW99" s="1053"/>
      <c r="AX99" s="1053"/>
      <c r="AY99" s="1053"/>
      <c r="AZ99" s="1053"/>
    </row>
    <row r="100" spans="1:52">
      <c r="A100" s="1053"/>
      <c r="B100" s="1053"/>
      <c r="C100" s="1053"/>
      <c r="D100" s="1053"/>
      <c r="E100" s="1053"/>
      <c r="F100" s="1053"/>
      <c r="G100" s="1053"/>
      <c r="H100" s="1053"/>
      <c r="I100" s="1053"/>
      <c r="J100" s="1053"/>
      <c r="K100" s="1053"/>
      <c r="L100" s="1053"/>
      <c r="M100" s="1053"/>
      <c r="N100" s="1053"/>
      <c r="O100" s="1053"/>
      <c r="P100" s="1053"/>
      <c r="Q100" s="1053"/>
      <c r="R100" s="1053"/>
      <c r="S100" s="1053"/>
      <c r="T100" s="1053"/>
      <c r="U100" s="1053"/>
      <c r="V100" s="1053"/>
      <c r="W100" s="1053"/>
      <c r="X100" s="1053"/>
      <c r="Y100" s="1053"/>
      <c r="Z100" s="1053"/>
      <c r="AA100" s="1053"/>
      <c r="AB100" s="1053"/>
      <c r="AC100" s="1053"/>
      <c r="AD100" s="1053"/>
      <c r="AE100" s="1053"/>
      <c r="AF100" s="1053"/>
      <c r="AG100" s="1053"/>
      <c r="AH100" s="1053"/>
      <c r="AI100" s="1053"/>
      <c r="AJ100" s="1053"/>
      <c r="AK100" s="1053"/>
      <c r="AL100" s="1053"/>
      <c r="AM100" s="1053"/>
      <c r="AN100" s="1053"/>
      <c r="AO100" s="1053"/>
      <c r="AP100" s="1053"/>
      <c r="AQ100" s="1053"/>
      <c r="AR100" s="1053"/>
      <c r="AS100" s="1053"/>
      <c r="AT100" s="1053"/>
      <c r="AU100" s="1053"/>
      <c r="AV100" s="1053"/>
      <c r="AW100" s="1053"/>
      <c r="AX100" s="1053"/>
      <c r="AY100" s="1053"/>
      <c r="AZ100" s="1053"/>
    </row>
    <row r="101" spans="1:52">
      <c r="A101" s="1053"/>
      <c r="B101" s="1053"/>
      <c r="C101" s="1053"/>
      <c r="D101" s="1053"/>
      <c r="E101" s="1053"/>
      <c r="F101" s="1053"/>
      <c r="G101" s="1053"/>
      <c r="H101" s="1053"/>
      <c r="I101" s="1053"/>
      <c r="J101" s="1053"/>
      <c r="K101" s="1053"/>
      <c r="L101" s="1053"/>
      <c r="M101" s="1053"/>
      <c r="N101" s="1053"/>
      <c r="O101" s="1053"/>
      <c r="P101" s="1053"/>
      <c r="Q101" s="1053"/>
      <c r="R101" s="1053"/>
      <c r="S101" s="1053"/>
      <c r="T101" s="1053"/>
      <c r="U101" s="1053"/>
      <c r="V101" s="1053"/>
      <c r="W101" s="1053"/>
      <c r="X101" s="1053"/>
      <c r="Y101" s="1053"/>
      <c r="Z101" s="1053"/>
      <c r="AA101" s="1053"/>
      <c r="AB101" s="1053"/>
      <c r="AC101" s="1053"/>
      <c r="AD101" s="1053"/>
      <c r="AE101" s="1053"/>
      <c r="AF101" s="1053"/>
      <c r="AG101" s="1053"/>
      <c r="AH101" s="1053"/>
      <c r="AI101" s="1053"/>
      <c r="AJ101" s="1053"/>
      <c r="AK101" s="1053"/>
      <c r="AL101" s="1053"/>
      <c r="AM101" s="1053"/>
      <c r="AN101" s="1053"/>
      <c r="AO101" s="1053"/>
      <c r="AP101" s="1053"/>
      <c r="AQ101" s="1053"/>
      <c r="AR101" s="1053"/>
      <c r="AS101" s="1053"/>
      <c r="AT101" s="1053"/>
      <c r="AU101" s="1053"/>
      <c r="AV101" s="1053"/>
      <c r="AW101" s="1053"/>
      <c r="AX101" s="1053"/>
      <c r="AY101" s="1053"/>
      <c r="AZ101" s="1053"/>
    </row>
    <row r="102" spans="1:52">
      <c r="A102" s="1053"/>
      <c r="B102" s="1053"/>
      <c r="C102" s="1053"/>
      <c r="D102" s="1053"/>
      <c r="E102" s="1053"/>
      <c r="F102" s="1053"/>
      <c r="G102" s="1053"/>
      <c r="H102" s="1053"/>
      <c r="I102" s="1053"/>
      <c r="J102" s="1053"/>
      <c r="K102" s="1053"/>
      <c r="L102" s="1053"/>
      <c r="M102" s="1053"/>
      <c r="N102" s="1053"/>
      <c r="O102" s="1053"/>
      <c r="P102" s="1053"/>
      <c r="Q102" s="1053"/>
      <c r="R102" s="1053"/>
      <c r="S102" s="1053"/>
      <c r="T102" s="1053"/>
      <c r="U102" s="1053"/>
      <c r="V102" s="1053"/>
      <c r="W102" s="1053"/>
      <c r="X102" s="1053"/>
      <c r="Y102" s="1053"/>
      <c r="Z102" s="1053"/>
      <c r="AA102" s="1053"/>
      <c r="AB102" s="1053"/>
      <c r="AC102" s="1053"/>
      <c r="AD102" s="1053"/>
      <c r="AE102" s="1053"/>
      <c r="AF102" s="1053"/>
      <c r="AG102" s="1053"/>
      <c r="AH102" s="1053"/>
      <c r="AI102" s="1053"/>
      <c r="AJ102" s="1053"/>
      <c r="AK102" s="1053"/>
      <c r="AL102" s="1053"/>
      <c r="AM102" s="1053"/>
      <c r="AN102" s="1053"/>
      <c r="AO102" s="1053"/>
      <c r="AP102" s="1053"/>
      <c r="AQ102" s="1053"/>
      <c r="AR102" s="1053"/>
      <c r="AS102" s="1053"/>
      <c r="AT102" s="1053"/>
      <c r="AU102" s="1053"/>
      <c r="AV102" s="1053"/>
      <c r="AW102" s="1053"/>
      <c r="AX102" s="1053"/>
      <c r="AY102" s="1053"/>
      <c r="AZ102" s="1053"/>
    </row>
    <row r="103" spans="1:52">
      <c r="A103" s="1053"/>
      <c r="B103" s="1053"/>
      <c r="C103" s="1053"/>
      <c r="D103" s="1053"/>
      <c r="E103" s="1053"/>
      <c r="F103" s="1053"/>
      <c r="G103" s="1053"/>
      <c r="H103" s="1053"/>
      <c r="I103" s="1053"/>
      <c r="J103" s="1053"/>
      <c r="K103" s="1053"/>
      <c r="L103" s="1053"/>
      <c r="M103" s="1053"/>
      <c r="N103" s="1053"/>
      <c r="O103" s="1053"/>
      <c r="P103" s="1053"/>
      <c r="Q103" s="1053"/>
      <c r="R103" s="1053"/>
      <c r="S103" s="1053"/>
      <c r="T103" s="1053"/>
      <c r="U103" s="1053"/>
      <c r="V103" s="1053"/>
      <c r="W103" s="1053"/>
      <c r="X103" s="1053"/>
      <c r="Y103" s="1053"/>
      <c r="Z103" s="1053"/>
      <c r="AA103" s="1053"/>
      <c r="AB103" s="1053"/>
      <c r="AC103" s="1053"/>
      <c r="AD103" s="1053"/>
      <c r="AE103" s="1053"/>
      <c r="AF103" s="1053"/>
      <c r="AG103" s="1053"/>
      <c r="AH103" s="1053"/>
      <c r="AI103" s="1053"/>
      <c r="AJ103" s="1053"/>
      <c r="AK103" s="1053"/>
      <c r="AL103" s="1053"/>
      <c r="AM103" s="1053"/>
      <c r="AN103" s="1053"/>
      <c r="AO103" s="1053"/>
      <c r="AP103" s="1053"/>
      <c r="AQ103" s="1053"/>
      <c r="AR103" s="1053"/>
      <c r="AS103" s="1053"/>
      <c r="AT103" s="1053"/>
      <c r="AU103" s="1053"/>
      <c r="AV103" s="1053"/>
      <c r="AW103" s="1053"/>
      <c r="AX103" s="1053"/>
      <c r="AY103" s="1053"/>
      <c r="AZ103" s="1053"/>
    </row>
    <row r="104" spans="1:52">
      <c r="A104" s="1053"/>
      <c r="B104" s="1053"/>
      <c r="C104" s="1053"/>
      <c r="D104" s="1053"/>
      <c r="E104" s="1053"/>
      <c r="F104" s="1053"/>
      <c r="G104" s="1053"/>
      <c r="H104" s="1053"/>
      <c r="I104" s="1053"/>
      <c r="J104" s="1053"/>
      <c r="K104" s="1053"/>
      <c r="L104" s="1053"/>
      <c r="M104" s="1053"/>
      <c r="N104" s="1053"/>
      <c r="O104" s="1053"/>
      <c r="P104" s="1053"/>
      <c r="Q104" s="1053"/>
      <c r="R104" s="1053"/>
      <c r="S104" s="1053"/>
      <c r="T104" s="1053"/>
      <c r="U104" s="1053"/>
      <c r="V104" s="1053"/>
      <c r="W104" s="1053"/>
      <c r="X104" s="1053"/>
      <c r="Y104" s="1053"/>
      <c r="Z104" s="1053"/>
      <c r="AA104" s="1053"/>
      <c r="AB104" s="1053"/>
      <c r="AC104" s="1053"/>
      <c r="AD104" s="1053"/>
      <c r="AE104" s="1053"/>
      <c r="AF104" s="1053"/>
      <c r="AG104" s="1053"/>
      <c r="AH104" s="1053"/>
      <c r="AI104" s="1053"/>
      <c r="AJ104" s="1053"/>
      <c r="AK104" s="1053"/>
      <c r="AL104" s="1053"/>
      <c r="AM104" s="1053"/>
      <c r="AN104" s="1053"/>
      <c r="AO104" s="1053"/>
      <c r="AP104" s="1053"/>
      <c r="AQ104" s="1053"/>
      <c r="AR104" s="1053"/>
      <c r="AS104" s="1053"/>
      <c r="AT104" s="1053"/>
      <c r="AU104" s="1053"/>
      <c r="AV104" s="1053"/>
      <c r="AW104" s="1053"/>
      <c r="AX104" s="1053"/>
      <c r="AY104" s="1053"/>
      <c r="AZ104" s="1053"/>
    </row>
    <row r="105" spans="1:52">
      <c r="A105" s="1053"/>
      <c r="B105" s="1053"/>
      <c r="C105" s="1053"/>
      <c r="D105" s="1053"/>
      <c r="E105" s="1053"/>
      <c r="F105" s="1053"/>
      <c r="G105" s="1053"/>
      <c r="H105" s="1053"/>
      <c r="I105" s="1053"/>
      <c r="J105" s="1053"/>
      <c r="K105" s="1053"/>
      <c r="L105" s="1053"/>
      <c r="M105" s="1053"/>
      <c r="N105" s="1053"/>
      <c r="O105" s="1053"/>
      <c r="P105" s="1053"/>
      <c r="Q105" s="1053"/>
      <c r="R105" s="1053"/>
      <c r="S105" s="1053"/>
      <c r="T105" s="1053"/>
      <c r="U105" s="1053"/>
      <c r="V105" s="1053"/>
      <c r="W105" s="1053"/>
      <c r="X105" s="1053"/>
      <c r="Y105" s="1053"/>
      <c r="Z105" s="1053"/>
      <c r="AA105" s="1053"/>
      <c r="AB105" s="1053"/>
      <c r="AC105" s="1053"/>
      <c r="AD105" s="1053"/>
      <c r="AE105" s="1053"/>
      <c r="AF105" s="1053"/>
      <c r="AG105" s="1053"/>
      <c r="AH105" s="1053"/>
      <c r="AI105" s="1053"/>
      <c r="AJ105" s="1053"/>
      <c r="AK105" s="1053"/>
      <c r="AL105" s="1053"/>
      <c r="AM105" s="1053"/>
      <c r="AN105" s="1053"/>
      <c r="AO105" s="1053"/>
      <c r="AP105" s="1053"/>
      <c r="AQ105" s="1053"/>
      <c r="AR105" s="1053"/>
      <c r="AS105" s="1053"/>
      <c r="AT105" s="1053"/>
      <c r="AU105" s="1053"/>
      <c r="AV105" s="1053"/>
      <c r="AW105" s="1053"/>
      <c r="AX105" s="1053"/>
      <c r="AY105" s="1053"/>
      <c r="AZ105" s="1053"/>
    </row>
    <row r="106" spans="1:52">
      <c r="A106" s="1053"/>
      <c r="B106" s="1053"/>
      <c r="C106" s="1053"/>
      <c r="D106" s="1053"/>
      <c r="E106" s="1053"/>
      <c r="F106" s="1053"/>
      <c r="G106" s="1053"/>
      <c r="H106" s="1053"/>
      <c r="I106" s="1053"/>
      <c r="J106" s="1053"/>
      <c r="K106" s="1053"/>
      <c r="L106" s="1053"/>
      <c r="M106" s="1053"/>
      <c r="N106" s="1053"/>
      <c r="O106" s="1053"/>
      <c r="P106" s="1053"/>
      <c r="Q106" s="1053"/>
      <c r="R106" s="1053"/>
      <c r="S106" s="1053"/>
      <c r="T106" s="1053"/>
      <c r="U106" s="1053"/>
      <c r="V106" s="1053"/>
      <c r="W106" s="1053"/>
      <c r="X106" s="1053"/>
      <c r="Y106" s="1053"/>
      <c r="Z106" s="1053"/>
      <c r="AA106" s="1053"/>
      <c r="AB106" s="1053"/>
      <c r="AC106" s="1053"/>
      <c r="AD106" s="1053"/>
      <c r="AE106" s="1053"/>
      <c r="AF106" s="1053"/>
      <c r="AG106" s="1053"/>
      <c r="AH106" s="1053"/>
      <c r="AI106" s="1053"/>
      <c r="AJ106" s="1053"/>
      <c r="AK106" s="1053"/>
      <c r="AL106" s="1053"/>
      <c r="AM106" s="1053"/>
      <c r="AN106" s="1053"/>
      <c r="AO106" s="1053"/>
      <c r="AP106" s="1053"/>
      <c r="AQ106" s="1053"/>
      <c r="AR106" s="1053"/>
      <c r="AS106" s="1053"/>
      <c r="AT106" s="1053"/>
      <c r="AU106" s="1053"/>
      <c r="AV106" s="1053"/>
      <c r="AW106" s="1053"/>
      <c r="AX106" s="1053"/>
      <c r="AY106" s="1053"/>
      <c r="AZ106" s="1053"/>
    </row>
    <row r="107" spans="1:52">
      <c r="A107" s="1053"/>
      <c r="B107" s="1053"/>
      <c r="C107" s="1053"/>
      <c r="D107" s="1053"/>
      <c r="E107" s="1053"/>
      <c r="F107" s="1053"/>
      <c r="G107" s="1053"/>
      <c r="H107" s="1053"/>
      <c r="I107" s="1053"/>
      <c r="J107" s="1053"/>
      <c r="K107" s="1053"/>
      <c r="L107" s="1053"/>
      <c r="M107" s="1053"/>
      <c r="N107" s="1053"/>
      <c r="O107" s="1053"/>
      <c r="P107" s="1053"/>
      <c r="Q107" s="1053"/>
      <c r="R107" s="1053"/>
      <c r="S107" s="1053"/>
      <c r="T107" s="1053"/>
      <c r="U107" s="1053"/>
      <c r="V107" s="1053"/>
      <c r="W107" s="1053"/>
      <c r="X107" s="1053"/>
      <c r="Y107" s="1053"/>
      <c r="Z107" s="1053"/>
      <c r="AA107" s="1053"/>
      <c r="AB107" s="1053"/>
      <c r="AC107" s="1053"/>
      <c r="AD107" s="1053"/>
      <c r="AE107" s="1053"/>
      <c r="AF107" s="1053"/>
      <c r="AG107" s="1053"/>
      <c r="AH107" s="1053"/>
      <c r="AI107" s="1053"/>
      <c r="AJ107" s="1053"/>
      <c r="AK107" s="1053"/>
      <c r="AL107" s="1053"/>
      <c r="AM107" s="1053"/>
      <c r="AN107" s="1053"/>
      <c r="AO107" s="1053"/>
      <c r="AP107" s="1053"/>
      <c r="AQ107" s="1053"/>
      <c r="AR107" s="1053"/>
      <c r="AS107" s="1053"/>
      <c r="AT107" s="1053"/>
      <c r="AU107" s="1053"/>
      <c r="AV107" s="1053"/>
      <c r="AW107" s="1053"/>
      <c r="AX107" s="1053"/>
      <c r="AY107" s="1053"/>
      <c r="AZ107" s="1053"/>
    </row>
    <row r="108" spans="1:52">
      <c r="A108" s="1053"/>
      <c r="B108" s="1053"/>
      <c r="C108" s="1053"/>
      <c r="D108" s="1053"/>
      <c r="E108" s="1053"/>
      <c r="F108" s="1053"/>
      <c r="G108" s="1053"/>
      <c r="H108" s="1053"/>
      <c r="I108" s="1053"/>
      <c r="J108" s="1053"/>
      <c r="K108" s="1053"/>
      <c r="L108" s="1053"/>
      <c r="M108" s="1053"/>
      <c r="N108" s="1053"/>
      <c r="O108" s="1053"/>
      <c r="P108" s="1053"/>
      <c r="Q108" s="1053"/>
      <c r="R108" s="1053"/>
      <c r="S108" s="1053"/>
      <c r="T108" s="1053"/>
      <c r="U108" s="1053"/>
      <c r="V108" s="1053"/>
      <c r="W108" s="1053"/>
      <c r="X108" s="1053"/>
      <c r="Y108" s="1053"/>
      <c r="Z108" s="1053"/>
      <c r="AA108" s="1053"/>
      <c r="AB108" s="1053"/>
      <c r="AC108" s="1053"/>
      <c r="AD108" s="1053"/>
      <c r="AE108" s="1053"/>
      <c r="AF108" s="1053"/>
      <c r="AG108" s="1053"/>
      <c r="AH108" s="1053"/>
      <c r="AI108" s="1053"/>
      <c r="AJ108" s="1053"/>
      <c r="AK108" s="1053"/>
      <c r="AL108" s="1053"/>
      <c r="AM108" s="1053"/>
      <c r="AN108" s="1053"/>
      <c r="AO108" s="1053"/>
      <c r="AP108" s="1053"/>
      <c r="AQ108" s="1053"/>
      <c r="AR108" s="1053"/>
      <c r="AS108" s="1053"/>
      <c r="AT108" s="1053"/>
      <c r="AU108" s="1053"/>
      <c r="AV108" s="1053"/>
      <c r="AW108" s="1053"/>
      <c r="AX108" s="1053"/>
      <c r="AY108" s="1053"/>
      <c r="AZ108" s="1053"/>
    </row>
    <row r="109" spans="1:52">
      <c r="A109" s="1053"/>
      <c r="B109" s="1053"/>
      <c r="C109" s="1053"/>
      <c r="D109" s="1053"/>
      <c r="E109" s="1053"/>
      <c r="F109" s="1053"/>
      <c r="G109" s="1053"/>
      <c r="H109" s="1053"/>
      <c r="I109" s="1053"/>
      <c r="J109" s="1053"/>
      <c r="K109" s="1053"/>
      <c r="L109" s="1053"/>
      <c r="M109" s="1053"/>
      <c r="N109" s="1053"/>
      <c r="O109" s="1053"/>
      <c r="P109" s="1053"/>
      <c r="Q109" s="1053"/>
      <c r="R109" s="1053"/>
      <c r="S109" s="1053"/>
      <c r="T109" s="1053"/>
      <c r="U109" s="1053"/>
      <c r="V109" s="1053"/>
      <c r="W109" s="1053"/>
      <c r="X109" s="1053"/>
      <c r="Y109" s="1053"/>
      <c r="Z109" s="1053"/>
      <c r="AA109" s="1053"/>
      <c r="AB109" s="1053"/>
      <c r="AC109" s="1053"/>
      <c r="AD109" s="1053"/>
      <c r="AE109" s="1053"/>
      <c r="AF109" s="1053"/>
      <c r="AG109" s="1053"/>
      <c r="AH109" s="1053"/>
      <c r="AI109" s="1053"/>
      <c r="AJ109" s="1053"/>
      <c r="AK109" s="1053"/>
      <c r="AL109" s="1053"/>
      <c r="AM109" s="1053"/>
      <c r="AN109" s="1053"/>
      <c r="AO109" s="1053"/>
      <c r="AP109" s="1053"/>
      <c r="AQ109" s="1053"/>
      <c r="AR109" s="1053"/>
      <c r="AS109" s="1053"/>
      <c r="AT109" s="1053"/>
      <c r="AU109" s="1053"/>
      <c r="AV109" s="1053"/>
      <c r="AW109" s="1053"/>
      <c r="AX109" s="1053"/>
      <c r="AY109" s="1053"/>
      <c r="AZ109" s="1053"/>
    </row>
    <row r="110" spans="1:52">
      <c r="A110" s="1053"/>
      <c r="B110" s="1053"/>
      <c r="C110" s="1053"/>
      <c r="D110" s="1053"/>
      <c r="E110" s="1053"/>
      <c r="F110" s="1053"/>
      <c r="G110" s="1053"/>
      <c r="H110" s="1053"/>
      <c r="I110" s="1053"/>
      <c r="J110" s="1053"/>
      <c r="K110" s="1053"/>
      <c r="L110" s="1053"/>
      <c r="M110" s="1053"/>
      <c r="N110" s="1053"/>
      <c r="O110" s="1053"/>
      <c r="P110" s="1053"/>
      <c r="Q110" s="1053"/>
      <c r="R110" s="1053"/>
      <c r="S110" s="1053"/>
      <c r="T110" s="1053"/>
      <c r="U110" s="1053"/>
      <c r="V110" s="1053"/>
      <c r="W110" s="1053"/>
      <c r="X110" s="1053"/>
      <c r="Y110" s="1053"/>
      <c r="Z110" s="1053"/>
      <c r="AA110" s="1053"/>
      <c r="AB110" s="1053"/>
      <c r="AC110" s="1053"/>
      <c r="AD110" s="1053"/>
      <c r="AE110" s="1053"/>
      <c r="AF110" s="1053"/>
      <c r="AG110" s="1053"/>
      <c r="AH110" s="1053"/>
      <c r="AI110" s="1053"/>
      <c r="AJ110" s="1053"/>
      <c r="AK110" s="1053"/>
      <c r="AL110" s="1053"/>
      <c r="AM110" s="1053"/>
      <c r="AN110" s="1053"/>
      <c r="AO110" s="1053"/>
      <c r="AP110" s="1053"/>
      <c r="AQ110" s="1053"/>
      <c r="AR110" s="1053"/>
      <c r="AS110" s="1053"/>
      <c r="AT110" s="1053"/>
      <c r="AU110" s="1053"/>
      <c r="AV110" s="1053"/>
      <c r="AW110" s="1053"/>
      <c r="AX110" s="1053"/>
      <c r="AY110" s="1053"/>
      <c r="AZ110" s="1053"/>
    </row>
    <row r="111" spans="1:52">
      <c r="A111" s="1053"/>
      <c r="B111" s="1053"/>
      <c r="C111" s="1053"/>
      <c r="D111" s="1053"/>
      <c r="E111" s="1053"/>
      <c r="F111" s="1053"/>
      <c r="G111" s="1053"/>
      <c r="H111" s="1053"/>
      <c r="I111" s="1053"/>
      <c r="J111" s="1053"/>
      <c r="K111" s="1053"/>
      <c r="L111" s="1053"/>
      <c r="M111" s="1053"/>
      <c r="N111" s="1053"/>
      <c r="O111" s="1053"/>
      <c r="P111" s="1053"/>
      <c r="Q111" s="1053"/>
      <c r="R111" s="1053"/>
      <c r="S111" s="1053"/>
      <c r="T111" s="1053"/>
      <c r="U111" s="1053"/>
      <c r="V111" s="1053"/>
      <c r="W111" s="1053"/>
      <c r="X111" s="1053"/>
      <c r="Y111" s="1053"/>
      <c r="Z111" s="1053"/>
      <c r="AA111" s="1053"/>
      <c r="AB111" s="1053"/>
      <c r="AC111" s="1053"/>
      <c r="AD111" s="1053"/>
      <c r="AE111" s="1053"/>
      <c r="AF111" s="1053"/>
      <c r="AG111" s="1053"/>
      <c r="AH111" s="1053"/>
      <c r="AI111" s="1053"/>
      <c r="AJ111" s="1053"/>
      <c r="AK111" s="1053"/>
      <c r="AL111" s="1053"/>
      <c r="AM111" s="1053"/>
      <c r="AN111" s="1053"/>
      <c r="AO111" s="1053"/>
      <c r="AP111" s="1053"/>
      <c r="AQ111" s="1053"/>
      <c r="AR111" s="1053"/>
      <c r="AS111" s="1053"/>
      <c r="AT111" s="1053"/>
      <c r="AU111" s="1053"/>
      <c r="AV111" s="1053"/>
      <c r="AW111" s="1053"/>
      <c r="AX111" s="1053"/>
      <c r="AY111" s="1053"/>
      <c r="AZ111" s="1053"/>
    </row>
    <row r="112" spans="1:52">
      <c r="A112" s="1053"/>
      <c r="B112" s="1053"/>
      <c r="C112" s="1053"/>
      <c r="D112" s="1053"/>
      <c r="E112" s="1053"/>
      <c r="F112" s="1053"/>
      <c r="G112" s="1053"/>
      <c r="H112" s="1053"/>
      <c r="I112" s="1053"/>
      <c r="J112" s="1053"/>
      <c r="K112" s="1053"/>
      <c r="L112" s="1053"/>
      <c r="M112" s="1053"/>
      <c r="N112" s="1053"/>
      <c r="O112" s="1053"/>
      <c r="P112" s="1053"/>
      <c r="Q112" s="1053"/>
      <c r="R112" s="1053"/>
      <c r="S112" s="1053"/>
      <c r="T112" s="1053"/>
      <c r="U112" s="1053"/>
      <c r="V112" s="1053"/>
      <c r="W112" s="1053"/>
      <c r="X112" s="1053"/>
      <c r="Y112" s="1053"/>
      <c r="Z112" s="1053"/>
      <c r="AA112" s="1053"/>
      <c r="AB112" s="1053"/>
      <c r="AC112" s="1053"/>
      <c r="AD112" s="1053"/>
      <c r="AE112" s="1053"/>
      <c r="AF112" s="1053"/>
      <c r="AG112" s="1053"/>
      <c r="AH112" s="1053"/>
      <c r="AI112" s="1053"/>
      <c r="AJ112" s="1053"/>
      <c r="AK112" s="1053"/>
      <c r="AL112" s="1053"/>
      <c r="AM112" s="1053"/>
      <c r="AN112" s="1053"/>
      <c r="AO112" s="1053"/>
      <c r="AP112" s="1053"/>
      <c r="AQ112" s="1053"/>
      <c r="AR112" s="1053"/>
      <c r="AS112" s="1053"/>
      <c r="AT112" s="1053"/>
      <c r="AU112" s="1053"/>
      <c r="AV112" s="1053"/>
      <c r="AW112" s="1053"/>
      <c r="AX112" s="1053"/>
      <c r="AY112" s="1053"/>
      <c r="AZ112" s="1053"/>
    </row>
    <row r="113" spans="1:52">
      <c r="A113" s="1053"/>
      <c r="B113" s="1053"/>
      <c r="C113" s="1053"/>
      <c r="D113" s="1053"/>
      <c r="E113" s="1053"/>
      <c r="F113" s="1053"/>
      <c r="G113" s="1053"/>
      <c r="H113" s="1053"/>
      <c r="I113" s="1053"/>
      <c r="J113" s="1053"/>
      <c r="K113" s="1053"/>
      <c r="L113" s="1053"/>
      <c r="M113" s="1053"/>
      <c r="N113" s="1053"/>
      <c r="O113" s="1053"/>
      <c r="P113" s="1053"/>
      <c r="Q113" s="1053"/>
      <c r="R113" s="1053"/>
      <c r="S113" s="1053"/>
      <c r="T113" s="1053"/>
      <c r="U113" s="1053"/>
      <c r="V113" s="1053"/>
      <c r="W113" s="1053"/>
      <c r="X113" s="1053"/>
      <c r="Y113" s="1053"/>
      <c r="Z113" s="1053"/>
      <c r="AA113" s="1053"/>
      <c r="AB113" s="1053"/>
      <c r="AC113" s="1053"/>
      <c r="AD113" s="1053"/>
      <c r="AE113" s="1053"/>
      <c r="AF113" s="1053"/>
      <c r="AG113" s="1053"/>
      <c r="AH113" s="1053"/>
      <c r="AI113" s="1053"/>
      <c r="AJ113" s="1053"/>
      <c r="AK113" s="1053"/>
      <c r="AL113" s="1053"/>
      <c r="AM113" s="1053"/>
      <c r="AN113" s="1053"/>
      <c r="AO113" s="1053"/>
      <c r="AP113" s="1053"/>
      <c r="AQ113" s="1053"/>
      <c r="AR113" s="1053"/>
      <c r="AS113" s="1053"/>
      <c r="AT113" s="1053"/>
      <c r="AU113" s="1053"/>
      <c r="AV113" s="1053"/>
      <c r="AW113" s="1053"/>
      <c r="AX113" s="1053"/>
      <c r="AY113" s="1053"/>
      <c r="AZ113" s="1053"/>
    </row>
    <row r="114" spans="1:52">
      <c r="A114" s="1053"/>
      <c r="B114" s="1053"/>
      <c r="C114" s="1053"/>
      <c r="D114" s="1053"/>
      <c r="E114" s="1053"/>
      <c r="F114" s="1053"/>
      <c r="G114" s="1053"/>
      <c r="H114" s="1053"/>
      <c r="I114" s="1053"/>
      <c r="J114" s="1053"/>
      <c r="K114" s="1053"/>
      <c r="L114" s="1053"/>
      <c r="M114" s="1053"/>
      <c r="N114" s="1053"/>
      <c r="O114" s="1053"/>
      <c r="P114" s="1053"/>
      <c r="Q114" s="1053"/>
      <c r="R114" s="1053"/>
      <c r="S114" s="1053"/>
      <c r="T114" s="1053"/>
      <c r="U114" s="1053"/>
      <c r="V114" s="1053"/>
      <c r="W114" s="1053"/>
      <c r="X114" s="1053"/>
      <c r="Y114" s="1053"/>
      <c r="Z114" s="1053"/>
      <c r="AA114" s="1053"/>
      <c r="AB114" s="1053"/>
      <c r="AC114" s="1053"/>
      <c r="AD114" s="1053"/>
      <c r="AE114" s="1053"/>
      <c r="AF114" s="1053"/>
      <c r="AG114" s="1053"/>
      <c r="AH114" s="1053"/>
      <c r="AI114" s="1053"/>
      <c r="AJ114" s="1053"/>
      <c r="AK114" s="1053"/>
      <c r="AL114" s="1053"/>
      <c r="AM114" s="1053"/>
      <c r="AN114" s="1053"/>
      <c r="AO114" s="1053"/>
      <c r="AP114" s="1053"/>
      <c r="AQ114" s="1053"/>
      <c r="AR114" s="1053"/>
      <c r="AS114" s="1053"/>
      <c r="AT114" s="1053"/>
      <c r="AU114" s="1053"/>
      <c r="AV114" s="1053"/>
      <c r="AW114" s="1053"/>
      <c r="AX114" s="1053"/>
      <c r="AY114" s="1053"/>
      <c r="AZ114" s="1053"/>
    </row>
    <row r="115" spans="1:52">
      <c r="A115" s="1053"/>
      <c r="B115" s="1053"/>
      <c r="C115" s="1053"/>
      <c r="D115" s="1053"/>
      <c r="E115" s="1053"/>
      <c r="F115" s="1053"/>
      <c r="G115" s="1053"/>
      <c r="H115" s="1053"/>
      <c r="I115" s="1053"/>
      <c r="J115" s="1053"/>
      <c r="K115" s="1053"/>
      <c r="L115" s="1053"/>
      <c r="M115" s="1053"/>
      <c r="N115" s="1053"/>
      <c r="O115" s="1053"/>
      <c r="P115" s="1053"/>
      <c r="Q115" s="1053"/>
      <c r="R115" s="1053"/>
      <c r="S115" s="1053"/>
      <c r="T115" s="1053"/>
      <c r="U115" s="1053"/>
      <c r="V115" s="1053"/>
      <c r="W115" s="1053"/>
      <c r="X115" s="1053"/>
      <c r="Y115" s="1053"/>
      <c r="Z115" s="1053"/>
      <c r="AA115" s="1053"/>
      <c r="AB115" s="1053"/>
      <c r="AC115" s="1053"/>
      <c r="AD115" s="1053"/>
      <c r="AE115" s="1053"/>
      <c r="AF115" s="1053"/>
      <c r="AG115" s="1053"/>
      <c r="AH115" s="1053"/>
      <c r="AI115" s="1053"/>
      <c r="AJ115" s="1053"/>
      <c r="AK115" s="1053"/>
      <c r="AL115" s="1053"/>
      <c r="AM115" s="1053"/>
      <c r="AN115" s="1053"/>
      <c r="AO115" s="1053"/>
      <c r="AP115" s="1053"/>
      <c r="AQ115" s="1053"/>
      <c r="AR115" s="1053"/>
      <c r="AS115" s="1053"/>
      <c r="AT115" s="1053"/>
      <c r="AU115" s="1053"/>
      <c r="AV115" s="1053"/>
      <c r="AW115" s="1053"/>
      <c r="AX115" s="1053"/>
      <c r="AY115" s="1053"/>
      <c r="AZ115" s="1053"/>
    </row>
    <row r="116" spans="1:52">
      <c r="A116" s="1053"/>
      <c r="B116" s="1053"/>
      <c r="C116" s="1053"/>
      <c r="D116" s="1053"/>
      <c r="E116" s="1053"/>
      <c r="F116" s="1053"/>
      <c r="G116" s="1053"/>
      <c r="H116" s="1053"/>
      <c r="I116" s="1053"/>
      <c r="J116" s="1053"/>
      <c r="K116" s="1053"/>
      <c r="L116" s="1053"/>
      <c r="M116" s="1053"/>
      <c r="N116" s="1053"/>
      <c r="O116" s="1053"/>
      <c r="P116" s="1053"/>
      <c r="Q116" s="1053"/>
      <c r="R116" s="1053"/>
      <c r="S116" s="1053"/>
      <c r="T116" s="1053"/>
      <c r="U116" s="1053"/>
      <c r="V116" s="1053"/>
      <c r="W116" s="1053"/>
      <c r="X116" s="1053"/>
      <c r="Y116" s="1053"/>
      <c r="Z116" s="1053"/>
      <c r="AA116" s="1053"/>
      <c r="AB116" s="1053"/>
      <c r="AC116" s="1053"/>
      <c r="AD116" s="1053"/>
      <c r="AE116" s="1053"/>
      <c r="AF116" s="1053"/>
      <c r="AG116" s="1053"/>
      <c r="AH116" s="1053"/>
      <c r="AI116" s="1053"/>
      <c r="AJ116" s="1053"/>
      <c r="AK116" s="1053"/>
      <c r="AL116" s="1053"/>
      <c r="AM116" s="1053"/>
      <c r="AN116" s="1053"/>
      <c r="AO116" s="1053"/>
      <c r="AP116" s="1053"/>
      <c r="AQ116" s="1053"/>
      <c r="AR116" s="1053"/>
      <c r="AS116" s="1053"/>
      <c r="AT116" s="1053"/>
      <c r="AU116" s="1053"/>
      <c r="AV116" s="1053"/>
      <c r="AW116" s="1053"/>
      <c r="AX116" s="1053"/>
      <c r="AY116" s="1053"/>
      <c r="AZ116" s="1053"/>
    </row>
    <row r="117" spans="1:52">
      <c r="A117" s="1053"/>
      <c r="B117" s="1053"/>
      <c r="C117" s="1053"/>
      <c r="D117" s="1053"/>
      <c r="E117" s="1053"/>
      <c r="F117" s="1053"/>
      <c r="G117" s="1053"/>
      <c r="H117" s="1053"/>
      <c r="I117" s="1053"/>
      <c r="J117" s="1053"/>
      <c r="K117" s="1053"/>
      <c r="L117" s="1053"/>
      <c r="M117" s="1053"/>
      <c r="N117" s="1053"/>
      <c r="O117" s="1053"/>
      <c r="P117" s="1053"/>
      <c r="Q117" s="1053"/>
      <c r="R117" s="1053"/>
      <c r="S117" s="1053"/>
      <c r="T117" s="1053"/>
      <c r="U117" s="1053"/>
      <c r="V117" s="1053"/>
      <c r="W117" s="1053"/>
      <c r="X117" s="1053"/>
      <c r="Y117" s="1053"/>
      <c r="Z117" s="1053"/>
      <c r="AA117" s="1053"/>
      <c r="AB117" s="1053"/>
      <c r="AC117" s="1053"/>
      <c r="AD117" s="1053"/>
      <c r="AE117" s="1053"/>
      <c r="AF117" s="1053"/>
      <c r="AG117" s="1053"/>
      <c r="AH117" s="1053"/>
      <c r="AI117" s="1053"/>
      <c r="AJ117" s="1053"/>
      <c r="AK117" s="1053"/>
      <c r="AL117" s="1053"/>
      <c r="AM117" s="1053"/>
      <c r="AN117" s="1053"/>
      <c r="AO117" s="1053"/>
      <c r="AP117" s="1053"/>
      <c r="AQ117" s="1053"/>
      <c r="AR117" s="1053"/>
      <c r="AS117" s="1053"/>
      <c r="AT117" s="1053"/>
      <c r="AU117" s="1053"/>
      <c r="AV117" s="1053"/>
      <c r="AW117" s="1053"/>
      <c r="AX117" s="1053"/>
      <c r="AY117" s="1053"/>
      <c r="AZ117" s="1053"/>
    </row>
    <row r="118" spans="1:52">
      <c r="A118" s="1053"/>
      <c r="B118" s="1053"/>
      <c r="C118" s="1053"/>
      <c r="D118" s="1053"/>
      <c r="E118" s="1053"/>
      <c r="F118" s="1053"/>
      <c r="G118" s="1053"/>
      <c r="H118" s="1053"/>
      <c r="I118" s="1053"/>
      <c r="J118" s="1053"/>
      <c r="K118" s="1053"/>
      <c r="L118" s="1053"/>
      <c r="M118" s="1053"/>
      <c r="N118" s="1053"/>
      <c r="O118" s="1053"/>
      <c r="P118" s="1053"/>
      <c r="Q118" s="1053"/>
      <c r="R118" s="1053"/>
      <c r="S118" s="1053"/>
      <c r="T118" s="1053"/>
      <c r="U118" s="1053"/>
      <c r="V118" s="1053"/>
      <c r="W118" s="1053"/>
      <c r="X118" s="1053"/>
      <c r="Y118" s="1053"/>
      <c r="Z118" s="1053"/>
      <c r="AA118" s="1053"/>
      <c r="AB118" s="1053"/>
      <c r="AC118" s="1053"/>
      <c r="AD118" s="1053"/>
      <c r="AE118" s="1053"/>
      <c r="AF118" s="1053"/>
      <c r="AG118" s="1053"/>
      <c r="AH118" s="1053"/>
      <c r="AI118" s="1053"/>
      <c r="AJ118" s="1053"/>
      <c r="AK118" s="1053"/>
      <c r="AL118" s="1053"/>
      <c r="AM118" s="1053"/>
      <c r="AN118" s="1053"/>
      <c r="AO118" s="1053"/>
      <c r="AP118" s="1053"/>
      <c r="AQ118" s="1053"/>
      <c r="AR118" s="1053"/>
      <c r="AS118" s="1053"/>
      <c r="AT118" s="1053"/>
      <c r="AU118" s="1053"/>
      <c r="AV118" s="1053"/>
      <c r="AW118" s="1053"/>
      <c r="AX118" s="1053"/>
      <c r="AY118" s="1053"/>
      <c r="AZ118" s="1053"/>
    </row>
    <row r="119" spans="1:52">
      <c r="A119" s="1053"/>
      <c r="B119" s="1053"/>
      <c r="C119" s="1053"/>
      <c r="D119" s="1053"/>
      <c r="E119" s="1053"/>
      <c r="F119" s="1053"/>
      <c r="G119" s="1053"/>
      <c r="H119" s="1053"/>
      <c r="I119" s="1053"/>
      <c r="J119" s="1053"/>
      <c r="K119" s="1053"/>
      <c r="L119" s="1053"/>
      <c r="M119" s="1053"/>
      <c r="N119" s="1053"/>
      <c r="O119" s="1053"/>
      <c r="P119" s="1053"/>
      <c r="Q119" s="1053"/>
      <c r="R119" s="1053"/>
      <c r="S119" s="1053"/>
      <c r="T119" s="1053"/>
      <c r="U119" s="1053"/>
      <c r="V119" s="1053"/>
      <c r="W119" s="1053"/>
      <c r="X119" s="1053"/>
      <c r="Y119" s="1053"/>
      <c r="Z119" s="1053"/>
      <c r="AA119" s="1053"/>
      <c r="AB119" s="1053"/>
      <c r="AC119" s="1053"/>
      <c r="AD119" s="1053"/>
      <c r="AE119" s="1053"/>
      <c r="AF119" s="1053"/>
      <c r="AG119" s="1053"/>
      <c r="AH119" s="1053"/>
      <c r="AI119" s="1053"/>
      <c r="AJ119" s="1053"/>
      <c r="AK119" s="1053"/>
      <c r="AL119" s="1053"/>
      <c r="AM119" s="1053"/>
      <c r="AN119" s="1053"/>
      <c r="AO119" s="1053"/>
      <c r="AP119" s="1053"/>
      <c r="AQ119" s="1053"/>
      <c r="AR119" s="1053"/>
      <c r="AS119" s="1053"/>
      <c r="AT119" s="1053"/>
      <c r="AU119" s="1053"/>
      <c r="AV119" s="1053"/>
      <c r="AW119" s="1053"/>
      <c r="AX119" s="1053"/>
      <c r="AY119" s="1053"/>
      <c r="AZ119" s="1053"/>
    </row>
    <row r="120" spans="1:52">
      <c r="A120" s="1053"/>
      <c r="B120" s="1053"/>
      <c r="C120" s="1053"/>
      <c r="D120" s="1053"/>
      <c r="E120" s="1053"/>
      <c r="F120" s="1053"/>
      <c r="G120" s="1053"/>
      <c r="H120" s="1053"/>
      <c r="I120" s="1053"/>
      <c r="J120" s="1053"/>
      <c r="K120" s="1053"/>
      <c r="L120" s="1053"/>
      <c r="M120" s="1053"/>
      <c r="N120" s="1053"/>
      <c r="O120" s="1053"/>
      <c r="P120" s="1053"/>
      <c r="Q120" s="1053"/>
      <c r="R120" s="1053"/>
      <c r="S120" s="1053"/>
      <c r="T120" s="1053"/>
      <c r="U120" s="1053"/>
      <c r="V120" s="1053"/>
      <c r="W120" s="1053"/>
      <c r="X120" s="1053"/>
      <c r="Y120" s="1053"/>
      <c r="Z120" s="1053"/>
      <c r="AA120" s="1053"/>
      <c r="AB120" s="1053"/>
      <c r="AC120" s="1053"/>
      <c r="AD120" s="1053"/>
      <c r="AE120" s="1053"/>
      <c r="AF120" s="1053"/>
      <c r="AG120" s="1053"/>
      <c r="AH120" s="1053"/>
      <c r="AI120" s="1053"/>
      <c r="AJ120" s="1053"/>
      <c r="AK120" s="1053"/>
      <c r="AL120" s="1053"/>
      <c r="AM120" s="1053"/>
      <c r="AN120" s="1053"/>
      <c r="AO120" s="1053"/>
      <c r="AP120" s="1053"/>
      <c r="AQ120" s="1053"/>
      <c r="AR120" s="1053"/>
      <c r="AS120" s="1053"/>
      <c r="AT120" s="1053"/>
      <c r="AU120" s="1053"/>
      <c r="AV120" s="1053"/>
      <c r="AW120" s="1053"/>
      <c r="AX120" s="1053"/>
      <c r="AY120" s="1053"/>
      <c r="AZ120" s="1053"/>
    </row>
    <row r="121" spans="1:52">
      <c r="A121" s="1053"/>
      <c r="B121" s="1053"/>
      <c r="C121" s="1053"/>
      <c r="D121" s="1053"/>
      <c r="E121" s="1053"/>
      <c r="F121" s="1053"/>
      <c r="G121" s="1053"/>
      <c r="H121" s="1053"/>
      <c r="I121" s="1053"/>
      <c r="J121" s="1053"/>
      <c r="K121" s="1053"/>
      <c r="L121" s="1053"/>
      <c r="M121" s="1053"/>
      <c r="N121" s="1053"/>
      <c r="O121" s="1053"/>
      <c r="P121" s="1053"/>
      <c r="Q121" s="1053"/>
      <c r="R121" s="1053"/>
      <c r="S121" s="1053"/>
      <c r="T121" s="1053"/>
      <c r="U121" s="1053"/>
      <c r="V121" s="1053"/>
      <c r="W121" s="1053"/>
      <c r="X121" s="1053"/>
      <c r="Y121" s="1053"/>
      <c r="Z121" s="1053"/>
      <c r="AA121" s="1053"/>
      <c r="AB121" s="1053"/>
      <c r="AC121" s="1053"/>
      <c r="AD121" s="1053"/>
      <c r="AE121" s="1053"/>
      <c r="AF121" s="1053"/>
      <c r="AG121" s="1053"/>
      <c r="AH121" s="1053"/>
      <c r="AI121" s="1053"/>
      <c r="AJ121" s="1053"/>
      <c r="AK121" s="1053"/>
      <c r="AL121" s="1053"/>
      <c r="AM121" s="1053"/>
      <c r="AN121" s="1053"/>
      <c r="AO121" s="1053"/>
      <c r="AP121" s="1053"/>
      <c r="AQ121" s="1053"/>
      <c r="AR121" s="1053"/>
      <c r="AS121" s="1053"/>
      <c r="AT121" s="1053"/>
      <c r="AU121" s="1053"/>
      <c r="AV121" s="1053"/>
      <c r="AW121" s="1053"/>
      <c r="AX121" s="1053"/>
      <c r="AY121" s="1053"/>
      <c r="AZ121" s="1053"/>
    </row>
    <row r="122" spans="1:52">
      <c r="A122" s="1053"/>
      <c r="B122" s="1053"/>
      <c r="C122" s="1053"/>
      <c r="D122" s="1053"/>
      <c r="E122" s="1053"/>
      <c r="F122" s="1053"/>
      <c r="G122" s="1053"/>
      <c r="H122" s="1053"/>
      <c r="I122" s="1053"/>
      <c r="J122" s="1053"/>
      <c r="K122" s="1053"/>
      <c r="L122" s="1053"/>
      <c r="M122" s="1053"/>
      <c r="N122" s="1053"/>
      <c r="O122" s="1053"/>
      <c r="P122" s="1053"/>
      <c r="Q122" s="1053"/>
      <c r="R122" s="1053"/>
      <c r="S122" s="1053"/>
      <c r="T122" s="1053"/>
      <c r="U122" s="1053"/>
      <c r="V122" s="1053"/>
      <c r="W122" s="1053"/>
      <c r="X122" s="1053"/>
      <c r="Y122" s="1053"/>
      <c r="Z122" s="1053"/>
      <c r="AA122" s="1053"/>
      <c r="AB122" s="1053"/>
      <c r="AC122" s="1053"/>
      <c r="AD122" s="1053"/>
      <c r="AE122" s="1053"/>
      <c r="AF122" s="1053"/>
      <c r="AG122" s="1053"/>
      <c r="AH122" s="1053"/>
      <c r="AI122" s="1053"/>
      <c r="AJ122" s="1053"/>
      <c r="AK122" s="1053"/>
      <c r="AL122" s="1053"/>
      <c r="AM122" s="1053"/>
      <c r="AN122" s="1053"/>
      <c r="AO122" s="1053"/>
      <c r="AP122" s="1053"/>
      <c r="AQ122" s="1053"/>
      <c r="AR122" s="1053"/>
      <c r="AS122" s="1053"/>
      <c r="AT122" s="1053"/>
      <c r="AU122" s="1053"/>
      <c r="AV122" s="1053"/>
      <c r="AW122" s="1053"/>
      <c r="AX122" s="1053"/>
      <c r="AY122" s="1053"/>
      <c r="AZ122" s="1053"/>
    </row>
    <row r="123" spans="1:52">
      <c r="A123" s="1053"/>
      <c r="B123" s="1053"/>
      <c r="C123" s="1053"/>
      <c r="D123" s="1053"/>
      <c r="E123" s="1053"/>
      <c r="F123" s="1053"/>
      <c r="G123" s="1053"/>
      <c r="H123" s="1053"/>
      <c r="I123" s="1053"/>
      <c r="J123" s="1053"/>
      <c r="K123" s="1053"/>
      <c r="L123" s="1053"/>
      <c r="M123" s="1053"/>
      <c r="N123" s="1053"/>
      <c r="O123" s="1053"/>
      <c r="P123" s="1053"/>
      <c r="Q123" s="1053"/>
      <c r="R123" s="1053"/>
      <c r="S123" s="1053"/>
      <c r="T123" s="1053"/>
      <c r="U123" s="1053"/>
      <c r="V123" s="1053"/>
      <c r="W123" s="1053"/>
      <c r="X123" s="1053"/>
      <c r="Y123" s="1053"/>
      <c r="Z123" s="1053"/>
      <c r="AA123" s="1053"/>
      <c r="AB123" s="1053"/>
      <c r="AC123" s="1053"/>
      <c r="AD123" s="1053"/>
      <c r="AE123" s="1053"/>
      <c r="AF123" s="1053"/>
      <c r="AG123" s="1053"/>
      <c r="AH123" s="1053"/>
      <c r="AI123" s="1053"/>
      <c r="AJ123" s="1053"/>
      <c r="AK123" s="1053"/>
      <c r="AL123" s="1053"/>
      <c r="AM123" s="1053"/>
      <c r="AN123" s="1053"/>
      <c r="AO123" s="1053"/>
      <c r="AP123" s="1053"/>
      <c r="AQ123" s="1053"/>
      <c r="AR123" s="1053"/>
      <c r="AS123" s="1053"/>
      <c r="AT123" s="1053"/>
      <c r="AU123" s="1053"/>
      <c r="AV123" s="1053"/>
      <c r="AW123" s="1053"/>
      <c r="AX123" s="1053"/>
      <c r="AY123" s="1053"/>
      <c r="AZ123" s="1053"/>
    </row>
    <row r="124" spans="1:52">
      <c r="A124" s="1053"/>
      <c r="B124" s="1053"/>
      <c r="C124" s="1053"/>
      <c r="D124" s="1053"/>
      <c r="E124" s="1053"/>
      <c r="F124" s="1053"/>
      <c r="G124" s="1053"/>
      <c r="H124" s="1053"/>
      <c r="I124" s="1053"/>
      <c r="J124" s="1053"/>
      <c r="K124" s="1053"/>
      <c r="L124" s="1053"/>
      <c r="M124" s="1053"/>
      <c r="N124" s="1053"/>
      <c r="O124" s="1053"/>
      <c r="P124" s="1053"/>
      <c r="Q124" s="1053"/>
      <c r="R124" s="1053"/>
      <c r="S124" s="1053"/>
      <c r="T124" s="1053"/>
      <c r="U124" s="1053"/>
      <c r="V124" s="1053"/>
      <c r="W124" s="1053"/>
      <c r="X124" s="1053"/>
      <c r="Y124" s="1053"/>
      <c r="Z124" s="1053"/>
      <c r="AA124" s="1053"/>
      <c r="AB124" s="1053"/>
      <c r="AC124" s="1053"/>
      <c r="AD124" s="1053"/>
      <c r="AE124" s="1053"/>
      <c r="AF124" s="1053"/>
      <c r="AG124" s="1053"/>
      <c r="AH124" s="1053"/>
      <c r="AI124" s="1053"/>
      <c r="AJ124" s="1053"/>
      <c r="AK124" s="1053"/>
      <c r="AL124" s="1053"/>
      <c r="AM124" s="1053"/>
      <c r="AN124" s="1053"/>
      <c r="AO124" s="1053"/>
      <c r="AP124" s="1053"/>
      <c r="AQ124" s="1053"/>
      <c r="AR124" s="1053"/>
      <c r="AS124" s="1053"/>
      <c r="AT124" s="1053"/>
      <c r="AU124" s="1053"/>
      <c r="AV124" s="1053"/>
      <c r="AW124" s="1053"/>
      <c r="AX124" s="1053"/>
      <c r="AY124" s="1053"/>
      <c r="AZ124" s="1053"/>
    </row>
    <row r="125" spans="1:52">
      <c r="A125" s="1053"/>
      <c r="B125" s="1053"/>
      <c r="C125" s="1053"/>
      <c r="D125" s="1053"/>
      <c r="E125" s="1053"/>
      <c r="F125" s="1053"/>
      <c r="G125" s="1053"/>
      <c r="H125" s="1053"/>
      <c r="I125" s="1053"/>
      <c r="J125" s="1053"/>
      <c r="K125" s="1053"/>
      <c r="L125" s="1053"/>
      <c r="M125" s="1053"/>
      <c r="N125" s="1053"/>
      <c r="O125" s="1053"/>
      <c r="P125" s="1053"/>
      <c r="Q125" s="1053"/>
      <c r="R125" s="1053"/>
      <c r="S125" s="1053"/>
      <c r="T125" s="1053"/>
      <c r="U125" s="1053"/>
      <c r="V125" s="1053"/>
      <c r="W125" s="1053"/>
      <c r="X125" s="1053"/>
      <c r="Y125" s="1053"/>
      <c r="Z125" s="1053"/>
      <c r="AA125" s="1053"/>
      <c r="AB125" s="1053"/>
      <c r="AC125" s="1053"/>
      <c r="AD125" s="1053"/>
      <c r="AE125" s="1053"/>
      <c r="AF125" s="1053"/>
      <c r="AG125" s="1053"/>
      <c r="AH125" s="1053"/>
      <c r="AI125" s="1053"/>
      <c r="AJ125" s="1053"/>
      <c r="AK125" s="1053"/>
      <c r="AL125" s="1053"/>
      <c r="AM125" s="1053"/>
      <c r="AN125" s="1053"/>
      <c r="AO125" s="1053"/>
      <c r="AP125" s="1053"/>
      <c r="AQ125" s="1053"/>
      <c r="AR125" s="1053"/>
      <c r="AS125" s="1053"/>
      <c r="AT125" s="1053"/>
      <c r="AU125" s="1053"/>
      <c r="AV125" s="1053"/>
      <c r="AW125" s="1053"/>
      <c r="AX125" s="1053"/>
      <c r="AY125" s="1053"/>
      <c r="AZ125" s="1053"/>
    </row>
    <row r="126" spans="1:52">
      <c r="A126" s="1053"/>
      <c r="B126" s="1053"/>
      <c r="C126" s="1053"/>
      <c r="D126" s="1053"/>
      <c r="E126" s="1053"/>
      <c r="F126" s="1053"/>
      <c r="G126" s="1053"/>
      <c r="H126" s="1053"/>
      <c r="I126" s="1053"/>
      <c r="J126" s="1053"/>
      <c r="K126" s="1053"/>
      <c r="L126" s="1053"/>
      <c r="M126" s="1053"/>
      <c r="N126" s="1053"/>
      <c r="O126" s="1053"/>
      <c r="P126" s="1053"/>
      <c r="Q126" s="1053"/>
      <c r="R126" s="1053"/>
      <c r="S126" s="1053"/>
      <c r="T126" s="1053"/>
      <c r="U126" s="1053"/>
      <c r="V126" s="1053"/>
      <c r="W126" s="1053"/>
      <c r="X126" s="1053"/>
      <c r="Y126" s="1053"/>
      <c r="Z126" s="1053"/>
      <c r="AA126" s="1053"/>
      <c r="AB126" s="1053"/>
      <c r="AC126" s="1053"/>
      <c r="AD126" s="1053"/>
      <c r="AE126" s="1053"/>
      <c r="AF126" s="1053"/>
      <c r="AG126" s="1053"/>
      <c r="AH126" s="1053"/>
      <c r="AI126" s="1053"/>
      <c r="AJ126" s="1053"/>
      <c r="AK126" s="1053"/>
      <c r="AL126" s="1053"/>
      <c r="AM126" s="1053"/>
      <c r="AN126" s="1053"/>
      <c r="AO126" s="1053"/>
      <c r="AP126" s="1053"/>
      <c r="AQ126" s="1053"/>
      <c r="AR126" s="1053"/>
      <c r="AS126" s="1053"/>
      <c r="AT126" s="1053"/>
      <c r="AU126" s="1053"/>
      <c r="AV126" s="1053"/>
      <c r="AW126" s="1053"/>
      <c r="AX126" s="1053"/>
      <c r="AY126" s="1053"/>
      <c r="AZ126" s="1053"/>
    </row>
    <row r="127" spans="1:52">
      <c r="A127" s="1053"/>
      <c r="B127" s="1053"/>
      <c r="C127" s="1053"/>
      <c r="D127" s="1053"/>
      <c r="E127" s="1053"/>
      <c r="F127" s="1053"/>
      <c r="G127" s="1053"/>
      <c r="H127" s="1053"/>
      <c r="I127" s="1053"/>
      <c r="J127" s="1053"/>
      <c r="K127" s="1053"/>
      <c r="L127" s="1053"/>
      <c r="M127" s="1053"/>
      <c r="N127" s="1053"/>
      <c r="O127" s="1053"/>
      <c r="P127" s="1053"/>
      <c r="Q127" s="1053"/>
      <c r="R127" s="1053"/>
      <c r="S127" s="1053"/>
      <c r="T127" s="1053"/>
      <c r="U127" s="1053"/>
      <c r="V127" s="1053"/>
      <c r="W127" s="1053"/>
      <c r="X127" s="1053"/>
      <c r="Y127" s="1053"/>
      <c r="Z127" s="1053"/>
      <c r="AA127" s="1053"/>
      <c r="AB127" s="1053"/>
      <c r="AC127" s="1053"/>
      <c r="AD127" s="1053"/>
      <c r="AE127" s="1053"/>
      <c r="AF127" s="1053"/>
      <c r="AG127" s="1053"/>
      <c r="AH127" s="1053"/>
      <c r="AI127" s="1053"/>
      <c r="AJ127" s="1053"/>
      <c r="AK127" s="1053"/>
      <c r="AL127" s="1053"/>
      <c r="AM127" s="1053"/>
      <c r="AN127" s="1053"/>
      <c r="AO127" s="1053"/>
      <c r="AP127" s="1053"/>
      <c r="AQ127" s="1053"/>
      <c r="AR127" s="1053"/>
      <c r="AS127" s="1053"/>
      <c r="AT127" s="1053"/>
      <c r="AU127" s="1053"/>
      <c r="AV127" s="1053"/>
      <c r="AW127" s="1053"/>
      <c r="AX127" s="1053"/>
      <c r="AY127" s="1053"/>
      <c r="AZ127" s="1053"/>
    </row>
    <row r="128" spans="1:52">
      <c r="A128" s="1053"/>
      <c r="B128" s="1053"/>
      <c r="C128" s="1053"/>
      <c r="D128" s="1053"/>
      <c r="E128" s="1053"/>
      <c r="F128" s="1053"/>
      <c r="G128" s="1053"/>
      <c r="H128" s="1053"/>
      <c r="I128" s="1053"/>
      <c r="J128" s="1053"/>
      <c r="K128" s="1053"/>
      <c r="L128" s="1053"/>
      <c r="M128" s="1053"/>
      <c r="N128" s="1053"/>
      <c r="O128" s="1053"/>
      <c r="P128" s="1053"/>
      <c r="Q128" s="1053"/>
      <c r="R128" s="1053"/>
      <c r="S128" s="1053"/>
      <c r="T128" s="1053"/>
      <c r="U128" s="1053"/>
      <c r="V128" s="1053"/>
      <c r="W128" s="1053"/>
      <c r="X128" s="1053"/>
      <c r="Y128" s="1053"/>
      <c r="Z128" s="1053"/>
      <c r="AA128" s="1053"/>
      <c r="AB128" s="1053"/>
      <c r="AC128" s="1053"/>
      <c r="AD128" s="1053"/>
      <c r="AE128" s="1053"/>
      <c r="AF128" s="1053"/>
      <c r="AG128" s="1053"/>
      <c r="AH128" s="1053"/>
      <c r="AI128" s="1053"/>
      <c r="AJ128" s="1053"/>
      <c r="AK128" s="1053"/>
      <c r="AL128" s="1053"/>
      <c r="AM128" s="1053"/>
      <c r="AN128" s="1053"/>
      <c r="AO128" s="1053"/>
      <c r="AP128" s="1053"/>
      <c r="AQ128" s="1053"/>
      <c r="AR128" s="1053"/>
      <c r="AS128" s="1053"/>
      <c r="AT128" s="1053"/>
      <c r="AU128" s="1053"/>
      <c r="AV128" s="1053"/>
      <c r="AW128" s="1053"/>
      <c r="AX128" s="1053"/>
      <c r="AY128" s="1053"/>
      <c r="AZ128" s="1053"/>
    </row>
    <row r="129" spans="1:52">
      <c r="A129" s="1053"/>
      <c r="B129" s="1053"/>
      <c r="C129" s="1053"/>
      <c r="D129" s="1053"/>
      <c r="E129" s="1053"/>
      <c r="F129" s="1053"/>
      <c r="G129" s="1053"/>
      <c r="H129" s="1053"/>
      <c r="I129" s="1053"/>
      <c r="J129" s="1053"/>
      <c r="K129" s="1053"/>
      <c r="L129" s="1053"/>
      <c r="M129" s="1053"/>
      <c r="N129" s="1053"/>
      <c r="O129" s="1053"/>
      <c r="P129" s="1053"/>
      <c r="Q129" s="1053"/>
      <c r="R129" s="1053"/>
      <c r="S129" s="1053"/>
      <c r="T129" s="1053"/>
      <c r="U129" s="1053"/>
      <c r="V129" s="1053"/>
      <c r="W129" s="1053"/>
      <c r="X129" s="1053"/>
      <c r="Y129" s="1053"/>
      <c r="Z129" s="1053"/>
      <c r="AA129" s="1053"/>
      <c r="AB129" s="1053"/>
      <c r="AC129" s="1053"/>
      <c r="AD129" s="1053"/>
      <c r="AE129" s="1053"/>
      <c r="AF129" s="1053"/>
      <c r="AG129" s="1053"/>
      <c r="AH129" s="1053"/>
      <c r="AI129" s="1053"/>
      <c r="AJ129" s="1053"/>
      <c r="AK129" s="1053"/>
      <c r="AL129" s="1053"/>
      <c r="AM129" s="1053"/>
      <c r="AN129" s="1053"/>
      <c r="AO129" s="1053"/>
      <c r="AP129" s="1053"/>
      <c r="AQ129" s="1053"/>
      <c r="AR129" s="1053"/>
      <c r="AS129" s="1053"/>
      <c r="AT129" s="1053"/>
      <c r="AU129" s="1053"/>
      <c r="AV129" s="1053"/>
      <c r="AW129" s="1053"/>
      <c r="AX129" s="1053"/>
      <c r="AY129" s="1053"/>
      <c r="AZ129" s="1053"/>
    </row>
    <row r="130" spans="1:52">
      <c r="A130" s="1053"/>
      <c r="B130" s="1053"/>
      <c r="C130" s="1053"/>
      <c r="D130" s="1053"/>
      <c r="E130" s="1053"/>
      <c r="F130" s="1053"/>
      <c r="G130" s="1053"/>
      <c r="H130" s="1053"/>
      <c r="I130" s="1053"/>
      <c r="J130" s="1053"/>
      <c r="K130" s="1053"/>
      <c r="L130" s="1053"/>
      <c r="M130" s="1053"/>
      <c r="N130" s="1053"/>
      <c r="O130" s="1053"/>
      <c r="P130" s="1053"/>
      <c r="Q130" s="1053"/>
      <c r="R130" s="1053"/>
      <c r="S130" s="1053"/>
      <c r="T130" s="1053"/>
      <c r="U130" s="1053"/>
      <c r="V130" s="1053"/>
      <c r="W130" s="1053"/>
      <c r="X130" s="1053"/>
      <c r="Y130" s="1053"/>
      <c r="Z130" s="1053"/>
      <c r="AA130" s="1053"/>
      <c r="AB130" s="1053"/>
      <c r="AC130" s="1053"/>
      <c r="AD130" s="1053"/>
      <c r="AE130" s="1053"/>
      <c r="AF130" s="1053"/>
      <c r="AG130" s="1053"/>
      <c r="AH130" s="1053"/>
      <c r="AI130" s="1053"/>
      <c r="AJ130" s="1053"/>
      <c r="AK130" s="1053"/>
      <c r="AL130" s="1053"/>
      <c r="AM130" s="1053"/>
      <c r="AN130" s="1053"/>
      <c r="AO130" s="1053"/>
      <c r="AP130" s="1053"/>
      <c r="AQ130" s="1053"/>
      <c r="AR130" s="1053"/>
      <c r="AS130" s="1053"/>
      <c r="AT130" s="1053"/>
      <c r="AU130" s="1053"/>
      <c r="AV130" s="1053"/>
      <c r="AW130" s="1053"/>
      <c r="AX130" s="1053"/>
      <c r="AY130" s="1053"/>
      <c r="AZ130" s="1053"/>
    </row>
    <row r="131" spans="1:52">
      <c r="A131" s="1053"/>
      <c r="B131" s="1053"/>
      <c r="C131" s="1053"/>
      <c r="D131" s="1053"/>
      <c r="E131" s="1053"/>
      <c r="F131" s="1053"/>
      <c r="G131" s="1053"/>
      <c r="H131" s="1053"/>
      <c r="I131" s="1053"/>
      <c r="J131" s="1053"/>
      <c r="K131" s="1053"/>
      <c r="L131" s="1053"/>
      <c r="M131" s="1053"/>
      <c r="N131" s="1053"/>
      <c r="O131" s="1053"/>
      <c r="P131" s="1053"/>
      <c r="Q131" s="1053"/>
      <c r="R131" s="1053"/>
      <c r="S131" s="1053"/>
      <c r="T131" s="1053"/>
      <c r="U131" s="1053"/>
      <c r="V131" s="1053"/>
      <c r="W131" s="1053"/>
      <c r="X131" s="1053"/>
      <c r="Y131" s="1053"/>
      <c r="Z131" s="1053"/>
      <c r="AA131" s="1053"/>
      <c r="AB131" s="1053"/>
      <c r="AC131" s="1053"/>
      <c r="AD131" s="1053"/>
      <c r="AE131" s="1053"/>
      <c r="AF131" s="1053"/>
      <c r="AG131" s="1053"/>
      <c r="AH131" s="1053"/>
      <c r="AI131" s="1053"/>
      <c r="AJ131" s="1053"/>
      <c r="AK131" s="1053"/>
      <c r="AL131" s="1053"/>
      <c r="AM131" s="1053"/>
      <c r="AN131" s="1053"/>
      <c r="AO131" s="1053"/>
      <c r="AP131" s="1053"/>
      <c r="AQ131" s="1053"/>
      <c r="AR131" s="1053"/>
      <c r="AS131" s="1053"/>
      <c r="AT131" s="1053"/>
      <c r="AU131" s="1053"/>
      <c r="AV131" s="1053"/>
      <c r="AW131" s="1053"/>
      <c r="AX131" s="1053"/>
      <c r="AY131" s="1053"/>
      <c r="AZ131" s="1053"/>
    </row>
    <row r="132" spans="1:52">
      <c r="A132" s="1053"/>
      <c r="B132" s="1053"/>
      <c r="C132" s="1053"/>
      <c r="D132" s="1053"/>
      <c r="E132" s="1053"/>
      <c r="F132" s="1053"/>
      <c r="G132" s="1053"/>
      <c r="H132" s="1053"/>
      <c r="I132" s="1053"/>
      <c r="J132" s="1053"/>
      <c r="K132" s="1053"/>
      <c r="L132" s="1053"/>
      <c r="M132" s="1053"/>
      <c r="N132" s="1053"/>
      <c r="O132" s="1053"/>
      <c r="P132" s="1053"/>
      <c r="Q132" s="1053"/>
      <c r="R132" s="1053"/>
      <c r="S132" s="1053"/>
      <c r="T132" s="1053"/>
      <c r="U132" s="1053"/>
      <c r="V132" s="1053"/>
      <c r="W132" s="1053"/>
      <c r="X132" s="1053"/>
      <c r="Y132" s="1053"/>
      <c r="Z132" s="1053"/>
      <c r="AA132" s="1053"/>
      <c r="AB132" s="1053"/>
      <c r="AC132" s="1053"/>
      <c r="AD132" s="1053"/>
      <c r="AE132" s="1053"/>
      <c r="AF132" s="1053"/>
      <c r="AG132" s="1053"/>
      <c r="AH132" s="1053"/>
      <c r="AI132" s="1053"/>
      <c r="AJ132" s="1053"/>
      <c r="AK132" s="1053"/>
      <c r="AL132" s="1053"/>
      <c r="AM132" s="1053"/>
      <c r="AN132" s="1053"/>
      <c r="AO132" s="1053"/>
      <c r="AP132" s="1053"/>
      <c r="AQ132" s="1053"/>
      <c r="AR132" s="1053"/>
      <c r="AS132" s="1053"/>
      <c r="AT132" s="1053"/>
      <c r="AU132" s="1053"/>
      <c r="AV132" s="1053"/>
      <c r="AW132" s="1053"/>
      <c r="AX132" s="1053"/>
      <c r="AY132" s="1053"/>
      <c r="AZ132" s="1053"/>
    </row>
    <row r="133" spans="1:52">
      <c r="A133" s="1053"/>
      <c r="B133" s="1053"/>
      <c r="C133" s="1053"/>
      <c r="D133" s="1053"/>
      <c r="E133" s="1053"/>
      <c r="F133" s="1053"/>
      <c r="G133" s="1053"/>
      <c r="H133" s="1053"/>
      <c r="I133" s="1053"/>
      <c r="J133" s="1053"/>
      <c r="K133" s="1053"/>
      <c r="L133" s="1053"/>
      <c r="M133" s="1053"/>
      <c r="N133" s="1053"/>
      <c r="O133" s="1053"/>
      <c r="P133" s="1053"/>
      <c r="Q133" s="1053"/>
      <c r="R133" s="1053"/>
      <c r="S133" s="1053"/>
      <c r="T133" s="1053"/>
      <c r="U133" s="1053"/>
      <c r="V133" s="1053"/>
      <c r="W133" s="1053"/>
      <c r="X133" s="1053"/>
      <c r="Y133" s="1053"/>
      <c r="Z133" s="1053"/>
      <c r="AA133" s="1053"/>
      <c r="AB133" s="1053"/>
      <c r="AC133" s="1053"/>
      <c r="AD133" s="1053"/>
      <c r="AE133" s="1053"/>
      <c r="AF133" s="1053"/>
      <c r="AG133" s="1053"/>
      <c r="AH133" s="1053"/>
      <c r="AI133" s="1053"/>
      <c r="AJ133" s="1053"/>
      <c r="AK133" s="1053"/>
      <c r="AL133" s="1053"/>
      <c r="AM133" s="1053"/>
      <c r="AN133" s="1053"/>
      <c r="AO133" s="1053"/>
      <c r="AP133" s="1053"/>
      <c r="AQ133" s="1053"/>
      <c r="AR133" s="1053"/>
      <c r="AS133" s="1053"/>
      <c r="AT133" s="1053"/>
      <c r="AU133" s="1053"/>
      <c r="AV133" s="1053"/>
      <c r="AW133" s="1053"/>
      <c r="AX133" s="1053"/>
      <c r="AY133" s="1053"/>
      <c r="AZ133" s="1053"/>
    </row>
    <row r="134" spans="1:52">
      <c r="A134" s="1053"/>
      <c r="B134" s="1053"/>
      <c r="C134" s="1053"/>
      <c r="D134" s="1053"/>
      <c r="E134" s="1053"/>
      <c r="F134" s="1053"/>
      <c r="G134" s="1053"/>
      <c r="H134" s="1053"/>
      <c r="I134" s="1053"/>
      <c r="J134" s="1053"/>
      <c r="K134" s="1053"/>
      <c r="L134" s="1053"/>
      <c r="M134" s="1053"/>
      <c r="N134" s="1053"/>
      <c r="O134" s="1053"/>
      <c r="P134" s="1053"/>
      <c r="Q134" s="1053"/>
      <c r="R134" s="1053"/>
      <c r="S134" s="1053"/>
      <c r="T134" s="1053"/>
      <c r="U134" s="1053"/>
      <c r="V134" s="1053"/>
      <c r="W134" s="1053"/>
      <c r="X134" s="1053"/>
      <c r="Y134" s="1053"/>
      <c r="Z134" s="1053"/>
      <c r="AA134" s="1053"/>
      <c r="AB134" s="1053"/>
      <c r="AC134" s="1053"/>
      <c r="AD134" s="1053"/>
      <c r="AE134" s="1053"/>
      <c r="AF134" s="1053"/>
      <c r="AG134" s="1053"/>
      <c r="AH134" s="1053"/>
      <c r="AI134" s="1053"/>
      <c r="AJ134" s="1053"/>
      <c r="AK134" s="1053"/>
      <c r="AL134" s="1053"/>
      <c r="AM134" s="1053"/>
      <c r="AN134" s="1053"/>
      <c r="AO134" s="1053"/>
      <c r="AP134" s="1053"/>
      <c r="AQ134" s="1053"/>
      <c r="AR134" s="1053"/>
      <c r="AS134" s="1053"/>
      <c r="AT134" s="1053"/>
      <c r="AU134" s="1053"/>
      <c r="AV134" s="1053"/>
      <c r="AW134" s="1053"/>
      <c r="AX134" s="1053"/>
      <c r="AY134" s="1053"/>
      <c r="AZ134" s="1053"/>
    </row>
    <row r="135" spans="1:52">
      <c r="A135" s="1053"/>
      <c r="B135" s="1053"/>
      <c r="C135" s="1053"/>
      <c r="D135" s="1053"/>
      <c r="E135" s="1053"/>
      <c r="F135" s="1053"/>
      <c r="G135" s="1053"/>
      <c r="H135" s="1053"/>
      <c r="I135" s="1053"/>
      <c r="J135" s="1053"/>
      <c r="K135" s="1053"/>
      <c r="L135" s="1053"/>
      <c r="M135" s="1053"/>
      <c r="N135" s="1053"/>
      <c r="O135" s="1053"/>
      <c r="P135" s="1053"/>
      <c r="Q135" s="1053"/>
      <c r="R135" s="1053"/>
      <c r="S135" s="1053"/>
      <c r="T135" s="1053"/>
      <c r="U135" s="1053"/>
      <c r="V135" s="1053"/>
      <c r="W135" s="1053"/>
      <c r="X135" s="1053"/>
      <c r="Y135" s="1053"/>
      <c r="Z135" s="1053"/>
      <c r="AA135" s="1053"/>
      <c r="AB135" s="1053"/>
      <c r="AC135" s="1053"/>
      <c r="AD135" s="1053"/>
      <c r="AE135" s="1053"/>
      <c r="AF135" s="1053"/>
      <c r="AG135" s="1053"/>
      <c r="AH135" s="1053"/>
      <c r="AI135" s="1053"/>
      <c r="AJ135" s="1053"/>
      <c r="AK135" s="1053"/>
      <c r="AL135" s="1053"/>
      <c r="AM135" s="1053"/>
      <c r="AN135" s="1053"/>
      <c r="AO135" s="1053"/>
      <c r="AP135" s="1053"/>
      <c r="AQ135" s="1053"/>
      <c r="AR135" s="1053"/>
      <c r="AS135" s="1053"/>
      <c r="AT135" s="1053"/>
      <c r="AU135" s="1053"/>
      <c r="AV135" s="1053"/>
      <c r="AW135" s="1053"/>
      <c r="AX135" s="1053"/>
      <c r="AY135" s="1053"/>
      <c r="AZ135" s="1053"/>
    </row>
    <row r="136" spans="1:52">
      <c r="A136" s="1053"/>
      <c r="B136" s="1053"/>
      <c r="C136" s="1053"/>
      <c r="D136" s="1053"/>
      <c r="E136" s="1053"/>
      <c r="F136" s="1053"/>
      <c r="G136" s="1053"/>
      <c r="H136" s="1053"/>
      <c r="I136" s="1053"/>
      <c r="J136" s="1053"/>
      <c r="K136" s="1053"/>
      <c r="L136" s="1053"/>
      <c r="M136" s="1053"/>
      <c r="N136" s="1053"/>
      <c r="O136" s="1053"/>
      <c r="P136" s="1053"/>
      <c r="Q136" s="1053"/>
      <c r="R136" s="1053"/>
      <c r="S136" s="1053"/>
      <c r="T136" s="1053"/>
      <c r="U136" s="1053"/>
      <c r="V136" s="1053"/>
      <c r="W136" s="1053"/>
      <c r="X136" s="1053"/>
      <c r="Y136" s="1053"/>
      <c r="Z136" s="1053"/>
      <c r="AA136" s="1053"/>
      <c r="AB136" s="1053"/>
      <c r="AC136" s="1053"/>
      <c r="AD136" s="1053"/>
      <c r="AE136" s="1053"/>
      <c r="AF136" s="1053"/>
      <c r="AG136" s="1053"/>
      <c r="AH136" s="1053"/>
      <c r="AI136" s="1053"/>
      <c r="AJ136" s="1053"/>
      <c r="AK136" s="1053"/>
      <c r="AL136" s="1053"/>
      <c r="AM136" s="1053"/>
      <c r="AN136" s="1053"/>
      <c r="AO136" s="1053"/>
      <c r="AP136" s="1053"/>
      <c r="AQ136" s="1053"/>
      <c r="AR136" s="1053"/>
      <c r="AS136" s="1053"/>
      <c r="AT136" s="1053"/>
      <c r="AU136" s="1053"/>
      <c r="AV136" s="1053"/>
      <c r="AW136" s="1053"/>
      <c r="AX136" s="1053"/>
      <c r="AY136" s="1053"/>
      <c r="AZ136" s="1053"/>
    </row>
    <row r="137" spans="1:52">
      <c r="A137" s="1053"/>
      <c r="B137" s="1053"/>
      <c r="C137" s="1053"/>
      <c r="D137" s="1053"/>
      <c r="E137" s="1053"/>
      <c r="F137" s="1053"/>
      <c r="G137" s="1053"/>
      <c r="H137" s="1053"/>
      <c r="I137" s="1053"/>
      <c r="J137" s="1053"/>
      <c r="K137" s="1053"/>
      <c r="L137" s="1053"/>
      <c r="M137" s="1053"/>
      <c r="N137" s="1053"/>
      <c r="O137" s="1053"/>
      <c r="P137" s="1053"/>
      <c r="Q137" s="1053"/>
      <c r="R137" s="1053"/>
      <c r="S137" s="1053"/>
      <c r="T137" s="1053"/>
      <c r="U137" s="1053"/>
      <c r="V137" s="1053"/>
      <c r="W137" s="1053"/>
      <c r="X137" s="1053"/>
      <c r="Y137" s="1053"/>
      <c r="Z137" s="1053"/>
      <c r="AA137" s="1053"/>
      <c r="AB137" s="1053"/>
      <c r="AC137" s="1053"/>
      <c r="AD137" s="1053"/>
      <c r="AE137" s="1053"/>
      <c r="AF137" s="1053"/>
      <c r="AG137" s="1053"/>
      <c r="AH137" s="1053"/>
      <c r="AI137" s="1053"/>
      <c r="AJ137" s="1053"/>
      <c r="AK137" s="1053"/>
      <c r="AL137" s="1053"/>
      <c r="AM137" s="1053"/>
      <c r="AN137" s="1053"/>
      <c r="AO137" s="1053"/>
      <c r="AP137" s="1053"/>
      <c r="AQ137" s="1053"/>
      <c r="AR137" s="1053"/>
      <c r="AS137" s="1053"/>
      <c r="AT137" s="1053"/>
      <c r="AU137" s="1053"/>
      <c r="AV137" s="1053"/>
      <c r="AW137" s="1053"/>
      <c r="AX137" s="1053"/>
      <c r="AY137" s="1053"/>
      <c r="AZ137" s="1053"/>
    </row>
    <row r="138" spans="1:52">
      <c r="A138" s="1053"/>
      <c r="B138" s="1053"/>
      <c r="C138" s="1053"/>
      <c r="D138" s="1053"/>
      <c r="E138" s="1053"/>
      <c r="F138" s="1053"/>
      <c r="G138" s="1053"/>
      <c r="H138" s="1053"/>
      <c r="I138" s="1053"/>
      <c r="J138" s="1053"/>
      <c r="K138" s="1053"/>
      <c r="L138" s="1053"/>
      <c r="M138" s="1053"/>
      <c r="N138" s="1053"/>
      <c r="O138" s="1053"/>
      <c r="P138" s="1053"/>
      <c r="Q138" s="1053"/>
      <c r="R138" s="1053"/>
      <c r="S138" s="1053"/>
      <c r="T138" s="1053"/>
      <c r="U138" s="1053"/>
      <c r="V138" s="1053"/>
      <c r="W138" s="1053"/>
      <c r="X138" s="1053"/>
      <c r="Y138" s="1053"/>
      <c r="Z138" s="1053"/>
      <c r="AA138" s="1053"/>
      <c r="AB138" s="1053"/>
      <c r="AC138" s="1053"/>
      <c r="AD138" s="1053"/>
      <c r="AE138" s="1053"/>
      <c r="AF138" s="1053"/>
      <c r="AG138" s="1053"/>
      <c r="AH138" s="1053"/>
      <c r="AI138" s="1053"/>
      <c r="AJ138" s="1053"/>
      <c r="AK138" s="1053"/>
      <c r="AL138" s="1053"/>
      <c r="AM138" s="1053"/>
      <c r="AN138" s="1053"/>
      <c r="AO138" s="1053"/>
      <c r="AP138" s="1053"/>
      <c r="AQ138" s="1053"/>
      <c r="AR138" s="1053"/>
      <c r="AS138" s="1053"/>
      <c r="AT138" s="1053"/>
      <c r="AU138" s="1053"/>
      <c r="AV138" s="1053"/>
      <c r="AW138" s="1053"/>
      <c r="AX138" s="1053"/>
      <c r="AY138" s="1053"/>
      <c r="AZ138" s="1053"/>
    </row>
    <row r="139" spans="1:52">
      <c r="A139" s="1053"/>
      <c r="B139" s="1053"/>
      <c r="C139" s="1053"/>
      <c r="D139" s="1053"/>
      <c r="E139" s="1053"/>
      <c r="F139" s="1053"/>
      <c r="G139" s="1053"/>
      <c r="H139" s="1053"/>
      <c r="I139" s="1053"/>
      <c r="J139" s="1053"/>
      <c r="K139" s="1053"/>
      <c r="L139" s="1053"/>
      <c r="M139" s="1053"/>
      <c r="N139" s="1053"/>
      <c r="O139" s="1053"/>
      <c r="P139" s="1053"/>
      <c r="Q139" s="1053"/>
      <c r="R139" s="1053"/>
      <c r="S139" s="1053"/>
      <c r="T139" s="1053"/>
      <c r="U139" s="1053"/>
      <c r="V139" s="1053"/>
      <c r="W139" s="1053"/>
      <c r="X139" s="1053"/>
      <c r="Y139" s="1053"/>
      <c r="Z139" s="1053"/>
      <c r="AA139" s="1053"/>
      <c r="AB139" s="1053"/>
      <c r="AC139" s="1053"/>
      <c r="AD139" s="1053"/>
      <c r="AE139" s="1053"/>
      <c r="AF139" s="1053"/>
      <c r="AG139" s="1053"/>
      <c r="AH139" s="1053"/>
      <c r="AI139" s="1053"/>
      <c r="AJ139" s="1053"/>
      <c r="AK139" s="1053"/>
      <c r="AL139" s="1053"/>
      <c r="AM139" s="1053"/>
      <c r="AN139" s="1053"/>
      <c r="AO139" s="1053"/>
      <c r="AP139" s="1053"/>
      <c r="AQ139" s="1053"/>
      <c r="AR139" s="1053"/>
      <c r="AS139" s="1053"/>
      <c r="AT139" s="1053"/>
      <c r="AU139" s="1053"/>
      <c r="AV139" s="1053"/>
      <c r="AW139" s="1053"/>
      <c r="AX139" s="1053"/>
      <c r="AY139" s="1053"/>
      <c r="AZ139" s="1053"/>
    </row>
    <row r="140" spans="1:52">
      <c r="A140" s="1053"/>
      <c r="B140" s="1053"/>
      <c r="C140" s="1053"/>
      <c r="D140" s="1053"/>
      <c r="E140" s="1053"/>
      <c r="F140" s="1053"/>
      <c r="G140" s="1053"/>
      <c r="H140" s="1053"/>
      <c r="I140" s="1053"/>
      <c r="J140" s="1053"/>
      <c r="K140" s="1053"/>
      <c r="L140" s="1053"/>
      <c r="M140" s="1053"/>
      <c r="N140" s="1053"/>
      <c r="O140" s="1053"/>
      <c r="P140" s="1053"/>
      <c r="Q140" s="1053"/>
      <c r="R140" s="1053"/>
      <c r="S140" s="1053"/>
      <c r="T140" s="1053"/>
      <c r="U140" s="1053"/>
      <c r="V140" s="1053"/>
      <c r="W140" s="1053"/>
      <c r="X140" s="1053"/>
      <c r="Y140" s="1053"/>
      <c r="Z140" s="1053"/>
      <c r="AA140" s="1053"/>
      <c r="AB140" s="1053"/>
      <c r="AC140" s="1053"/>
      <c r="AD140" s="1053"/>
      <c r="AE140" s="1053"/>
      <c r="AF140" s="1053"/>
      <c r="AG140" s="1053"/>
      <c r="AH140" s="1053"/>
      <c r="AI140" s="1053"/>
      <c r="AJ140" s="1053"/>
      <c r="AK140" s="1053"/>
      <c r="AL140" s="1053"/>
      <c r="AM140" s="1053"/>
      <c r="AN140" s="1053"/>
      <c r="AO140" s="1053"/>
      <c r="AP140" s="1053"/>
      <c r="AQ140" s="1053"/>
      <c r="AR140" s="1053"/>
      <c r="AS140" s="1053"/>
      <c r="AT140" s="1053"/>
      <c r="AU140" s="1053"/>
      <c r="AV140" s="1053"/>
      <c r="AW140" s="1053"/>
      <c r="AX140" s="1053"/>
      <c r="AY140" s="1053"/>
      <c r="AZ140" s="1053"/>
    </row>
    <row r="141" spans="1:52">
      <c r="A141" s="1053"/>
      <c r="B141" s="1053"/>
      <c r="C141" s="1053"/>
      <c r="D141" s="1053"/>
      <c r="E141" s="1053"/>
      <c r="F141" s="1053"/>
      <c r="G141" s="1053"/>
      <c r="H141" s="1053"/>
      <c r="I141" s="1053"/>
      <c r="J141" s="1053"/>
      <c r="K141" s="1053"/>
      <c r="L141" s="1053"/>
      <c r="M141" s="1053"/>
      <c r="N141" s="1053"/>
      <c r="O141" s="1053"/>
      <c r="P141" s="1053"/>
      <c r="Q141" s="1053"/>
      <c r="R141" s="1053"/>
      <c r="S141" s="1053"/>
      <c r="T141" s="1053"/>
      <c r="U141" s="1053"/>
      <c r="V141" s="1053"/>
      <c r="W141" s="1053"/>
      <c r="X141" s="1053"/>
      <c r="Y141" s="1053"/>
      <c r="Z141" s="1053"/>
      <c r="AA141" s="1053"/>
      <c r="AB141" s="1053"/>
      <c r="AC141" s="1053"/>
      <c r="AD141" s="1053"/>
      <c r="AE141" s="1053"/>
      <c r="AF141" s="1053"/>
      <c r="AG141" s="1053"/>
      <c r="AH141" s="1053"/>
      <c r="AI141" s="1053"/>
      <c r="AJ141" s="1053"/>
      <c r="AK141" s="1053"/>
      <c r="AL141" s="1053"/>
      <c r="AM141" s="1053"/>
      <c r="AN141" s="1053"/>
      <c r="AO141" s="1053"/>
      <c r="AP141" s="1053"/>
      <c r="AQ141" s="1053"/>
      <c r="AR141" s="1053"/>
      <c r="AS141" s="1053"/>
      <c r="AT141" s="1053"/>
      <c r="AU141" s="1053"/>
      <c r="AV141" s="1053"/>
      <c r="AW141" s="1053"/>
      <c r="AX141" s="1053"/>
      <c r="AY141" s="1053"/>
      <c r="AZ141" s="1053"/>
    </row>
    <row r="142" spans="1:52">
      <c r="A142" s="1053"/>
      <c r="B142" s="1053"/>
      <c r="C142" s="1053"/>
      <c r="D142" s="1053"/>
      <c r="E142" s="1053"/>
      <c r="F142" s="1053"/>
      <c r="G142" s="1053"/>
      <c r="H142" s="1053"/>
      <c r="I142" s="1053"/>
      <c r="J142" s="1053"/>
      <c r="K142" s="1053"/>
      <c r="L142" s="1053"/>
      <c r="M142" s="1053"/>
      <c r="N142" s="1053"/>
      <c r="O142" s="1053"/>
      <c r="P142" s="1053"/>
      <c r="Q142" s="1053"/>
      <c r="R142" s="1053"/>
      <c r="S142" s="1053"/>
      <c r="T142" s="1053"/>
      <c r="U142" s="1053"/>
      <c r="V142" s="1053"/>
      <c r="W142" s="1053"/>
      <c r="X142" s="1053"/>
      <c r="Y142" s="1053"/>
      <c r="Z142" s="1053"/>
      <c r="AA142" s="1053"/>
      <c r="AB142" s="1053"/>
      <c r="AC142" s="1053"/>
      <c r="AD142" s="1053"/>
      <c r="AE142" s="1053"/>
      <c r="AF142" s="1053"/>
      <c r="AG142" s="1053"/>
      <c r="AH142" s="1053"/>
      <c r="AI142" s="1053"/>
      <c r="AJ142" s="1053"/>
      <c r="AK142" s="1053"/>
      <c r="AL142" s="1053"/>
      <c r="AM142" s="1053"/>
      <c r="AN142" s="1053"/>
      <c r="AO142" s="1053"/>
      <c r="AP142" s="1053"/>
      <c r="AQ142" s="1053"/>
      <c r="AR142" s="1053"/>
      <c r="AS142" s="1053"/>
      <c r="AT142" s="1053"/>
      <c r="AU142" s="1053"/>
      <c r="AV142" s="1053"/>
      <c r="AW142" s="1053"/>
      <c r="AX142" s="1053"/>
      <c r="AY142" s="1053"/>
      <c r="AZ142" s="1053"/>
    </row>
    <row r="143" spans="1:52">
      <c r="A143" s="1053"/>
      <c r="B143" s="1053"/>
      <c r="C143" s="1053"/>
      <c r="D143" s="1053"/>
      <c r="E143" s="1053"/>
      <c r="F143" s="1053"/>
      <c r="G143" s="1053"/>
      <c r="H143" s="1053"/>
      <c r="I143" s="1053"/>
      <c r="J143" s="1053"/>
      <c r="K143" s="1053"/>
      <c r="L143" s="1053"/>
      <c r="M143" s="1053"/>
      <c r="N143" s="1053"/>
      <c r="O143" s="1053"/>
      <c r="P143" s="1053"/>
      <c r="Q143" s="1053"/>
      <c r="R143" s="1053"/>
      <c r="S143" s="1053"/>
      <c r="T143" s="1053"/>
      <c r="U143" s="1053"/>
      <c r="V143" s="1053"/>
      <c r="W143" s="1053"/>
      <c r="X143" s="1053"/>
      <c r="Y143" s="1053"/>
      <c r="Z143" s="1053"/>
      <c r="AA143" s="1053"/>
      <c r="AB143" s="1053"/>
      <c r="AC143" s="1053"/>
      <c r="AD143" s="1053"/>
      <c r="AE143" s="1053"/>
      <c r="AF143" s="1053"/>
      <c r="AG143" s="1053"/>
      <c r="AH143" s="1053"/>
      <c r="AI143" s="1053"/>
      <c r="AJ143" s="1053"/>
      <c r="AK143" s="1053"/>
      <c r="AL143" s="1053"/>
      <c r="AM143" s="1053"/>
      <c r="AN143" s="1053"/>
      <c r="AO143" s="1053"/>
      <c r="AP143" s="1053"/>
      <c r="AQ143" s="1053"/>
      <c r="AR143" s="1053"/>
      <c r="AS143" s="1053"/>
      <c r="AT143" s="1053"/>
      <c r="AU143" s="1053"/>
      <c r="AV143" s="1053"/>
      <c r="AW143" s="1053"/>
      <c r="AX143" s="1053"/>
      <c r="AY143" s="1053"/>
      <c r="AZ143" s="1053"/>
    </row>
    <row r="144" spans="1:52">
      <c r="A144" s="1053"/>
      <c r="B144" s="1053"/>
      <c r="C144" s="1053"/>
      <c r="D144" s="1053"/>
      <c r="E144" s="1053"/>
      <c r="F144" s="1053"/>
      <c r="G144" s="1053"/>
      <c r="H144" s="1053"/>
      <c r="I144" s="1053"/>
      <c r="J144" s="1053"/>
      <c r="K144" s="1053"/>
      <c r="L144" s="1053"/>
      <c r="M144" s="1053"/>
      <c r="N144" s="1053"/>
      <c r="O144" s="1053"/>
      <c r="P144" s="1053"/>
      <c r="Q144" s="1053"/>
      <c r="R144" s="1053"/>
      <c r="S144" s="1053"/>
      <c r="T144" s="1053"/>
      <c r="U144" s="1053"/>
      <c r="V144" s="1053"/>
      <c r="W144" s="1053"/>
      <c r="X144" s="1053"/>
      <c r="Y144" s="1053"/>
      <c r="Z144" s="1053"/>
      <c r="AA144" s="1053"/>
      <c r="AB144" s="1053"/>
      <c r="AC144" s="1053"/>
      <c r="AD144" s="1053"/>
      <c r="AE144" s="1053"/>
      <c r="AF144" s="1053"/>
      <c r="AG144" s="1053"/>
      <c r="AH144" s="1053"/>
      <c r="AI144" s="1053"/>
      <c r="AJ144" s="1053"/>
      <c r="AK144" s="1053"/>
      <c r="AL144" s="1053"/>
      <c r="AM144" s="1053"/>
      <c r="AN144" s="1053"/>
      <c r="AO144" s="1053"/>
      <c r="AP144" s="1053"/>
      <c r="AQ144" s="1053"/>
      <c r="AR144" s="1053"/>
      <c r="AS144" s="1053"/>
      <c r="AT144" s="1053"/>
      <c r="AU144" s="1053"/>
      <c r="AV144" s="1053"/>
      <c r="AW144" s="1053"/>
      <c r="AX144" s="1053"/>
      <c r="AY144" s="1053"/>
      <c r="AZ144" s="1053"/>
    </row>
    <row r="145" spans="1:52">
      <c r="A145" s="1053"/>
      <c r="B145" s="1053"/>
      <c r="C145" s="1053"/>
      <c r="D145" s="1053"/>
      <c r="E145" s="1053"/>
      <c r="F145" s="1053"/>
      <c r="G145" s="1053"/>
      <c r="H145" s="1053"/>
      <c r="I145" s="1053"/>
      <c r="J145" s="1053"/>
      <c r="K145" s="1053"/>
      <c r="L145" s="1053"/>
      <c r="M145" s="1053"/>
      <c r="N145" s="1053"/>
      <c r="O145" s="1053"/>
      <c r="P145" s="1053"/>
      <c r="Q145" s="1053"/>
      <c r="R145" s="1053"/>
      <c r="S145" s="1053"/>
      <c r="T145" s="1053"/>
      <c r="U145" s="1053"/>
      <c r="V145" s="1053"/>
      <c r="W145" s="1053"/>
      <c r="X145" s="1053"/>
      <c r="Y145" s="1053"/>
      <c r="Z145" s="1053"/>
      <c r="AA145" s="1053"/>
      <c r="AB145" s="1053"/>
      <c r="AC145" s="1053"/>
      <c r="AD145" s="1053"/>
      <c r="AE145" s="1053"/>
      <c r="AF145" s="1053"/>
      <c r="AG145" s="1053"/>
      <c r="AH145" s="1053"/>
      <c r="AI145" s="1053"/>
      <c r="AJ145" s="1053"/>
      <c r="AK145" s="1053"/>
      <c r="AL145" s="1053"/>
      <c r="AM145" s="1053"/>
      <c r="AN145" s="1053"/>
      <c r="AO145" s="1053"/>
      <c r="AP145" s="1053"/>
      <c r="AQ145" s="1053"/>
      <c r="AR145" s="1053"/>
      <c r="AS145" s="1053"/>
      <c r="AT145" s="1053"/>
      <c r="AU145" s="1053"/>
      <c r="AV145" s="1053"/>
      <c r="AW145" s="1053"/>
      <c r="AX145" s="1053"/>
      <c r="AY145" s="1053"/>
      <c r="AZ145" s="1053"/>
    </row>
    <row r="146" spans="1:52">
      <c r="A146" s="1053"/>
      <c r="B146" s="1053"/>
      <c r="C146" s="1053"/>
      <c r="D146" s="1053"/>
      <c r="E146" s="1053"/>
      <c r="F146" s="1053"/>
      <c r="G146" s="1053"/>
      <c r="H146" s="1053"/>
      <c r="I146" s="1053"/>
      <c r="J146" s="1053"/>
      <c r="K146" s="1053"/>
      <c r="L146" s="1053"/>
      <c r="M146" s="1053"/>
      <c r="N146" s="1053"/>
      <c r="O146" s="1053"/>
      <c r="P146" s="1053"/>
      <c r="Q146" s="1053"/>
      <c r="R146" s="1053"/>
      <c r="S146" s="1053"/>
      <c r="T146" s="1053"/>
      <c r="U146" s="1053"/>
      <c r="V146" s="1053"/>
      <c r="W146" s="1053"/>
      <c r="X146" s="1053"/>
      <c r="Y146" s="1053"/>
      <c r="Z146" s="1053"/>
      <c r="AA146" s="1053"/>
      <c r="AB146" s="1053"/>
      <c r="AC146" s="1053"/>
      <c r="AD146" s="1053"/>
      <c r="AE146" s="1053"/>
      <c r="AF146" s="1053"/>
      <c r="AG146" s="1053"/>
      <c r="AH146" s="1053"/>
      <c r="AI146" s="1053"/>
      <c r="AJ146" s="1053"/>
      <c r="AK146" s="1053"/>
      <c r="AL146" s="1053"/>
      <c r="AM146" s="1053"/>
      <c r="AN146" s="1053"/>
      <c r="AO146" s="1053"/>
      <c r="AP146" s="1053"/>
      <c r="AQ146" s="1053"/>
      <c r="AR146" s="1053"/>
      <c r="AS146" s="1053"/>
      <c r="AT146" s="1053"/>
      <c r="AU146" s="1053"/>
      <c r="AV146" s="1053"/>
      <c r="AW146" s="1053"/>
      <c r="AX146" s="1053"/>
      <c r="AY146" s="1053"/>
      <c r="AZ146" s="1053"/>
    </row>
    <row r="147" spans="1:52">
      <c r="A147" s="1053"/>
      <c r="B147" s="1053"/>
      <c r="C147" s="1053"/>
      <c r="D147" s="1053"/>
      <c r="E147" s="1053"/>
      <c r="F147" s="1053"/>
      <c r="G147" s="1053"/>
      <c r="H147" s="1053"/>
      <c r="I147" s="1053"/>
      <c r="J147" s="1053"/>
      <c r="K147" s="1053"/>
      <c r="L147" s="1053"/>
      <c r="M147" s="1053"/>
      <c r="N147" s="1053"/>
      <c r="O147" s="1053"/>
      <c r="P147" s="1053"/>
      <c r="Q147" s="1053"/>
      <c r="R147" s="1053"/>
      <c r="S147" s="1053"/>
      <c r="T147" s="1053"/>
      <c r="U147" s="1053"/>
      <c r="V147" s="1053"/>
      <c r="W147" s="1053"/>
      <c r="X147" s="1053"/>
      <c r="Y147" s="1053"/>
      <c r="Z147" s="1053"/>
      <c r="AA147" s="1053"/>
      <c r="AB147" s="1053"/>
      <c r="AC147" s="1053"/>
      <c r="AD147" s="1053"/>
      <c r="AE147" s="1053"/>
      <c r="AF147" s="1053"/>
      <c r="AG147" s="1053"/>
      <c r="AH147" s="1053"/>
      <c r="AI147" s="1053"/>
      <c r="AJ147" s="1053"/>
      <c r="AK147" s="1053"/>
      <c r="AL147" s="1053"/>
      <c r="AM147" s="1053"/>
      <c r="AN147" s="1053"/>
      <c r="AO147" s="1053"/>
      <c r="AP147" s="1053"/>
      <c r="AQ147" s="1053"/>
      <c r="AR147" s="1053"/>
      <c r="AS147" s="1053"/>
      <c r="AT147" s="1053"/>
      <c r="AU147" s="1053"/>
      <c r="AV147" s="1053"/>
      <c r="AW147" s="1053"/>
      <c r="AX147" s="1053"/>
      <c r="AY147" s="1053"/>
      <c r="AZ147" s="1053"/>
    </row>
    <row r="148" spans="1:52">
      <c r="A148" s="1053"/>
      <c r="B148" s="1053"/>
      <c r="C148" s="1053"/>
      <c r="D148" s="1053"/>
      <c r="E148" s="1053"/>
      <c r="F148" s="1053"/>
      <c r="G148" s="1053"/>
      <c r="H148" s="1053"/>
      <c r="I148" s="1053"/>
      <c r="J148" s="1053"/>
      <c r="K148" s="1053"/>
      <c r="L148" s="1053"/>
      <c r="M148" s="1053"/>
      <c r="N148" s="1053"/>
      <c r="O148" s="1053"/>
      <c r="P148" s="1053"/>
      <c r="Q148" s="1053"/>
      <c r="R148" s="1053"/>
      <c r="S148" s="1053"/>
      <c r="T148" s="1053"/>
      <c r="U148" s="1053"/>
      <c r="V148" s="1053"/>
      <c r="W148" s="1053"/>
      <c r="X148" s="1053"/>
      <c r="Y148" s="1053"/>
      <c r="Z148" s="1053"/>
      <c r="AA148" s="1053"/>
      <c r="AB148" s="1053"/>
      <c r="AC148" s="1053"/>
      <c r="AD148" s="1053"/>
      <c r="AE148" s="1053"/>
      <c r="AF148" s="1053"/>
      <c r="AG148" s="1053"/>
      <c r="AH148" s="1053"/>
      <c r="AI148" s="1053"/>
      <c r="AJ148" s="1053"/>
      <c r="AK148" s="1053"/>
      <c r="AL148" s="1053"/>
      <c r="AM148" s="1053"/>
      <c r="AN148" s="1053"/>
      <c r="AO148" s="1053"/>
      <c r="AP148" s="1053"/>
      <c r="AQ148" s="1053"/>
      <c r="AR148" s="1053"/>
      <c r="AS148" s="1053"/>
      <c r="AT148" s="1053"/>
      <c r="AU148" s="1053"/>
      <c r="AV148" s="1053"/>
      <c r="AW148" s="1053"/>
      <c r="AX148" s="1053"/>
      <c r="AY148" s="1053"/>
      <c r="AZ148" s="1053"/>
    </row>
    <row r="149" spans="1:52">
      <c r="A149" s="1053"/>
      <c r="B149" s="1053"/>
      <c r="C149" s="1053"/>
      <c r="D149" s="1053"/>
      <c r="E149" s="1053"/>
      <c r="F149" s="1053"/>
      <c r="G149" s="1053"/>
      <c r="H149" s="1053"/>
      <c r="I149" s="1053"/>
      <c r="J149" s="1053"/>
      <c r="K149" s="1053"/>
      <c r="L149" s="1053"/>
      <c r="M149" s="1053"/>
      <c r="N149" s="1053"/>
      <c r="O149" s="1053"/>
      <c r="P149" s="1053"/>
      <c r="Q149" s="1053"/>
      <c r="R149" s="1053"/>
      <c r="S149" s="1053"/>
      <c r="T149" s="1053"/>
      <c r="U149" s="1053"/>
      <c r="V149" s="1053"/>
      <c r="W149" s="1053"/>
      <c r="X149" s="1053"/>
      <c r="Y149" s="1053"/>
      <c r="Z149" s="1053"/>
      <c r="AA149" s="1053"/>
      <c r="AB149" s="1053"/>
      <c r="AC149" s="1053"/>
      <c r="AD149" s="1053"/>
      <c r="AE149" s="1053"/>
      <c r="AF149" s="1053"/>
      <c r="AG149" s="1053"/>
      <c r="AH149" s="1053"/>
      <c r="AI149" s="1053"/>
      <c r="AJ149" s="1053"/>
      <c r="AK149" s="1053"/>
      <c r="AL149" s="1053"/>
      <c r="AM149" s="1053"/>
      <c r="AN149" s="1053"/>
      <c r="AO149" s="1053"/>
      <c r="AP149" s="1053"/>
      <c r="AQ149" s="1053"/>
      <c r="AR149" s="1053"/>
      <c r="AS149" s="1053"/>
      <c r="AT149" s="1053"/>
      <c r="AU149" s="1053"/>
      <c r="AV149" s="1053"/>
      <c r="AW149" s="1053"/>
      <c r="AX149" s="1053"/>
      <c r="AY149" s="1053"/>
      <c r="AZ149" s="1053"/>
    </row>
    <row r="150" spans="1:52">
      <c r="A150" s="1053"/>
      <c r="B150" s="1053"/>
      <c r="C150" s="1053"/>
      <c r="D150" s="1053"/>
      <c r="E150" s="1053"/>
      <c r="F150" s="1053"/>
      <c r="G150" s="1053"/>
      <c r="H150" s="1053"/>
      <c r="I150" s="1053"/>
      <c r="J150" s="1053"/>
      <c r="K150" s="1053"/>
      <c r="L150" s="1053"/>
      <c r="M150" s="1053"/>
      <c r="N150" s="1053"/>
      <c r="O150" s="1053"/>
      <c r="P150" s="1053"/>
      <c r="Q150" s="1053"/>
      <c r="R150" s="1053"/>
      <c r="S150" s="1053"/>
      <c r="T150" s="1053"/>
      <c r="U150" s="1053"/>
      <c r="V150" s="1053"/>
      <c r="W150" s="1053"/>
      <c r="X150" s="1053"/>
      <c r="Y150" s="1053"/>
      <c r="Z150" s="1053"/>
      <c r="AA150" s="1053"/>
      <c r="AB150" s="1053"/>
      <c r="AC150" s="1053"/>
      <c r="AD150" s="1053"/>
      <c r="AE150" s="1053"/>
      <c r="AF150" s="1053"/>
      <c r="AG150" s="1053"/>
      <c r="AH150" s="1053"/>
      <c r="AI150" s="1053"/>
      <c r="AJ150" s="1053"/>
      <c r="AK150" s="1053"/>
      <c r="AL150" s="1053"/>
      <c r="AM150" s="1053"/>
      <c r="AN150" s="1053"/>
      <c r="AO150" s="1053"/>
      <c r="AP150" s="1053"/>
      <c r="AQ150" s="1053"/>
      <c r="AR150" s="1053"/>
      <c r="AS150" s="1053"/>
      <c r="AT150" s="1053"/>
      <c r="AU150" s="1053"/>
      <c r="AV150" s="1053"/>
      <c r="AW150" s="1053"/>
      <c r="AX150" s="1053"/>
      <c r="AY150" s="1053"/>
      <c r="AZ150" s="1053"/>
    </row>
    <row r="151" spans="1:52">
      <c r="A151" s="1053"/>
      <c r="B151" s="1053"/>
      <c r="C151" s="1053"/>
      <c r="D151" s="1053"/>
      <c r="E151" s="1053"/>
      <c r="F151" s="1053"/>
      <c r="G151" s="1053"/>
      <c r="H151" s="1053"/>
      <c r="I151" s="1053"/>
      <c r="J151" s="1053"/>
      <c r="K151" s="1053"/>
      <c r="L151" s="1053"/>
      <c r="M151" s="1053"/>
      <c r="N151" s="1053"/>
      <c r="O151" s="1053"/>
      <c r="P151" s="1053"/>
      <c r="Q151" s="1053"/>
      <c r="R151" s="1053"/>
      <c r="S151" s="1053"/>
      <c r="T151" s="1053"/>
      <c r="U151" s="1053"/>
      <c r="V151" s="1053"/>
      <c r="W151" s="1053"/>
      <c r="X151" s="1053"/>
      <c r="Y151" s="1053"/>
      <c r="Z151" s="1053"/>
      <c r="AA151" s="1053"/>
      <c r="AB151" s="1053"/>
      <c r="AC151" s="1053"/>
      <c r="AD151" s="1053"/>
      <c r="AE151" s="1053"/>
      <c r="AF151" s="1053"/>
      <c r="AG151" s="1053"/>
      <c r="AH151" s="1053"/>
      <c r="AI151" s="1053"/>
      <c r="AJ151" s="1053"/>
      <c r="AK151" s="1053"/>
      <c r="AL151" s="1053"/>
      <c r="AM151" s="1053"/>
      <c r="AN151" s="1053"/>
      <c r="AO151" s="1053"/>
      <c r="AP151" s="1053"/>
      <c r="AQ151" s="1053"/>
      <c r="AR151" s="1053"/>
      <c r="AS151" s="1053"/>
      <c r="AT151" s="1053"/>
      <c r="AU151" s="1053"/>
      <c r="AV151" s="1053"/>
      <c r="AW151" s="1053"/>
      <c r="AX151" s="1053"/>
      <c r="AY151" s="1053"/>
      <c r="AZ151" s="1053"/>
    </row>
    <row r="152" spans="1:52">
      <c r="A152" s="1053"/>
      <c r="B152" s="1053"/>
      <c r="C152" s="1053"/>
      <c r="D152" s="1053"/>
      <c r="E152" s="1053"/>
      <c r="F152" s="1053"/>
      <c r="G152" s="1053"/>
      <c r="H152" s="1053"/>
      <c r="I152" s="1053"/>
      <c r="J152" s="1053"/>
      <c r="K152" s="1053"/>
      <c r="L152" s="1053"/>
      <c r="M152" s="1053"/>
      <c r="N152" s="1053"/>
      <c r="O152" s="1053"/>
      <c r="P152" s="1053"/>
      <c r="Q152" s="1053"/>
      <c r="R152" s="1053"/>
      <c r="S152" s="1053"/>
      <c r="T152" s="1053"/>
      <c r="U152" s="1053"/>
      <c r="V152" s="1053"/>
      <c r="W152" s="1053"/>
      <c r="X152" s="1053"/>
      <c r="Y152" s="1053"/>
      <c r="Z152" s="1053"/>
      <c r="AA152" s="1053"/>
      <c r="AB152" s="1053"/>
      <c r="AC152" s="1053"/>
      <c r="AD152" s="1053"/>
      <c r="AE152" s="1053"/>
      <c r="AF152" s="1053"/>
      <c r="AG152" s="1053"/>
      <c r="AH152" s="1053"/>
      <c r="AI152" s="1053"/>
      <c r="AJ152" s="1053"/>
      <c r="AK152" s="1053"/>
      <c r="AL152" s="1053"/>
      <c r="AM152" s="1053"/>
      <c r="AN152" s="1053"/>
      <c r="AO152" s="1053"/>
      <c r="AP152" s="1053"/>
      <c r="AQ152" s="1053"/>
      <c r="AR152" s="1053"/>
      <c r="AS152" s="1053"/>
      <c r="AT152" s="1053"/>
      <c r="AU152" s="1053"/>
      <c r="AV152" s="1053"/>
      <c r="AW152" s="1053"/>
      <c r="AX152" s="1053"/>
      <c r="AY152" s="1053"/>
      <c r="AZ152" s="1053"/>
    </row>
    <row r="153" spans="1:52">
      <c r="A153" s="1053"/>
      <c r="B153" s="1053"/>
      <c r="C153" s="1053"/>
      <c r="D153" s="1053"/>
      <c r="E153" s="1053"/>
      <c r="F153" s="1053"/>
      <c r="G153" s="1053"/>
      <c r="H153" s="1053"/>
      <c r="I153" s="1053"/>
      <c r="J153" s="1053"/>
      <c r="K153" s="1053"/>
      <c r="L153" s="1053"/>
      <c r="M153" s="1053"/>
      <c r="N153" s="1053"/>
      <c r="O153" s="1053"/>
      <c r="P153" s="1053"/>
      <c r="Q153" s="1053"/>
      <c r="R153" s="1053"/>
      <c r="S153" s="1053"/>
      <c r="T153" s="1053"/>
      <c r="U153" s="1053"/>
      <c r="V153" s="1053"/>
      <c r="W153" s="1053"/>
      <c r="X153" s="1053"/>
      <c r="Y153" s="1053"/>
      <c r="Z153" s="1053"/>
      <c r="AA153" s="1053"/>
      <c r="AB153" s="1053"/>
      <c r="AC153" s="1053"/>
      <c r="AD153" s="1053"/>
      <c r="AE153" s="1053"/>
      <c r="AF153" s="1053"/>
      <c r="AG153" s="1053"/>
      <c r="AH153" s="1053"/>
      <c r="AI153" s="1053"/>
      <c r="AJ153" s="1053"/>
      <c r="AK153" s="1053"/>
      <c r="AL153" s="1053"/>
      <c r="AM153" s="1053"/>
      <c r="AN153" s="1053"/>
      <c r="AO153" s="1053"/>
      <c r="AP153" s="1053"/>
      <c r="AQ153" s="1053"/>
      <c r="AR153" s="1053"/>
      <c r="AS153" s="1053"/>
      <c r="AT153" s="1053"/>
      <c r="AU153" s="1053"/>
      <c r="AV153" s="1053"/>
      <c r="AW153" s="1053"/>
      <c r="AX153" s="1053"/>
      <c r="AY153" s="1053"/>
      <c r="AZ153" s="1053"/>
    </row>
    <row r="154" spans="1:52">
      <c r="A154" s="1053"/>
      <c r="B154" s="1053"/>
      <c r="C154" s="1053"/>
      <c r="D154" s="1053"/>
      <c r="E154" s="1053"/>
      <c r="F154" s="1053"/>
      <c r="G154" s="1053"/>
      <c r="H154" s="1053"/>
      <c r="I154" s="1053"/>
      <c r="J154" s="1053"/>
      <c r="K154" s="1053"/>
      <c r="L154" s="1053"/>
      <c r="M154" s="1053"/>
      <c r="N154" s="1053"/>
      <c r="O154" s="1053"/>
      <c r="P154" s="1053"/>
      <c r="Q154" s="1053"/>
      <c r="R154" s="1053"/>
      <c r="S154" s="1053"/>
      <c r="T154" s="1053"/>
      <c r="U154" s="1053"/>
      <c r="V154" s="1053"/>
      <c r="W154" s="1053"/>
      <c r="X154" s="1053"/>
      <c r="Y154" s="1053"/>
      <c r="Z154" s="1053"/>
      <c r="AA154" s="1053"/>
      <c r="AB154" s="1053"/>
      <c r="AC154" s="1053"/>
      <c r="AD154" s="1053"/>
      <c r="AE154" s="1053"/>
      <c r="AF154" s="1053"/>
      <c r="AG154" s="1053"/>
      <c r="AH154" s="1053"/>
      <c r="AI154" s="1053"/>
      <c r="AJ154" s="1053"/>
      <c r="AK154" s="1053"/>
      <c r="AL154" s="1053"/>
      <c r="AM154" s="1053"/>
      <c r="AN154" s="1053"/>
      <c r="AO154" s="1053"/>
      <c r="AP154" s="1053"/>
      <c r="AQ154" s="1053"/>
      <c r="AR154" s="1053"/>
      <c r="AS154" s="1053"/>
      <c r="AT154" s="1053"/>
      <c r="AU154" s="1053"/>
      <c r="AV154" s="1053"/>
      <c r="AW154" s="1053"/>
      <c r="AX154" s="1053"/>
      <c r="AY154" s="1053"/>
      <c r="AZ154" s="1053"/>
    </row>
    <row r="155" spans="1:52">
      <c r="A155" s="1053"/>
      <c r="B155" s="1053"/>
      <c r="C155" s="1053"/>
      <c r="D155" s="1053"/>
      <c r="E155" s="1053"/>
      <c r="F155" s="1053"/>
      <c r="G155" s="1053"/>
      <c r="H155" s="1053"/>
      <c r="I155" s="1053"/>
      <c r="J155" s="1053"/>
      <c r="K155" s="1053"/>
      <c r="L155" s="1053"/>
      <c r="M155" s="1053"/>
      <c r="N155" s="1053"/>
      <c r="O155" s="1053"/>
      <c r="P155" s="1053"/>
      <c r="Q155" s="1053"/>
      <c r="R155" s="1053"/>
      <c r="S155" s="1053"/>
      <c r="T155" s="1053"/>
      <c r="U155" s="1053"/>
      <c r="V155" s="1053"/>
      <c r="W155" s="1053"/>
      <c r="X155" s="1053"/>
      <c r="Y155" s="1053"/>
      <c r="Z155" s="1053"/>
      <c r="AA155" s="1053"/>
      <c r="AB155" s="1053"/>
      <c r="AC155" s="1053"/>
      <c r="AD155" s="1053"/>
      <c r="AE155" s="1053"/>
      <c r="AF155" s="1053"/>
      <c r="AG155" s="1053"/>
      <c r="AH155" s="1053"/>
      <c r="AI155" s="1053"/>
      <c r="AJ155" s="1053"/>
      <c r="AK155" s="1053"/>
      <c r="AL155" s="1053"/>
      <c r="AM155" s="1053"/>
      <c r="AN155" s="1053"/>
      <c r="AO155" s="1053"/>
      <c r="AP155" s="1053"/>
      <c r="AQ155" s="1053"/>
      <c r="AR155" s="1053"/>
      <c r="AS155" s="1053"/>
      <c r="AT155" s="1053"/>
      <c r="AU155" s="1053"/>
      <c r="AV155" s="1053"/>
      <c r="AW155" s="1053"/>
      <c r="AX155" s="1053"/>
      <c r="AY155" s="1053"/>
      <c r="AZ155" s="1053"/>
    </row>
    <row r="156" spans="1:52">
      <c r="A156" s="1053"/>
      <c r="B156" s="1053"/>
      <c r="C156" s="1053"/>
      <c r="D156" s="1053"/>
      <c r="E156" s="1053"/>
      <c r="F156" s="1053"/>
      <c r="G156" s="1053"/>
      <c r="H156" s="1053"/>
      <c r="I156" s="1053"/>
      <c r="J156" s="1053"/>
      <c r="K156" s="1053"/>
      <c r="L156" s="1053"/>
      <c r="M156" s="1053"/>
      <c r="N156" s="1053"/>
      <c r="O156" s="1053"/>
      <c r="P156" s="1053"/>
      <c r="Q156" s="1053"/>
      <c r="R156" s="1053"/>
      <c r="S156" s="1053"/>
      <c r="T156" s="1053"/>
      <c r="U156" s="1053"/>
      <c r="V156" s="1053"/>
      <c r="W156" s="1053"/>
      <c r="X156" s="1053"/>
      <c r="Y156" s="1053"/>
      <c r="Z156" s="1053"/>
      <c r="AA156" s="1053"/>
      <c r="AB156" s="1053"/>
      <c r="AC156" s="1053"/>
      <c r="AD156" s="1053"/>
      <c r="AE156" s="1053"/>
      <c r="AF156" s="1053"/>
      <c r="AG156" s="1053"/>
      <c r="AH156" s="1053"/>
      <c r="AI156" s="1053"/>
      <c r="AJ156" s="1053"/>
      <c r="AK156" s="1053"/>
      <c r="AL156" s="1053"/>
      <c r="AM156" s="1053"/>
      <c r="AN156" s="1053"/>
      <c r="AO156" s="1053"/>
      <c r="AP156" s="1053"/>
      <c r="AQ156" s="1053"/>
      <c r="AR156" s="1053"/>
      <c r="AS156" s="1053"/>
      <c r="AT156" s="1053"/>
      <c r="AU156" s="1053"/>
      <c r="AV156" s="1053"/>
      <c r="AW156" s="1053"/>
      <c r="AX156" s="1053"/>
      <c r="AY156" s="1053"/>
      <c r="AZ156" s="1053"/>
    </row>
    <row r="157" spans="1:52">
      <c r="A157" s="1053"/>
      <c r="B157" s="1053"/>
      <c r="C157" s="1053"/>
      <c r="D157" s="1053"/>
      <c r="E157" s="1053"/>
      <c r="F157" s="1053"/>
      <c r="G157" s="1053"/>
      <c r="H157" s="1053"/>
      <c r="I157" s="1053"/>
      <c r="J157" s="1053"/>
      <c r="K157" s="1053"/>
      <c r="L157" s="1053"/>
      <c r="M157" s="1053"/>
      <c r="N157" s="1053"/>
      <c r="O157" s="1053"/>
      <c r="P157" s="1053"/>
      <c r="Q157" s="1053"/>
      <c r="R157" s="1053"/>
      <c r="S157" s="1053"/>
      <c r="T157" s="1053"/>
      <c r="U157" s="1053"/>
      <c r="V157" s="1053"/>
      <c r="W157" s="1053"/>
      <c r="X157" s="1053"/>
      <c r="Y157" s="1053"/>
      <c r="Z157" s="1053"/>
      <c r="AA157" s="1053"/>
      <c r="AB157" s="1053"/>
      <c r="AC157" s="1053"/>
      <c r="AD157" s="1053"/>
      <c r="AE157" s="1053"/>
      <c r="AF157" s="1053"/>
      <c r="AG157" s="1053"/>
      <c r="AH157" s="1053"/>
      <c r="AI157" s="1053"/>
      <c r="AJ157" s="1053"/>
      <c r="AK157" s="1053"/>
      <c r="AL157" s="1053"/>
      <c r="AM157" s="1053"/>
      <c r="AN157" s="1053"/>
      <c r="AO157" s="1053"/>
      <c r="AP157" s="1053"/>
      <c r="AQ157" s="1053"/>
      <c r="AR157" s="1053"/>
      <c r="AS157" s="1053"/>
      <c r="AT157" s="1053"/>
      <c r="AU157" s="1053"/>
      <c r="AV157" s="1053"/>
      <c r="AW157" s="1053"/>
      <c r="AX157" s="1053"/>
      <c r="AY157" s="1053"/>
      <c r="AZ157" s="1053"/>
    </row>
    <row r="158" spans="1:52">
      <c r="A158" s="1053"/>
      <c r="B158" s="1053"/>
      <c r="C158" s="1053"/>
      <c r="D158" s="1053"/>
      <c r="E158" s="1053"/>
      <c r="F158" s="1053"/>
      <c r="G158" s="1053"/>
      <c r="H158" s="1053"/>
      <c r="I158" s="1053"/>
      <c r="J158" s="1053"/>
      <c r="K158" s="1053"/>
      <c r="L158" s="1053"/>
      <c r="M158" s="1053"/>
      <c r="N158" s="1053"/>
      <c r="O158" s="1053"/>
      <c r="P158" s="1053"/>
      <c r="Q158" s="1053"/>
      <c r="R158" s="1053"/>
      <c r="S158" s="1053"/>
      <c r="T158" s="1053"/>
      <c r="U158" s="1053"/>
      <c r="V158" s="1053"/>
      <c r="W158" s="1053"/>
      <c r="X158" s="1053"/>
      <c r="Y158" s="1053"/>
      <c r="Z158" s="1053"/>
      <c r="AA158" s="1053"/>
      <c r="AB158" s="1053"/>
      <c r="AC158" s="1053"/>
      <c r="AD158" s="1053"/>
      <c r="AE158" s="1053"/>
      <c r="AF158" s="1053"/>
      <c r="AG158" s="1053"/>
      <c r="AH158" s="1053"/>
      <c r="AI158" s="1053"/>
      <c r="AJ158" s="1053"/>
      <c r="AK158" s="1053"/>
      <c r="AL158" s="1053"/>
      <c r="AM158" s="1053"/>
      <c r="AN158" s="1053"/>
      <c r="AO158" s="1053"/>
      <c r="AP158" s="1053"/>
      <c r="AQ158" s="1053"/>
      <c r="AR158" s="1053"/>
      <c r="AS158" s="1053"/>
      <c r="AT158" s="1053"/>
      <c r="AU158" s="1053"/>
      <c r="AV158" s="1053"/>
      <c r="AW158" s="1053"/>
      <c r="AX158" s="1053"/>
      <c r="AY158" s="1053"/>
      <c r="AZ158" s="1053"/>
    </row>
    <row r="159" spans="1:52">
      <c r="A159" s="1053"/>
      <c r="B159" s="1053"/>
      <c r="C159" s="1053"/>
      <c r="D159" s="1053"/>
      <c r="E159" s="1053"/>
      <c r="F159" s="1053"/>
      <c r="G159" s="1053"/>
      <c r="H159" s="1053"/>
      <c r="I159" s="1053"/>
      <c r="J159" s="1053"/>
      <c r="K159" s="1053"/>
      <c r="L159" s="1053"/>
      <c r="M159" s="1053"/>
      <c r="N159" s="1053"/>
      <c r="O159" s="1053"/>
      <c r="P159" s="1053"/>
      <c r="Q159" s="1053"/>
      <c r="R159" s="1053"/>
      <c r="S159" s="1053"/>
      <c r="T159" s="1053"/>
      <c r="U159" s="1053"/>
      <c r="V159" s="1053"/>
      <c r="W159" s="1053"/>
      <c r="X159" s="1053"/>
      <c r="Y159" s="1053"/>
      <c r="Z159" s="1053"/>
      <c r="AA159" s="1053"/>
      <c r="AB159" s="1053"/>
      <c r="AC159" s="1053"/>
      <c r="AD159" s="1053"/>
      <c r="AE159" s="1053"/>
      <c r="AF159" s="1053"/>
      <c r="AG159" s="1053"/>
      <c r="AH159" s="1053"/>
      <c r="AI159" s="1053"/>
      <c r="AJ159" s="1053"/>
      <c r="AK159" s="1053"/>
      <c r="AL159" s="1053"/>
      <c r="AM159" s="1053"/>
      <c r="AN159" s="1053"/>
      <c r="AO159" s="1053"/>
      <c r="AP159" s="1053"/>
      <c r="AQ159" s="1053"/>
      <c r="AR159" s="1053"/>
      <c r="AS159" s="1053"/>
      <c r="AT159" s="1053"/>
      <c r="AU159" s="1053"/>
      <c r="AV159" s="1053"/>
      <c r="AW159" s="1053"/>
      <c r="AX159" s="1053"/>
      <c r="AY159" s="1053"/>
      <c r="AZ159" s="1053"/>
    </row>
    <row r="160" spans="1:52">
      <c r="A160" s="1053"/>
      <c r="B160" s="1053"/>
      <c r="C160" s="1053"/>
      <c r="D160" s="1053"/>
      <c r="E160" s="1053"/>
      <c r="F160" s="1053"/>
      <c r="G160" s="1053"/>
      <c r="H160" s="1053"/>
      <c r="I160" s="1053"/>
      <c r="J160" s="1053"/>
      <c r="K160" s="1053"/>
      <c r="L160" s="1053"/>
      <c r="M160" s="1053"/>
      <c r="N160" s="1053"/>
      <c r="O160" s="1053"/>
      <c r="P160" s="1053"/>
      <c r="Q160" s="1053"/>
      <c r="R160" s="1053"/>
      <c r="S160" s="1053"/>
      <c r="T160" s="1053"/>
      <c r="U160" s="1053"/>
      <c r="V160" s="1053"/>
      <c r="W160" s="1053"/>
      <c r="X160" s="1053"/>
      <c r="Y160" s="1053"/>
      <c r="Z160" s="1053"/>
      <c r="AA160" s="1053"/>
      <c r="AB160" s="1053"/>
      <c r="AC160" s="1053"/>
      <c r="AD160" s="1053"/>
      <c r="AE160" s="1053"/>
      <c r="AF160" s="1053"/>
      <c r="AG160" s="1053"/>
      <c r="AH160" s="1053"/>
      <c r="AI160" s="1053"/>
      <c r="AJ160" s="1053"/>
      <c r="AK160" s="1053"/>
      <c r="AL160" s="1053"/>
      <c r="AM160" s="1053"/>
      <c r="AN160" s="1053"/>
      <c r="AO160" s="1053"/>
      <c r="AP160" s="1053"/>
      <c r="AQ160" s="1053"/>
      <c r="AR160" s="1053"/>
      <c r="AS160" s="1053"/>
      <c r="AT160" s="1053"/>
      <c r="AU160" s="1053"/>
      <c r="AV160" s="1053"/>
      <c r="AW160" s="1053"/>
      <c r="AX160" s="1053"/>
      <c r="AY160" s="1053"/>
      <c r="AZ160" s="1053"/>
    </row>
    <row r="161" spans="1:52">
      <c r="A161" s="1053"/>
      <c r="B161" s="1053"/>
      <c r="C161" s="1053"/>
      <c r="D161" s="1053"/>
      <c r="E161" s="1053"/>
      <c r="F161" s="1053"/>
      <c r="G161" s="1053"/>
      <c r="H161" s="1053"/>
      <c r="I161" s="1053"/>
      <c r="J161" s="1053"/>
      <c r="K161" s="1053"/>
      <c r="L161" s="1053"/>
      <c r="M161" s="1053"/>
      <c r="N161" s="1053"/>
      <c r="O161" s="1053"/>
      <c r="P161" s="1053"/>
      <c r="Q161" s="1053"/>
      <c r="R161" s="1053"/>
      <c r="S161" s="1053"/>
      <c r="T161" s="1053"/>
      <c r="U161" s="1053"/>
      <c r="V161" s="1053"/>
      <c r="W161" s="1053"/>
      <c r="X161" s="1053"/>
      <c r="Y161" s="1053"/>
      <c r="Z161" s="1053"/>
      <c r="AA161" s="1053"/>
      <c r="AB161" s="1053"/>
      <c r="AC161" s="1053"/>
      <c r="AD161" s="1053"/>
      <c r="AE161" s="1053"/>
      <c r="AF161" s="1053"/>
      <c r="AG161" s="1053"/>
      <c r="AH161" s="1053"/>
      <c r="AI161" s="1053"/>
      <c r="AJ161" s="1053"/>
      <c r="AK161" s="1053"/>
      <c r="AL161" s="1053"/>
      <c r="AM161" s="1053"/>
      <c r="AN161" s="1053"/>
      <c r="AO161" s="1053"/>
      <c r="AP161" s="1053"/>
      <c r="AQ161" s="1053"/>
      <c r="AR161" s="1053"/>
      <c r="AS161" s="1053"/>
      <c r="AT161" s="1053"/>
      <c r="AU161" s="1053"/>
      <c r="AV161" s="1053"/>
      <c r="AW161" s="1053"/>
      <c r="AX161" s="1053"/>
      <c r="AY161" s="1053"/>
      <c r="AZ161" s="1053"/>
    </row>
    <row r="162" spans="1:52">
      <c r="A162" s="1053"/>
      <c r="B162" s="1053"/>
      <c r="C162" s="1053"/>
      <c r="D162" s="1053"/>
      <c r="E162" s="1053"/>
      <c r="F162" s="1053"/>
      <c r="G162" s="1053"/>
      <c r="H162" s="1053"/>
      <c r="I162" s="1053"/>
      <c r="J162" s="1053"/>
      <c r="K162" s="1053"/>
      <c r="L162" s="1053"/>
      <c r="M162" s="1053"/>
      <c r="N162" s="1053"/>
      <c r="O162" s="1053"/>
      <c r="P162" s="1053"/>
      <c r="Q162" s="1053"/>
      <c r="R162" s="1053"/>
      <c r="S162" s="1053"/>
      <c r="T162" s="1053"/>
      <c r="U162" s="1053"/>
      <c r="V162" s="1053"/>
      <c r="W162" s="1053"/>
      <c r="X162" s="1053"/>
      <c r="Y162" s="1053"/>
      <c r="Z162" s="1053"/>
      <c r="AA162" s="1053"/>
      <c r="AB162" s="1053"/>
      <c r="AC162" s="1053"/>
      <c r="AD162" s="1053"/>
      <c r="AE162" s="1053"/>
      <c r="AF162" s="1053"/>
      <c r="AG162" s="1053"/>
      <c r="AH162" s="1053"/>
      <c r="AI162" s="1053"/>
      <c r="AJ162" s="1053"/>
      <c r="AK162" s="1053"/>
      <c r="AL162" s="1053"/>
      <c r="AM162" s="1053"/>
      <c r="AN162" s="1053"/>
      <c r="AO162" s="1053"/>
      <c r="AP162" s="1053"/>
      <c r="AQ162" s="1053"/>
      <c r="AR162" s="1053"/>
      <c r="AS162" s="1053"/>
      <c r="AT162" s="1053"/>
      <c r="AU162" s="1053"/>
      <c r="AV162" s="1053"/>
      <c r="AW162" s="1053"/>
      <c r="AX162" s="1053"/>
      <c r="AY162" s="1053"/>
      <c r="AZ162" s="1053"/>
    </row>
    <row r="163" spans="1:52">
      <c r="A163" s="1053"/>
      <c r="B163" s="1053"/>
      <c r="C163" s="1053"/>
      <c r="D163" s="1053"/>
      <c r="E163" s="1053"/>
      <c r="F163" s="1053"/>
      <c r="G163" s="1053"/>
      <c r="H163" s="1053"/>
      <c r="I163" s="1053"/>
      <c r="J163" s="1053"/>
      <c r="K163" s="1053"/>
      <c r="L163" s="1053"/>
      <c r="M163" s="1053"/>
      <c r="N163" s="1053"/>
      <c r="O163" s="1053"/>
      <c r="P163" s="1053"/>
      <c r="Q163" s="1053"/>
      <c r="R163" s="1053"/>
      <c r="S163" s="1053"/>
      <c r="T163" s="1053"/>
      <c r="U163" s="1053"/>
      <c r="V163" s="1053"/>
      <c r="W163" s="1053"/>
      <c r="X163" s="1053"/>
      <c r="Y163" s="1053"/>
      <c r="Z163" s="1053"/>
      <c r="AA163" s="1053"/>
      <c r="AB163" s="1053"/>
      <c r="AC163" s="1053"/>
      <c r="AD163" s="1053"/>
      <c r="AE163" s="1053"/>
      <c r="AF163" s="1053"/>
      <c r="AG163" s="1053"/>
      <c r="AH163" s="1053"/>
      <c r="AI163" s="1053"/>
      <c r="AJ163" s="1053"/>
      <c r="AK163" s="1053"/>
      <c r="AL163" s="1053"/>
      <c r="AM163" s="1053"/>
      <c r="AN163" s="1053"/>
      <c r="AO163" s="1053"/>
      <c r="AP163" s="1053"/>
      <c r="AQ163" s="1053"/>
      <c r="AR163" s="1053"/>
      <c r="AS163" s="1053"/>
      <c r="AT163" s="1053"/>
      <c r="AU163" s="1053"/>
      <c r="AV163" s="1053"/>
      <c r="AW163" s="1053"/>
      <c r="AX163" s="1053"/>
      <c r="AY163" s="1053"/>
      <c r="AZ163" s="1053"/>
    </row>
    <row r="164" spans="1:52">
      <c r="A164" s="1053"/>
      <c r="B164" s="1053"/>
      <c r="C164" s="1053"/>
      <c r="D164" s="1053"/>
      <c r="E164" s="1053"/>
      <c r="F164" s="1053"/>
      <c r="G164" s="1053"/>
      <c r="H164" s="1053"/>
      <c r="I164" s="1053"/>
      <c r="J164" s="1053"/>
      <c r="K164" s="1053"/>
      <c r="L164" s="1053"/>
      <c r="M164" s="1053"/>
      <c r="N164" s="1053"/>
      <c r="O164" s="1053"/>
      <c r="P164" s="1053"/>
      <c r="Q164" s="1053"/>
      <c r="R164" s="1053"/>
      <c r="S164" s="1053"/>
      <c r="T164" s="1053"/>
      <c r="U164" s="1053"/>
      <c r="V164" s="1053"/>
      <c r="W164" s="1053"/>
      <c r="X164" s="1053"/>
      <c r="Y164" s="1053"/>
      <c r="Z164" s="1053"/>
      <c r="AA164" s="1053"/>
      <c r="AB164" s="1053"/>
      <c r="AC164" s="1053"/>
      <c r="AD164" s="1053"/>
      <c r="AE164" s="1053"/>
      <c r="AF164" s="1053"/>
      <c r="AG164" s="1053"/>
      <c r="AH164" s="1053"/>
      <c r="AI164" s="1053"/>
      <c r="AJ164" s="1053"/>
      <c r="AK164" s="1053"/>
      <c r="AL164" s="1053"/>
      <c r="AM164" s="1053"/>
      <c r="AN164" s="1053"/>
      <c r="AO164" s="1053"/>
      <c r="AP164" s="1053"/>
      <c r="AQ164" s="1053"/>
      <c r="AR164" s="1053"/>
      <c r="AS164" s="1053"/>
      <c r="AT164" s="1053"/>
      <c r="AU164" s="1053"/>
      <c r="AV164" s="1053"/>
      <c r="AW164" s="1053"/>
      <c r="AX164" s="1053"/>
      <c r="AY164" s="1053"/>
      <c r="AZ164" s="1053"/>
    </row>
    <row r="165" spans="1:52">
      <c r="A165" s="1053"/>
      <c r="B165" s="1053"/>
      <c r="C165" s="1053"/>
      <c r="D165" s="1053"/>
      <c r="E165" s="1053"/>
      <c r="F165" s="1053"/>
      <c r="G165" s="1053"/>
      <c r="H165" s="1053"/>
      <c r="I165" s="1053"/>
      <c r="J165" s="1053"/>
      <c r="K165" s="1053"/>
      <c r="L165" s="1053"/>
      <c r="M165" s="1053"/>
      <c r="N165" s="1053"/>
      <c r="O165" s="1053"/>
      <c r="P165" s="1053"/>
      <c r="Q165" s="1053"/>
      <c r="R165" s="1053"/>
      <c r="S165" s="1053"/>
      <c r="T165" s="1053"/>
      <c r="U165" s="1053"/>
      <c r="V165" s="1053"/>
      <c r="W165" s="1053"/>
      <c r="X165" s="1053"/>
      <c r="Y165" s="1053"/>
      <c r="Z165" s="1053"/>
      <c r="AA165" s="1053"/>
      <c r="AB165" s="1053"/>
      <c r="AC165" s="1053"/>
      <c r="AD165" s="1053"/>
      <c r="AE165" s="1053"/>
      <c r="AF165" s="1053"/>
      <c r="AG165" s="1053"/>
      <c r="AH165" s="1053"/>
      <c r="AI165" s="1053"/>
      <c r="AJ165" s="1053"/>
      <c r="AK165" s="1053"/>
      <c r="AL165" s="1053"/>
      <c r="AM165" s="1053"/>
      <c r="AN165" s="1053"/>
      <c r="AO165" s="1053"/>
      <c r="AP165" s="1053"/>
      <c r="AQ165" s="1053"/>
      <c r="AR165" s="1053"/>
      <c r="AS165" s="1053"/>
      <c r="AT165" s="1053"/>
      <c r="AU165" s="1053"/>
      <c r="AV165" s="1053"/>
      <c r="AW165" s="1053"/>
      <c r="AX165" s="1053"/>
      <c r="AY165" s="1053"/>
      <c r="AZ165" s="1053"/>
    </row>
    <row r="166" spans="1:52">
      <c r="A166" s="1053"/>
      <c r="B166" s="1053"/>
      <c r="C166" s="1053"/>
      <c r="D166" s="1053"/>
      <c r="E166" s="1053"/>
      <c r="F166" s="1053"/>
      <c r="G166" s="1053"/>
      <c r="H166" s="1053"/>
      <c r="I166" s="1053"/>
      <c r="J166" s="1053"/>
      <c r="K166" s="1053"/>
      <c r="L166" s="1053"/>
      <c r="M166" s="1053"/>
      <c r="N166" s="1053"/>
      <c r="O166" s="1053"/>
      <c r="P166" s="1053"/>
      <c r="Q166" s="1053"/>
      <c r="R166" s="1053"/>
      <c r="S166" s="1053"/>
      <c r="T166" s="1053"/>
      <c r="U166" s="1053"/>
      <c r="V166" s="1053"/>
      <c r="W166" s="1053"/>
      <c r="X166" s="1053"/>
      <c r="Y166" s="1053"/>
      <c r="Z166" s="1053"/>
      <c r="AA166" s="1053"/>
      <c r="AB166" s="1053"/>
      <c r="AC166" s="1053"/>
      <c r="AD166" s="1053"/>
      <c r="AE166" s="1053"/>
      <c r="AF166" s="1053"/>
      <c r="AG166" s="1053"/>
      <c r="AH166" s="1053"/>
      <c r="AI166" s="1053"/>
      <c r="AJ166" s="1053"/>
      <c r="AK166" s="1053"/>
      <c r="AL166" s="1053"/>
      <c r="AM166" s="1053"/>
      <c r="AN166" s="1053"/>
      <c r="AO166" s="1053"/>
      <c r="AP166" s="1053"/>
      <c r="AQ166" s="1053"/>
      <c r="AR166" s="1053"/>
      <c r="AS166" s="1053"/>
      <c r="AT166" s="1053"/>
      <c r="AU166" s="1053"/>
      <c r="AV166" s="1053"/>
      <c r="AW166" s="1053"/>
      <c r="AX166" s="1053"/>
      <c r="AY166" s="1053"/>
      <c r="AZ166" s="1053"/>
    </row>
    <row r="167" spans="1:52">
      <c r="A167" s="1053"/>
      <c r="B167" s="1053"/>
      <c r="C167" s="1053"/>
      <c r="D167" s="1053"/>
      <c r="E167" s="1053"/>
      <c r="F167" s="1053"/>
      <c r="G167" s="1053"/>
      <c r="H167" s="1053"/>
      <c r="I167" s="1053"/>
      <c r="J167" s="1053"/>
      <c r="K167" s="1053"/>
      <c r="L167" s="1053"/>
      <c r="M167" s="1053"/>
      <c r="N167" s="1053"/>
      <c r="O167" s="1053"/>
      <c r="P167" s="1053"/>
      <c r="Q167" s="1053"/>
      <c r="R167" s="1053"/>
      <c r="S167" s="1053"/>
      <c r="T167" s="1053"/>
      <c r="U167" s="1053"/>
      <c r="V167" s="1053"/>
      <c r="W167" s="1053"/>
      <c r="X167" s="1053"/>
      <c r="Y167" s="1053"/>
      <c r="Z167" s="1053"/>
      <c r="AA167" s="1053"/>
      <c r="AB167" s="1053"/>
      <c r="AC167" s="1053"/>
      <c r="AD167" s="1053"/>
      <c r="AE167" s="1053"/>
      <c r="AF167" s="1053"/>
      <c r="AG167" s="1053"/>
      <c r="AH167" s="1053"/>
      <c r="AI167" s="1053"/>
      <c r="AJ167" s="1053"/>
      <c r="AK167" s="1053"/>
      <c r="AL167" s="1053"/>
      <c r="AM167" s="1053"/>
      <c r="AN167" s="1053"/>
      <c r="AO167" s="1053"/>
      <c r="AP167" s="1053"/>
      <c r="AQ167" s="1053"/>
      <c r="AR167" s="1053"/>
      <c r="AS167" s="1053"/>
      <c r="AT167" s="1053"/>
      <c r="AU167" s="1053"/>
      <c r="AV167" s="1053"/>
      <c r="AW167" s="1053"/>
      <c r="AX167" s="1053"/>
      <c r="AY167" s="1053"/>
      <c r="AZ167" s="1053"/>
    </row>
    <row r="168" spans="1:52">
      <c r="A168" s="1053"/>
      <c r="B168" s="1053"/>
      <c r="C168" s="1053"/>
      <c r="D168" s="1053"/>
      <c r="E168" s="1053"/>
      <c r="F168" s="1053"/>
      <c r="G168" s="1053"/>
      <c r="H168" s="1053"/>
      <c r="I168" s="1053"/>
      <c r="J168" s="1053"/>
      <c r="K168" s="1053"/>
      <c r="L168" s="1053"/>
      <c r="M168" s="1053"/>
      <c r="N168" s="1053"/>
      <c r="O168" s="1053"/>
      <c r="P168" s="1053"/>
      <c r="Q168" s="1053"/>
      <c r="R168" s="1053"/>
      <c r="S168" s="1053"/>
      <c r="T168" s="1053"/>
      <c r="U168" s="1053"/>
      <c r="V168" s="1053"/>
      <c r="W168" s="1053"/>
      <c r="X168" s="1053"/>
      <c r="Y168" s="1053"/>
      <c r="Z168" s="1053"/>
      <c r="AA168" s="1053"/>
      <c r="AB168" s="1053"/>
      <c r="AC168" s="1053"/>
      <c r="AD168" s="1053"/>
      <c r="AE168" s="1053"/>
      <c r="AF168" s="1053"/>
      <c r="AG168" s="1053"/>
      <c r="AH168" s="1053"/>
      <c r="AI168" s="1053"/>
      <c r="AJ168" s="1053"/>
      <c r="AK168" s="1053"/>
      <c r="AL168" s="1053"/>
      <c r="AM168" s="1053"/>
      <c r="AN168" s="1053"/>
      <c r="AO168" s="1053"/>
      <c r="AP168" s="1053"/>
      <c r="AQ168" s="1053"/>
      <c r="AR168" s="1053"/>
      <c r="AS168" s="1053"/>
      <c r="AT168" s="1053"/>
      <c r="AU168" s="1053"/>
      <c r="AV168" s="1053"/>
      <c r="AW168" s="1053"/>
      <c r="AX168" s="1053"/>
      <c r="AY168" s="1053"/>
      <c r="AZ168" s="1053"/>
    </row>
    <row r="169" spans="1:52">
      <c r="A169" s="1053"/>
      <c r="B169" s="1053"/>
      <c r="C169" s="1053"/>
      <c r="D169" s="1053"/>
      <c r="E169" s="1053"/>
      <c r="F169" s="1053"/>
      <c r="G169" s="1053"/>
      <c r="H169" s="1053"/>
      <c r="I169" s="1053"/>
      <c r="J169" s="1053"/>
      <c r="K169" s="1053"/>
      <c r="L169" s="1053"/>
      <c r="M169" s="1053"/>
      <c r="N169" s="1053"/>
      <c r="O169" s="1053"/>
      <c r="P169" s="1053"/>
      <c r="Q169" s="1053"/>
      <c r="R169" s="1053"/>
      <c r="S169" s="1053"/>
      <c r="T169" s="1053"/>
      <c r="U169" s="1053"/>
      <c r="V169" s="1053"/>
      <c r="W169" s="1053"/>
      <c r="X169" s="1053"/>
      <c r="Y169" s="1053"/>
      <c r="Z169" s="1053"/>
      <c r="AA169" s="1053"/>
      <c r="AB169" s="1053"/>
      <c r="AC169" s="1053"/>
      <c r="AD169" s="1053"/>
      <c r="AE169" s="1053"/>
      <c r="AF169" s="1053"/>
      <c r="AG169" s="1053"/>
      <c r="AH169" s="1053"/>
      <c r="AI169" s="1053"/>
      <c r="AJ169" s="1053"/>
      <c r="AK169" s="1053"/>
      <c r="AL169" s="1053"/>
      <c r="AM169" s="1053"/>
      <c r="AN169" s="1053"/>
      <c r="AO169" s="1053"/>
      <c r="AP169" s="1053"/>
      <c r="AQ169" s="1053"/>
      <c r="AR169" s="1053"/>
      <c r="AS169" s="1053"/>
      <c r="AT169" s="1053"/>
      <c r="AU169" s="1053"/>
      <c r="AV169" s="1053"/>
      <c r="AW169" s="1053"/>
      <c r="AX169" s="1053"/>
      <c r="AY169" s="1053"/>
      <c r="AZ169" s="1053"/>
    </row>
    <row r="170" spans="1:52">
      <c r="A170" s="1053"/>
      <c r="B170" s="1053"/>
      <c r="C170" s="1053"/>
      <c r="D170" s="1053"/>
      <c r="E170" s="1053"/>
      <c r="F170" s="1053"/>
      <c r="G170" s="1053"/>
      <c r="H170" s="1053"/>
      <c r="I170" s="1053"/>
      <c r="J170" s="1053"/>
      <c r="K170" s="1053"/>
      <c r="L170" s="1053"/>
      <c r="M170" s="1053"/>
      <c r="N170" s="1053"/>
      <c r="O170" s="1053"/>
      <c r="P170" s="1053"/>
      <c r="Q170" s="1053"/>
      <c r="R170" s="1053"/>
      <c r="S170" s="1053"/>
      <c r="T170" s="1053"/>
      <c r="U170" s="1053"/>
      <c r="V170" s="1053"/>
      <c r="W170" s="1053"/>
      <c r="X170" s="1053"/>
      <c r="Y170" s="1053"/>
      <c r="Z170" s="1053"/>
      <c r="AA170" s="1053"/>
      <c r="AB170" s="1053"/>
      <c r="AC170" s="1053"/>
      <c r="AD170" s="1053"/>
      <c r="AE170" s="1053"/>
      <c r="AF170" s="1053"/>
      <c r="AG170" s="1053"/>
      <c r="AH170" s="1053"/>
      <c r="AI170" s="1053"/>
      <c r="AJ170" s="1053"/>
      <c r="AK170" s="1053"/>
      <c r="AL170" s="1053"/>
      <c r="AM170" s="1053"/>
      <c r="AN170" s="1053"/>
      <c r="AO170" s="1053"/>
      <c r="AP170" s="1053"/>
      <c r="AQ170" s="1053"/>
      <c r="AR170" s="1053"/>
      <c r="AS170" s="1053"/>
      <c r="AT170" s="1053"/>
      <c r="AU170" s="1053"/>
      <c r="AV170" s="1053"/>
      <c r="AW170" s="1053"/>
      <c r="AX170" s="1053"/>
      <c r="AY170" s="1053"/>
      <c r="AZ170" s="1053"/>
    </row>
    <row r="171" spans="1:52">
      <c r="A171" s="1053"/>
      <c r="B171" s="1053"/>
      <c r="C171" s="1053"/>
      <c r="D171" s="1053"/>
      <c r="E171" s="1053"/>
      <c r="F171" s="1053"/>
      <c r="G171" s="1053"/>
      <c r="H171" s="1053"/>
      <c r="I171" s="1053"/>
      <c r="J171" s="1053"/>
      <c r="K171" s="1053"/>
      <c r="L171" s="1053"/>
      <c r="M171" s="1053"/>
      <c r="N171" s="1053"/>
      <c r="O171" s="1053"/>
      <c r="P171" s="1053"/>
      <c r="Q171" s="1053"/>
      <c r="R171" s="1053"/>
      <c r="S171" s="1053"/>
      <c r="T171" s="1053"/>
      <c r="U171" s="1053"/>
      <c r="V171" s="1053"/>
      <c r="W171" s="1053"/>
      <c r="X171" s="1053"/>
      <c r="Y171" s="1053"/>
      <c r="Z171" s="1053"/>
      <c r="AA171" s="1053"/>
      <c r="AB171" s="1053"/>
      <c r="AC171" s="1053"/>
      <c r="AD171" s="1053"/>
      <c r="AE171" s="1053"/>
      <c r="AF171" s="1053"/>
      <c r="AG171" s="1053"/>
      <c r="AH171" s="1053"/>
      <c r="AI171" s="1053"/>
      <c r="AJ171" s="1053"/>
      <c r="AK171" s="1053"/>
      <c r="AL171" s="1053"/>
      <c r="AM171" s="1053"/>
      <c r="AN171" s="1053"/>
      <c r="AO171" s="1053"/>
      <c r="AP171" s="1053"/>
      <c r="AQ171" s="1053"/>
      <c r="AR171" s="1053"/>
      <c r="AS171" s="1053"/>
      <c r="AT171" s="1053"/>
      <c r="AU171" s="1053"/>
      <c r="AV171" s="1053"/>
      <c r="AW171" s="1053"/>
      <c r="AX171" s="1053"/>
      <c r="AY171" s="1053"/>
      <c r="AZ171" s="1053"/>
    </row>
    <row r="172" spans="1:52">
      <c r="A172" s="1053"/>
      <c r="B172" s="1053"/>
      <c r="C172" s="1053"/>
      <c r="D172" s="1053"/>
      <c r="E172" s="1053"/>
      <c r="F172" s="1053"/>
      <c r="G172" s="1053"/>
      <c r="H172" s="1053"/>
      <c r="I172" s="1053"/>
      <c r="J172" s="1053"/>
      <c r="K172" s="1053"/>
      <c r="L172" s="1053"/>
      <c r="M172" s="1053"/>
      <c r="N172" s="1053"/>
      <c r="O172" s="1053"/>
      <c r="P172" s="1053"/>
      <c r="Q172" s="1053"/>
      <c r="R172" s="1053"/>
      <c r="S172" s="1053"/>
      <c r="T172" s="1053"/>
      <c r="U172" s="1053"/>
      <c r="V172" s="1053"/>
      <c r="W172" s="1053"/>
      <c r="X172" s="1053"/>
      <c r="Y172" s="1053"/>
      <c r="Z172" s="1053"/>
      <c r="AA172" s="1053"/>
      <c r="AB172" s="1053"/>
      <c r="AC172" s="1053"/>
      <c r="AD172" s="1053"/>
      <c r="AE172" s="1053"/>
      <c r="AF172" s="1053"/>
      <c r="AG172" s="1053"/>
      <c r="AH172" s="1053"/>
      <c r="AI172" s="1053"/>
      <c r="AJ172" s="1053"/>
      <c r="AK172" s="1053"/>
      <c r="AL172" s="1053"/>
      <c r="AM172" s="1053"/>
      <c r="AN172" s="1053"/>
      <c r="AO172" s="1053"/>
      <c r="AP172" s="1053"/>
      <c r="AQ172" s="1053"/>
      <c r="AR172" s="1053"/>
      <c r="AS172" s="1053"/>
      <c r="AT172" s="1053"/>
      <c r="AU172" s="1053"/>
      <c r="AV172" s="1053"/>
      <c r="AW172" s="1053"/>
      <c r="AX172" s="1053"/>
      <c r="AY172" s="1053"/>
      <c r="AZ172" s="1053"/>
    </row>
    <row r="173" spans="1:52">
      <c r="A173" s="1053"/>
      <c r="B173" s="1053"/>
      <c r="C173" s="1053"/>
      <c r="D173" s="1053"/>
      <c r="E173" s="1053"/>
      <c r="F173" s="1053"/>
      <c r="G173" s="1053"/>
      <c r="H173" s="1053"/>
      <c r="I173" s="1053"/>
      <c r="J173" s="1053"/>
      <c r="K173" s="1053"/>
      <c r="L173" s="1053"/>
      <c r="M173" s="1053"/>
      <c r="N173" s="1053"/>
      <c r="O173" s="1053"/>
      <c r="P173" s="1053"/>
      <c r="Q173" s="1053"/>
      <c r="R173" s="1053"/>
      <c r="S173" s="1053"/>
      <c r="T173" s="1053"/>
      <c r="U173" s="1053"/>
      <c r="V173" s="1053"/>
      <c r="W173" s="1053"/>
      <c r="X173" s="1053"/>
      <c r="Y173" s="1053"/>
      <c r="Z173" s="1053"/>
      <c r="AA173" s="1053"/>
      <c r="AB173" s="1053"/>
      <c r="AC173" s="1053"/>
      <c r="AD173" s="1053"/>
      <c r="AE173" s="1053"/>
      <c r="AF173" s="1053"/>
      <c r="AG173" s="1053"/>
      <c r="AH173" s="1053"/>
      <c r="AI173" s="1053"/>
      <c r="AJ173" s="1053"/>
      <c r="AK173" s="1053"/>
      <c r="AL173" s="1053"/>
      <c r="AM173" s="1053"/>
      <c r="AN173" s="1053"/>
      <c r="AO173" s="1053"/>
      <c r="AP173" s="1053"/>
      <c r="AQ173" s="1053"/>
      <c r="AR173" s="1053"/>
      <c r="AS173" s="1053"/>
      <c r="AT173" s="1053"/>
      <c r="AU173" s="1053"/>
      <c r="AV173" s="1053"/>
      <c r="AW173" s="1053"/>
      <c r="AX173" s="1053"/>
      <c r="AY173" s="1053"/>
      <c r="AZ173" s="1053"/>
    </row>
    <row r="174" spans="1:52">
      <c r="A174" s="1053"/>
      <c r="B174" s="1053"/>
      <c r="C174" s="1053"/>
      <c r="D174" s="1053"/>
      <c r="E174" s="1053"/>
      <c r="F174" s="1053"/>
      <c r="G174" s="1053"/>
      <c r="H174" s="1053"/>
      <c r="I174" s="1053"/>
      <c r="J174" s="1053"/>
      <c r="K174" s="1053"/>
      <c r="L174" s="1053"/>
      <c r="M174" s="1053"/>
      <c r="N174" s="1053"/>
      <c r="O174" s="1053"/>
      <c r="P174" s="1053"/>
      <c r="Q174" s="1053"/>
      <c r="R174" s="1053"/>
      <c r="S174" s="1053"/>
      <c r="T174" s="1053"/>
      <c r="U174" s="1053"/>
      <c r="V174" s="1053"/>
      <c r="W174" s="1053"/>
      <c r="X174" s="1053"/>
      <c r="Y174" s="1053"/>
      <c r="Z174" s="1053"/>
      <c r="AA174" s="1053"/>
      <c r="AB174" s="1053"/>
      <c r="AC174" s="1053"/>
      <c r="AD174" s="1053"/>
      <c r="AE174" s="1053"/>
      <c r="AF174" s="1053"/>
      <c r="AG174" s="1053"/>
      <c r="AH174" s="1053"/>
      <c r="AI174" s="1053"/>
      <c r="AJ174" s="1053"/>
      <c r="AK174" s="1053"/>
      <c r="AL174" s="1053"/>
      <c r="AM174" s="1053"/>
      <c r="AN174" s="1053"/>
      <c r="AO174" s="1053"/>
      <c r="AP174" s="1053"/>
      <c r="AQ174" s="1053"/>
      <c r="AR174" s="1053"/>
      <c r="AS174" s="1053"/>
      <c r="AT174" s="1053"/>
      <c r="AU174" s="1053"/>
      <c r="AV174" s="1053"/>
      <c r="AW174" s="1053"/>
      <c r="AX174" s="1053"/>
      <c r="AY174" s="1053"/>
      <c r="AZ174" s="1053"/>
    </row>
    <row r="175" spans="1:52">
      <c r="A175" s="1053"/>
      <c r="B175" s="1053"/>
      <c r="C175" s="1053"/>
      <c r="D175" s="1053"/>
      <c r="E175" s="1053"/>
      <c r="F175" s="1053"/>
      <c r="G175" s="1053"/>
      <c r="H175" s="1053"/>
      <c r="I175" s="1053"/>
      <c r="J175" s="1053"/>
      <c r="K175" s="1053"/>
      <c r="L175" s="1053"/>
      <c r="M175" s="1053"/>
      <c r="N175" s="1053"/>
      <c r="O175" s="1053"/>
      <c r="P175" s="1053"/>
      <c r="Q175" s="1053"/>
      <c r="R175" s="1053"/>
      <c r="S175" s="1053"/>
      <c r="T175" s="1053"/>
      <c r="U175" s="1053"/>
      <c r="V175" s="1053"/>
      <c r="W175" s="1053"/>
      <c r="X175" s="1053"/>
      <c r="Y175" s="1053"/>
      <c r="Z175" s="1053"/>
      <c r="AA175" s="1053"/>
      <c r="AB175" s="1053"/>
      <c r="AC175" s="1053"/>
      <c r="AD175" s="1053"/>
      <c r="AE175" s="1053"/>
      <c r="AF175" s="1053"/>
      <c r="AG175" s="1053"/>
      <c r="AH175" s="1053"/>
      <c r="AI175" s="1053"/>
      <c r="AJ175" s="1053"/>
      <c r="AK175" s="1053"/>
      <c r="AL175" s="1053"/>
      <c r="AM175" s="1053"/>
      <c r="AN175" s="1053"/>
      <c r="AO175" s="1053"/>
      <c r="AP175" s="1053"/>
      <c r="AQ175" s="1053"/>
      <c r="AR175" s="1053"/>
      <c r="AS175" s="1053"/>
      <c r="AT175" s="1053"/>
      <c r="AU175" s="1053"/>
      <c r="AV175" s="1053"/>
      <c r="AW175" s="1053"/>
      <c r="AX175" s="1053"/>
      <c r="AY175" s="1053"/>
      <c r="AZ175" s="1053"/>
    </row>
    <row r="176" spans="1:52">
      <c r="A176" s="1053"/>
      <c r="B176" s="1053"/>
      <c r="C176" s="1053"/>
      <c r="D176" s="1053"/>
      <c r="E176" s="1053"/>
      <c r="F176" s="1053"/>
      <c r="G176" s="1053"/>
      <c r="H176" s="1053"/>
      <c r="I176" s="1053"/>
      <c r="J176" s="1053"/>
      <c r="K176" s="1053"/>
      <c r="L176" s="1053"/>
      <c r="M176" s="1053"/>
      <c r="N176" s="1053"/>
      <c r="O176" s="1053"/>
      <c r="P176" s="1053"/>
      <c r="Q176" s="1053"/>
      <c r="R176" s="1053"/>
      <c r="S176" s="1053"/>
      <c r="T176" s="1053"/>
      <c r="U176" s="1053"/>
      <c r="V176" s="1053"/>
      <c r="W176" s="1053"/>
      <c r="X176" s="1053"/>
      <c r="Y176" s="1053"/>
      <c r="Z176" s="1053"/>
      <c r="AA176" s="1053"/>
      <c r="AB176" s="1053"/>
      <c r="AC176" s="1053"/>
      <c r="AD176" s="1053"/>
      <c r="AE176" s="1053"/>
      <c r="AF176" s="1053"/>
      <c r="AG176" s="1053"/>
      <c r="AH176" s="1053"/>
      <c r="AI176" s="1053"/>
      <c r="AJ176" s="1053"/>
      <c r="AK176" s="1053"/>
      <c r="AL176" s="1053"/>
      <c r="AM176" s="1053"/>
      <c r="AN176" s="1053"/>
      <c r="AO176" s="1053"/>
      <c r="AP176" s="1053"/>
      <c r="AQ176" s="1053"/>
      <c r="AR176" s="1053"/>
      <c r="AS176" s="1053"/>
      <c r="AT176" s="1053"/>
      <c r="AU176" s="1053"/>
      <c r="AV176" s="1053"/>
      <c r="AW176" s="1053"/>
      <c r="AX176" s="1053"/>
      <c r="AY176" s="1053"/>
      <c r="AZ176" s="1053"/>
    </row>
    <row r="177" spans="1:52">
      <c r="A177" s="1053"/>
      <c r="B177" s="1053"/>
      <c r="C177" s="1053"/>
      <c r="D177" s="1053"/>
      <c r="E177" s="1053"/>
      <c r="F177" s="1053"/>
      <c r="G177" s="1053"/>
      <c r="H177" s="1053"/>
      <c r="I177" s="1053"/>
      <c r="J177" s="1053"/>
      <c r="K177" s="1053"/>
      <c r="L177" s="1053"/>
      <c r="M177" s="1053"/>
      <c r="N177" s="1053"/>
      <c r="O177" s="1053"/>
      <c r="P177" s="1053"/>
      <c r="Q177" s="1053"/>
      <c r="R177" s="1053"/>
      <c r="S177" s="1053"/>
      <c r="T177" s="1053"/>
      <c r="U177" s="1053"/>
      <c r="V177" s="1053"/>
      <c r="W177" s="1053"/>
      <c r="X177" s="1053"/>
      <c r="Y177" s="1053"/>
      <c r="Z177" s="1053"/>
      <c r="AA177" s="1053"/>
      <c r="AB177" s="1053"/>
      <c r="AC177" s="1053"/>
      <c r="AD177" s="1053"/>
      <c r="AE177" s="1053"/>
      <c r="AF177" s="1053"/>
      <c r="AG177" s="1053"/>
      <c r="AH177" s="1053"/>
      <c r="AI177" s="1053"/>
      <c r="AJ177" s="1053"/>
      <c r="AK177" s="1053"/>
      <c r="AL177" s="1053"/>
      <c r="AM177" s="1053"/>
      <c r="AN177" s="1053"/>
      <c r="AO177" s="1053"/>
      <c r="AP177" s="1053"/>
      <c r="AQ177" s="1053"/>
      <c r="AR177" s="1053"/>
      <c r="AS177" s="1053"/>
      <c r="AT177" s="1053"/>
      <c r="AU177" s="1053"/>
      <c r="AV177" s="1053"/>
      <c r="AW177" s="1053"/>
      <c r="AX177" s="1053"/>
      <c r="AY177" s="1053"/>
      <c r="AZ177" s="1053"/>
    </row>
    <row r="178" spans="1:52">
      <c r="A178" s="1053"/>
      <c r="B178" s="1053"/>
      <c r="C178" s="1053"/>
      <c r="D178" s="1053"/>
      <c r="E178" s="1053"/>
      <c r="F178" s="1053"/>
      <c r="G178" s="1053"/>
      <c r="H178" s="1053"/>
      <c r="I178" s="1053"/>
      <c r="J178" s="1053"/>
      <c r="K178" s="1053"/>
      <c r="L178" s="1053"/>
      <c r="M178" s="1053"/>
      <c r="N178" s="1053"/>
      <c r="O178" s="1053"/>
      <c r="P178" s="1053"/>
      <c r="Q178" s="1053"/>
      <c r="R178" s="1053"/>
      <c r="S178" s="1053"/>
      <c r="T178" s="1053"/>
      <c r="U178" s="1053"/>
      <c r="V178" s="1053"/>
      <c r="W178" s="1053"/>
      <c r="X178" s="1053"/>
      <c r="Y178" s="1053"/>
      <c r="Z178" s="1053"/>
      <c r="AA178" s="1053"/>
      <c r="AB178" s="1053"/>
      <c r="AC178" s="1053"/>
      <c r="AD178" s="1053"/>
      <c r="AE178" s="1053"/>
      <c r="AF178" s="1053"/>
      <c r="AG178" s="1053"/>
      <c r="AH178" s="1053"/>
      <c r="AI178" s="1053"/>
      <c r="AJ178" s="1053"/>
      <c r="AK178" s="1053"/>
      <c r="AL178" s="1053"/>
      <c r="AM178" s="1053"/>
      <c r="AN178" s="1053"/>
      <c r="AO178" s="1053"/>
      <c r="AP178" s="1053"/>
      <c r="AQ178" s="1053"/>
      <c r="AR178" s="1053"/>
      <c r="AS178" s="1053"/>
      <c r="AT178" s="1053"/>
      <c r="AU178" s="1053"/>
      <c r="AV178" s="1053"/>
      <c r="AW178" s="1053"/>
      <c r="AX178" s="1053"/>
      <c r="AY178" s="1053"/>
      <c r="AZ178" s="1053"/>
    </row>
    <row r="179" spans="1:52">
      <c r="A179" s="1053"/>
      <c r="B179" s="1053"/>
      <c r="C179" s="1053"/>
      <c r="D179" s="1053"/>
      <c r="E179" s="1053"/>
      <c r="F179" s="1053"/>
      <c r="G179" s="1053"/>
      <c r="H179" s="1053"/>
      <c r="I179" s="1053"/>
      <c r="J179" s="1053"/>
      <c r="K179" s="1053"/>
      <c r="L179" s="1053"/>
      <c r="M179" s="1053"/>
      <c r="N179" s="1053"/>
      <c r="O179" s="1053"/>
      <c r="P179" s="1053"/>
      <c r="Q179" s="1053"/>
      <c r="R179" s="1053"/>
      <c r="S179" s="1053"/>
      <c r="T179" s="1053"/>
      <c r="U179" s="1053"/>
      <c r="V179" s="1053"/>
      <c r="W179" s="1053"/>
      <c r="X179" s="1053"/>
      <c r="Y179" s="1053"/>
      <c r="Z179" s="1053"/>
      <c r="AA179" s="1053"/>
      <c r="AB179" s="1053"/>
      <c r="AC179" s="1053"/>
      <c r="AD179" s="1053"/>
      <c r="AE179" s="1053"/>
      <c r="AF179" s="1053"/>
      <c r="AG179" s="1053"/>
      <c r="AH179" s="1053"/>
      <c r="AI179" s="1053"/>
      <c r="AJ179" s="1053"/>
      <c r="AK179" s="1053"/>
      <c r="AL179" s="1053"/>
      <c r="AM179" s="1053"/>
      <c r="AN179" s="1053"/>
      <c r="AO179" s="1053"/>
      <c r="AP179" s="1053"/>
      <c r="AQ179" s="1053"/>
      <c r="AR179" s="1053"/>
      <c r="AS179" s="1053"/>
      <c r="AT179" s="1053"/>
      <c r="AU179" s="1053"/>
      <c r="AV179" s="1053"/>
      <c r="AW179" s="1053"/>
      <c r="AX179" s="1053"/>
      <c r="AY179" s="1053"/>
      <c r="AZ179" s="1053"/>
    </row>
    <row r="180" spans="1:52">
      <c r="A180" s="1053"/>
      <c r="B180" s="1053"/>
      <c r="C180" s="1053"/>
      <c r="D180" s="1053"/>
      <c r="E180" s="1053"/>
      <c r="F180" s="1053"/>
      <c r="G180" s="1053"/>
      <c r="H180" s="1053"/>
      <c r="I180" s="1053"/>
      <c r="J180" s="1053"/>
      <c r="K180" s="1053"/>
      <c r="L180" s="1053"/>
      <c r="M180" s="1053"/>
      <c r="N180" s="1053"/>
      <c r="O180" s="1053"/>
      <c r="P180" s="1053"/>
      <c r="Q180" s="1053"/>
      <c r="R180" s="1053"/>
      <c r="S180" s="1053"/>
      <c r="T180" s="1053"/>
      <c r="U180" s="1053"/>
      <c r="V180" s="1053"/>
      <c r="W180" s="1053"/>
      <c r="X180" s="1053"/>
      <c r="Y180" s="1053"/>
      <c r="Z180" s="1053"/>
      <c r="AA180" s="1053"/>
      <c r="AB180" s="1053"/>
      <c r="AC180" s="1053"/>
      <c r="AD180" s="1053"/>
      <c r="AE180" s="1053"/>
      <c r="AF180" s="1053"/>
      <c r="AG180" s="1053"/>
      <c r="AH180" s="1053"/>
      <c r="AI180" s="1053"/>
      <c r="AJ180" s="1053"/>
      <c r="AK180" s="1053"/>
      <c r="AL180" s="1053"/>
      <c r="AM180" s="1053"/>
      <c r="AN180" s="1053"/>
      <c r="AO180" s="1053"/>
      <c r="AP180" s="1053"/>
      <c r="AQ180" s="1053"/>
      <c r="AR180" s="1053"/>
      <c r="AS180" s="1053"/>
      <c r="AT180" s="1053"/>
      <c r="AU180" s="1053"/>
      <c r="AV180" s="1053"/>
      <c r="AW180" s="1053"/>
      <c r="AX180" s="1053"/>
      <c r="AY180" s="1053"/>
      <c r="AZ180" s="1053"/>
    </row>
    <row r="181" spans="1:52">
      <c r="A181" s="1053"/>
      <c r="B181" s="1053"/>
      <c r="C181" s="1053"/>
      <c r="D181" s="1053"/>
      <c r="E181" s="1053"/>
      <c r="F181" s="1053"/>
      <c r="G181" s="1053"/>
      <c r="H181" s="1053"/>
      <c r="I181" s="1053"/>
      <c r="J181" s="1053"/>
      <c r="K181" s="1053"/>
      <c r="L181" s="1053"/>
      <c r="M181" s="1053"/>
      <c r="N181" s="1053"/>
      <c r="O181" s="1053"/>
      <c r="P181" s="1053"/>
      <c r="Q181" s="1053"/>
      <c r="R181" s="1053"/>
      <c r="S181" s="1053"/>
      <c r="T181" s="1053"/>
      <c r="U181" s="1053"/>
      <c r="V181" s="1053"/>
      <c r="W181" s="1053"/>
      <c r="X181" s="1053"/>
      <c r="Y181" s="1053"/>
      <c r="Z181" s="1053"/>
      <c r="AA181" s="1053"/>
      <c r="AB181" s="1053"/>
      <c r="AC181" s="1053"/>
      <c r="AD181" s="1053"/>
      <c r="AE181" s="1053"/>
      <c r="AF181" s="1053"/>
      <c r="AG181" s="1053"/>
      <c r="AH181" s="1053"/>
      <c r="AI181" s="1053"/>
      <c r="AJ181" s="1053"/>
      <c r="AK181" s="1053"/>
      <c r="AL181" s="1053"/>
      <c r="AM181" s="1053"/>
      <c r="AN181" s="1053"/>
      <c r="AO181" s="1053"/>
      <c r="AP181" s="1053"/>
      <c r="AQ181" s="1053"/>
      <c r="AR181" s="1053"/>
      <c r="AS181" s="1053"/>
      <c r="AT181" s="1053"/>
      <c r="AU181" s="1053"/>
      <c r="AV181" s="1053"/>
      <c r="AW181" s="1053"/>
      <c r="AX181" s="1053"/>
      <c r="AY181" s="1053"/>
      <c r="AZ181" s="1053"/>
    </row>
    <row r="182" spans="1:52">
      <c r="A182" s="1053"/>
      <c r="B182" s="1053"/>
      <c r="C182" s="1053"/>
      <c r="D182" s="1053"/>
      <c r="E182" s="1053"/>
      <c r="F182" s="1053"/>
      <c r="G182" s="1053"/>
      <c r="H182" s="1053"/>
      <c r="I182" s="1053"/>
      <c r="J182" s="1053"/>
      <c r="K182" s="1053"/>
      <c r="L182" s="1053"/>
      <c r="M182" s="1053"/>
      <c r="N182" s="1053"/>
      <c r="O182" s="1053"/>
      <c r="P182" s="1053"/>
      <c r="Q182" s="1053"/>
      <c r="R182" s="1053"/>
      <c r="S182" s="1053"/>
      <c r="T182" s="1053"/>
      <c r="U182" s="1053"/>
      <c r="V182" s="1053"/>
      <c r="W182" s="1053"/>
      <c r="X182" s="1053"/>
      <c r="Y182" s="1053"/>
      <c r="Z182" s="1053"/>
      <c r="AA182" s="1053"/>
      <c r="AB182" s="1053"/>
      <c r="AC182" s="1053"/>
      <c r="AD182" s="1053"/>
      <c r="AE182" s="1053"/>
      <c r="AF182" s="1053"/>
      <c r="AG182" s="1053"/>
      <c r="AH182" s="1053"/>
      <c r="AI182" s="1053"/>
      <c r="AJ182" s="1053"/>
      <c r="AK182" s="1053"/>
      <c r="AL182" s="1053"/>
      <c r="AM182" s="1053"/>
      <c r="AN182" s="1053"/>
      <c r="AO182" s="1053"/>
      <c r="AP182" s="1053"/>
      <c r="AQ182" s="1053"/>
      <c r="AR182" s="1053"/>
      <c r="AS182" s="1053"/>
      <c r="AT182" s="1053"/>
      <c r="AU182" s="1053"/>
      <c r="AV182" s="1053"/>
      <c r="AW182" s="1053"/>
      <c r="AX182" s="1053"/>
      <c r="AY182" s="1053"/>
      <c r="AZ182" s="1053"/>
    </row>
    <row r="183" spans="1:52">
      <c r="A183" s="1053"/>
      <c r="B183" s="1053"/>
      <c r="C183" s="1053"/>
      <c r="D183" s="1053"/>
      <c r="E183" s="1053"/>
      <c r="F183" s="1053"/>
      <c r="G183" s="1053"/>
      <c r="H183" s="1053"/>
      <c r="I183" s="1053"/>
      <c r="J183" s="1053"/>
      <c r="K183" s="1053"/>
      <c r="L183" s="1053"/>
      <c r="M183" s="1053"/>
      <c r="N183" s="1053"/>
      <c r="O183" s="1053"/>
      <c r="P183" s="1053"/>
      <c r="Q183" s="1053"/>
      <c r="R183" s="1053"/>
      <c r="S183" s="1053"/>
      <c r="T183" s="1053"/>
      <c r="U183" s="1053"/>
      <c r="V183" s="1053"/>
      <c r="W183" s="1053"/>
      <c r="X183" s="1053"/>
      <c r="Y183" s="1053"/>
      <c r="Z183" s="1053"/>
      <c r="AA183" s="1053"/>
      <c r="AB183" s="1053"/>
      <c r="AC183" s="1053"/>
      <c r="AD183" s="1053"/>
      <c r="AE183" s="1053"/>
      <c r="AF183" s="1053"/>
      <c r="AG183" s="1053"/>
      <c r="AH183" s="1053"/>
      <c r="AI183" s="1053"/>
      <c r="AJ183" s="1053"/>
      <c r="AK183" s="1053"/>
      <c r="AL183" s="1053"/>
      <c r="AM183" s="1053"/>
      <c r="AN183" s="1053"/>
      <c r="AO183" s="1053"/>
      <c r="AP183" s="1053"/>
      <c r="AQ183" s="1053"/>
      <c r="AR183" s="1053"/>
      <c r="AS183" s="1053"/>
      <c r="AT183" s="1053"/>
      <c r="AU183" s="1053"/>
      <c r="AV183" s="1053"/>
      <c r="AW183" s="1053"/>
      <c r="AX183" s="1053"/>
      <c r="AY183" s="1053"/>
      <c r="AZ183" s="1053"/>
    </row>
    <row r="184" spans="1:52">
      <c r="A184" s="1053"/>
      <c r="B184" s="1053"/>
      <c r="C184" s="1053"/>
      <c r="D184" s="1053"/>
      <c r="E184" s="1053"/>
      <c r="F184" s="1053"/>
      <c r="G184" s="1053"/>
      <c r="H184" s="1053"/>
      <c r="I184" s="1053"/>
      <c r="J184" s="1053"/>
      <c r="K184" s="1053"/>
      <c r="L184" s="1053"/>
      <c r="M184" s="1053"/>
      <c r="N184" s="1053"/>
      <c r="O184" s="1053"/>
      <c r="P184" s="1053"/>
      <c r="Q184" s="1053"/>
      <c r="R184" s="1053"/>
      <c r="S184" s="1053"/>
      <c r="T184" s="1053"/>
      <c r="U184" s="1053"/>
      <c r="V184" s="1053"/>
      <c r="W184" s="1053"/>
      <c r="X184" s="1053"/>
      <c r="Y184" s="1053"/>
      <c r="Z184" s="1053"/>
      <c r="AA184" s="1053"/>
      <c r="AB184" s="1053"/>
      <c r="AC184" s="1053"/>
      <c r="AD184" s="1053"/>
      <c r="AE184" s="1053"/>
      <c r="AF184" s="1053"/>
      <c r="AG184" s="1053"/>
      <c r="AH184" s="1053"/>
      <c r="AI184" s="1053"/>
      <c r="AJ184" s="1053"/>
      <c r="AK184" s="1053"/>
      <c r="AL184" s="1053"/>
      <c r="AM184" s="1053"/>
      <c r="AN184" s="1053"/>
      <c r="AO184" s="1053"/>
      <c r="AP184" s="1053"/>
      <c r="AQ184" s="1053"/>
      <c r="AR184" s="1053"/>
      <c r="AS184" s="1053"/>
      <c r="AT184" s="1053"/>
      <c r="AU184" s="1053"/>
      <c r="AV184" s="1053"/>
      <c r="AW184" s="1053"/>
      <c r="AX184" s="1053"/>
      <c r="AY184" s="1053"/>
      <c r="AZ184" s="1053"/>
    </row>
    <row r="185" spans="1:52">
      <c r="A185" s="1053"/>
      <c r="B185" s="1053"/>
      <c r="C185" s="1053"/>
      <c r="D185" s="1053"/>
      <c r="E185" s="1053"/>
      <c r="F185" s="1053"/>
      <c r="G185" s="1053"/>
      <c r="H185" s="1053"/>
      <c r="I185" s="1053"/>
      <c r="J185" s="1053"/>
      <c r="K185" s="1053"/>
      <c r="L185" s="1053"/>
      <c r="M185" s="1053"/>
      <c r="N185" s="1053"/>
      <c r="O185" s="1053"/>
      <c r="P185" s="1053"/>
      <c r="Q185" s="1053"/>
      <c r="R185" s="1053"/>
      <c r="S185" s="1053"/>
      <c r="T185" s="1053"/>
      <c r="U185" s="1053"/>
      <c r="V185" s="1053"/>
      <c r="W185" s="1053"/>
      <c r="X185" s="1053"/>
      <c r="Y185" s="1053"/>
      <c r="Z185" s="1053"/>
      <c r="AA185" s="1053"/>
      <c r="AB185" s="1053"/>
      <c r="AC185" s="1053"/>
      <c r="AD185" s="1053"/>
      <c r="AE185" s="1053"/>
      <c r="AF185" s="1053"/>
      <c r="AG185" s="1053"/>
      <c r="AH185" s="1053"/>
      <c r="AI185" s="1053"/>
      <c r="AJ185" s="1053"/>
      <c r="AK185" s="1053"/>
      <c r="AL185" s="1053"/>
      <c r="AM185" s="1053"/>
      <c r="AN185" s="1053"/>
      <c r="AO185" s="1053"/>
      <c r="AP185" s="1053"/>
      <c r="AQ185" s="1053"/>
      <c r="AR185" s="1053"/>
      <c r="AS185" s="1053"/>
      <c r="AT185" s="1053"/>
      <c r="AU185" s="1053"/>
      <c r="AV185" s="1053"/>
      <c r="AW185" s="1053"/>
      <c r="AX185" s="1053"/>
      <c r="AY185" s="1053"/>
      <c r="AZ185" s="1053"/>
    </row>
    <row r="186" spans="1:52">
      <c r="A186" s="1053"/>
      <c r="B186" s="1053"/>
      <c r="C186" s="1053"/>
      <c r="D186" s="1053"/>
      <c r="E186" s="1053"/>
      <c r="F186" s="1053"/>
      <c r="G186" s="1053"/>
      <c r="H186" s="1053"/>
      <c r="I186" s="1053"/>
      <c r="J186" s="1053"/>
      <c r="K186" s="1053"/>
      <c r="L186" s="1053"/>
      <c r="M186" s="1053"/>
      <c r="N186" s="1053"/>
      <c r="O186" s="1053"/>
      <c r="P186" s="1053"/>
      <c r="Q186" s="1053"/>
      <c r="R186" s="1053"/>
      <c r="S186" s="1053"/>
      <c r="T186" s="1053"/>
      <c r="U186" s="1053"/>
      <c r="V186" s="1053"/>
      <c r="W186" s="1053"/>
      <c r="X186" s="1053"/>
      <c r="Y186" s="1053"/>
      <c r="Z186" s="1053"/>
      <c r="AA186" s="1053"/>
      <c r="AB186" s="1053"/>
      <c r="AC186" s="1053"/>
      <c r="AD186" s="1053"/>
      <c r="AE186" s="1053"/>
      <c r="AF186" s="1053"/>
      <c r="AG186" s="1053"/>
      <c r="AH186" s="1053"/>
      <c r="AI186" s="1053"/>
      <c r="AJ186" s="1053"/>
      <c r="AK186" s="1053"/>
      <c r="AL186" s="1053"/>
      <c r="AM186" s="1053"/>
      <c r="AN186" s="1053"/>
      <c r="AO186" s="1053"/>
      <c r="AP186" s="1053"/>
      <c r="AQ186" s="1053"/>
      <c r="AR186" s="1053"/>
      <c r="AS186" s="1053"/>
      <c r="AT186" s="1053"/>
      <c r="AU186" s="1053"/>
      <c r="AV186" s="1053"/>
      <c r="AW186" s="1053"/>
      <c r="AX186" s="1053"/>
      <c r="AY186" s="1053"/>
      <c r="AZ186" s="1053"/>
    </row>
    <row r="187" spans="1:52">
      <c r="A187" s="1053"/>
      <c r="B187" s="1053"/>
      <c r="C187" s="1053"/>
      <c r="D187" s="1053"/>
      <c r="E187" s="1053"/>
      <c r="F187" s="1053"/>
      <c r="G187" s="1053"/>
      <c r="H187" s="1053"/>
      <c r="I187" s="1053"/>
      <c r="J187" s="1053"/>
      <c r="K187" s="1053"/>
      <c r="L187" s="1053"/>
      <c r="M187" s="1053"/>
      <c r="N187" s="1053"/>
      <c r="O187" s="1053"/>
      <c r="P187" s="1053"/>
      <c r="Q187" s="1053"/>
      <c r="R187" s="1053"/>
      <c r="S187" s="1053"/>
      <c r="T187" s="1053"/>
      <c r="U187" s="1053"/>
      <c r="V187" s="1053"/>
      <c r="W187" s="1053"/>
      <c r="X187" s="1053"/>
      <c r="Y187" s="1053"/>
      <c r="Z187" s="1053"/>
      <c r="AA187" s="1053"/>
      <c r="AB187" s="1053"/>
      <c r="AC187" s="1053"/>
      <c r="AD187" s="1053"/>
      <c r="AE187" s="1053"/>
      <c r="AF187" s="1053"/>
      <c r="AG187" s="1053"/>
      <c r="AH187" s="1053"/>
      <c r="AI187" s="1053"/>
      <c r="AJ187" s="1053"/>
      <c r="AK187" s="1053"/>
      <c r="AL187" s="1053"/>
      <c r="AM187" s="1053"/>
      <c r="AN187" s="1053"/>
      <c r="AO187" s="1053"/>
      <c r="AP187" s="1053"/>
      <c r="AQ187" s="1053"/>
      <c r="AR187" s="1053"/>
      <c r="AS187" s="1053"/>
      <c r="AT187" s="1053"/>
      <c r="AU187" s="1053"/>
      <c r="AV187" s="1053"/>
      <c r="AW187" s="1053"/>
      <c r="AX187" s="1053"/>
      <c r="AY187" s="1053"/>
      <c r="AZ187" s="1053"/>
    </row>
    <row r="188" spans="1:52">
      <c r="A188" s="1053"/>
      <c r="B188" s="1053"/>
      <c r="C188" s="1053"/>
      <c r="D188" s="1053"/>
      <c r="E188" s="1053"/>
      <c r="F188" s="1053"/>
      <c r="G188" s="1053"/>
      <c r="H188" s="1053"/>
      <c r="I188" s="1053"/>
      <c r="J188" s="1053"/>
      <c r="K188" s="1053"/>
      <c r="L188" s="1053"/>
      <c r="M188" s="1053"/>
      <c r="N188" s="1053"/>
      <c r="O188" s="1053"/>
      <c r="P188" s="1053"/>
      <c r="Q188" s="1053"/>
      <c r="R188" s="1053"/>
      <c r="S188" s="1053"/>
      <c r="T188" s="1053"/>
      <c r="U188" s="1053"/>
      <c r="V188" s="1053"/>
      <c r="W188" s="1053"/>
      <c r="X188" s="1053"/>
      <c r="Y188" s="1053"/>
      <c r="Z188" s="1053"/>
      <c r="AA188" s="1053"/>
      <c r="AB188" s="1053"/>
      <c r="AC188" s="1053"/>
      <c r="AD188" s="1053"/>
      <c r="AE188" s="1053"/>
      <c r="AF188" s="1053"/>
      <c r="AG188" s="1053"/>
      <c r="AH188" s="1053"/>
      <c r="AI188" s="1053"/>
      <c r="AJ188" s="1053"/>
      <c r="AK188" s="1053"/>
      <c r="AL188" s="1053"/>
      <c r="AM188" s="1053"/>
      <c r="AN188" s="1053"/>
      <c r="AO188" s="1053"/>
      <c r="AP188" s="1053"/>
      <c r="AQ188" s="1053"/>
      <c r="AR188" s="1053"/>
      <c r="AS188" s="1053"/>
      <c r="AT188" s="1053"/>
      <c r="AU188" s="1053"/>
      <c r="AV188" s="1053"/>
      <c r="AW188" s="1053"/>
      <c r="AX188" s="1053"/>
      <c r="AY188" s="1053"/>
      <c r="AZ188" s="1053"/>
    </row>
    <row r="189" spans="1:52">
      <c r="A189" s="1053"/>
      <c r="B189" s="1053"/>
      <c r="C189" s="1053"/>
      <c r="D189" s="1053"/>
      <c r="E189" s="1053"/>
      <c r="F189" s="1053"/>
      <c r="G189" s="1053"/>
      <c r="H189" s="1053"/>
      <c r="I189" s="1053"/>
      <c r="J189" s="1053"/>
      <c r="K189" s="1053"/>
      <c r="L189" s="1053"/>
      <c r="M189" s="1053"/>
      <c r="N189" s="1053"/>
      <c r="O189" s="1053"/>
      <c r="P189" s="1053"/>
      <c r="Q189" s="1053"/>
      <c r="R189" s="1053"/>
      <c r="S189" s="1053"/>
      <c r="T189" s="1053"/>
      <c r="U189" s="1053"/>
      <c r="V189" s="1053"/>
      <c r="W189" s="1053"/>
      <c r="X189" s="1053"/>
      <c r="Y189" s="1053"/>
      <c r="Z189" s="1053"/>
      <c r="AA189" s="1053"/>
      <c r="AB189" s="1053"/>
      <c r="AC189" s="1053"/>
      <c r="AD189" s="1053"/>
      <c r="AE189" s="1053"/>
      <c r="AF189" s="1053"/>
      <c r="AG189" s="1053"/>
      <c r="AH189" s="1053"/>
      <c r="AI189" s="1053"/>
      <c r="AJ189" s="1053"/>
      <c r="AK189" s="1053"/>
      <c r="AL189" s="1053"/>
      <c r="AM189" s="1053"/>
      <c r="AN189" s="1053"/>
      <c r="AO189" s="1053"/>
      <c r="AP189" s="1053"/>
      <c r="AQ189" s="1053"/>
      <c r="AR189" s="1053"/>
      <c r="AS189" s="1053"/>
      <c r="AT189" s="1053"/>
      <c r="AU189" s="1053"/>
      <c r="AV189" s="1053"/>
      <c r="AW189" s="1053"/>
      <c r="AX189" s="1053"/>
      <c r="AY189" s="1053"/>
      <c r="AZ189" s="1053"/>
    </row>
    <row r="190" spans="1:52">
      <c r="A190" s="1053"/>
      <c r="B190" s="1053"/>
      <c r="C190" s="1053"/>
      <c r="D190" s="1053"/>
      <c r="E190" s="1053"/>
      <c r="F190" s="1053"/>
      <c r="G190" s="1053"/>
      <c r="H190" s="1053"/>
      <c r="I190" s="1053"/>
      <c r="J190" s="1053"/>
      <c r="K190" s="1053"/>
      <c r="L190" s="1053"/>
      <c r="M190" s="1053"/>
      <c r="N190" s="1053"/>
      <c r="O190" s="1053"/>
      <c r="P190" s="1053"/>
      <c r="Q190" s="1053"/>
      <c r="R190" s="1053"/>
      <c r="S190" s="1053"/>
      <c r="T190" s="1053"/>
      <c r="U190" s="1053"/>
      <c r="V190" s="1053"/>
      <c r="W190" s="1053"/>
      <c r="X190" s="1053"/>
      <c r="Y190" s="1053"/>
      <c r="Z190" s="1053"/>
      <c r="AA190" s="1053"/>
      <c r="AB190" s="1053"/>
      <c r="AC190" s="1053"/>
      <c r="AD190" s="1053"/>
      <c r="AE190" s="1053"/>
      <c r="AF190" s="1053"/>
      <c r="AG190" s="1053"/>
      <c r="AH190" s="1053"/>
      <c r="AI190" s="1053"/>
      <c r="AJ190" s="1053"/>
      <c r="AK190" s="1053"/>
      <c r="AL190" s="1053"/>
      <c r="AM190" s="1053"/>
      <c r="AN190" s="1053"/>
      <c r="AO190" s="1053"/>
      <c r="AP190" s="1053"/>
      <c r="AQ190" s="1053"/>
      <c r="AR190" s="1053"/>
      <c r="AS190" s="1053"/>
      <c r="AT190" s="1053"/>
      <c r="AU190" s="1053"/>
      <c r="AV190" s="1053"/>
      <c r="AW190" s="1053"/>
      <c r="AX190" s="1053"/>
      <c r="AY190" s="1053"/>
      <c r="AZ190" s="1053"/>
    </row>
    <row r="191" spans="1:52">
      <c r="A191" s="1053"/>
      <c r="B191" s="1053"/>
      <c r="C191" s="1053"/>
      <c r="D191" s="1053"/>
      <c r="E191" s="1053"/>
      <c r="F191" s="1053"/>
      <c r="G191" s="1053"/>
      <c r="H191" s="1053"/>
      <c r="I191" s="1053"/>
      <c r="J191" s="1053"/>
      <c r="K191" s="1053"/>
      <c r="L191" s="1053"/>
      <c r="M191" s="1053"/>
      <c r="N191" s="1053"/>
      <c r="O191" s="1053"/>
      <c r="P191" s="1053"/>
      <c r="Q191" s="1053"/>
      <c r="R191" s="1053"/>
      <c r="S191" s="1053"/>
      <c r="T191" s="1053"/>
      <c r="U191" s="1053"/>
      <c r="V191" s="1053"/>
      <c r="W191" s="1053"/>
      <c r="X191" s="1053"/>
      <c r="Y191" s="1053"/>
      <c r="Z191" s="1053"/>
      <c r="AA191" s="1053"/>
      <c r="AB191" s="1053"/>
      <c r="AC191" s="1053"/>
      <c r="AD191" s="1053"/>
      <c r="AE191" s="1053"/>
      <c r="AF191" s="1053"/>
      <c r="AG191" s="1053"/>
      <c r="AH191" s="1053"/>
      <c r="AI191" s="1053"/>
      <c r="AJ191" s="1053"/>
      <c r="AK191" s="1053"/>
      <c r="AL191" s="1053"/>
      <c r="AM191" s="1053"/>
      <c r="AN191" s="1053"/>
      <c r="AO191" s="1053"/>
      <c r="AP191" s="1053"/>
      <c r="AQ191" s="1053"/>
      <c r="AR191" s="1053"/>
      <c r="AS191" s="1053"/>
      <c r="AT191" s="1053"/>
      <c r="AU191" s="1053"/>
      <c r="AV191" s="1053"/>
      <c r="AW191" s="1053"/>
      <c r="AX191" s="1053"/>
      <c r="AY191" s="1053"/>
      <c r="AZ191" s="1053"/>
    </row>
    <row r="192" spans="1:52">
      <c r="A192" s="1053"/>
      <c r="B192" s="1053"/>
      <c r="C192" s="1053"/>
      <c r="D192" s="1053"/>
      <c r="E192" s="1053"/>
      <c r="F192" s="1053"/>
      <c r="G192" s="1053"/>
      <c r="H192" s="1053"/>
      <c r="I192" s="1053"/>
      <c r="J192" s="1053"/>
      <c r="K192" s="1053"/>
      <c r="L192" s="1053"/>
      <c r="M192" s="1053"/>
      <c r="N192" s="1053"/>
      <c r="O192" s="1053"/>
      <c r="P192" s="1053"/>
      <c r="Q192" s="1053"/>
      <c r="R192" s="1053"/>
      <c r="S192" s="1053"/>
      <c r="T192" s="1053"/>
      <c r="U192" s="1053"/>
      <c r="V192" s="1053"/>
      <c r="W192" s="1053"/>
      <c r="X192" s="1053"/>
      <c r="Y192" s="1053"/>
      <c r="Z192" s="1053"/>
      <c r="AA192" s="1053"/>
      <c r="AB192" s="1053"/>
      <c r="AC192" s="1053"/>
      <c r="AD192" s="1053"/>
      <c r="AE192" s="1053"/>
      <c r="AF192" s="1053"/>
      <c r="AG192" s="1053"/>
      <c r="AH192" s="1053"/>
      <c r="AI192" s="1053"/>
      <c r="AJ192" s="1053"/>
      <c r="AK192" s="1053"/>
      <c r="AL192" s="1053"/>
      <c r="AM192" s="1053"/>
      <c r="AN192" s="1053"/>
      <c r="AO192" s="1053"/>
      <c r="AP192" s="1053"/>
      <c r="AQ192" s="1053"/>
      <c r="AR192" s="1053"/>
      <c r="AS192" s="1053"/>
      <c r="AT192" s="1053"/>
      <c r="AU192" s="1053"/>
      <c r="AV192" s="1053"/>
      <c r="AW192" s="1053"/>
      <c r="AX192" s="1053"/>
      <c r="AY192" s="1053"/>
      <c r="AZ192" s="1053"/>
    </row>
    <row r="193" spans="1:52">
      <c r="A193" s="1053"/>
      <c r="B193" s="1053"/>
      <c r="C193" s="1053"/>
      <c r="D193" s="1053"/>
      <c r="E193" s="1053"/>
      <c r="F193" s="1053"/>
      <c r="G193" s="1053"/>
      <c r="H193" s="1053"/>
      <c r="I193" s="1053"/>
      <c r="J193" s="1053"/>
      <c r="K193" s="1053"/>
      <c r="L193" s="1053"/>
      <c r="M193" s="1053"/>
      <c r="N193" s="1053"/>
      <c r="O193" s="1053"/>
      <c r="P193" s="1053"/>
      <c r="Q193" s="1053"/>
      <c r="R193" s="1053"/>
      <c r="S193" s="1053"/>
      <c r="T193" s="1053"/>
      <c r="U193" s="1053"/>
      <c r="V193" s="1053"/>
      <c r="W193" s="1053"/>
      <c r="X193" s="1053"/>
      <c r="Y193" s="1053"/>
      <c r="Z193" s="1053"/>
      <c r="AA193" s="1053"/>
      <c r="AB193" s="1053"/>
      <c r="AC193" s="1053"/>
      <c r="AD193" s="1053"/>
      <c r="AE193" s="1053"/>
      <c r="AF193" s="1053"/>
      <c r="AG193" s="1053"/>
      <c r="AH193" s="1053"/>
      <c r="AI193" s="1053"/>
      <c r="AJ193" s="1053"/>
      <c r="AK193" s="1053"/>
      <c r="AL193" s="1053"/>
      <c r="AM193" s="1053"/>
      <c r="AN193" s="1053"/>
      <c r="AO193" s="1053"/>
      <c r="AP193" s="1053"/>
      <c r="AQ193" s="1053"/>
      <c r="AR193" s="1053"/>
      <c r="AS193" s="1053"/>
      <c r="AT193" s="1053"/>
      <c r="AU193" s="1053"/>
      <c r="AV193" s="1053"/>
      <c r="AW193" s="1053"/>
      <c r="AX193" s="1053"/>
      <c r="AY193" s="1053"/>
      <c r="AZ193" s="1053"/>
    </row>
    <row r="194" spans="1:52">
      <c r="A194" s="1053"/>
      <c r="B194" s="1053"/>
      <c r="C194" s="1053"/>
      <c r="D194" s="1053"/>
      <c r="E194" s="1053"/>
      <c r="F194" s="1053"/>
      <c r="G194" s="1053"/>
      <c r="H194" s="1053"/>
      <c r="I194" s="1053"/>
      <c r="J194" s="1053"/>
      <c r="K194" s="1053"/>
      <c r="L194" s="1053"/>
      <c r="M194" s="1053"/>
      <c r="N194" s="1053"/>
      <c r="O194" s="1053"/>
      <c r="P194" s="1053"/>
      <c r="Q194" s="1053"/>
      <c r="R194" s="1053"/>
      <c r="S194" s="1053"/>
      <c r="T194" s="1053"/>
      <c r="U194" s="1053"/>
      <c r="V194" s="1053"/>
      <c r="W194" s="1053"/>
      <c r="X194" s="1053"/>
      <c r="Y194" s="1053"/>
      <c r="Z194" s="1053"/>
      <c r="AA194" s="1053"/>
      <c r="AB194" s="1053"/>
      <c r="AC194" s="1053"/>
      <c r="AD194" s="1053"/>
      <c r="AE194" s="1053"/>
      <c r="AF194" s="1053"/>
      <c r="AG194" s="1053"/>
      <c r="AH194" s="1053"/>
      <c r="AI194" s="1053"/>
      <c r="AJ194" s="1053"/>
      <c r="AK194" s="1053"/>
      <c r="AL194" s="1053"/>
      <c r="AM194" s="1053"/>
      <c r="AN194" s="1053"/>
      <c r="AO194" s="1053"/>
      <c r="AP194" s="1053"/>
      <c r="AQ194" s="1053"/>
      <c r="AR194" s="1053"/>
      <c r="AS194" s="1053"/>
      <c r="AT194" s="1053"/>
      <c r="AU194" s="1053"/>
      <c r="AV194" s="1053"/>
      <c r="AW194" s="1053"/>
      <c r="AX194" s="1053"/>
      <c r="AY194" s="1053"/>
      <c r="AZ194" s="1053"/>
    </row>
    <row r="195" spans="1:52">
      <c r="A195" s="1053"/>
      <c r="B195" s="1053"/>
      <c r="C195" s="1053"/>
      <c r="D195" s="1053"/>
      <c r="E195" s="1053"/>
      <c r="F195" s="1053"/>
      <c r="G195" s="1053"/>
      <c r="H195" s="1053"/>
      <c r="I195" s="1053"/>
      <c r="J195" s="1053"/>
      <c r="K195" s="1053"/>
      <c r="L195" s="1053"/>
      <c r="M195" s="1053"/>
      <c r="N195" s="1053"/>
      <c r="O195" s="1053"/>
      <c r="P195" s="1053"/>
      <c r="Q195" s="1053"/>
      <c r="R195" s="1053"/>
      <c r="S195" s="1053"/>
      <c r="T195" s="1053"/>
      <c r="U195" s="1053"/>
      <c r="V195" s="1053"/>
      <c r="W195" s="1053"/>
      <c r="X195" s="1053"/>
      <c r="Y195" s="1053"/>
      <c r="Z195" s="1053"/>
      <c r="AA195" s="1053"/>
      <c r="AB195" s="1053"/>
      <c r="AC195" s="1053"/>
      <c r="AD195" s="1053"/>
      <c r="AE195" s="1053"/>
      <c r="AF195" s="1053"/>
      <c r="AG195" s="1053"/>
      <c r="AH195" s="1053"/>
      <c r="AI195" s="1053"/>
      <c r="AJ195" s="1053"/>
      <c r="AK195" s="1053"/>
      <c r="AL195" s="1053"/>
      <c r="AM195" s="1053"/>
      <c r="AN195" s="1053"/>
      <c r="AO195" s="1053"/>
      <c r="AP195" s="1053"/>
      <c r="AQ195" s="1053"/>
      <c r="AR195" s="1053"/>
      <c r="AS195" s="1053"/>
      <c r="AT195" s="1053"/>
      <c r="AU195" s="1053"/>
      <c r="AV195" s="1053"/>
      <c r="AW195" s="1053"/>
      <c r="AX195" s="1053"/>
      <c r="AY195" s="1053"/>
      <c r="AZ195" s="1053"/>
    </row>
    <row r="196" spans="1:52">
      <c r="A196" s="1053"/>
      <c r="B196" s="1053"/>
      <c r="C196" s="1053"/>
      <c r="D196" s="1053"/>
      <c r="E196" s="1053"/>
      <c r="F196" s="1053"/>
      <c r="G196" s="1053"/>
      <c r="H196" s="1053"/>
      <c r="I196" s="1053"/>
      <c r="J196" s="1053"/>
      <c r="K196" s="1053"/>
      <c r="L196" s="1053"/>
      <c r="M196" s="1053"/>
      <c r="N196" s="1053"/>
      <c r="O196" s="1053"/>
      <c r="P196" s="1053"/>
      <c r="Q196" s="1053"/>
      <c r="R196" s="1053"/>
      <c r="S196" s="1053"/>
      <c r="T196" s="1053"/>
      <c r="U196" s="1053"/>
      <c r="V196" s="1053"/>
      <c r="W196" s="1053"/>
      <c r="X196" s="1053"/>
      <c r="Y196" s="1053"/>
      <c r="Z196" s="1053"/>
      <c r="AA196" s="1053"/>
      <c r="AB196" s="1053"/>
      <c r="AC196" s="1053"/>
      <c r="AD196" s="1053"/>
      <c r="AE196" s="1053"/>
      <c r="AF196" s="1053"/>
      <c r="AG196" s="1053"/>
      <c r="AH196" s="1053"/>
      <c r="AI196" s="1053"/>
      <c r="AJ196" s="1053"/>
      <c r="AK196" s="1053"/>
      <c r="AL196" s="1053"/>
      <c r="AM196" s="1053"/>
      <c r="AN196" s="1053"/>
      <c r="AO196" s="1053"/>
      <c r="AP196" s="1053"/>
      <c r="AQ196" s="1053"/>
      <c r="AR196" s="1053"/>
      <c r="AS196" s="1053"/>
      <c r="AT196" s="1053"/>
      <c r="AU196" s="1053"/>
      <c r="AV196" s="1053"/>
      <c r="AW196" s="1053"/>
      <c r="AX196" s="1053"/>
      <c r="AY196" s="1053"/>
      <c r="AZ196" s="1053"/>
    </row>
    <row r="197" spans="1:52">
      <c r="A197" s="1053"/>
      <c r="B197" s="1053"/>
      <c r="C197" s="1053"/>
      <c r="D197" s="1053"/>
      <c r="E197" s="1053"/>
      <c r="F197" s="1053"/>
      <c r="G197" s="1053"/>
      <c r="H197" s="1053"/>
      <c r="I197" s="1053"/>
      <c r="J197" s="1053"/>
      <c r="K197" s="1053"/>
      <c r="L197" s="1053"/>
      <c r="M197" s="1053"/>
      <c r="N197" s="1053"/>
      <c r="O197" s="1053"/>
      <c r="P197" s="1053"/>
      <c r="Q197" s="1053"/>
      <c r="R197" s="1053"/>
      <c r="S197" s="1053"/>
      <c r="T197" s="1053"/>
      <c r="U197" s="1053"/>
      <c r="V197" s="1053"/>
      <c r="W197" s="1053"/>
      <c r="X197" s="1053"/>
      <c r="Y197" s="1053"/>
      <c r="Z197" s="1053"/>
      <c r="AA197" s="1053"/>
      <c r="AB197" s="1053"/>
      <c r="AC197" s="1053"/>
      <c r="AD197" s="1053"/>
      <c r="AE197" s="1053"/>
      <c r="AF197" s="1053"/>
      <c r="AG197" s="1053"/>
      <c r="AH197" s="1053"/>
      <c r="AI197" s="1053"/>
      <c r="AJ197" s="1053"/>
      <c r="AK197" s="1053"/>
      <c r="AL197" s="1053"/>
      <c r="AM197" s="1053"/>
      <c r="AN197" s="1053"/>
      <c r="AO197" s="1053"/>
      <c r="AP197" s="1053"/>
      <c r="AQ197" s="1053"/>
      <c r="AR197" s="1053"/>
      <c r="AS197" s="1053"/>
      <c r="AT197" s="1053"/>
      <c r="AU197" s="1053"/>
      <c r="AV197" s="1053"/>
      <c r="AW197" s="1053"/>
      <c r="AX197" s="1053"/>
      <c r="AY197" s="1053"/>
      <c r="AZ197" s="1053"/>
    </row>
    <row r="198" spans="1:52">
      <c r="A198" s="1053"/>
      <c r="B198" s="1053"/>
      <c r="C198" s="1053"/>
      <c r="D198" s="1053"/>
      <c r="E198" s="1053"/>
      <c r="F198" s="1053"/>
      <c r="G198" s="1053"/>
      <c r="H198" s="1053"/>
      <c r="I198" s="1053"/>
      <c r="J198" s="1053"/>
      <c r="K198" s="1053"/>
      <c r="L198" s="1053"/>
      <c r="M198" s="1053"/>
      <c r="N198" s="1053"/>
      <c r="O198" s="1053"/>
      <c r="P198" s="1053"/>
      <c r="Q198" s="1053"/>
      <c r="R198" s="1053"/>
      <c r="S198" s="1053"/>
      <c r="T198" s="1053"/>
      <c r="U198" s="1053"/>
      <c r="V198" s="1053"/>
      <c r="W198" s="1053"/>
      <c r="X198" s="1053"/>
      <c r="Y198" s="1053"/>
      <c r="Z198" s="1053"/>
      <c r="AA198" s="1053"/>
      <c r="AB198" s="1053"/>
      <c r="AC198" s="1053"/>
      <c r="AD198" s="1053"/>
      <c r="AE198" s="1053"/>
      <c r="AF198" s="1053"/>
      <c r="AG198" s="1053"/>
      <c r="AH198" s="1053"/>
      <c r="AI198" s="1053"/>
      <c r="AJ198" s="1053"/>
      <c r="AK198" s="1053"/>
      <c r="AL198" s="1053"/>
      <c r="AM198" s="1053"/>
      <c r="AN198" s="1053"/>
      <c r="AO198" s="1053"/>
      <c r="AP198" s="1053"/>
      <c r="AQ198" s="1053"/>
      <c r="AR198" s="1053"/>
      <c r="AS198" s="1053"/>
      <c r="AT198" s="1053"/>
      <c r="AU198" s="1053"/>
      <c r="AV198" s="1053"/>
      <c r="AW198" s="1053"/>
      <c r="AX198" s="1053"/>
      <c r="AY198" s="1053"/>
      <c r="AZ198" s="1053"/>
    </row>
    <row r="199" spans="1:52">
      <c r="A199" s="1053"/>
      <c r="B199" s="1053"/>
      <c r="C199" s="1053"/>
      <c r="D199" s="1053"/>
      <c r="E199" s="1053"/>
      <c r="F199" s="1053"/>
      <c r="G199" s="1053"/>
      <c r="H199" s="1053"/>
      <c r="I199" s="1053"/>
      <c r="J199" s="1053"/>
      <c r="K199" s="1053"/>
      <c r="L199" s="1053"/>
      <c r="M199" s="1053"/>
      <c r="N199" s="1053"/>
      <c r="O199" s="1053"/>
      <c r="P199" s="1053"/>
      <c r="Q199" s="1053"/>
      <c r="R199" s="1053"/>
      <c r="S199" s="1053"/>
      <c r="T199" s="1053"/>
      <c r="U199" s="1053"/>
      <c r="V199" s="1053"/>
      <c r="W199" s="1053"/>
      <c r="X199" s="1053"/>
      <c r="Y199" s="1053"/>
      <c r="Z199" s="1053"/>
      <c r="AA199" s="1053"/>
      <c r="AB199" s="1053"/>
      <c r="AC199" s="1053"/>
      <c r="AD199" s="1053"/>
      <c r="AE199" s="1053"/>
      <c r="AF199" s="1053"/>
      <c r="AG199" s="1053"/>
      <c r="AH199" s="1053"/>
      <c r="AI199" s="1053"/>
      <c r="AJ199" s="1053"/>
      <c r="AK199" s="1053"/>
      <c r="AL199" s="1053"/>
      <c r="AM199" s="1053"/>
      <c r="AN199" s="1053"/>
      <c r="AO199" s="1053"/>
      <c r="AP199" s="1053"/>
      <c r="AQ199" s="1053"/>
      <c r="AR199" s="1053"/>
      <c r="AS199" s="1053"/>
      <c r="AT199" s="1053"/>
      <c r="AU199" s="1053"/>
      <c r="AV199" s="1053"/>
      <c r="AW199" s="1053"/>
      <c r="AX199" s="1053"/>
      <c r="AY199" s="1053"/>
      <c r="AZ199" s="1053"/>
    </row>
    <row r="200" spans="1:52">
      <c r="A200" s="1053"/>
      <c r="B200" s="1053"/>
      <c r="C200" s="1053"/>
      <c r="D200" s="1053"/>
      <c r="E200" s="1053"/>
      <c r="F200" s="1053"/>
      <c r="G200" s="1053"/>
      <c r="H200" s="1053"/>
      <c r="I200" s="1053"/>
      <c r="J200" s="1053"/>
      <c r="K200" s="1053"/>
      <c r="L200" s="1053"/>
      <c r="M200" s="1053"/>
      <c r="N200" s="1053"/>
      <c r="O200" s="1053"/>
      <c r="P200" s="1053"/>
      <c r="Q200" s="1053"/>
      <c r="R200" s="1053"/>
      <c r="S200" s="1053"/>
      <c r="T200" s="1053"/>
      <c r="U200" s="1053"/>
      <c r="V200" s="1053"/>
      <c r="W200" s="1053"/>
      <c r="X200" s="1053"/>
      <c r="Y200" s="1053"/>
      <c r="Z200" s="1053"/>
      <c r="AA200" s="1053"/>
      <c r="AB200" s="1053"/>
      <c r="AC200" s="1053"/>
      <c r="AD200" s="1053"/>
      <c r="AE200" s="1053"/>
      <c r="AF200" s="1053"/>
      <c r="AG200" s="1053"/>
      <c r="AH200" s="1053"/>
      <c r="AI200" s="1053"/>
      <c r="AJ200" s="1053"/>
      <c r="AK200" s="1053"/>
      <c r="AL200" s="1053"/>
      <c r="AM200" s="1053"/>
      <c r="AN200" s="1053"/>
      <c r="AO200" s="1053"/>
      <c r="AP200" s="1053"/>
      <c r="AQ200" s="1053"/>
      <c r="AR200" s="1053"/>
      <c r="AS200" s="1053"/>
      <c r="AT200" s="1053"/>
      <c r="AU200" s="1053"/>
      <c r="AV200" s="1053"/>
      <c r="AW200" s="1053"/>
      <c r="AX200" s="1053"/>
      <c r="AY200" s="1053"/>
      <c r="AZ200" s="1053"/>
    </row>
    <row r="201" spans="1:52">
      <c r="A201" s="1053"/>
      <c r="B201" s="1053"/>
      <c r="C201" s="1053"/>
      <c r="D201" s="1053"/>
      <c r="E201" s="1053"/>
      <c r="F201" s="1053"/>
      <c r="G201" s="1053"/>
      <c r="H201" s="1053"/>
      <c r="I201" s="1053"/>
      <c r="J201" s="1053"/>
      <c r="K201" s="1053"/>
      <c r="L201" s="1053"/>
      <c r="M201" s="1053"/>
      <c r="N201" s="1053"/>
      <c r="O201" s="1053"/>
      <c r="P201" s="1053"/>
      <c r="Q201" s="1053"/>
      <c r="R201" s="1053"/>
      <c r="S201" s="1053"/>
      <c r="T201" s="1053"/>
      <c r="U201" s="1053"/>
      <c r="V201" s="1053"/>
      <c r="W201" s="1053"/>
      <c r="X201" s="1053"/>
      <c r="Y201" s="1053"/>
      <c r="Z201" s="1053"/>
      <c r="AA201" s="1053"/>
      <c r="AB201" s="1053"/>
      <c r="AC201" s="1053"/>
      <c r="AD201" s="1053"/>
      <c r="AE201" s="1053"/>
      <c r="AF201" s="1053"/>
      <c r="AG201" s="1053"/>
      <c r="AH201" s="1053"/>
      <c r="AI201" s="1053"/>
      <c r="AJ201" s="1053"/>
      <c r="AK201" s="1053"/>
      <c r="AL201" s="1053"/>
      <c r="AM201" s="1053"/>
      <c r="AN201" s="1053"/>
      <c r="AO201" s="1053"/>
      <c r="AP201" s="1053"/>
      <c r="AQ201" s="1053"/>
      <c r="AR201" s="1053"/>
      <c r="AS201" s="1053"/>
      <c r="AT201" s="1053"/>
      <c r="AU201" s="1053"/>
      <c r="AV201" s="1053"/>
      <c r="AW201" s="1053"/>
      <c r="AX201" s="1053"/>
      <c r="AY201" s="1053"/>
      <c r="AZ201" s="1053"/>
    </row>
    <row r="202" spans="1:52">
      <c r="A202" s="1053"/>
      <c r="B202" s="1053"/>
      <c r="C202" s="1053"/>
      <c r="D202" s="1053"/>
      <c r="E202" s="1053"/>
      <c r="F202" s="1053"/>
      <c r="G202" s="1053"/>
      <c r="H202" s="1053"/>
      <c r="I202" s="1053"/>
      <c r="J202" s="1053"/>
      <c r="K202" s="1053"/>
      <c r="L202" s="1053"/>
      <c r="M202" s="1053"/>
      <c r="N202" s="1053"/>
      <c r="O202" s="1053"/>
      <c r="P202" s="1053"/>
      <c r="Q202" s="1053"/>
      <c r="R202" s="1053"/>
      <c r="S202" s="1053"/>
      <c r="T202" s="1053"/>
      <c r="U202" s="1053"/>
      <c r="V202" s="1053"/>
      <c r="W202" s="1053"/>
      <c r="X202" s="1053"/>
      <c r="Y202" s="1053"/>
      <c r="Z202" s="1053"/>
      <c r="AA202" s="1053"/>
      <c r="AB202" s="1053"/>
      <c r="AC202" s="1053"/>
      <c r="AD202" s="1053"/>
      <c r="AE202" s="1053"/>
      <c r="AF202" s="1053"/>
      <c r="AG202" s="1053"/>
      <c r="AH202" s="1053"/>
      <c r="AI202" s="1053"/>
      <c r="AJ202" s="1053"/>
      <c r="AK202" s="1053"/>
      <c r="AL202" s="1053"/>
      <c r="AM202" s="1053"/>
      <c r="AN202" s="1053"/>
      <c r="AO202" s="1053"/>
      <c r="AP202" s="1053"/>
      <c r="AQ202" s="1053"/>
      <c r="AR202" s="1053"/>
      <c r="AS202" s="1053"/>
      <c r="AT202" s="1053"/>
      <c r="AU202" s="1053"/>
      <c r="AV202" s="1053"/>
      <c r="AW202" s="1053"/>
      <c r="AX202" s="1053"/>
      <c r="AY202" s="1053"/>
      <c r="AZ202" s="1053"/>
    </row>
    <row r="203" spans="1:52">
      <c r="A203" s="1053"/>
      <c r="B203" s="1053"/>
      <c r="C203" s="1053"/>
      <c r="D203" s="1053"/>
      <c r="E203" s="1053"/>
      <c r="F203" s="1053"/>
      <c r="G203" s="1053"/>
      <c r="H203" s="1053"/>
      <c r="I203" s="1053"/>
      <c r="J203" s="1053"/>
      <c r="K203" s="1053"/>
      <c r="L203" s="1053"/>
      <c r="M203" s="1053"/>
      <c r="N203" s="1053"/>
      <c r="O203" s="1053"/>
      <c r="P203" s="1053"/>
      <c r="Q203" s="1053"/>
      <c r="R203" s="1053"/>
      <c r="S203" s="1053"/>
      <c r="T203" s="1053"/>
      <c r="U203" s="1053"/>
      <c r="V203" s="1053"/>
      <c r="W203" s="1053"/>
      <c r="X203" s="1053"/>
      <c r="Y203" s="1053"/>
      <c r="Z203" s="1053"/>
      <c r="AA203" s="1053"/>
      <c r="AB203" s="1053"/>
      <c r="AC203" s="1053"/>
      <c r="AD203" s="1053"/>
      <c r="AE203" s="1053"/>
      <c r="AF203" s="1053"/>
      <c r="AG203" s="1053"/>
      <c r="AH203" s="1053"/>
      <c r="AI203" s="1053"/>
      <c r="AJ203" s="1053"/>
      <c r="AK203" s="1053"/>
      <c r="AL203" s="1053"/>
      <c r="AM203" s="1053"/>
      <c r="AN203" s="1053"/>
      <c r="AO203" s="1053"/>
      <c r="AP203" s="1053"/>
      <c r="AQ203" s="1053"/>
      <c r="AR203" s="1053"/>
      <c r="AS203" s="1053"/>
      <c r="AT203" s="1053"/>
      <c r="AU203" s="1053"/>
      <c r="AV203" s="1053"/>
      <c r="AW203" s="1053"/>
      <c r="AX203" s="1053"/>
      <c r="AY203" s="1053"/>
      <c r="AZ203" s="1053"/>
    </row>
    <row r="204" spans="1:52">
      <c r="A204" s="1053"/>
      <c r="B204" s="1053"/>
      <c r="C204" s="1053"/>
      <c r="D204" s="1053"/>
      <c r="E204" s="1053"/>
      <c r="F204" s="1053"/>
      <c r="G204" s="1053"/>
      <c r="H204" s="1053"/>
      <c r="I204" s="1053"/>
      <c r="J204" s="1053"/>
      <c r="K204" s="1053"/>
      <c r="L204" s="1053"/>
      <c r="M204" s="1053"/>
      <c r="N204" s="1053"/>
      <c r="O204" s="1053"/>
      <c r="P204" s="1053"/>
      <c r="Q204" s="1053"/>
      <c r="R204" s="1053"/>
      <c r="S204" s="1053"/>
      <c r="T204" s="1053"/>
      <c r="U204" s="1053"/>
      <c r="V204" s="1053"/>
      <c r="W204" s="1053"/>
      <c r="X204" s="1053"/>
      <c r="Y204" s="1053"/>
      <c r="Z204" s="1053"/>
      <c r="AA204" s="1053"/>
      <c r="AB204" s="1053"/>
      <c r="AC204" s="1053"/>
      <c r="AD204" s="1053"/>
      <c r="AE204" s="1053"/>
      <c r="AF204" s="1053"/>
      <c r="AG204" s="1053"/>
      <c r="AH204" s="1053"/>
      <c r="AI204" s="1053"/>
      <c r="AJ204" s="1053"/>
      <c r="AK204" s="1053"/>
      <c r="AL204" s="1053"/>
      <c r="AM204" s="1053"/>
      <c r="AN204" s="1053"/>
      <c r="AO204" s="1053"/>
      <c r="AP204" s="1053"/>
      <c r="AQ204" s="1053"/>
      <c r="AR204" s="1053"/>
      <c r="AS204" s="1053"/>
      <c r="AT204" s="1053"/>
      <c r="AU204" s="1053"/>
      <c r="AV204" s="1053"/>
      <c r="AW204" s="1053"/>
      <c r="AX204" s="1053"/>
      <c r="AY204" s="1053"/>
      <c r="AZ204" s="1053"/>
    </row>
    <row r="205" spans="1:52">
      <c r="A205" s="1053"/>
      <c r="B205" s="1053"/>
      <c r="C205" s="1053"/>
      <c r="D205" s="1053"/>
      <c r="E205" s="1053"/>
      <c r="F205" s="1053"/>
      <c r="G205" s="1053"/>
      <c r="H205" s="1053"/>
      <c r="I205" s="1053"/>
      <c r="J205" s="1053"/>
      <c r="K205" s="1053"/>
      <c r="L205" s="1053"/>
      <c r="M205" s="1053"/>
      <c r="N205" s="1053"/>
      <c r="O205" s="1053"/>
      <c r="P205" s="1053"/>
      <c r="Q205" s="1053"/>
      <c r="R205" s="1053"/>
      <c r="S205" s="1053"/>
      <c r="T205" s="1053"/>
      <c r="U205" s="1053"/>
      <c r="V205" s="1053"/>
      <c r="W205" s="1053"/>
      <c r="X205" s="1053"/>
      <c r="Y205" s="1053"/>
      <c r="Z205" s="1053"/>
      <c r="AA205" s="1053"/>
      <c r="AB205" s="1053"/>
      <c r="AC205" s="1053"/>
      <c r="AD205" s="1053"/>
      <c r="AE205" s="1053"/>
      <c r="AF205" s="1053"/>
      <c r="AG205" s="1053"/>
      <c r="AH205" s="1053"/>
      <c r="AI205" s="1053"/>
      <c r="AJ205" s="1053"/>
      <c r="AK205" s="1053"/>
      <c r="AL205" s="1053"/>
      <c r="AM205" s="1053"/>
      <c r="AN205" s="1053"/>
      <c r="AO205" s="1053"/>
      <c r="AP205" s="1053"/>
      <c r="AQ205" s="1053"/>
      <c r="AR205" s="1053"/>
      <c r="AS205" s="1053"/>
      <c r="AT205" s="1053"/>
      <c r="AU205" s="1053"/>
      <c r="AV205" s="1053"/>
      <c r="AW205" s="1053"/>
      <c r="AX205" s="1053"/>
      <c r="AY205" s="1053"/>
      <c r="AZ205" s="1053"/>
    </row>
    <row r="206" spans="1:52">
      <c r="A206" s="1053"/>
      <c r="B206" s="1053"/>
      <c r="C206" s="1053"/>
      <c r="D206" s="1053"/>
      <c r="E206" s="1053"/>
      <c r="F206" s="1053"/>
      <c r="G206" s="1053"/>
      <c r="H206" s="1053"/>
      <c r="I206" s="1053"/>
      <c r="J206" s="1053"/>
      <c r="K206" s="1053"/>
      <c r="L206" s="1053"/>
      <c r="M206" s="1053"/>
      <c r="N206" s="1053"/>
      <c r="O206" s="1053"/>
      <c r="P206" s="1053"/>
      <c r="Q206" s="1053"/>
      <c r="R206" s="1053"/>
      <c r="S206" s="1053"/>
      <c r="T206" s="1053"/>
      <c r="U206" s="1053"/>
      <c r="V206" s="1053"/>
      <c r="W206" s="1053"/>
      <c r="X206" s="1053"/>
      <c r="Y206" s="1053"/>
      <c r="Z206" s="1053"/>
      <c r="AA206" s="1053"/>
      <c r="AB206" s="1053"/>
      <c r="AC206" s="1053"/>
      <c r="AD206" s="1053"/>
      <c r="AE206" s="1053"/>
      <c r="AF206" s="1053"/>
      <c r="AG206" s="1053"/>
      <c r="AH206" s="1053"/>
      <c r="AI206" s="1053"/>
      <c r="AJ206" s="1053"/>
      <c r="AK206" s="1053"/>
      <c r="AL206" s="1053"/>
      <c r="AM206" s="1053"/>
      <c r="AN206" s="1053"/>
      <c r="AO206" s="1053"/>
      <c r="AP206" s="1053"/>
      <c r="AQ206" s="1053"/>
      <c r="AR206" s="1053"/>
      <c r="AS206" s="1053"/>
      <c r="AT206" s="1053"/>
      <c r="AU206" s="1053"/>
      <c r="AV206" s="1053"/>
      <c r="AW206" s="1053"/>
      <c r="AX206" s="1053"/>
      <c r="AY206" s="1053"/>
      <c r="AZ206" s="1053"/>
    </row>
    <row r="207" spans="1:52">
      <c r="A207" s="1053"/>
      <c r="B207" s="1053"/>
      <c r="C207" s="1053"/>
      <c r="D207" s="1053"/>
      <c r="E207" s="1053"/>
      <c r="F207" s="1053"/>
      <c r="G207" s="1053"/>
      <c r="H207" s="1053"/>
      <c r="I207" s="1053"/>
      <c r="J207" s="1053"/>
      <c r="K207" s="1053"/>
      <c r="L207" s="1053"/>
      <c r="M207" s="1053"/>
      <c r="N207" s="1053"/>
      <c r="O207" s="1053"/>
      <c r="P207" s="1053"/>
      <c r="Q207" s="1053"/>
      <c r="R207" s="1053"/>
      <c r="S207" s="1053"/>
      <c r="T207" s="1053"/>
      <c r="U207" s="1053"/>
      <c r="V207" s="1053"/>
      <c r="W207" s="1053"/>
      <c r="X207" s="1053"/>
      <c r="Y207" s="1053"/>
      <c r="Z207" s="1053"/>
      <c r="AA207" s="1053"/>
      <c r="AB207" s="1053"/>
      <c r="AC207" s="1053"/>
      <c r="AD207" s="1053"/>
      <c r="AE207" s="1053"/>
      <c r="AF207" s="1053"/>
      <c r="AG207" s="1053"/>
      <c r="AH207" s="1053"/>
      <c r="AI207" s="1053"/>
      <c r="AJ207" s="1053"/>
      <c r="AK207" s="1053"/>
      <c r="AL207" s="1053"/>
      <c r="AM207" s="1053"/>
      <c r="AN207" s="1053"/>
      <c r="AO207" s="1053"/>
      <c r="AP207" s="1053"/>
      <c r="AQ207" s="1053"/>
      <c r="AR207" s="1053"/>
      <c r="AS207" s="1053"/>
      <c r="AT207" s="1053"/>
      <c r="AU207" s="1053"/>
      <c r="AV207" s="1053"/>
      <c r="AW207" s="1053"/>
      <c r="AX207" s="1053"/>
      <c r="AY207" s="1053"/>
      <c r="AZ207" s="1053"/>
    </row>
    <row r="208" spans="1:52">
      <c r="A208" s="1053"/>
      <c r="B208" s="1053"/>
      <c r="C208" s="1053"/>
      <c r="D208" s="1053"/>
      <c r="E208" s="1053"/>
      <c r="F208" s="1053"/>
      <c r="G208" s="1053"/>
      <c r="H208" s="1053"/>
      <c r="I208" s="1053"/>
      <c r="J208" s="1053"/>
      <c r="K208" s="1053"/>
      <c r="L208" s="1053"/>
      <c r="M208" s="1053"/>
      <c r="N208" s="1053"/>
      <c r="O208" s="1053"/>
      <c r="P208" s="1053"/>
      <c r="Q208" s="1053"/>
      <c r="R208" s="1053"/>
      <c r="S208" s="1053"/>
      <c r="T208" s="1053"/>
      <c r="U208" s="1053"/>
      <c r="V208" s="1053"/>
      <c r="W208" s="1053"/>
      <c r="X208" s="1053"/>
      <c r="Y208" s="1053"/>
      <c r="Z208" s="1053"/>
      <c r="AA208" s="1053"/>
      <c r="AB208" s="1053"/>
      <c r="AC208" s="1053"/>
      <c r="AD208" s="1053"/>
      <c r="AE208" s="1053"/>
      <c r="AF208" s="1053"/>
      <c r="AG208" s="1053"/>
      <c r="AH208" s="1053"/>
      <c r="AI208" s="1053"/>
      <c r="AJ208" s="1053"/>
      <c r="AK208" s="1053"/>
      <c r="AL208" s="1053"/>
      <c r="AM208" s="1053"/>
      <c r="AN208" s="1053"/>
      <c r="AO208" s="1053"/>
      <c r="AP208" s="1053"/>
      <c r="AQ208" s="1053"/>
      <c r="AR208" s="1053"/>
      <c r="AS208" s="1053"/>
      <c r="AT208" s="1053"/>
      <c r="AU208" s="1053"/>
      <c r="AV208" s="1053"/>
      <c r="AW208" s="1053"/>
      <c r="AX208" s="1053"/>
      <c r="AY208" s="1053"/>
      <c r="AZ208" s="1053"/>
    </row>
    <row r="209" spans="1:52">
      <c r="A209" s="1053"/>
      <c r="B209" s="1053"/>
      <c r="C209" s="1053"/>
      <c r="D209" s="1053"/>
      <c r="E209" s="1053"/>
      <c r="F209" s="1053"/>
      <c r="G209" s="1053"/>
      <c r="H209" s="1053"/>
      <c r="I209" s="1053"/>
      <c r="J209" s="1053"/>
      <c r="K209" s="1053"/>
      <c r="L209" s="1053"/>
      <c r="M209" s="1053"/>
      <c r="N209" s="1053"/>
      <c r="O209" s="1053"/>
      <c r="P209" s="1053"/>
      <c r="Q209" s="1053"/>
      <c r="R209" s="1053"/>
      <c r="S209" s="1053"/>
      <c r="T209" s="1053"/>
      <c r="U209" s="1053"/>
      <c r="V209" s="1053"/>
      <c r="W209" s="1053"/>
      <c r="X209" s="1053"/>
      <c r="Y209" s="1053"/>
      <c r="Z209" s="1053"/>
      <c r="AA209" s="1053"/>
      <c r="AB209" s="1053"/>
      <c r="AC209" s="1053"/>
      <c r="AD209" s="1053"/>
      <c r="AE209" s="1053"/>
      <c r="AF209" s="1053"/>
      <c r="AG209" s="1053"/>
      <c r="AH209" s="1053"/>
      <c r="AI209" s="1053"/>
      <c r="AJ209" s="1053"/>
      <c r="AK209" s="1053"/>
      <c r="AL209" s="1053"/>
      <c r="AM209" s="1053"/>
      <c r="AN209" s="1053"/>
      <c r="AO209" s="1053"/>
      <c r="AP209" s="1053"/>
      <c r="AQ209" s="1053"/>
      <c r="AR209" s="1053"/>
      <c r="AS209" s="1053"/>
      <c r="AT209" s="1053"/>
      <c r="AU209" s="1053"/>
      <c r="AV209" s="1053"/>
      <c r="AW209" s="1053"/>
      <c r="AX209" s="1053"/>
      <c r="AY209" s="1053"/>
      <c r="AZ209" s="1053"/>
    </row>
    <row r="210" spans="1:52">
      <c r="A210" s="1053"/>
      <c r="B210" s="1053"/>
      <c r="C210" s="1053"/>
      <c r="D210" s="1053"/>
      <c r="E210" s="1053"/>
      <c r="F210" s="1053"/>
      <c r="G210" s="1053"/>
      <c r="H210" s="1053"/>
      <c r="I210" s="1053"/>
      <c r="J210" s="1053"/>
      <c r="K210" s="1053"/>
      <c r="L210" s="1053"/>
      <c r="M210" s="1053"/>
      <c r="N210" s="1053"/>
      <c r="O210" s="1053"/>
      <c r="P210" s="1053"/>
      <c r="Q210" s="1053"/>
      <c r="R210" s="1053"/>
      <c r="S210" s="1053"/>
      <c r="T210" s="1053"/>
      <c r="U210" s="1053"/>
      <c r="V210" s="1053"/>
      <c r="W210" s="1053"/>
      <c r="X210" s="1053"/>
      <c r="Y210" s="1053"/>
      <c r="Z210" s="1053"/>
      <c r="AA210" s="1053"/>
      <c r="AB210" s="1053"/>
      <c r="AC210" s="1053"/>
      <c r="AD210" s="1053"/>
      <c r="AE210" s="1053"/>
      <c r="AF210" s="1053"/>
      <c r="AG210" s="1053"/>
      <c r="AH210" s="1053"/>
      <c r="AI210" s="1053"/>
      <c r="AJ210" s="1053"/>
      <c r="AK210" s="1053"/>
      <c r="AL210" s="1053"/>
      <c r="AM210" s="1053"/>
      <c r="AN210" s="1053"/>
      <c r="AO210" s="1053"/>
      <c r="AP210" s="1053"/>
      <c r="AQ210" s="1053"/>
      <c r="AR210" s="1053"/>
      <c r="AS210" s="1053"/>
      <c r="AT210" s="1053"/>
      <c r="AU210" s="1053"/>
      <c r="AV210" s="1053"/>
      <c r="AW210" s="1053"/>
      <c r="AX210" s="1053"/>
      <c r="AY210" s="1053"/>
      <c r="AZ210" s="1053"/>
    </row>
    <row r="211" spans="1:52">
      <c r="A211" s="1053"/>
      <c r="B211" s="1053"/>
      <c r="C211" s="1053"/>
      <c r="D211" s="1053"/>
      <c r="E211" s="1053"/>
      <c r="F211" s="1053"/>
      <c r="G211" s="1053"/>
      <c r="H211" s="1053"/>
      <c r="I211" s="1053"/>
      <c r="J211" s="1053"/>
      <c r="K211" s="1053"/>
      <c r="L211" s="1053"/>
      <c r="M211" s="1053"/>
      <c r="N211" s="1053"/>
      <c r="O211" s="1053"/>
      <c r="P211" s="1053"/>
      <c r="Q211" s="1053"/>
      <c r="R211" s="1053"/>
      <c r="S211" s="1053"/>
      <c r="T211" s="1053"/>
      <c r="U211" s="1053"/>
      <c r="V211" s="1053"/>
      <c r="W211" s="1053"/>
      <c r="X211" s="1053"/>
      <c r="Y211" s="1053"/>
      <c r="Z211" s="1053"/>
      <c r="AA211" s="1053"/>
      <c r="AB211" s="1053"/>
      <c r="AC211" s="1053"/>
      <c r="AD211" s="1053"/>
      <c r="AE211" s="1053"/>
      <c r="AF211" s="1053"/>
      <c r="AG211" s="1053"/>
      <c r="AH211" s="1053"/>
      <c r="AI211" s="1053"/>
      <c r="AJ211" s="1053"/>
      <c r="AK211" s="1053"/>
      <c r="AL211" s="1053"/>
      <c r="AM211" s="1053"/>
      <c r="AN211" s="1053"/>
      <c r="AO211" s="1053"/>
      <c r="AP211" s="1053"/>
      <c r="AQ211" s="1053"/>
      <c r="AR211" s="1053"/>
      <c r="AS211" s="1053"/>
      <c r="AT211" s="1053"/>
      <c r="AU211" s="1053"/>
      <c r="AV211" s="1053"/>
      <c r="AW211" s="1053"/>
      <c r="AX211" s="1053"/>
      <c r="AY211" s="1053"/>
      <c r="AZ211" s="1053"/>
    </row>
    <row r="212" spans="1:52">
      <c r="A212" s="1053"/>
      <c r="B212" s="1053"/>
      <c r="C212" s="1053"/>
      <c r="D212" s="1053"/>
      <c r="E212" s="1053"/>
      <c r="F212" s="1053"/>
      <c r="G212" s="1053"/>
      <c r="H212" s="1053"/>
      <c r="I212" s="1053"/>
      <c r="J212" s="1053"/>
      <c r="K212" s="1053"/>
      <c r="L212" s="1053"/>
      <c r="M212" s="1053"/>
      <c r="N212" s="1053"/>
      <c r="O212" s="1053"/>
      <c r="P212" s="1053"/>
      <c r="Q212" s="1053"/>
      <c r="R212" s="1053"/>
      <c r="S212" s="1053"/>
      <c r="T212" s="1053"/>
      <c r="U212" s="1053"/>
      <c r="V212" s="1053"/>
      <c r="W212" s="1053"/>
      <c r="X212" s="1053"/>
      <c r="Y212" s="1053"/>
      <c r="Z212" s="1053"/>
      <c r="AA212" s="1053"/>
      <c r="AB212" s="1053"/>
      <c r="AC212" s="1053"/>
      <c r="AD212" s="1053"/>
      <c r="AE212" s="1053"/>
      <c r="AF212" s="1053"/>
      <c r="AG212" s="1053"/>
      <c r="AH212" s="1053"/>
      <c r="AI212" s="1053"/>
      <c r="AJ212" s="1053"/>
      <c r="AK212" s="1053"/>
      <c r="AL212" s="1053"/>
      <c r="AM212" s="1053"/>
      <c r="AN212" s="1053"/>
      <c r="AO212" s="1053"/>
      <c r="AP212" s="1053"/>
      <c r="AQ212" s="1053"/>
      <c r="AR212" s="1053"/>
      <c r="AS212" s="1053"/>
      <c r="AT212" s="1053"/>
      <c r="AU212" s="1053"/>
      <c r="AV212" s="1053"/>
      <c r="AW212" s="1053"/>
      <c r="AX212" s="1053"/>
      <c r="AY212" s="1053"/>
      <c r="AZ212" s="1053"/>
    </row>
    <row r="213" spans="1:52">
      <c r="A213" s="1053"/>
      <c r="B213" s="1053"/>
      <c r="C213" s="1053"/>
      <c r="D213" s="1053"/>
      <c r="E213" s="1053"/>
      <c r="F213" s="1053"/>
      <c r="G213" s="1053"/>
      <c r="H213" s="1053"/>
      <c r="I213" s="1053"/>
      <c r="J213" s="1053"/>
      <c r="K213" s="1053"/>
      <c r="L213" s="1053"/>
      <c r="M213" s="1053"/>
      <c r="N213" s="1053"/>
      <c r="O213" s="1053"/>
      <c r="P213" s="1053"/>
      <c r="Q213" s="1053"/>
      <c r="R213" s="1053"/>
      <c r="S213" s="1053"/>
      <c r="T213" s="1053"/>
      <c r="U213" s="1053"/>
      <c r="V213" s="1053"/>
      <c r="W213" s="1053"/>
      <c r="X213" s="1053"/>
      <c r="Y213" s="1053"/>
      <c r="Z213" s="1053"/>
      <c r="AA213" s="1053"/>
      <c r="AB213" s="1053"/>
      <c r="AC213" s="1053"/>
      <c r="AD213" s="1053"/>
      <c r="AE213" s="1053"/>
      <c r="AF213" s="1053"/>
      <c r="AG213" s="1053"/>
      <c r="AH213" s="1053"/>
      <c r="AI213" s="1053"/>
      <c r="AJ213" s="1053"/>
      <c r="AK213" s="1053"/>
      <c r="AL213" s="1053"/>
      <c r="AM213" s="1053"/>
      <c r="AN213" s="1053"/>
      <c r="AO213" s="1053"/>
      <c r="AP213" s="1053"/>
      <c r="AQ213" s="1053"/>
      <c r="AR213" s="1053"/>
      <c r="AS213" s="1053"/>
      <c r="AT213" s="1053"/>
      <c r="AU213" s="1053"/>
      <c r="AV213" s="1053"/>
      <c r="AW213" s="1053"/>
      <c r="AX213" s="1053"/>
      <c r="AY213" s="1053"/>
      <c r="AZ213" s="1053"/>
    </row>
    <row r="214" spans="1:52">
      <c r="A214" s="1053"/>
      <c r="B214" s="1053"/>
      <c r="C214" s="1053"/>
      <c r="D214" s="1053"/>
      <c r="E214" s="1053"/>
      <c r="F214" s="1053"/>
      <c r="G214" s="1053"/>
      <c r="H214" s="1053"/>
      <c r="I214" s="1053"/>
      <c r="J214" s="1053"/>
      <c r="K214" s="1053"/>
      <c r="L214" s="1053"/>
      <c r="M214" s="1053"/>
      <c r="N214" s="1053"/>
      <c r="O214" s="1053"/>
      <c r="P214" s="1053"/>
      <c r="Q214" s="1053"/>
      <c r="R214" s="1053"/>
      <c r="S214" s="1053"/>
      <c r="T214" s="1053"/>
      <c r="U214" s="1053"/>
      <c r="V214" s="1053"/>
      <c r="W214" s="1053"/>
      <c r="X214" s="1053"/>
      <c r="Y214" s="1053"/>
      <c r="Z214" s="1053"/>
      <c r="AA214" s="1053"/>
      <c r="AB214" s="1053"/>
      <c r="AC214" s="1053"/>
      <c r="AD214" s="1053"/>
      <c r="AE214" s="1053"/>
      <c r="AF214" s="1053"/>
      <c r="AG214" s="1053"/>
      <c r="AH214" s="1053"/>
      <c r="AI214" s="1053"/>
      <c r="AJ214" s="1053"/>
      <c r="AK214" s="1053"/>
      <c r="AL214" s="1053"/>
      <c r="AM214" s="1053"/>
      <c r="AN214" s="1053"/>
      <c r="AO214" s="1053"/>
      <c r="AP214" s="1053"/>
      <c r="AQ214" s="1053"/>
      <c r="AR214" s="1053"/>
      <c r="AS214" s="1053"/>
      <c r="AT214" s="1053"/>
      <c r="AU214" s="1053"/>
      <c r="AV214" s="1053"/>
      <c r="AW214" s="1053"/>
      <c r="AX214" s="1053"/>
      <c r="AY214" s="1053"/>
      <c r="AZ214" s="1053"/>
    </row>
    <row r="215" spans="1:52">
      <c r="A215" s="1053"/>
      <c r="B215" s="1053"/>
      <c r="C215" s="1053"/>
      <c r="D215" s="1053"/>
      <c r="E215" s="1053"/>
      <c r="F215" s="1053"/>
      <c r="G215" s="1053"/>
      <c r="H215" s="1053"/>
      <c r="I215" s="1053"/>
      <c r="J215" s="1053"/>
      <c r="K215" s="1053"/>
      <c r="L215" s="1053"/>
      <c r="M215" s="1053"/>
      <c r="N215" s="1053"/>
      <c r="O215" s="1053"/>
      <c r="P215" s="1053"/>
      <c r="Q215" s="1053"/>
      <c r="R215" s="1053"/>
      <c r="S215" s="1053"/>
      <c r="T215" s="1053"/>
      <c r="U215" s="1053"/>
      <c r="V215" s="1053"/>
      <c r="W215" s="1053"/>
      <c r="X215" s="1053"/>
      <c r="Y215" s="1053"/>
      <c r="Z215" s="1053"/>
      <c r="AA215" s="1053"/>
      <c r="AB215" s="1053"/>
      <c r="AC215" s="1053"/>
      <c r="AD215" s="1053"/>
      <c r="AE215" s="1053"/>
      <c r="AF215" s="1053"/>
      <c r="AG215" s="1053"/>
      <c r="AH215" s="1053"/>
      <c r="AI215" s="1053"/>
      <c r="AJ215" s="1053"/>
      <c r="AK215" s="1053"/>
      <c r="AL215" s="1053"/>
      <c r="AM215" s="1053"/>
      <c r="AN215" s="1053"/>
      <c r="AO215" s="1053"/>
      <c r="AP215" s="1053"/>
      <c r="AQ215" s="1053"/>
      <c r="AR215" s="1053"/>
      <c r="AS215" s="1053"/>
      <c r="AT215" s="1053"/>
      <c r="AU215" s="1053"/>
      <c r="AV215" s="1053"/>
      <c r="AW215" s="1053"/>
      <c r="AX215" s="1053"/>
      <c r="AY215" s="1053"/>
      <c r="AZ215" s="1053"/>
    </row>
    <row r="216" spans="1:52">
      <c r="A216" s="1053"/>
      <c r="B216" s="1053"/>
      <c r="C216" s="1053"/>
      <c r="D216" s="1053"/>
      <c r="E216" s="1053"/>
      <c r="F216" s="1053"/>
      <c r="G216" s="1053"/>
      <c r="H216" s="1053"/>
      <c r="I216" s="1053"/>
      <c r="J216" s="1053"/>
      <c r="K216" s="1053"/>
      <c r="L216" s="1053"/>
      <c r="M216" s="1053"/>
      <c r="N216" s="1053"/>
      <c r="O216" s="1053"/>
      <c r="P216" s="1053"/>
      <c r="Q216" s="1053"/>
      <c r="R216" s="1053"/>
      <c r="S216" s="1053"/>
      <c r="T216" s="1053"/>
      <c r="U216" s="1053"/>
      <c r="V216" s="1053"/>
      <c r="W216" s="1053"/>
      <c r="X216" s="1053"/>
      <c r="Y216" s="1053"/>
      <c r="Z216" s="1053"/>
      <c r="AA216" s="1053"/>
      <c r="AB216" s="1053"/>
      <c r="AC216" s="1053"/>
      <c r="AD216" s="1053"/>
      <c r="AE216" s="1053"/>
      <c r="AF216" s="1053"/>
      <c r="AG216" s="1053"/>
      <c r="AH216" s="1053"/>
      <c r="AI216" s="1053"/>
      <c r="AJ216" s="1053"/>
      <c r="AK216" s="1053"/>
      <c r="AL216" s="1053"/>
      <c r="AM216" s="1053"/>
      <c r="AN216" s="1053"/>
      <c r="AO216" s="1053"/>
      <c r="AP216" s="1053"/>
      <c r="AQ216" s="1053"/>
      <c r="AR216" s="1053"/>
      <c r="AS216" s="1053"/>
      <c r="AT216" s="1053"/>
      <c r="AU216" s="1053"/>
      <c r="AV216" s="1053"/>
      <c r="AW216" s="1053"/>
      <c r="AX216" s="1053"/>
      <c r="AY216" s="1053"/>
      <c r="AZ216" s="1053"/>
    </row>
    <row r="217" spans="1:52">
      <c r="A217" s="1053"/>
      <c r="B217" s="1053"/>
      <c r="C217" s="1053"/>
      <c r="D217" s="1053"/>
      <c r="E217" s="1053"/>
      <c r="F217" s="1053"/>
      <c r="G217" s="1053"/>
      <c r="H217" s="1053"/>
      <c r="I217" s="1053"/>
      <c r="J217" s="1053"/>
      <c r="K217" s="1053"/>
      <c r="L217" s="1053"/>
      <c r="M217" s="1053"/>
      <c r="N217" s="1053"/>
      <c r="O217" s="1053"/>
      <c r="P217" s="1053"/>
      <c r="Q217" s="1053"/>
      <c r="R217" s="1053"/>
      <c r="S217" s="1053"/>
      <c r="T217" s="1053"/>
      <c r="U217" s="1053"/>
      <c r="V217" s="1053"/>
      <c r="W217" s="1053"/>
      <c r="X217" s="1053"/>
      <c r="Y217" s="1053"/>
      <c r="Z217" s="1053"/>
      <c r="AA217" s="1053"/>
      <c r="AB217" s="1053"/>
      <c r="AC217" s="1053"/>
      <c r="AD217" s="1053"/>
      <c r="AE217" s="1053"/>
      <c r="AF217" s="1053"/>
      <c r="AG217" s="1053"/>
      <c r="AH217" s="1053"/>
      <c r="AI217" s="1053"/>
      <c r="AJ217" s="1053"/>
      <c r="AK217" s="1053"/>
      <c r="AL217" s="1053"/>
      <c r="AM217" s="1053"/>
      <c r="AN217" s="1053"/>
      <c r="AO217" s="1053"/>
      <c r="AP217" s="1053"/>
      <c r="AQ217" s="1053"/>
      <c r="AR217" s="1053"/>
      <c r="AS217" s="1053"/>
      <c r="AT217" s="1053"/>
      <c r="AU217" s="1053"/>
      <c r="AV217" s="1053"/>
      <c r="AW217" s="1053"/>
      <c r="AX217" s="1053"/>
      <c r="AY217" s="1053"/>
      <c r="AZ217" s="1053"/>
    </row>
    <row r="218" spans="1:52">
      <c r="A218" s="1053"/>
      <c r="B218" s="1053"/>
      <c r="C218" s="1053"/>
      <c r="D218" s="1053"/>
      <c r="E218" s="1053"/>
      <c r="F218" s="1053"/>
      <c r="G218" s="1053"/>
      <c r="H218" s="1053"/>
      <c r="I218" s="1053"/>
      <c r="J218" s="1053"/>
      <c r="K218" s="1053"/>
      <c r="L218" s="1053"/>
      <c r="M218" s="1053"/>
      <c r="N218" s="1053"/>
      <c r="O218" s="1053"/>
      <c r="P218" s="1053"/>
      <c r="Q218" s="1053"/>
      <c r="R218" s="1053"/>
      <c r="S218" s="1053"/>
      <c r="T218" s="1053"/>
      <c r="U218" s="1053"/>
      <c r="V218" s="1053"/>
      <c r="W218" s="1053"/>
      <c r="X218" s="1053"/>
      <c r="Y218" s="1053"/>
      <c r="Z218" s="1053"/>
      <c r="AA218" s="1053"/>
      <c r="AB218" s="1053"/>
      <c r="AC218" s="1053"/>
      <c r="AD218" s="1053"/>
      <c r="AE218" s="1053"/>
      <c r="AF218" s="1053"/>
      <c r="AG218" s="1053"/>
      <c r="AH218" s="1053"/>
      <c r="AI218" s="1053"/>
      <c r="AJ218" s="1053"/>
      <c r="AK218" s="1053"/>
      <c r="AL218" s="1053"/>
      <c r="AM218" s="1053"/>
      <c r="AN218" s="1053"/>
      <c r="AO218" s="1053"/>
      <c r="AP218" s="1053"/>
      <c r="AQ218" s="1053"/>
      <c r="AR218" s="1053"/>
      <c r="AS218" s="1053"/>
      <c r="AT218" s="1053"/>
      <c r="AU218" s="1053"/>
      <c r="AV218" s="1053"/>
      <c r="AW218" s="1053"/>
      <c r="AX218" s="1053"/>
      <c r="AY218" s="1053"/>
      <c r="AZ218" s="1053"/>
    </row>
    <row r="219" spans="1:52">
      <c r="A219" s="1053"/>
      <c r="B219" s="1053"/>
      <c r="C219" s="1053"/>
      <c r="D219" s="1053"/>
      <c r="E219" s="1053"/>
      <c r="F219" s="1053"/>
      <c r="G219" s="1053"/>
      <c r="H219" s="1053"/>
      <c r="I219" s="1053"/>
      <c r="J219" s="1053"/>
      <c r="K219" s="1053"/>
      <c r="L219" s="1053"/>
      <c r="M219" s="1053"/>
      <c r="N219" s="1053"/>
      <c r="O219" s="1053"/>
      <c r="P219" s="1053"/>
      <c r="Q219" s="1053"/>
      <c r="R219" s="1053"/>
      <c r="S219" s="1053"/>
      <c r="T219" s="1053"/>
      <c r="U219" s="1053"/>
      <c r="V219" s="1053"/>
      <c r="W219" s="1053"/>
      <c r="X219" s="1053"/>
      <c r="Y219" s="1053"/>
      <c r="Z219" s="1053"/>
      <c r="AA219" s="1053"/>
      <c r="AB219" s="1053"/>
      <c r="AC219" s="1053"/>
      <c r="AD219" s="1053"/>
      <c r="AE219" s="1053"/>
      <c r="AF219" s="1053"/>
      <c r="AG219" s="1053"/>
      <c r="AH219" s="1053"/>
      <c r="AI219" s="1053"/>
      <c r="AJ219" s="1053"/>
      <c r="AK219" s="1053"/>
      <c r="AL219" s="1053"/>
      <c r="AM219" s="1053"/>
      <c r="AN219" s="1053"/>
      <c r="AO219" s="1053"/>
      <c r="AP219" s="1053"/>
      <c r="AQ219" s="1053"/>
      <c r="AR219" s="1053"/>
      <c r="AS219" s="1053"/>
      <c r="AT219" s="1053"/>
      <c r="AU219" s="1053"/>
      <c r="AV219" s="1053"/>
      <c r="AW219" s="1053"/>
      <c r="AX219" s="1053"/>
      <c r="AY219" s="1053"/>
      <c r="AZ219" s="1053"/>
    </row>
    <row r="220" spans="1:52">
      <c r="A220" s="1053"/>
      <c r="B220" s="1053"/>
      <c r="C220" s="1053"/>
      <c r="D220" s="1053"/>
      <c r="E220" s="1053"/>
      <c r="F220" s="1053"/>
      <c r="G220" s="1053"/>
      <c r="H220" s="1053"/>
      <c r="I220" s="1053"/>
      <c r="J220" s="1053"/>
      <c r="K220" s="1053"/>
      <c r="L220" s="1053"/>
      <c r="M220" s="1053"/>
      <c r="N220" s="1053"/>
      <c r="O220" s="1053"/>
      <c r="P220" s="1053"/>
      <c r="Q220" s="1053"/>
      <c r="R220" s="1053"/>
      <c r="S220" s="1053"/>
      <c r="T220" s="1053"/>
      <c r="U220" s="1053"/>
      <c r="V220" s="1053"/>
      <c r="W220" s="1053"/>
      <c r="X220" s="1053"/>
      <c r="Y220" s="1053"/>
      <c r="Z220" s="1053"/>
      <c r="AA220" s="1053"/>
      <c r="AB220" s="1053"/>
      <c r="AC220" s="1053"/>
      <c r="AD220" s="1053"/>
      <c r="AE220" s="1053"/>
      <c r="AF220" s="1053"/>
      <c r="AG220" s="1053"/>
      <c r="AH220" s="1053"/>
      <c r="AI220" s="1053"/>
      <c r="AJ220" s="1053"/>
      <c r="AK220" s="1053"/>
      <c r="AL220" s="1053"/>
      <c r="AM220" s="1053"/>
      <c r="AN220" s="1053"/>
      <c r="AO220" s="1053"/>
      <c r="AP220" s="1053"/>
      <c r="AQ220" s="1053"/>
      <c r="AR220" s="1053"/>
      <c r="AS220" s="1053"/>
      <c r="AT220" s="1053"/>
      <c r="AU220" s="1053"/>
      <c r="AV220" s="1053"/>
      <c r="AW220" s="1053"/>
      <c r="AX220" s="1053"/>
      <c r="AY220" s="1053"/>
      <c r="AZ220" s="1053"/>
    </row>
    <row r="221" spans="1:52">
      <c r="A221" s="1053"/>
      <c r="B221" s="1053"/>
      <c r="C221" s="1053"/>
      <c r="D221" s="1053"/>
      <c r="E221" s="1053"/>
      <c r="F221" s="1053"/>
      <c r="G221" s="1053"/>
      <c r="H221" s="1053"/>
      <c r="I221" s="1053"/>
      <c r="J221" s="1053"/>
      <c r="K221" s="1053"/>
      <c r="L221" s="1053"/>
      <c r="M221" s="1053"/>
      <c r="N221" s="1053"/>
      <c r="O221" s="1053"/>
      <c r="P221" s="1053"/>
      <c r="Q221" s="1053"/>
      <c r="R221" s="1053"/>
      <c r="S221" s="1053"/>
      <c r="T221" s="1053"/>
      <c r="U221" s="1053"/>
      <c r="V221" s="1053"/>
      <c r="W221" s="1053"/>
      <c r="X221" s="1053"/>
      <c r="Y221" s="1053"/>
      <c r="Z221" s="1053"/>
      <c r="AA221" s="1053"/>
      <c r="AB221" s="1053"/>
      <c r="AC221" s="1053"/>
      <c r="AD221" s="1053"/>
      <c r="AE221" s="1053"/>
      <c r="AF221" s="1053"/>
      <c r="AG221" s="1053"/>
      <c r="AH221" s="1053"/>
      <c r="AI221" s="1053"/>
      <c r="AJ221" s="1053"/>
      <c r="AK221" s="1053"/>
      <c r="AL221" s="1053"/>
      <c r="AM221" s="1053"/>
      <c r="AN221" s="1053"/>
      <c r="AO221" s="1053"/>
      <c r="AP221" s="1053"/>
      <c r="AQ221" s="1053"/>
      <c r="AR221" s="1053"/>
      <c r="AS221" s="1053"/>
      <c r="AT221" s="1053"/>
      <c r="AU221" s="1053"/>
      <c r="AV221" s="1053"/>
      <c r="AW221" s="1053"/>
      <c r="AX221" s="1053"/>
      <c r="AY221" s="1053"/>
      <c r="AZ221" s="1053"/>
    </row>
    <row r="222" spans="1:52">
      <c r="A222" s="1053"/>
      <c r="B222" s="1053"/>
      <c r="C222" s="1053"/>
      <c r="D222" s="1053"/>
      <c r="E222" s="1053"/>
      <c r="F222" s="1053"/>
      <c r="G222" s="1053"/>
      <c r="H222" s="1053"/>
      <c r="I222" s="1053"/>
      <c r="J222" s="1053"/>
      <c r="K222" s="1053"/>
      <c r="L222" s="1053"/>
      <c r="M222" s="1053"/>
      <c r="N222" s="1053"/>
      <c r="O222" s="1053"/>
      <c r="P222" s="1053"/>
      <c r="Q222" s="1053"/>
      <c r="R222" s="1053"/>
      <c r="S222" s="1053"/>
      <c r="T222" s="1053"/>
      <c r="U222" s="1053"/>
      <c r="V222" s="1053"/>
      <c r="W222" s="1053"/>
      <c r="X222" s="1053"/>
      <c r="Y222" s="1053"/>
      <c r="Z222" s="1053"/>
      <c r="AA222" s="1053"/>
      <c r="AB222" s="1053"/>
      <c r="AC222" s="1053"/>
      <c r="AD222" s="1053"/>
      <c r="AE222" s="1053"/>
      <c r="AF222" s="1053"/>
      <c r="AG222" s="1053"/>
      <c r="AH222" s="1053"/>
      <c r="AI222" s="1053"/>
      <c r="AJ222" s="1053"/>
      <c r="AK222" s="1053"/>
      <c r="AL222" s="1053"/>
      <c r="AM222" s="1053"/>
      <c r="AN222" s="1053"/>
      <c r="AO222" s="1053"/>
      <c r="AP222" s="1053"/>
      <c r="AQ222" s="1053"/>
      <c r="AR222" s="1053"/>
      <c r="AS222" s="1053"/>
      <c r="AT222" s="1053"/>
      <c r="AU222" s="1053"/>
      <c r="AV222" s="1053"/>
      <c r="AW222" s="1053"/>
      <c r="AX222" s="1053"/>
      <c r="AY222" s="1053"/>
      <c r="AZ222" s="1053"/>
    </row>
    <row r="223" spans="1:52">
      <c r="A223" s="1053"/>
      <c r="B223" s="1053"/>
      <c r="C223" s="1053"/>
      <c r="D223" s="1053"/>
      <c r="E223" s="1053"/>
      <c r="F223" s="1053"/>
      <c r="G223" s="1053"/>
      <c r="H223" s="1053"/>
      <c r="I223" s="1053"/>
      <c r="J223" s="1053"/>
      <c r="K223" s="1053"/>
      <c r="L223" s="1053"/>
      <c r="M223" s="1053"/>
      <c r="N223" s="1053"/>
      <c r="O223" s="1053"/>
      <c r="P223" s="1053"/>
      <c r="Q223" s="1053"/>
      <c r="R223" s="1053"/>
      <c r="S223" s="1053"/>
      <c r="T223" s="1053"/>
      <c r="U223" s="1053"/>
      <c r="V223" s="1053"/>
      <c r="W223" s="1053"/>
      <c r="X223" s="1053"/>
      <c r="Y223" s="1053"/>
      <c r="Z223" s="1053"/>
      <c r="AA223" s="1053"/>
      <c r="AB223" s="1053"/>
      <c r="AC223" s="1053"/>
      <c r="AD223" s="1053"/>
      <c r="AE223" s="1053"/>
      <c r="AF223" s="1053"/>
      <c r="AG223" s="1053"/>
      <c r="AH223" s="1053"/>
      <c r="AI223" s="1053"/>
      <c r="AJ223" s="1053"/>
      <c r="AK223" s="1053"/>
      <c r="AL223" s="1053"/>
      <c r="AM223" s="1053"/>
      <c r="AN223" s="1053"/>
      <c r="AO223" s="1053"/>
      <c r="AP223" s="1053"/>
      <c r="AQ223" s="1053"/>
      <c r="AR223" s="1053"/>
      <c r="AS223" s="1053"/>
      <c r="AT223" s="1053"/>
      <c r="AU223" s="1053"/>
      <c r="AV223" s="1053"/>
      <c r="AW223" s="1053"/>
      <c r="AX223" s="1053"/>
      <c r="AY223" s="1053"/>
      <c r="AZ223" s="1053"/>
    </row>
    <row r="224" spans="1:52">
      <c r="A224" s="1053"/>
      <c r="B224" s="1053"/>
      <c r="C224" s="1053"/>
      <c r="D224" s="1053"/>
      <c r="E224" s="1053"/>
      <c r="F224" s="1053"/>
      <c r="G224" s="1053"/>
      <c r="H224" s="1053"/>
      <c r="I224" s="1053"/>
      <c r="J224" s="1053"/>
      <c r="K224" s="1053"/>
      <c r="L224" s="1053"/>
      <c r="M224" s="1053"/>
      <c r="N224" s="1053"/>
      <c r="O224" s="1053"/>
      <c r="P224" s="1053"/>
      <c r="Q224" s="1053"/>
      <c r="R224" s="1053"/>
      <c r="S224" s="1053"/>
      <c r="T224" s="1053"/>
      <c r="U224" s="1053"/>
      <c r="V224" s="1053"/>
      <c r="W224" s="1053"/>
      <c r="X224" s="1053"/>
      <c r="Y224" s="1053"/>
      <c r="Z224" s="1053"/>
      <c r="AA224" s="1053"/>
      <c r="AB224" s="1053"/>
      <c r="AC224" s="1053"/>
      <c r="AD224" s="1053"/>
      <c r="AE224" s="1053"/>
      <c r="AF224" s="1053"/>
      <c r="AG224" s="1053"/>
      <c r="AH224" s="1053"/>
      <c r="AI224" s="1053"/>
      <c r="AJ224" s="1053"/>
      <c r="AK224" s="1053"/>
      <c r="AL224" s="1053"/>
      <c r="AM224" s="1053"/>
      <c r="AN224" s="1053"/>
      <c r="AO224" s="1053"/>
      <c r="AP224" s="1053"/>
      <c r="AQ224" s="1053"/>
      <c r="AR224" s="1053"/>
      <c r="AS224" s="1053"/>
      <c r="AT224" s="1053"/>
      <c r="AU224" s="1053"/>
      <c r="AV224" s="1053"/>
      <c r="AW224" s="1053"/>
      <c r="AX224" s="1053"/>
      <c r="AY224" s="1053"/>
      <c r="AZ224" s="1053"/>
    </row>
    <row r="225" spans="1:52">
      <c r="A225" s="1053"/>
      <c r="B225" s="1053"/>
      <c r="C225" s="1053"/>
      <c r="D225" s="1053"/>
      <c r="E225" s="1053"/>
      <c r="F225" s="1053"/>
      <c r="G225" s="1053"/>
      <c r="H225" s="1053"/>
      <c r="I225" s="1053"/>
      <c r="J225" s="1053"/>
      <c r="K225" s="1053"/>
      <c r="L225" s="1053"/>
      <c r="M225" s="1053"/>
      <c r="N225" s="1053"/>
      <c r="O225" s="1053"/>
      <c r="P225" s="1053"/>
      <c r="Q225" s="1053"/>
      <c r="R225" s="1053"/>
      <c r="S225" s="1053"/>
      <c r="T225" s="1053"/>
      <c r="U225" s="1053"/>
      <c r="V225" s="1053"/>
      <c r="W225" s="1053"/>
      <c r="X225" s="1053"/>
      <c r="Y225" s="1053"/>
      <c r="Z225" s="1053"/>
      <c r="AA225" s="1053"/>
      <c r="AB225" s="1053"/>
      <c r="AC225" s="1053"/>
      <c r="AD225" s="1053"/>
      <c r="AE225" s="1053"/>
      <c r="AF225" s="1053"/>
      <c r="AG225" s="1053"/>
      <c r="AH225" s="1053"/>
      <c r="AI225" s="1053"/>
      <c r="AJ225" s="1053"/>
      <c r="AK225" s="1053"/>
      <c r="AL225" s="1053"/>
      <c r="AM225" s="1053"/>
      <c r="AN225" s="1053"/>
      <c r="AO225" s="1053"/>
      <c r="AP225" s="1053"/>
      <c r="AQ225" s="1053"/>
      <c r="AR225" s="1053"/>
      <c r="AS225" s="1053"/>
      <c r="AT225" s="1053"/>
      <c r="AU225" s="1053"/>
      <c r="AV225" s="1053"/>
      <c r="AW225" s="1053"/>
      <c r="AX225" s="1053"/>
      <c r="AY225" s="1053"/>
      <c r="AZ225" s="1053"/>
    </row>
    <row r="226" spans="1:52">
      <c r="A226" s="1053"/>
      <c r="B226" s="1053"/>
      <c r="C226" s="1053"/>
      <c r="D226" s="1053"/>
      <c r="E226" s="1053"/>
      <c r="F226" s="1053"/>
      <c r="G226" s="1053"/>
      <c r="H226" s="1053"/>
      <c r="I226" s="1053"/>
      <c r="J226" s="1053"/>
      <c r="K226" s="1053"/>
      <c r="L226" s="1053"/>
      <c r="M226" s="1053"/>
      <c r="N226" s="1053"/>
      <c r="O226" s="1053"/>
      <c r="P226" s="1053"/>
      <c r="Q226" s="1053"/>
      <c r="R226" s="1053"/>
      <c r="S226" s="1053"/>
      <c r="T226" s="1053"/>
      <c r="U226" s="1053"/>
      <c r="V226" s="1053"/>
      <c r="W226" s="1053"/>
      <c r="X226" s="1053"/>
      <c r="Y226" s="1053"/>
      <c r="Z226" s="1053"/>
      <c r="AA226" s="1053"/>
      <c r="AB226" s="1053"/>
      <c r="AC226" s="1053"/>
      <c r="AD226" s="1053"/>
      <c r="AE226" s="1053"/>
      <c r="AF226" s="1053"/>
      <c r="AG226" s="1053"/>
      <c r="AH226" s="1053"/>
      <c r="AI226" s="1053"/>
      <c r="AJ226" s="1053"/>
      <c r="AK226" s="1053"/>
      <c r="AL226" s="1053"/>
      <c r="AM226" s="1053"/>
      <c r="AN226" s="1053"/>
      <c r="AO226" s="1053"/>
      <c r="AP226" s="1053"/>
      <c r="AQ226" s="1053"/>
      <c r="AR226" s="1053"/>
      <c r="AS226" s="1053"/>
      <c r="AT226" s="1053"/>
      <c r="AU226" s="1053"/>
      <c r="AV226" s="1053"/>
      <c r="AW226" s="1053"/>
      <c r="AX226" s="1053"/>
      <c r="AY226" s="1053"/>
      <c r="AZ226" s="1053"/>
    </row>
    <row r="227" spans="1:52">
      <c r="A227" s="1053"/>
      <c r="B227" s="1053"/>
      <c r="C227" s="1053"/>
      <c r="D227" s="1053"/>
      <c r="E227" s="1053"/>
      <c r="F227" s="1053"/>
      <c r="G227" s="1053"/>
      <c r="H227" s="1053"/>
      <c r="I227" s="1053"/>
      <c r="J227" s="1053"/>
      <c r="K227" s="1053"/>
      <c r="L227" s="1053"/>
      <c r="M227" s="1053"/>
      <c r="N227" s="1053"/>
      <c r="O227" s="1053"/>
      <c r="P227" s="1053"/>
      <c r="Q227" s="1053"/>
      <c r="R227" s="1053"/>
      <c r="S227" s="1053"/>
      <c r="T227" s="1053"/>
      <c r="U227" s="1053"/>
      <c r="V227" s="1053"/>
      <c r="W227" s="1053"/>
      <c r="X227" s="1053"/>
      <c r="Y227" s="1053"/>
      <c r="Z227" s="1053"/>
      <c r="AA227" s="1053"/>
      <c r="AB227" s="1053"/>
      <c r="AC227" s="1053"/>
      <c r="AD227" s="1053"/>
      <c r="AE227" s="1053"/>
      <c r="AF227" s="1053"/>
      <c r="AG227" s="1053"/>
      <c r="AH227" s="1053"/>
      <c r="AI227" s="1053"/>
      <c r="AJ227" s="1053"/>
      <c r="AK227" s="1053"/>
      <c r="AL227" s="1053"/>
      <c r="AM227" s="1053"/>
      <c r="AN227" s="1053"/>
      <c r="AO227" s="1053"/>
      <c r="AP227" s="1053"/>
      <c r="AQ227" s="1053"/>
      <c r="AR227" s="1053"/>
      <c r="AS227" s="1053"/>
      <c r="AT227" s="1053"/>
      <c r="AU227" s="1053"/>
      <c r="AV227" s="1053"/>
      <c r="AW227" s="1053"/>
      <c r="AX227" s="1053"/>
      <c r="AY227" s="1053"/>
      <c r="AZ227" s="1053"/>
    </row>
    <row r="228" spans="1:52">
      <c r="A228" s="1053"/>
      <c r="B228" s="1053"/>
      <c r="C228" s="1053"/>
      <c r="D228" s="1053"/>
      <c r="E228" s="1053"/>
      <c r="F228" s="1053"/>
      <c r="G228" s="1053"/>
      <c r="H228" s="1053"/>
      <c r="I228" s="1053"/>
      <c r="J228" s="1053"/>
      <c r="K228" s="1053"/>
      <c r="L228" s="1053"/>
      <c r="M228" s="1053"/>
      <c r="N228" s="1053"/>
      <c r="O228" s="1053"/>
      <c r="P228" s="1053"/>
      <c r="Q228" s="1053"/>
      <c r="R228" s="1053"/>
      <c r="S228" s="1053"/>
      <c r="T228" s="1053"/>
      <c r="U228" s="1053"/>
      <c r="V228" s="1053"/>
      <c r="W228" s="1053"/>
      <c r="X228" s="1053"/>
      <c r="Y228" s="1053"/>
      <c r="Z228" s="1053"/>
      <c r="AA228" s="1053"/>
      <c r="AB228" s="1053"/>
      <c r="AC228" s="1053"/>
      <c r="AD228" s="1053"/>
      <c r="AE228" s="1053"/>
      <c r="AF228" s="1053"/>
      <c r="AG228" s="1053"/>
      <c r="AH228" s="1053"/>
      <c r="AI228" s="1053"/>
      <c r="AJ228" s="1053"/>
      <c r="AK228" s="1053"/>
      <c r="AL228" s="1053"/>
      <c r="AM228" s="1053"/>
      <c r="AN228" s="1053"/>
      <c r="AO228" s="1053"/>
      <c r="AP228" s="1053"/>
      <c r="AQ228" s="1053"/>
      <c r="AR228" s="1053"/>
      <c r="AS228" s="1053"/>
      <c r="AT228" s="1053"/>
      <c r="AU228" s="1053"/>
      <c r="AV228" s="1053"/>
      <c r="AW228" s="1053"/>
      <c r="AX228" s="1053"/>
      <c r="AY228" s="1053"/>
      <c r="AZ228" s="1053"/>
    </row>
    <row r="229" spans="1:52">
      <c r="A229" s="1053"/>
      <c r="B229" s="1053"/>
      <c r="C229" s="1053"/>
      <c r="D229" s="1053"/>
      <c r="E229" s="1053"/>
      <c r="F229" s="1053"/>
      <c r="G229" s="1053"/>
      <c r="H229" s="1053"/>
      <c r="I229" s="1053"/>
      <c r="J229" s="1053"/>
      <c r="K229" s="1053"/>
      <c r="L229" s="1053"/>
      <c r="M229" s="1053"/>
      <c r="N229" s="1053"/>
      <c r="O229" s="1053"/>
      <c r="P229" s="1053"/>
      <c r="Q229" s="1053"/>
      <c r="R229" s="1053"/>
      <c r="S229" s="1053"/>
      <c r="T229" s="1053"/>
      <c r="U229" s="1053"/>
      <c r="V229" s="1053"/>
      <c r="W229" s="1053"/>
      <c r="X229" s="1053"/>
      <c r="Y229" s="1053"/>
      <c r="Z229" s="1053"/>
      <c r="AA229" s="1053"/>
      <c r="AB229" s="1053"/>
      <c r="AC229" s="1053"/>
      <c r="AD229" s="1053"/>
      <c r="AE229" s="1053"/>
      <c r="AF229" s="1053"/>
      <c r="AG229" s="1053"/>
      <c r="AH229" s="1053"/>
      <c r="AI229" s="1053"/>
      <c r="AJ229" s="1053"/>
      <c r="AK229" s="1053"/>
      <c r="AL229" s="1053"/>
      <c r="AM229" s="1053"/>
      <c r="AN229" s="1053"/>
      <c r="AO229" s="1053"/>
      <c r="AP229" s="1053"/>
      <c r="AQ229" s="1053"/>
      <c r="AR229" s="1053"/>
      <c r="AS229" s="1053"/>
      <c r="AT229" s="1053"/>
      <c r="AU229" s="1053"/>
      <c r="AV229" s="1053"/>
      <c r="AW229" s="1053"/>
      <c r="AX229" s="1053"/>
      <c r="AY229" s="1053"/>
      <c r="AZ229" s="1053"/>
    </row>
    <row r="230" spans="1:52">
      <c r="A230" s="1053"/>
      <c r="B230" s="1053"/>
      <c r="C230" s="1053"/>
      <c r="D230" s="1053"/>
      <c r="E230" s="1053"/>
      <c r="F230" s="1053"/>
      <c r="G230" s="1053"/>
      <c r="H230" s="1053"/>
      <c r="I230" s="1053"/>
      <c r="J230" s="1053"/>
      <c r="K230" s="1053"/>
      <c r="L230" s="1053"/>
      <c r="M230" s="1053"/>
      <c r="N230" s="1053"/>
      <c r="O230" s="1053"/>
      <c r="P230" s="1053"/>
      <c r="Q230" s="1053"/>
      <c r="R230" s="1053"/>
      <c r="S230" s="1053"/>
      <c r="T230" s="1053"/>
      <c r="U230" s="1053"/>
      <c r="V230" s="1053"/>
      <c r="W230" s="1053"/>
      <c r="X230" s="1053"/>
      <c r="Y230" s="1053"/>
      <c r="Z230" s="1053"/>
      <c r="AA230" s="1053"/>
      <c r="AB230" s="1053"/>
      <c r="AC230" s="1053"/>
      <c r="AD230" s="1053"/>
      <c r="AE230" s="1053"/>
      <c r="AF230" s="1053"/>
      <c r="AG230" s="1053"/>
      <c r="AH230" s="1053"/>
      <c r="AI230" s="1053"/>
      <c r="AJ230" s="1053"/>
      <c r="AK230" s="1053"/>
      <c r="AL230" s="1053"/>
      <c r="AM230" s="1053"/>
      <c r="AN230" s="1053"/>
      <c r="AO230" s="1053"/>
      <c r="AP230" s="1053"/>
      <c r="AQ230" s="1053"/>
      <c r="AR230" s="1053"/>
      <c r="AS230" s="1053"/>
      <c r="AT230" s="1053"/>
      <c r="AU230" s="1053"/>
      <c r="AV230" s="1053"/>
      <c r="AW230" s="1053"/>
      <c r="AX230" s="1053"/>
      <c r="AY230" s="1053"/>
      <c r="AZ230" s="1053"/>
    </row>
    <row r="231" spans="1:52">
      <c r="A231" s="1053"/>
      <c r="B231" s="1053"/>
      <c r="C231" s="1053"/>
      <c r="D231" s="1053"/>
      <c r="E231" s="1053"/>
      <c r="F231" s="1053"/>
      <c r="G231" s="1053"/>
      <c r="H231" s="1053"/>
      <c r="I231" s="1053"/>
      <c r="J231" s="1053"/>
      <c r="K231" s="1053"/>
      <c r="L231" s="1053"/>
      <c r="M231" s="1053"/>
      <c r="N231" s="1053"/>
      <c r="O231" s="1053"/>
      <c r="P231" s="1053"/>
      <c r="Q231" s="1053"/>
      <c r="R231" s="1053"/>
      <c r="S231" s="1053"/>
      <c r="T231" s="1053"/>
      <c r="U231" s="1053"/>
      <c r="V231" s="1053"/>
      <c r="W231" s="1053"/>
      <c r="X231" s="1053"/>
      <c r="Y231" s="1053"/>
      <c r="Z231" s="1053"/>
      <c r="AA231" s="1053"/>
      <c r="AB231" s="1053"/>
      <c r="AC231" s="1053"/>
      <c r="AD231" s="1053"/>
      <c r="AE231" s="1053"/>
      <c r="AF231" s="1053"/>
      <c r="AG231" s="1053"/>
      <c r="AH231" s="1053"/>
      <c r="AI231" s="1053"/>
      <c r="AJ231" s="1053"/>
      <c r="AK231" s="1053"/>
      <c r="AL231" s="1053"/>
      <c r="AM231" s="1053"/>
      <c r="AN231" s="1053"/>
      <c r="AO231" s="1053"/>
      <c r="AP231" s="1053"/>
      <c r="AQ231" s="1053"/>
      <c r="AR231" s="1053"/>
      <c r="AS231" s="1053"/>
      <c r="AT231" s="1053"/>
      <c r="AU231" s="1053"/>
      <c r="AV231" s="1053"/>
      <c r="AW231" s="1053"/>
      <c r="AX231" s="1053"/>
      <c r="AY231" s="1053"/>
      <c r="AZ231" s="1053"/>
    </row>
    <row r="232" spans="1:52">
      <c r="A232" s="1053"/>
      <c r="B232" s="1053"/>
      <c r="C232" s="1053"/>
      <c r="D232" s="1053"/>
      <c r="E232" s="1053"/>
      <c r="F232" s="1053"/>
      <c r="G232" s="1053"/>
      <c r="H232" s="1053"/>
      <c r="I232" s="1053"/>
      <c r="J232" s="1053"/>
      <c r="K232" s="1053"/>
      <c r="L232" s="1053"/>
      <c r="M232" s="1053"/>
      <c r="N232" s="1053"/>
      <c r="O232" s="1053"/>
      <c r="P232" s="1053"/>
      <c r="Q232" s="1053"/>
      <c r="R232" s="1053"/>
      <c r="S232" s="1053"/>
      <c r="T232" s="1053"/>
      <c r="U232" s="1053"/>
      <c r="V232" s="1053"/>
      <c r="W232" s="1053"/>
      <c r="X232" s="1053"/>
      <c r="Y232" s="1053"/>
      <c r="Z232" s="1053"/>
      <c r="AA232" s="1053"/>
      <c r="AB232" s="1053"/>
      <c r="AC232" s="1053"/>
      <c r="AD232" s="1053"/>
      <c r="AE232" s="1053"/>
      <c r="AF232" s="1053"/>
      <c r="AG232" s="1053"/>
      <c r="AH232" s="1053"/>
      <c r="AI232" s="1053"/>
      <c r="AJ232" s="1053"/>
      <c r="AK232" s="1053"/>
      <c r="AL232" s="1053"/>
      <c r="AM232" s="1053"/>
      <c r="AN232" s="1053"/>
      <c r="AO232" s="1053"/>
      <c r="AP232" s="1053"/>
      <c r="AQ232" s="1053"/>
      <c r="AR232" s="1053"/>
      <c r="AS232" s="1053"/>
      <c r="AT232" s="1053"/>
      <c r="AU232" s="1053"/>
      <c r="AV232" s="1053"/>
      <c r="AW232" s="1053"/>
      <c r="AX232" s="1053"/>
      <c r="AY232" s="1053"/>
      <c r="AZ232" s="1053"/>
    </row>
    <row r="233" spans="1:52">
      <c r="A233" s="1053"/>
      <c r="B233" s="1053"/>
      <c r="C233" s="1053"/>
      <c r="D233" s="1053"/>
      <c r="E233" s="1053"/>
      <c r="F233" s="1053"/>
      <c r="G233" s="1053"/>
      <c r="H233" s="1053"/>
      <c r="I233" s="1053"/>
      <c r="J233" s="1053"/>
      <c r="K233" s="1053"/>
      <c r="L233" s="1053"/>
      <c r="M233" s="1053"/>
      <c r="N233" s="1053"/>
      <c r="O233" s="1053"/>
      <c r="P233" s="1053"/>
      <c r="Q233" s="1053"/>
      <c r="R233" s="1053"/>
      <c r="S233" s="1053"/>
      <c r="T233" s="1053"/>
      <c r="U233" s="1053"/>
      <c r="V233" s="1053"/>
      <c r="W233" s="1053"/>
      <c r="X233" s="1053"/>
      <c r="Y233" s="1053"/>
      <c r="Z233" s="1053"/>
      <c r="AA233" s="1053"/>
      <c r="AB233" s="1053"/>
      <c r="AC233" s="1053"/>
      <c r="AD233" s="1053"/>
      <c r="AE233" s="1053"/>
      <c r="AF233" s="1053"/>
      <c r="AG233" s="1053"/>
      <c r="AH233" s="1053"/>
      <c r="AI233" s="1053"/>
      <c r="AJ233" s="1053"/>
      <c r="AK233" s="1053"/>
      <c r="AL233" s="1053"/>
      <c r="AM233" s="1053"/>
      <c r="AN233" s="1053"/>
      <c r="AO233" s="1053"/>
      <c r="AP233" s="1053"/>
      <c r="AQ233" s="1053"/>
      <c r="AR233" s="1053"/>
      <c r="AS233" s="1053"/>
      <c r="AT233" s="1053"/>
      <c r="AU233" s="1053"/>
      <c r="AV233" s="1053"/>
      <c r="AW233" s="1053"/>
      <c r="AX233" s="1053"/>
      <c r="AY233" s="1053"/>
      <c r="AZ233" s="1053"/>
    </row>
    <row r="234" spans="1:52">
      <c r="A234" s="1053"/>
      <c r="B234" s="1053"/>
      <c r="C234" s="1053"/>
      <c r="D234" s="1053"/>
      <c r="E234" s="1053"/>
      <c r="F234" s="1053"/>
      <c r="G234" s="1053"/>
      <c r="H234" s="1053"/>
      <c r="I234" s="1053"/>
      <c r="J234" s="1053"/>
      <c r="K234" s="1053"/>
      <c r="L234" s="1053"/>
      <c r="M234" s="1053"/>
      <c r="N234" s="1053"/>
      <c r="O234" s="1053"/>
      <c r="P234" s="1053"/>
      <c r="Q234" s="1053"/>
      <c r="R234" s="1053"/>
      <c r="S234" s="1053"/>
      <c r="T234" s="1053"/>
      <c r="U234" s="1053"/>
      <c r="V234" s="1053"/>
      <c r="W234" s="1053"/>
      <c r="X234" s="1053"/>
      <c r="Y234" s="1053"/>
      <c r="Z234" s="1053"/>
      <c r="AA234" s="1053"/>
      <c r="AB234" s="1053"/>
      <c r="AC234" s="1053"/>
      <c r="AD234" s="1053"/>
      <c r="AE234" s="1053"/>
      <c r="AF234" s="1053"/>
      <c r="AG234" s="1053"/>
      <c r="AH234" s="1053"/>
      <c r="AI234" s="1053"/>
      <c r="AJ234" s="1053"/>
      <c r="AK234" s="1053"/>
      <c r="AL234" s="1053"/>
      <c r="AM234" s="1053"/>
      <c r="AN234" s="1053"/>
      <c r="AO234" s="1053"/>
      <c r="AP234" s="1053"/>
      <c r="AQ234" s="1053"/>
      <c r="AR234" s="1053"/>
      <c r="AS234" s="1053"/>
      <c r="AT234" s="1053"/>
      <c r="AU234" s="1053"/>
      <c r="AV234" s="1053"/>
      <c r="AW234" s="1053"/>
      <c r="AX234" s="1053"/>
      <c r="AY234" s="1053"/>
      <c r="AZ234" s="1053"/>
    </row>
    <row r="235" spans="1:52">
      <c r="A235" s="1053"/>
      <c r="B235" s="1053"/>
      <c r="C235" s="1053"/>
      <c r="D235" s="1053"/>
      <c r="E235" s="1053"/>
      <c r="F235" s="1053"/>
      <c r="G235" s="1053"/>
      <c r="H235" s="1053"/>
      <c r="I235" s="1053"/>
      <c r="J235" s="1053"/>
      <c r="K235" s="1053"/>
      <c r="L235" s="1053"/>
      <c r="M235" s="1053"/>
      <c r="N235" s="1053"/>
      <c r="O235" s="1053"/>
      <c r="P235" s="1053"/>
      <c r="Q235" s="1053"/>
      <c r="R235" s="1053"/>
      <c r="S235" s="1053"/>
      <c r="T235" s="1053"/>
      <c r="U235" s="1053"/>
      <c r="V235" s="1053"/>
      <c r="W235" s="1053"/>
      <c r="X235" s="1053"/>
      <c r="Y235" s="1053"/>
      <c r="Z235" s="1053"/>
      <c r="AA235" s="1053"/>
      <c r="AB235" s="1053"/>
      <c r="AC235" s="1053"/>
      <c r="AD235" s="1053"/>
      <c r="AE235" s="1053"/>
      <c r="AF235" s="1053"/>
      <c r="AG235" s="1053"/>
      <c r="AH235" s="1053"/>
      <c r="AI235" s="1053"/>
      <c r="AJ235" s="1053"/>
      <c r="AK235" s="1053"/>
      <c r="AL235" s="1053"/>
      <c r="AM235" s="1053"/>
      <c r="AN235" s="1053"/>
      <c r="AO235" s="1053"/>
      <c r="AP235" s="1053"/>
      <c r="AQ235" s="1053"/>
      <c r="AR235" s="1053"/>
      <c r="AS235" s="1053"/>
      <c r="AT235" s="1053"/>
      <c r="AU235" s="1053"/>
      <c r="AV235" s="1053"/>
      <c r="AW235" s="1053"/>
      <c r="AX235" s="1053"/>
      <c r="AY235" s="1053"/>
      <c r="AZ235" s="1053"/>
    </row>
    <row r="236" spans="1:52">
      <c r="A236" s="1053"/>
      <c r="B236" s="1053"/>
      <c r="C236" s="1053"/>
      <c r="D236" s="1053"/>
      <c r="E236" s="1053"/>
      <c r="F236" s="1053"/>
      <c r="G236" s="1053"/>
      <c r="H236" s="1053"/>
      <c r="I236" s="1053"/>
      <c r="J236" s="1053"/>
      <c r="K236" s="1053"/>
      <c r="L236" s="1053"/>
      <c r="M236" s="1053"/>
      <c r="N236" s="1053"/>
      <c r="O236" s="1053"/>
      <c r="P236" s="1053"/>
      <c r="Q236" s="1053"/>
      <c r="R236" s="1053"/>
      <c r="S236" s="1053"/>
      <c r="T236" s="1053"/>
      <c r="U236" s="1053"/>
      <c r="V236" s="1053"/>
      <c r="W236" s="1053"/>
      <c r="X236" s="1053"/>
      <c r="Y236" s="1053"/>
      <c r="Z236" s="1053"/>
      <c r="AA236" s="1053"/>
      <c r="AB236" s="1053"/>
      <c r="AC236" s="1053"/>
      <c r="AD236" s="1053"/>
      <c r="AE236" s="1053"/>
      <c r="AF236" s="1053"/>
      <c r="AG236" s="1053"/>
      <c r="AH236" s="1053"/>
      <c r="AI236" s="1053"/>
      <c r="AJ236" s="1053"/>
      <c r="AK236" s="1053"/>
      <c r="AL236" s="1053"/>
      <c r="AM236" s="1053"/>
      <c r="AN236" s="1053"/>
      <c r="AO236" s="1053"/>
      <c r="AP236" s="1053"/>
      <c r="AQ236" s="1053"/>
      <c r="AR236" s="1053"/>
      <c r="AS236" s="1053"/>
      <c r="AT236" s="1053"/>
      <c r="AU236" s="1053"/>
      <c r="AV236" s="1053"/>
      <c r="AW236" s="1053"/>
      <c r="AX236" s="1053"/>
      <c r="AY236" s="1053"/>
      <c r="AZ236" s="1053"/>
    </row>
    <row r="237" spans="1:52">
      <c r="A237" s="1053"/>
      <c r="B237" s="1053"/>
      <c r="C237" s="1053"/>
      <c r="D237" s="1053"/>
      <c r="E237" s="1053"/>
      <c r="F237" s="1053"/>
      <c r="G237" s="1053"/>
      <c r="H237" s="1053"/>
      <c r="I237" s="1053"/>
      <c r="J237" s="1053"/>
      <c r="K237" s="1053"/>
      <c r="L237" s="1053"/>
      <c r="M237" s="1053"/>
      <c r="N237" s="1053"/>
      <c r="O237" s="1053"/>
      <c r="P237" s="1053"/>
      <c r="Q237" s="1053"/>
      <c r="R237" s="1053"/>
      <c r="S237" s="1053"/>
      <c r="T237" s="1053"/>
      <c r="U237" s="1053"/>
      <c r="V237" s="1053"/>
      <c r="W237" s="1053"/>
      <c r="X237" s="1053"/>
      <c r="Y237" s="1053"/>
      <c r="Z237" s="1053"/>
      <c r="AA237" s="1053"/>
      <c r="AB237" s="1053"/>
      <c r="AC237" s="1053"/>
      <c r="AD237" s="1053"/>
      <c r="AE237" s="1053"/>
      <c r="AF237" s="1053"/>
      <c r="AG237" s="1053"/>
      <c r="AH237" s="1053"/>
      <c r="AI237" s="1053"/>
      <c r="AJ237" s="1053"/>
      <c r="AK237" s="1053"/>
      <c r="AL237" s="1053"/>
      <c r="AM237" s="1053"/>
      <c r="AN237" s="1053"/>
      <c r="AO237" s="1053"/>
      <c r="AP237" s="1053"/>
      <c r="AQ237" s="1053"/>
      <c r="AR237" s="1053"/>
      <c r="AS237" s="1053"/>
      <c r="AT237" s="1053"/>
      <c r="AU237" s="1053"/>
      <c r="AV237" s="1053"/>
      <c r="AW237" s="1053"/>
      <c r="AX237" s="1053"/>
      <c r="AY237" s="1053"/>
      <c r="AZ237" s="1053"/>
    </row>
    <row r="238" spans="1:52">
      <c r="A238" s="1053"/>
      <c r="B238" s="1053"/>
      <c r="C238" s="1053"/>
      <c r="D238" s="1053"/>
      <c r="E238" s="1053"/>
      <c r="F238" s="1053"/>
      <c r="G238" s="1053"/>
      <c r="H238" s="1053"/>
      <c r="I238" s="1053"/>
      <c r="J238" s="1053"/>
      <c r="K238" s="1053"/>
      <c r="L238" s="1053"/>
      <c r="M238" s="1053"/>
      <c r="N238" s="1053"/>
      <c r="O238" s="1053"/>
      <c r="P238" s="1053"/>
      <c r="Q238" s="1053"/>
      <c r="R238" s="1053"/>
      <c r="S238" s="1053"/>
      <c r="T238" s="1053"/>
      <c r="U238" s="1053"/>
      <c r="V238" s="1053"/>
      <c r="W238" s="1053"/>
      <c r="X238" s="1053"/>
      <c r="Y238" s="1053"/>
      <c r="Z238" s="1053"/>
      <c r="AA238" s="1053"/>
      <c r="AB238" s="1053"/>
      <c r="AC238" s="1053"/>
      <c r="AD238" s="1053"/>
      <c r="AE238" s="1053"/>
      <c r="AF238" s="1053"/>
      <c r="AG238" s="1053"/>
      <c r="AH238" s="1053"/>
      <c r="AI238" s="1053"/>
      <c r="AJ238" s="1053"/>
      <c r="AK238" s="1053"/>
      <c r="AL238" s="1053"/>
      <c r="AM238" s="1053"/>
      <c r="AN238" s="1053"/>
      <c r="AO238" s="1053"/>
      <c r="AP238" s="1053"/>
      <c r="AQ238" s="1053"/>
      <c r="AR238" s="1053"/>
      <c r="AS238" s="1053"/>
      <c r="AT238" s="1053"/>
      <c r="AU238" s="1053"/>
      <c r="AV238" s="1053"/>
      <c r="AW238" s="1053"/>
      <c r="AX238" s="1053"/>
      <c r="AY238" s="1053"/>
      <c r="AZ238" s="1053"/>
    </row>
    <row r="239" spans="1:52">
      <c r="A239" s="1053"/>
      <c r="B239" s="1053"/>
      <c r="C239" s="1053"/>
      <c r="D239" s="1053"/>
      <c r="E239" s="1053"/>
      <c r="F239" s="1053"/>
      <c r="G239" s="1053"/>
      <c r="H239" s="1053"/>
      <c r="I239" s="1053"/>
      <c r="J239" s="1053"/>
      <c r="K239" s="1053"/>
      <c r="L239" s="1053"/>
      <c r="M239" s="1053"/>
      <c r="N239" s="1053"/>
      <c r="O239" s="1053"/>
      <c r="P239" s="1053"/>
      <c r="Q239" s="1053"/>
      <c r="R239" s="1053"/>
      <c r="S239" s="1053"/>
      <c r="T239" s="1053"/>
      <c r="U239" s="1053"/>
      <c r="V239" s="1053"/>
      <c r="W239" s="1053"/>
      <c r="X239" s="1053"/>
      <c r="Y239" s="1053"/>
      <c r="Z239" s="1053"/>
      <c r="AA239" s="1053"/>
      <c r="AB239" s="1053"/>
      <c r="AC239" s="1053"/>
      <c r="AD239" s="1053"/>
      <c r="AE239" s="1053"/>
      <c r="AF239" s="1053"/>
      <c r="AG239" s="1053"/>
      <c r="AH239" s="1053"/>
      <c r="AI239" s="1053"/>
      <c r="AJ239" s="1053"/>
      <c r="AK239" s="1053"/>
      <c r="AL239" s="1053"/>
      <c r="AM239" s="1053"/>
      <c r="AN239" s="1053"/>
      <c r="AO239" s="1053"/>
      <c r="AP239" s="1053"/>
      <c r="AQ239" s="1053"/>
      <c r="AR239" s="1053"/>
      <c r="AS239" s="1053"/>
      <c r="AT239" s="1053"/>
      <c r="AU239" s="1053"/>
      <c r="AV239" s="1053"/>
      <c r="AW239" s="1053"/>
      <c r="AX239" s="1053"/>
      <c r="AY239" s="1053"/>
      <c r="AZ239" s="1053"/>
    </row>
    <row r="240" spans="1:52">
      <c r="A240" s="1053"/>
      <c r="B240" s="1053"/>
      <c r="C240" s="1053"/>
      <c r="D240" s="1053"/>
      <c r="E240" s="1053"/>
      <c r="F240" s="1053"/>
      <c r="G240" s="1053"/>
      <c r="H240" s="1053"/>
      <c r="I240" s="1053"/>
      <c r="J240" s="1053"/>
      <c r="K240" s="1053"/>
      <c r="L240" s="1053"/>
      <c r="M240" s="1053"/>
      <c r="N240" s="1053"/>
      <c r="O240" s="1053"/>
      <c r="P240" s="1053"/>
      <c r="Q240" s="1053"/>
      <c r="R240" s="1053"/>
      <c r="S240" s="1053"/>
      <c r="T240" s="1053"/>
      <c r="U240" s="1053"/>
      <c r="V240" s="1053"/>
      <c r="W240" s="1053"/>
      <c r="X240" s="1053"/>
      <c r="Y240" s="1053"/>
      <c r="Z240" s="1053"/>
      <c r="AA240" s="1053"/>
      <c r="AB240" s="1053"/>
      <c r="AC240" s="1053"/>
      <c r="AD240" s="1053"/>
      <c r="AE240" s="1053"/>
      <c r="AF240" s="1053"/>
      <c r="AG240" s="1053"/>
      <c r="AH240" s="1053"/>
      <c r="AI240" s="1053"/>
      <c r="AJ240" s="1053"/>
      <c r="AK240" s="1053"/>
      <c r="AL240" s="1053"/>
      <c r="AM240" s="1053"/>
      <c r="AN240" s="1053"/>
      <c r="AO240" s="1053"/>
      <c r="AP240" s="1053"/>
      <c r="AQ240" s="1053"/>
      <c r="AR240" s="1053"/>
      <c r="AS240" s="1053"/>
      <c r="AT240" s="1053"/>
      <c r="AU240" s="1053"/>
      <c r="AV240" s="1053"/>
      <c r="AW240" s="1053"/>
      <c r="AX240" s="1053"/>
      <c r="AY240" s="1053"/>
      <c r="AZ240" s="1053"/>
    </row>
    <row r="241" spans="1:52">
      <c r="A241" s="1053"/>
      <c r="B241" s="1053"/>
      <c r="C241" s="1053"/>
      <c r="D241" s="1053"/>
      <c r="E241" s="1053"/>
      <c r="F241" s="1053"/>
      <c r="G241" s="1053"/>
      <c r="H241" s="1053"/>
      <c r="I241" s="1053"/>
      <c r="J241" s="1053"/>
      <c r="K241" s="1053"/>
      <c r="L241" s="1053"/>
      <c r="M241" s="1053"/>
      <c r="N241" s="1053"/>
      <c r="O241" s="1053"/>
      <c r="P241" s="1053"/>
      <c r="Q241" s="1053"/>
      <c r="R241" s="1053"/>
      <c r="S241" s="1053"/>
      <c r="T241" s="1053"/>
      <c r="U241" s="1053"/>
      <c r="V241" s="1053"/>
      <c r="W241" s="1053"/>
      <c r="X241" s="1053"/>
      <c r="Y241" s="1053"/>
      <c r="Z241" s="1053"/>
      <c r="AA241" s="1053"/>
      <c r="AB241" s="1053"/>
      <c r="AC241" s="1053"/>
      <c r="AD241" s="1053"/>
      <c r="AE241" s="1053"/>
      <c r="AF241" s="1053"/>
      <c r="AG241" s="1053"/>
      <c r="AH241" s="1053"/>
      <c r="AI241" s="1053"/>
      <c r="AJ241" s="1053"/>
      <c r="AK241" s="1053"/>
      <c r="AL241" s="1053"/>
      <c r="AM241" s="1053"/>
      <c r="AN241" s="1053"/>
      <c r="AO241" s="1053"/>
      <c r="AP241" s="1053"/>
      <c r="AQ241" s="1053"/>
      <c r="AR241" s="1053"/>
      <c r="AS241" s="1053"/>
      <c r="AT241" s="1053"/>
      <c r="AU241" s="1053"/>
      <c r="AV241" s="1053"/>
      <c r="AW241" s="1053"/>
      <c r="AX241" s="1053"/>
      <c r="AY241" s="1053"/>
      <c r="AZ241" s="1053"/>
    </row>
    <row r="242" spans="1:52">
      <c r="A242" s="1053"/>
      <c r="B242" s="1053"/>
      <c r="C242" s="1053"/>
      <c r="D242" s="1053"/>
      <c r="E242" s="1053"/>
      <c r="F242" s="1053"/>
      <c r="G242" s="1053"/>
      <c r="H242" s="1053"/>
      <c r="I242" s="1053"/>
      <c r="J242" s="1053"/>
      <c r="K242" s="1053"/>
      <c r="L242" s="1053"/>
      <c r="M242" s="1053"/>
      <c r="N242" s="1053"/>
      <c r="O242" s="1053"/>
      <c r="P242" s="1053"/>
      <c r="Q242" s="1053"/>
      <c r="R242" s="1053"/>
      <c r="S242" s="1053"/>
      <c r="T242" s="1053"/>
      <c r="U242" s="1053"/>
      <c r="V242" s="1053"/>
      <c r="W242" s="1053"/>
      <c r="X242" s="1053"/>
      <c r="Y242" s="1053"/>
      <c r="Z242" s="1053"/>
      <c r="AA242" s="1053"/>
      <c r="AB242" s="1053"/>
      <c r="AC242" s="1053"/>
      <c r="AD242" s="1053"/>
      <c r="AE242" s="1053"/>
      <c r="AF242" s="1053"/>
      <c r="AG242" s="1053"/>
      <c r="AH242" s="1053"/>
      <c r="AI242" s="1053"/>
      <c r="AJ242" s="1053"/>
      <c r="AK242" s="1053"/>
      <c r="AL242" s="1053"/>
      <c r="AM242" s="1053"/>
      <c r="AN242" s="1053"/>
      <c r="AO242" s="1053"/>
      <c r="AP242" s="1053"/>
      <c r="AQ242" s="1053"/>
      <c r="AR242" s="1053"/>
      <c r="AS242" s="1053"/>
      <c r="AT242" s="1053"/>
      <c r="AU242" s="1053"/>
      <c r="AV242" s="1053"/>
      <c r="AW242" s="1053"/>
      <c r="AX242" s="1053"/>
      <c r="AY242" s="1053"/>
      <c r="AZ242" s="1053"/>
    </row>
    <row r="243" spans="1:52">
      <c r="A243" s="1053"/>
      <c r="B243" s="1053"/>
      <c r="C243" s="1053"/>
      <c r="D243" s="1053"/>
      <c r="E243" s="1053"/>
      <c r="F243" s="1053"/>
      <c r="G243" s="1053"/>
      <c r="H243" s="1053"/>
      <c r="I243" s="1053"/>
      <c r="J243" s="1053"/>
      <c r="K243" s="1053"/>
      <c r="L243" s="1053"/>
      <c r="M243" s="1053"/>
      <c r="N243" s="1053"/>
      <c r="O243" s="1053"/>
      <c r="P243" s="1053"/>
      <c r="Q243" s="1053"/>
      <c r="R243" s="1053"/>
      <c r="S243" s="1053"/>
      <c r="T243" s="1053"/>
      <c r="U243" s="1053"/>
      <c r="V243" s="1053"/>
      <c r="W243" s="1053"/>
      <c r="X243" s="1053"/>
      <c r="Y243" s="1053"/>
      <c r="Z243" s="1053"/>
      <c r="AA243" s="1053"/>
      <c r="AB243" s="1053"/>
      <c r="AC243" s="1053"/>
      <c r="AD243" s="1053"/>
      <c r="AE243" s="1053"/>
      <c r="AF243" s="1053"/>
      <c r="AG243" s="1053"/>
      <c r="AH243" s="1053"/>
      <c r="AI243" s="1053"/>
      <c r="AJ243" s="1053"/>
      <c r="AK243" s="1053"/>
      <c r="AL243" s="1053"/>
      <c r="AM243" s="1053"/>
      <c r="AN243" s="1053"/>
      <c r="AO243" s="1053"/>
      <c r="AP243" s="1053"/>
      <c r="AQ243" s="1053"/>
      <c r="AR243" s="1053"/>
      <c r="AS243" s="1053"/>
      <c r="AT243" s="1053"/>
      <c r="AU243" s="1053"/>
      <c r="AV243" s="1053"/>
      <c r="AW243" s="1053"/>
      <c r="AX243" s="1053"/>
      <c r="AY243" s="1053"/>
      <c r="AZ243" s="1053"/>
    </row>
    <row r="244" spans="1:52">
      <c r="A244" s="1053"/>
      <c r="B244" s="1053"/>
      <c r="C244" s="1053"/>
      <c r="D244" s="1053"/>
      <c r="E244" s="1053"/>
      <c r="F244" s="1053"/>
      <c r="G244" s="1053"/>
      <c r="H244" s="1053"/>
      <c r="I244" s="1053"/>
      <c r="J244" s="1053"/>
      <c r="K244" s="1053"/>
      <c r="L244" s="1053"/>
      <c r="M244" s="1053"/>
      <c r="N244" s="1053"/>
      <c r="O244" s="1053"/>
      <c r="P244" s="1053"/>
      <c r="Q244" s="1053"/>
      <c r="R244" s="1053"/>
      <c r="S244" s="1053"/>
      <c r="T244" s="1053"/>
      <c r="U244" s="1053"/>
      <c r="V244" s="1053"/>
      <c r="W244" s="1053"/>
      <c r="X244" s="1053"/>
      <c r="Y244" s="1053"/>
      <c r="Z244" s="1053"/>
      <c r="AA244" s="1053"/>
      <c r="AB244" s="1053"/>
      <c r="AC244" s="1053"/>
      <c r="AD244" s="1053"/>
      <c r="AE244" s="1053"/>
      <c r="AF244" s="1053"/>
      <c r="AG244" s="1053"/>
      <c r="AH244" s="1053"/>
      <c r="AI244" s="1053"/>
      <c r="AJ244" s="1053"/>
      <c r="AK244" s="1053"/>
      <c r="AL244" s="1053"/>
      <c r="AM244" s="1053"/>
      <c r="AN244" s="1053"/>
      <c r="AO244" s="1053"/>
      <c r="AP244" s="1053"/>
      <c r="AQ244" s="1053"/>
      <c r="AR244" s="1053"/>
      <c r="AS244" s="1053"/>
      <c r="AT244" s="1053"/>
      <c r="AU244" s="1053"/>
      <c r="AV244" s="1053"/>
      <c r="AW244" s="1053"/>
      <c r="AX244" s="1053"/>
      <c r="AY244" s="1053"/>
      <c r="AZ244" s="1053"/>
    </row>
    <row r="245" spans="1:52">
      <c r="A245" s="1053"/>
      <c r="B245" s="1053"/>
      <c r="C245" s="1053"/>
      <c r="D245" s="1053"/>
      <c r="E245" s="1053"/>
      <c r="F245" s="1053"/>
      <c r="G245" s="1053"/>
      <c r="H245" s="1053"/>
      <c r="I245" s="1053"/>
      <c r="J245" s="1053"/>
      <c r="K245" s="1053"/>
      <c r="L245" s="1053"/>
      <c r="M245" s="1053"/>
      <c r="N245" s="1053"/>
      <c r="O245" s="1053"/>
      <c r="P245" s="1053"/>
      <c r="Q245" s="1053"/>
      <c r="R245" s="1053"/>
      <c r="S245" s="1053"/>
      <c r="T245" s="1053"/>
      <c r="U245" s="1053"/>
      <c r="V245" s="1053"/>
      <c r="W245" s="1053"/>
      <c r="X245" s="1053"/>
      <c r="Y245" s="1053"/>
      <c r="Z245" s="1053"/>
      <c r="AA245" s="1053"/>
      <c r="AB245" s="1053"/>
      <c r="AC245" s="1053"/>
      <c r="AD245" s="1053"/>
      <c r="AE245" s="1053"/>
      <c r="AF245" s="1053"/>
      <c r="AG245" s="1053"/>
      <c r="AH245" s="1053"/>
      <c r="AI245" s="1053"/>
      <c r="AJ245" s="1053"/>
      <c r="AK245" s="1053"/>
      <c r="AL245" s="1053"/>
      <c r="AM245" s="1053"/>
      <c r="AN245" s="1053"/>
      <c r="AO245" s="1053"/>
      <c r="AP245" s="1053"/>
      <c r="AQ245" s="1053"/>
      <c r="AR245" s="1053"/>
      <c r="AS245" s="1053"/>
      <c r="AT245" s="1053"/>
      <c r="AU245" s="1053"/>
      <c r="AV245" s="1053"/>
      <c r="AW245" s="1053"/>
      <c r="AX245" s="1053"/>
      <c r="AY245" s="1053"/>
      <c r="AZ245" s="1053"/>
    </row>
    <row r="246" spans="1:52">
      <c r="A246" s="1053"/>
      <c r="B246" s="1053"/>
      <c r="C246" s="1053"/>
      <c r="D246" s="1053"/>
      <c r="E246" s="1053"/>
      <c r="F246" s="1053"/>
      <c r="G246" s="1053"/>
      <c r="H246" s="1053"/>
      <c r="I246" s="1053"/>
      <c r="J246" s="1053"/>
      <c r="K246" s="1053"/>
      <c r="L246" s="1053"/>
      <c r="M246" s="1053"/>
      <c r="N246" s="1053"/>
      <c r="O246" s="1053"/>
      <c r="P246" s="1053"/>
      <c r="Q246" s="1053"/>
      <c r="R246" s="1053"/>
      <c r="S246" s="1053"/>
      <c r="T246" s="1053"/>
      <c r="U246" s="1053"/>
      <c r="V246" s="1053"/>
      <c r="W246" s="1053"/>
      <c r="X246" s="1053"/>
      <c r="Y246" s="1053"/>
      <c r="Z246" s="1053"/>
      <c r="AA246" s="1053"/>
      <c r="AB246" s="1053"/>
      <c r="AC246" s="1053"/>
      <c r="AD246" s="1053"/>
      <c r="AE246" s="1053"/>
      <c r="AF246" s="1053"/>
      <c r="AG246" s="1053"/>
      <c r="AH246" s="1053"/>
      <c r="AI246" s="1053"/>
      <c r="AJ246" s="1053"/>
      <c r="AK246" s="1053"/>
      <c r="AL246" s="1053"/>
      <c r="AM246" s="1053"/>
      <c r="AN246" s="1053"/>
      <c r="AO246" s="1053"/>
      <c r="AP246" s="1053"/>
      <c r="AQ246" s="1053"/>
      <c r="AR246" s="1053"/>
      <c r="AS246" s="1053"/>
      <c r="AT246" s="1053"/>
      <c r="AU246" s="1053"/>
      <c r="AV246" s="1053"/>
      <c r="AW246" s="1053"/>
      <c r="AX246" s="1053"/>
      <c r="AY246" s="1053"/>
      <c r="AZ246" s="1053"/>
    </row>
    <row r="247" spans="1:52">
      <c r="A247" s="1053"/>
      <c r="B247" s="1053"/>
      <c r="C247" s="1053"/>
      <c r="D247" s="1053"/>
      <c r="E247" s="1053"/>
      <c r="F247" s="1053"/>
      <c r="G247" s="1053"/>
      <c r="H247" s="1053"/>
      <c r="I247" s="1053"/>
      <c r="J247" s="1053"/>
      <c r="K247" s="1053"/>
      <c r="L247" s="1053"/>
      <c r="M247" s="1053"/>
      <c r="N247" s="1053"/>
      <c r="O247" s="1053"/>
      <c r="P247" s="1053"/>
      <c r="Q247" s="1053"/>
      <c r="R247" s="1053"/>
      <c r="S247" s="1053"/>
      <c r="T247" s="1053"/>
      <c r="U247" s="1053"/>
      <c r="V247" s="1053"/>
      <c r="W247" s="1053"/>
      <c r="X247" s="1053"/>
      <c r="Y247" s="1053"/>
      <c r="Z247" s="1053"/>
      <c r="AA247" s="1053"/>
      <c r="AB247" s="1053"/>
      <c r="AC247" s="1053"/>
      <c r="AD247" s="1053"/>
      <c r="AE247" s="1053"/>
      <c r="AF247" s="1053"/>
      <c r="AG247" s="1053"/>
      <c r="AH247" s="1053"/>
      <c r="AI247" s="1053"/>
      <c r="AJ247" s="1053"/>
      <c r="AK247" s="1053"/>
      <c r="AL247" s="1053"/>
      <c r="AM247" s="1053"/>
      <c r="AN247" s="1053"/>
      <c r="AO247" s="1053"/>
      <c r="AP247" s="1053"/>
      <c r="AQ247" s="1053"/>
      <c r="AR247" s="1053"/>
      <c r="AS247" s="1053"/>
      <c r="AT247" s="1053"/>
      <c r="AU247" s="1053"/>
      <c r="AV247" s="1053"/>
      <c r="AW247" s="1053"/>
      <c r="AX247" s="1053"/>
      <c r="AY247" s="1053"/>
      <c r="AZ247" s="1053"/>
    </row>
    <row r="248" spans="1:52">
      <c r="A248" s="1053"/>
      <c r="B248" s="1053"/>
      <c r="C248" s="1053"/>
      <c r="D248" s="1053"/>
      <c r="E248" s="1053"/>
      <c r="F248" s="1053"/>
      <c r="G248" s="1053"/>
      <c r="H248" s="1053"/>
      <c r="I248" s="1053"/>
      <c r="J248" s="1053"/>
      <c r="K248" s="1053"/>
      <c r="L248" s="1053"/>
      <c r="M248" s="1053"/>
      <c r="N248" s="1053"/>
      <c r="O248" s="1053"/>
      <c r="P248" s="1053"/>
      <c r="Q248" s="1053"/>
      <c r="R248" s="1053"/>
      <c r="S248" s="1053"/>
      <c r="T248" s="1053"/>
      <c r="U248" s="1053"/>
      <c r="V248" s="1053"/>
      <c r="W248" s="1053"/>
      <c r="X248" s="1053"/>
      <c r="Y248" s="1053"/>
      <c r="Z248" s="1053"/>
      <c r="AA248" s="1053"/>
      <c r="AB248" s="1053"/>
      <c r="AC248" s="1053"/>
      <c r="AD248" s="1053"/>
      <c r="AE248" s="1053"/>
      <c r="AF248" s="1053"/>
      <c r="AG248" s="1053"/>
      <c r="AH248" s="1053"/>
      <c r="AI248" s="1053"/>
      <c r="AJ248" s="1053"/>
      <c r="AK248" s="1053"/>
      <c r="AL248" s="1053"/>
      <c r="AM248" s="1053"/>
      <c r="AN248" s="1053"/>
      <c r="AO248" s="1053"/>
      <c r="AP248" s="1053"/>
      <c r="AQ248" s="1053"/>
      <c r="AR248" s="1053"/>
      <c r="AS248" s="1053"/>
      <c r="AT248" s="1053"/>
      <c r="AU248" s="1053"/>
      <c r="AV248" s="1053"/>
      <c r="AW248" s="1053"/>
      <c r="AX248" s="1053"/>
      <c r="AY248" s="1053"/>
      <c r="AZ248" s="1053"/>
    </row>
    <row r="249" spans="1:52">
      <c r="A249" s="1053"/>
      <c r="B249" s="1053"/>
      <c r="C249" s="1053"/>
      <c r="D249" s="1053"/>
      <c r="E249" s="1053"/>
      <c r="F249" s="1053"/>
      <c r="G249" s="1053"/>
      <c r="H249" s="1053"/>
      <c r="I249" s="1053"/>
      <c r="J249" s="1053"/>
      <c r="K249" s="1053"/>
      <c r="L249" s="1053"/>
      <c r="M249" s="1053"/>
      <c r="N249" s="1053"/>
      <c r="O249" s="1053"/>
      <c r="P249" s="1053"/>
      <c r="Q249" s="1053"/>
      <c r="R249" s="1053"/>
      <c r="S249" s="1053"/>
      <c r="T249" s="1053"/>
      <c r="U249" s="1053"/>
      <c r="V249" s="1053"/>
      <c r="W249" s="1053"/>
      <c r="X249" s="1053"/>
      <c r="Y249" s="1053"/>
      <c r="Z249" s="1053"/>
      <c r="AA249" s="1053"/>
      <c r="AB249" s="1053"/>
      <c r="AC249" s="1053"/>
      <c r="AD249" s="1053"/>
      <c r="AE249" s="1053"/>
      <c r="AF249" s="1053"/>
      <c r="AG249" s="1053"/>
      <c r="AH249" s="1053"/>
      <c r="AI249" s="1053"/>
      <c r="AJ249" s="1053"/>
      <c r="AK249" s="1053"/>
      <c r="AL249" s="1053"/>
      <c r="AM249" s="1053"/>
      <c r="AN249" s="1053"/>
      <c r="AO249" s="1053"/>
      <c r="AP249" s="1053"/>
      <c r="AQ249" s="1053"/>
      <c r="AR249" s="1053"/>
      <c r="AS249" s="1053"/>
      <c r="AT249" s="1053"/>
      <c r="AU249" s="1053"/>
      <c r="AV249" s="1053"/>
      <c r="AW249" s="1053"/>
      <c r="AX249" s="1053"/>
      <c r="AY249" s="1053"/>
      <c r="AZ249" s="1053"/>
    </row>
    <row r="250" spans="1:52">
      <c r="A250" s="1053"/>
      <c r="B250" s="1053"/>
      <c r="C250" s="1053"/>
      <c r="D250" s="1053"/>
      <c r="E250" s="1053"/>
      <c r="F250" s="1053"/>
      <c r="G250" s="1053"/>
      <c r="H250" s="1053"/>
      <c r="I250" s="1053"/>
      <c r="J250" s="1053"/>
      <c r="K250" s="1053"/>
      <c r="L250" s="1053"/>
      <c r="M250" s="1053"/>
      <c r="N250" s="1053"/>
      <c r="O250" s="1053"/>
      <c r="P250" s="1053"/>
      <c r="Q250" s="1053"/>
      <c r="R250" s="1053"/>
      <c r="S250" s="1053"/>
      <c r="T250" s="1053"/>
      <c r="U250" s="1053"/>
      <c r="V250" s="1053"/>
      <c r="W250" s="1053"/>
      <c r="X250" s="1053"/>
      <c r="Y250" s="1053"/>
      <c r="Z250" s="1053"/>
      <c r="AA250" s="1053"/>
      <c r="AB250" s="1053"/>
      <c r="AC250" s="1053"/>
      <c r="AD250" s="1053"/>
      <c r="AE250" s="1053"/>
      <c r="AF250" s="1053"/>
      <c r="AG250" s="1053"/>
      <c r="AH250" s="1053"/>
      <c r="AI250" s="1053"/>
      <c r="AJ250" s="1053"/>
      <c r="AK250" s="1053"/>
      <c r="AL250" s="1053"/>
      <c r="AM250" s="1053"/>
      <c r="AN250" s="1053"/>
      <c r="AO250" s="1053"/>
      <c r="AP250" s="1053"/>
      <c r="AQ250" s="1053"/>
      <c r="AR250" s="1053"/>
      <c r="AS250" s="1053"/>
      <c r="AT250" s="1053"/>
      <c r="AU250" s="1053"/>
      <c r="AV250" s="1053"/>
      <c r="AW250" s="1053"/>
      <c r="AX250" s="1053"/>
      <c r="AY250" s="1053"/>
      <c r="AZ250" s="1053"/>
    </row>
    <row r="251" spans="1:52">
      <c r="A251" s="1053"/>
      <c r="B251" s="1053"/>
      <c r="C251" s="1053"/>
      <c r="D251" s="1053"/>
      <c r="E251" s="1053"/>
      <c r="F251" s="1053"/>
      <c r="G251" s="1053"/>
      <c r="H251" s="1053"/>
      <c r="I251" s="1053"/>
      <c r="J251" s="1053"/>
      <c r="K251" s="1053"/>
      <c r="L251" s="1053"/>
      <c r="M251" s="1053"/>
      <c r="N251" s="1053"/>
      <c r="O251" s="1053"/>
      <c r="P251" s="1053"/>
      <c r="Q251" s="1053"/>
      <c r="R251" s="1053"/>
      <c r="S251" s="1053"/>
      <c r="T251" s="1053"/>
      <c r="U251" s="1053"/>
      <c r="V251" s="1053"/>
      <c r="W251" s="1053"/>
      <c r="X251" s="1053"/>
      <c r="Y251" s="1053"/>
      <c r="Z251" s="1053"/>
      <c r="AA251" s="1053"/>
      <c r="AB251" s="1053"/>
      <c r="AC251" s="1053"/>
      <c r="AD251" s="1053"/>
      <c r="AE251" s="1053"/>
      <c r="AF251" s="1053"/>
      <c r="AG251" s="1053"/>
      <c r="AH251" s="1053"/>
      <c r="AI251" s="1053"/>
      <c r="AJ251" s="1053"/>
      <c r="AK251" s="1053"/>
      <c r="AL251" s="1053"/>
      <c r="AM251" s="1053"/>
      <c r="AN251" s="1053"/>
      <c r="AO251" s="1053"/>
      <c r="AP251" s="1053"/>
      <c r="AQ251" s="1053"/>
      <c r="AR251" s="1053"/>
      <c r="AS251" s="1053"/>
      <c r="AT251" s="1053"/>
      <c r="AU251" s="1053"/>
      <c r="AV251" s="1053"/>
      <c r="AW251" s="1053"/>
      <c r="AX251" s="1053"/>
      <c r="AY251" s="1053"/>
      <c r="AZ251" s="1053"/>
    </row>
    <row r="252" spans="1:52">
      <c r="A252" s="1053"/>
      <c r="B252" s="1053"/>
      <c r="C252" s="1053"/>
      <c r="D252" s="1053"/>
      <c r="E252" s="1053"/>
      <c r="F252" s="1053"/>
      <c r="G252" s="1053"/>
      <c r="H252" s="1053"/>
      <c r="I252" s="1053"/>
      <c r="J252" s="1053"/>
      <c r="K252" s="1053"/>
      <c r="L252" s="1053"/>
      <c r="M252" s="1053"/>
      <c r="N252" s="1053"/>
      <c r="O252" s="1053"/>
      <c r="P252" s="1053"/>
      <c r="Q252" s="1053"/>
      <c r="R252" s="1053"/>
      <c r="S252" s="1053"/>
      <c r="T252" s="1053"/>
      <c r="U252" s="1053"/>
      <c r="V252" s="1053"/>
      <c r="W252" s="1053"/>
      <c r="X252" s="1053"/>
      <c r="Y252" s="1053"/>
      <c r="Z252" s="1053"/>
      <c r="AA252" s="1053"/>
      <c r="AB252" s="1053"/>
      <c r="AC252" s="1053"/>
      <c r="AD252" s="1053"/>
      <c r="AE252" s="1053"/>
      <c r="AF252" s="1053"/>
      <c r="AG252" s="1053"/>
      <c r="AH252" s="1053"/>
      <c r="AI252" s="1053"/>
      <c r="AJ252" s="1053"/>
      <c r="AK252" s="1053"/>
      <c r="AL252" s="1053"/>
      <c r="AM252" s="1053"/>
      <c r="AN252" s="1053"/>
      <c r="AO252" s="1053"/>
      <c r="AP252" s="1053"/>
      <c r="AQ252" s="1053"/>
      <c r="AR252" s="1053"/>
      <c r="AS252" s="1053"/>
      <c r="AT252" s="1053"/>
      <c r="AU252" s="1053"/>
      <c r="AV252" s="1053"/>
      <c r="AW252" s="1053"/>
      <c r="AX252" s="1053"/>
      <c r="AY252" s="1053"/>
      <c r="AZ252" s="1053"/>
    </row>
    <row r="253" spans="1:52">
      <c r="A253" s="1053"/>
      <c r="B253" s="1053"/>
      <c r="C253" s="1053"/>
      <c r="D253" s="1053"/>
      <c r="E253" s="1053"/>
      <c r="F253" s="1053"/>
      <c r="G253" s="1053"/>
      <c r="H253" s="1053"/>
      <c r="I253" s="1053"/>
      <c r="J253" s="1053"/>
      <c r="K253" s="1053"/>
      <c r="L253" s="1053"/>
      <c r="M253" s="1053"/>
      <c r="N253" s="1053"/>
      <c r="O253" s="1053"/>
      <c r="P253" s="1053"/>
      <c r="Q253" s="1053"/>
      <c r="R253" s="1053"/>
      <c r="S253" s="1053"/>
      <c r="T253" s="1053"/>
      <c r="U253" s="1053"/>
      <c r="V253" s="1053"/>
      <c r="W253" s="1053"/>
      <c r="X253" s="1053"/>
      <c r="Y253" s="1053"/>
      <c r="Z253" s="1053"/>
      <c r="AA253" s="1053"/>
      <c r="AB253" s="1053"/>
      <c r="AC253" s="1053"/>
      <c r="AD253" s="1053"/>
      <c r="AE253" s="1053"/>
      <c r="AF253" s="1053"/>
      <c r="AG253" s="1053"/>
      <c r="AH253" s="1053"/>
      <c r="AI253" s="1053"/>
      <c r="AJ253" s="1053"/>
      <c r="AK253" s="1053"/>
      <c r="AL253" s="1053"/>
      <c r="AM253" s="1053"/>
      <c r="AN253" s="1053"/>
      <c r="AO253" s="1053"/>
      <c r="AP253" s="1053"/>
      <c r="AQ253" s="1053"/>
      <c r="AR253" s="1053"/>
      <c r="AS253" s="1053"/>
      <c r="AT253" s="1053"/>
      <c r="AU253" s="1053"/>
      <c r="AV253" s="1053"/>
      <c r="AW253" s="1053"/>
      <c r="AX253" s="1053"/>
      <c r="AY253" s="1053"/>
      <c r="AZ253" s="1053"/>
    </row>
    <row r="254" spans="1:52">
      <c r="A254" s="1053"/>
      <c r="B254" s="1053"/>
      <c r="C254" s="1053"/>
      <c r="D254" s="1053"/>
      <c r="E254" s="1053"/>
      <c r="F254" s="1053"/>
      <c r="G254" s="1053"/>
      <c r="H254" s="1053"/>
      <c r="I254" s="1053"/>
      <c r="J254" s="1053"/>
      <c r="K254" s="1053"/>
      <c r="L254" s="1053"/>
      <c r="M254" s="1053"/>
      <c r="N254" s="1053"/>
      <c r="O254" s="1053"/>
      <c r="P254" s="1053"/>
      <c r="Q254" s="1053"/>
      <c r="R254" s="1053"/>
      <c r="S254" s="1053"/>
      <c r="T254" s="1053"/>
      <c r="U254" s="1053"/>
      <c r="V254" s="1053"/>
      <c r="W254" s="1053"/>
      <c r="X254" s="1053"/>
      <c r="Y254" s="1053"/>
      <c r="Z254" s="1053"/>
      <c r="AA254" s="1053"/>
      <c r="AB254" s="1053"/>
      <c r="AC254" s="1053"/>
      <c r="AD254" s="1053"/>
      <c r="AE254" s="1053"/>
      <c r="AF254" s="1053"/>
      <c r="AG254" s="1053"/>
      <c r="AH254" s="1053"/>
      <c r="AI254" s="1053"/>
      <c r="AJ254" s="1053"/>
      <c r="AK254" s="1053"/>
      <c r="AL254" s="1053"/>
      <c r="AM254" s="1053"/>
      <c r="AN254" s="1053"/>
      <c r="AO254" s="1053"/>
      <c r="AP254" s="1053"/>
      <c r="AQ254" s="1053"/>
      <c r="AR254" s="1053"/>
      <c r="AS254" s="1053"/>
      <c r="AT254" s="1053"/>
      <c r="AU254" s="1053"/>
      <c r="AV254" s="1053"/>
      <c r="AW254" s="1053"/>
      <c r="AX254" s="1053"/>
      <c r="AY254" s="1053"/>
      <c r="AZ254" s="1053"/>
    </row>
    <row r="255" spans="1:52">
      <c r="A255" s="1053"/>
      <c r="B255" s="1053"/>
      <c r="C255" s="1053"/>
      <c r="D255" s="1053"/>
      <c r="E255" s="1053"/>
      <c r="F255" s="1053"/>
      <c r="G255" s="1053"/>
      <c r="H255" s="1053"/>
      <c r="I255" s="1053"/>
      <c r="J255" s="1053"/>
      <c r="K255" s="1053"/>
      <c r="L255" s="1053"/>
      <c r="M255" s="1053"/>
      <c r="N255" s="1053"/>
      <c r="O255" s="1053"/>
      <c r="P255" s="1053"/>
      <c r="Q255" s="1053"/>
      <c r="R255" s="1053"/>
      <c r="S255" s="1053"/>
      <c r="T255" s="1053"/>
      <c r="U255" s="1053"/>
      <c r="V255" s="1053"/>
      <c r="W255" s="1053"/>
      <c r="X255" s="1053"/>
      <c r="Y255" s="1053"/>
      <c r="Z255" s="1053"/>
      <c r="AA255" s="1053"/>
      <c r="AB255" s="1053"/>
      <c r="AC255" s="1053"/>
      <c r="AD255" s="1053"/>
      <c r="AE255" s="1053"/>
      <c r="AF255" s="1053"/>
      <c r="AG255" s="1053"/>
      <c r="AH255" s="1053"/>
      <c r="AI255" s="1053"/>
      <c r="AJ255" s="1053"/>
      <c r="AK255" s="1053"/>
      <c r="AL255" s="1053"/>
      <c r="AM255" s="1053"/>
      <c r="AN255" s="1053"/>
      <c r="AO255" s="1053"/>
      <c r="AP255" s="1053"/>
      <c r="AQ255" s="1053"/>
      <c r="AR255" s="1053"/>
      <c r="AS255" s="1053"/>
      <c r="AT255" s="1053"/>
      <c r="AU255" s="1053"/>
      <c r="AV255" s="1053"/>
      <c r="AW255" s="1053"/>
      <c r="AX255" s="1053"/>
      <c r="AY255" s="1053"/>
      <c r="AZ255" s="1053"/>
    </row>
    <row r="256" spans="1:52">
      <c r="A256" s="1053"/>
      <c r="B256" s="1053"/>
      <c r="C256" s="1053"/>
      <c r="D256" s="1053"/>
      <c r="E256" s="1053"/>
      <c r="F256" s="1053"/>
      <c r="G256" s="1053"/>
      <c r="H256" s="1053"/>
      <c r="I256" s="1053"/>
      <c r="J256" s="1053"/>
      <c r="K256" s="1053"/>
      <c r="L256" s="1053"/>
      <c r="M256" s="1053"/>
      <c r="N256" s="1053"/>
      <c r="O256" s="1053"/>
      <c r="P256" s="1053"/>
      <c r="Q256" s="1053"/>
      <c r="R256" s="1053"/>
      <c r="S256" s="1053"/>
      <c r="T256" s="1053"/>
      <c r="U256" s="1053"/>
      <c r="V256" s="1053"/>
      <c r="W256" s="1053"/>
      <c r="X256" s="1053"/>
      <c r="Y256" s="1053"/>
      <c r="Z256" s="1053"/>
      <c r="AA256" s="1053"/>
      <c r="AB256" s="1053"/>
      <c r="AC256" s="1053"/>
      <c r="AD256" s="1053"/>
      <c r="AE256" s="1053"/>
      <c r="AF256" s="1053"/>
      <c r="AG256" s="1053"/>
      <c r="AH256" s="1053"/>
      <c r="AI256" s="1053"/>
      <c r="AJ256" s="1053"/>
      <c r="AK256" s="1053"/>
      <c r="AL256" s="1053"/>
      <c r="AM256" s="1053"/>
      <c r="AN256" s="1053"/>
      <c r="AO256" s="1053"/>
      <c r="AP256" s="1053"/>
      <c r="AQ256" s="1053"/>
      <c r="AR256" s="1053"/>
      <c r="AS256" s="1053"/>
      <c r="AT256" s="1053"/>
      <c r="AU256" s="1053"/>
      <c r="AV256" s="1053"/>
      <c r="AW256" s="1053"/>
      <c r="AX256" s="1053"/>
      <c r="AY256" s="1053"/>
      <c r="AZ256" s="1053"/>
    </row>
    <row r="257" spans="1:52">
      <c r="A257" s="1053"/>
      <c r="B257" s="1053"/>
      <c r="C257" s="1053"/>
      <c r="D257" s="1053"/>
      <c r="E257" s="1053"/>
      <c r="F257" s="1053"/>
      <c r="G257" s="1053"/>
      <c r="H257" s="1053"/>
      <c r="I257" s="1053"/>
      <c r="J257" s="1053"/>
      <c r="K257" s="1053"/>
      <c r="L257" s="1053"/>
      <c r="M257" s="1053"/>
      <c r="N257" s="1053"/>
      <c r="O257" s="1053"/>
      <c r="P257" s="1053"/>
      <c r="Q257" s="1053"/>
      <c r="R257" s="1053"/>
      <c r="S257" s="1053"/>
      <c r="T257" s="1053"/>
      <c r="U257" s="1053"/>
      <c r="V257" s="1053"/>
      <c r="W257" s="1053"/>
      <c r="X257" s="1053"/>
      <c r="Y257" s="1053"/>
      <c r="Z257" s="1053"/>
      <c r="AA257" s="1053"/>
      <c r="AB257" s="1053"/>
      <c r="AC257" s="1053"/>
      <c r="AD257" s="1053"/>
      <c r="AE257" s="1053"/>
      <c r="AF257" s="1053"/>
      <c r="AG257" s="1053"/>
      <c r="AH257" s="1053"/>
      <c r="AI257" s="1053"/>
      <c r="AJ257" s="1053"/>
      <c r="AK257" s="1053"/>
      <c r="AL257" s="1053"/>
      <c r="AM257" s="1053"/>
      <c r="AN257" s="1053"/>
      <c r="AO257" s="1053"/>
      <c r="AP257" s="1053"/>
      <c r="AQ257" s="1053"/>
      <c r="AR257" s="1053"/>
      <c r="AS257" s="1053"/>
      <c r="AT257" s="1053"/>
      <c r="AU257" s="1053"/>
      <c r="AV257" s="1053"/>
      <c r="AW257" s="1053"/>
      <c r="AX257" s="1053"/>
      <c r="AY257" s="1053"/>
      <c r="AZ257" s="1053"/>
    </row>
    <row r="258" spans="1:52">
      <c r="A258" s="1053"/>
      <c r="B258" s="1053"/>
      <c r="C258" s="1053"/>
      <c r="D258" s="1053"/>
      <c r="E258" s="1053"/>
      <c r="F258" s="1053"/>
      <c r="G258" s="1053"/>
      <c r="H258" s="1053"/>
      <c r="I258" s="1053"/>
      <c r="J258" s="1053"/>
      <c r="K258" s="1053"/>
      <c r="L258" s="1053"/>
      <c r="M258" s="1053"/>
      <c r="N258" s="1053"/>
      <c r="O258" s="1053"/>
      <c r="P258" s="1053"/>
      <c r="Q258" s="1053"/>
      <c r="R258" s="1053"/>
      <c r="S258" s="1053"/>
      <c r="T258" s="1053"/>
      <c r="U258" s="1053"/>
      <c r="V258" s="1053"/>
      <c r="W258" s="1053"/>
      <c r="X258" s="1053"/>
      <c r="Y258" s="1053"/>
      <c r="Z258" s="1053"/>
      <c r="AA258" s="1053"/>
      <c r="AB258" s="1053"/>
      <c r="AC258" s="1053"/>
      <c r="AD258" s="1053"/>
      <c r="AE258" s="1053"/>
      <c r="AF258" s="1053"/>
      <c r="AG258" s="1053"/>
      <c r="AH258" s="1053"/>
      <c r="AI258" s="1053"/>
      <c r="AJ258" s="1053"/>
      <c r="AK258" s="1053"/>
      <c r="AL258" s="1053"/>
      <c r="AM258" s="1053"/>
      <c r="AN258" s="1053"/>
      <c r="AO258" s="1053"/>
      <c r="AP258" s="1053"/>
      <c r="AQ258" s="1053"/>
      <c r="AR258" s="1053"/>
      <c r="AS258" s="1053"/>
      <c r="AT258" s="1053"/>
      <c r="AU258" s="1053"/>
      <c r="AV258" s="1053"/>
      <c r="AW258" s="1053"/>
      <c r="AX258" s="1053"/>
      <c r="AY258" s="1053"/>
      <c r="AZ258" s="1053"/>
    </row>
    <row r="259" spans="1:52">
      <c r="A259" s="1053"/>
      <c r="B259" s="1053"/>
      <c r="C259" s="1053"/>
      <c r="D259" s="1053"/>
      <c r="E259" s="1053"/>
      <c r="F259" s="1053"/>
      <c r="G259" s="1053"/>
      <c r="H259" s="1053"/>
      <c r="I259" s="1053"/>
      <c r="J259" s="1053"/>
      <c r="K259" s="1053"/>
      <c r="L259" s="1053"/>
      <c r="M259" s="1053"/>
      <c r="N259" s="1053"/>
      <c r="O259" s="1053"/>
      <c r="P259" s="1053"/>
      <c r="Q259" s="1053"/>
      <c r="R259" s="1053"/>
      <c r="S259" s="1053"/>
      <c r="T259" s="1053"/>
      <c r="U259" s="1053"/>
      <c r="V259" s="1053"/>
      <c r="W259" s="1053"/>
      <c r="X259" s="1053"/>
      <c r="Y259" s="1053"/>
      <c r="Z259" s="1053"/>
      <c r="AA259" s="1053"/>
      <c r="AB259" s="1053"/>
      <c r="AC259" s="1053"/>
      <c r="AD259" s="1053"/>
      <c r="AE259" s="1053"/>
      <c r="AF259" s="1053"/>
      <c r="AG259" s="1053"/>
      <c r="AH259" s="1053"/>
      <c r="AI259" s="1053"/>
      <c r="AJ259" s="1053"/>
      <c r="AK259" s="1053"/>
      <c r="AL259" s="1053"/>
      <c r="AM259" s="1053"/>
      <c r="AN259" s="1053"/>
      <c r="AO259" s="1053"/>
      <c r="AP259" s="1053"/>
      <c r="AQ259" s="1053"/>
      <c r="AR259" s="1053"/>
      <c r="AS259" s="1053"/>
      <c r="AT259" s="1053"/>
      <c r="AU259" s="1053"/>
      <c r="AV259" s="1053"/>
      <c r="AW259" s="1053"/>
      <c r="AX259" s="1053"/>
      <c r="AY259" s="1053"/>
      <c r="AZ259" s="1053"/>
    </row>
    <row r="260" spans="1:52">
      <c r="A260" s="1053"/>
      <c r="B260" s="1053"/>
      <c r="C260" s="1053"/>
      <c r="D260" s="1053"/>
      <c r="E260" s="1053"/>
      <c r="F260" s="1053"/>
      <c r="G260" s="1053"/>
      <c r="H260" s="1053"/>
      <c r="I260" s="1053"/>
      <c r="J260" s="1053"/>
      <c r="K260" s="1053"/>
      <c r="L260" s="1053"/>
      <c r="M260" s="1053"/>
      <c r="N260" s="1053"/>
      <c r="O260" s="1053"/>
      <c r="P260" s="1053"/>
      <c r="Q260" s="1053"/>
      <c r="R260" s="1053"/>
      <c r="S260" s="1053"/>
      <c r="T260" s="1053"/>
      <c r="U260" s="1053"/>
      <c r="V260" s="1053"/>
      <c r="W260" s="1053"/>
      <c r="X260" s="1053"/>
      <c r="Y260" s="1053"/>
      <c r="Z260" s="1053"/>
      <c r="AA260" s="1053"/>
      <c r="AB260" s="1053"/>
      <c r="AC260" s="1053"/>
      <c r="AD260" s="1053"/>
      <c r="AE260" s="1053"/>
      <c r="AF260" s="1053"/>
      <c r="AG260" s="1053"/>
      <c r="AH260" s="1053"/>
      <c r="AI260" s="1053"/>
      <c r="AJ260" s="1053"/>
      <c r="AK260" s="1053"/>
      <c r="AL260" s="1053"/>
      <c r="AM260" s="1053"/>
      <c r="AN260" s="1053"/>
      <c r="AO260" s="1053"/>
      <c r="AP260" s="1053"/>
      <c r="AQ260" s="1053"/>
      <c r="AR260" s="1053"/>
      <c r="AS260" s="1053"/>
      <c r="AT260" s="1053"/>
      <c r="AU260" s="1053"/>
      <c r="AV260" s="1053"/>
      <c r="AW260" s="1053"/>
      <c r="AX260" s="1053"/>
      <c r="AY260" s="1053"/>
      <c r="AZ260" s="1053"/>
    </row>
    <row r="261" spans="1:52">
      <c r="A261" s="1053"/>
      <c r="B261" s="1053"/>
      <c r="C261" s="1053"/>
      <c r="D261" s="1053"/>
      <c r="E261" s="1053"/>
      <c r="F261" s="1053"/>
      <c r="G261" s="1053"/>
      <c r="H261" s="1053"/>
      <c r="I261" s="1053"/>
      <c r="J261" s="1053"/>
      <c r="K261" s="1053"/>
      <c r="L261" s="1053"/>
      <c r="M261" s="1053"/>
      <c r="N261" s="1053"/>
      <c r="O261" s="1053"/>
      <c r="P261" s="1053"/>
      <c r="Q261" s="1053"/>
      <c r="R261" s="1053"/>
      <c r="S261" s="1053"/>
      <c r="T261" s="1053"/>
      <c r="U261" s="1053"/>
      <c r="V261" s="1053"/>
      <c r="W261" s="1053"/>
      <c r="X261" s="1053"/>
      <c r="Y261" s="1053"/>
      <c r="Z261" s="1053"/>
      <c r="AA261" s="1053"/>
      <c r="AB261" s="1053"/>
      <c r="AC261" s="1053"/>
      <c r="AD261" s="1053"/>
      <c r="AE261" s="1053"/>
      <c r="AF261" s="1053"/>
      <c r="AG261" s="1053"/>
      <c r="AH261" s="1053"/>
      <c r="AI261" s="1053"/>
      <c r="AJ261" s="1053"/>
      <c r="AK261" s="1053"/>
      <c r="AL261" s="1053"/>
      <c r="AM261" s="1053"/>
      <c r="AN261" s="1053"/>
      <c r="AO261" s="1053"/>
      <c r="AP261" s="1053"/>
      <c r="AQ261" s="1053"/>
      <c r="AR261" s="1053"/>
      <c r="AS261" s="1053"/>
      <c r="AT261" s="1053"/>
      <c r="AU261" s="1053"/>
      <c r="AV261" s="1053"/>
      <c r="AW261" s="1053"/>
      <c r="AX261" s="1053"/>
      <c r="AY261" s="1053"/>
      <c r="AZ261" s="1053"/>
    </row>
    <row r="262" spans="1:52">
      <c r="A262" s="1053"/>
      <c r="B262" s="1053"/>
      <c r="C262" s="1053"/>
      <c r="D262" s="1053"/>
      <c r="E262" s="1053"/>
      <c r="F262" s="1053"/>
      <c r="G262" s="1053"/>
      <c r="H262" s="1053"/>
      <c r="I262" s="1053"/>
      <c r="J262" s="1053"/>
      <c r="K262" s="1053"/>
      <c r="L262" s="1053"/>
      <c r="M262" s="1053"/>
      <c r="N262" s="1053"/>
      <c r="O262" s="1053"/>
      <c r="P262" s="1053"/>
      <c r="Q262" s="1053"/>
      <c r="R262" s="1053"/>
      <c r="S262" s="1053"/>
      <c r="T262" s="1053"/>
      <c r="U262" s="1053"/>
      <c r="V262" s="1053"/>
      <c r="W262" s="1053"/>
      <c r="X262" s="1053"/>
      <c r="Y262" s="1053"/>
      <c r="Z262" s="1053"/>
      <c r="AA262" s="1053"/>
      <c r="AB262" s="1053"/>
      <c r="AC262" s="1053"/>
      <c r="AD262" s="1053"/>
      <c r="AE262" s="1053"/>
      <c r="AF262" s="1053"/>
      <c r="AG262" s="1053"/>
      <c r="AH262" s="1053"/>
      <c r="AI262" s="1053"/>
      <c r="AJ262" s="1053"/>
      <c r="AK262" s="1053"/>
      <c r="AL262" s="1053"/>
      <c r="AM262" s="1053"/>
      <c r="AN262" s="1053"/>
      <c r="AO262" s="1053"/>
      <c r="AP262" s="1053"/>
      <c r="AQ262" s="1053"/>
      <c r="AR262" s="1053"/>
      <c r="AS262" s="1053"/>
      <c r="AT262" s="1053"/>
      <c r="AU262" s="1053"/>
      <c r="AV262" s="1053"/>
      <c r="AW262" s="1053"/>
      <c r="AX262" s="1053"/>
      <c r="AY262" s="1053"/>
      <c r="AZ262" s="1053"/>
    </row>
    <row r="263" spans="1:52">
      <c r="A263" s="1053"/>
      <c r="B263" s="1053"/>
      <c r="C263" s="1053"/>
      <c r="D263" s="1053"/>
      <c r="E263" s="1053"/>
      <c r="F263" s="1053"/>
      <c r="G263" s="1053"/>
      <c r="H263" s="1053"/>
      <c r="I263" s="1053"/>
      <c r="J263" s="1053"/>
      <c r="K263" s="1053"/>
      <c r="L263" s="1053"/>
      <c r="M263" s="1053"/>
      <c r="N263" s="1053"/>
      <c r="O263" s="1053"/>
      <c r="P263" s="1053"/>
      <c r="Q263" s="1053"/>
      <c r="R263" s="1053"/>
      <c r="S263" s="1053"/>
      <c r="T263" s="1053"/>
      <c r="U263" s="1053"/>
      <c r="V263" s="1053"/>
      <c r="W263" s="1053"/>
      <c r="X263" s="1053"/>
      <c r="Y263" s="1053"/>
      <c r="Z263" s="1053"/>
      <c r="AA263" s="1053"/>
      <c r="AB263" s="1053"/>
      <c r="AC263" s="1053"/>
      <c r="AD263" s="1053"/>
      <c r="AE263" s="1053"/>
      <c r="AF263" s="1053"/>
      <c r="AG263" s="1053"/>
      <c r="AH263" s="1053"/>
      <c r="AI263" s="1053"/>
      <c r="AJ263" s="1053"/>
      <c r="AK263" s="1053"/>
      <c r="AL263" s="1053"/>
      <c r="AM263" s="1053"/>
      <c r="AN263" s="1053"/>
      <c r="AO263" s="1053"/>
      <c r="AP263" s="1053"/>
      <c r="AQ263" s="1053"/>
      <c r="AR263" s="1053"/>
      <c r="AS263" s="1053"/>
      <c r="AT263" s="1053"/>
      <c r="AU263" s="1053"/>
      <c r="AV263" s="1053"/>
      <c r="AW263" s="1053"/>
      <c r="AX263" s="1053"/>
      <c r="AY263" s="1053"/>
      <c r="AZ263" s="1053"/>
    </row>
    <row r="264" spans="1:52">
      <c r="A264" s="1053"/>
      <c r="B264" s="1053"/>
      <c r="C264" s="1053"/>
      <c r="D264" s="1053"/>
      <c r="E264" s="1053"/>
      <c r="F264" s="1053"/>
      <c r="G264" s="1053"/>
      <c r="H264" s="1053"/>
      <c r="I264" s="1053"/>
      <c r="J264" s="1053"/>
      <c r="K264" s="1053"/>
      <c r="L264" s="1053"/>
      <c r="M264" s="1053"/>
      <c r="N264" s="1053"/>
      <c r="O264" s="1053"/>
      <c r="P264" s="1053"/>
      <c r="Q264" s="1053"/>
      <c r="R264" s="1053"/>
      <c r="S264" s="1053"/>
      <c r="T264" s="1053"/>
      <c r="U264" s="1053"/>
      <c r="V264" s="1053"/>
      <c r="W264" s="1053"/>
      <c r="X264" s="1053"/>
      <c r="Y264" s="1053"/>
      <c r="Z264" s="1053"/>
      <c r="AA264" s="1053"/>
      <c r="AB264" s="1053"/>
      <c r="AC264" s="1053"/>
      <c r="AD264" s="1053"/>
      <c r="AE264" s="1053"/>
      <c r="AF264" s="1053"/>
      <c r="AG264" s="1053"/>
      <c r="AH264" s="1053"/>
      <c r="AI264" s="1053"/>
      <c r="AJ264" s="1053"/>
      <c r="AK264" s="1053"/>
      <c r="AL264" s="1053"/>
      <c r="AM264" s="1053"/>
      <c r="AN264" s="1053"/>
      <c r="AO264" s="1053"/>
      <c r="AP264" s="1053"/>
      <c r="AQ264" s="1053"/>
      <c r="AR264" s="1053"/>
      <c r="AS264" s="1053"/>
      <c r="AT264" s="1053"/>
      <c r="AU264" s="1053"/>
      <c r="AV264" s="1053"/>
      <c r="AW264" s="1053"/>
      <c r="AX264" s="1053"/>
      <c r="AY264" s="1053"/>
      <c r="AZ264" s="1053"/>
    </row>
    <row r="265" spans="1:52">
      <c r="A265" s="1053"/>
      <c r="B265" s="1053"/>
      <c r="C265" s="1053"/>
      <c r="D265" s="1053"/>
      <c r="E265" s="1053"/>
      <c r="F265" s="1053"/>
      <c r="G265" s="1053"/>
      <c r="H265" s="1053"/>
      <c r="I265" s="1053"/>
      <c r="J265" s="1053"/>
      <c r="K265" s="1053"/>
      <c r="L265" s="1053"/>
      <c r="M265" s="1053"/>
      <c r="N265" s="1053"/>
      <c r="O265" s="1053"/>
      <c r="P265" s="1053"/>
      <c r="Q265" s="1053"/>
      <c r="R265" s="1053"/>
      <c r="S265" s="1053"/>
      <c r="T265" s="1053"/>
      <c r="U265" s="1053"/>
      <c r="V265" s="1053"/>
      <c r="W265" s="1053"/>
      <c r="X265" s="1053"/>
      <c r="Y265" s="1053"/>
      <c r="Z265" s="1053"/>
      <c r="AA265" s="1053"/>
      <c r="AB265" s="1053"/>
      <c r="AC265" s="1053"/>
      <c r="AD265" s="1053"/>
      <c r="AE265" s="1053"/>
      <c r="AF265" s="1053"/>
      <c r="AG265" s="1053"/>
      <c r="AH265" s="1053"/>
      <c r="AI265" s="1053"/>
      <c r="AJ265" s="1053"/>
      <c r="AK265" s="1053"/>
      <c r="AL265" s="1053"/>
      <c r="AM265" s="1053"/>
      <c r="AN265" s="1053"/>
      <c r="AO265" s="1053"/>
      <c r="AP265" s="1053"/>
      <c r="AQ265" s="1053"/>
      <c r="AR265" s="1053"/>
      <c r="AS265" s="1053"/>
      <c r="AT265" s="1053"/>
      <c r="AU265" s="1053"/>
      <c r="AV265" s="1053"/>
      <c r="AW265" s="1053"/>
      <c r="AX265" s="1053"/>
      <c r="AY265" s="1053"/>
      <c r="AZ265" s="1053"/>
    </row>
    <row r="266" spans="1:52">
      <c r="A266" s="1053"/>
      <c r="B266" s="1053"/>
      <c r="C266" s="1053"/>
      <c r="D266" s="1053"/>
      <c r="E266" s="1053"/>
      <c r="F266" s="1053"/>
      <c r="G266" s="1053"/>
      <c r="H266" s="1053"/>
      <c r="I266" s="1053"/>
      <c r="J266" s="1053"/>
      <c r="K266" s="1053"/>
      <c r="L266" s="1053"/>
      <c r="M266" s="1053"/>
      <c r="N266" s="1053"/>
      <c r="O266" s="1053"/>
      <c r="P266" s="1053"/>
      <c r="Q266" s="1053"/>
      <c r="R266" s="1053"/>
      <c r="S266" s="1053"/>
      <c r="T266" s="1053"/>
      <c r="U266" s="1053"/>
      <c r="V266" s="1053"/>
      <c r="W266" s="1053"/>
      <c r="X266" s="1053"/>
      <c r="Y266" s="1053"/>
      <c r="Z266" s="1053"/>
      <c r="AA266" s="1053"/>
      <c r="AB266" s="1053"/>
      <c r="AC266" s="1053"/>
      <c r="AD266" s="1053"/>
      <c r="AE266" s="1053"/>
      <c r="AF266" s="1053"/>
      <c r="AG266" s="1053"/>
      <c r="AH266" s="1053"/>
      <c r="AI266" s="1053"/>
      <c r="AJ266" s="1053"/>
      <c r="AK266" s="1053"/>
      <c r="AL266" s="1053"/>
      <c r="AM266" s="1053"/>
      <c r="AN266" s="1053"/>
      <c r="AO266" s="1053"/>
      <c r="AP266" s="1053"/>
      <c r="AQ266" s="1053"/>
      <c r="AR266" s="1053"/>
      <c r="AS266" s="1053"/>
      <c r="AT266" s="1053"/>
      <c r="AU266" s="1053"/>
      <c r="AV266" s="1053"/>
      <c r="AW266" s="1053"/>
      <c r="AX266" s="1053"/>
      <c r="AY266" s="1053"/>
      <c r="AZ266" s="1053"/>
    </row>
    <row r="267" spans="1:52">
      <c r="A267" s="1053"/>
      <c r="B267" s="1053"/>
      <c r="C267" s="1053"/>
      <c r="D267" s="1053"/>
      <c r="E267" s="1053"/>
      <c r="F267" s="1053"/>
      <c r="G267" s="1053"/>
      <c r="H267" s="1053"/>
      <c r="I267" s="1053"/>
      <c r="J267" s="1053"/>
      <c r="K267" s="1053"/>
      <c r="L267" s="1053"/>
      <c r="M267" s="1053"/>
      <c r="N267" s="1053"/>
      <c r="O267" s="1053"/>
      <c r="P267" s="1053"/>
      <c r="Q267" s="1053"/>
      <c r="R267" s="1053"/>
      <c r="S267" s="1053"/>
      <c r="T267" s="1053"/>
      <c r="U267" s="1053"/>
      <c r="V267" s="1053"/>
      <c r="W267" s="1053"/>
      <c r="X267" s="1053"/>
      <c r="Y267" s="1053"/>
      <c r="Z267" s="1053"/>
      <c r="AA267" s="1053"/>
      <c r="AB267" s="1053"/>
      <c r="AC267" s="1053"/>
      <c r="AD267" s="1053"/>
      <c r="AE267" s="1053"/>
      <c r="AF267" s="1053"/>
      <c r="AG267" s="1053"/>
      <c r="AH267" s="1053"/>
      <c r="AI267" s="1053"/>
      <c r="AJ267" s="1053"/>
      <c r="AK267" s="1053"/>
      <c r="AL267" s="1053"/>
      <c r="AM267" s="1053"/>
      <c r="AN267" s="1053"/>
      <c r="AO267" s="1053"/>
      <c r="AP267" s="1053"/>
      <c r="AQ267" s="1053"/>
      <c r="AR267" s="1053"/>
      <c r="AS267" s="1053"/>
      <c r="AT267" s="1053"/>
      <c r="AU267" s="1053"/>
      <c r="AV267" s="1053"/>
      <c r="AW267" s="1053"/>
      <c r="AX267" s="1053"/>
      <c r="AY267" s="1053"/>
      <c r="AZ267" s="1053"/>
    </row>
    <row r="268" spans="1:52">
      <c r="A268" s="1053"/>
      <c r="B268" s="1053"/>
      <c r="C268" s="1053"/>
      <c r="D268" s="1053"/>
      <c r="E268" s="1053"/>
      <c r="F268" s="1053"/>
      <c r="G268" s="1053"/>
      <c r="H268" s="1053"/>
      <c r="I268" s="1053"/>
      <c r="J268" s="1053"/>
      <c r="K268" s="1053"/>
      <c r="L268" s="1053"/>
      <c r="M268" s="1053"/>
      <c r="N268" s="1053"/>
      <c r="O268" s="1053"/>
      <c r="P268" s="1053"/>
      <c r="Q268" s="1053"/>
      <c r="R268" s="1053"/>
      <c r="S268" s="1053"/>
      <c r="T268" s="1053"/>
      <c r="U268" s="1053"/>
      <c r="V268" s="1053"/>
      <c r="W268" s="1053"/>
      <c r="X268" s="1053"/>
      <c r="Y268" s="1053"/>
      <c r="Z268" s="1053"/>
      <c r="AA268" s="1053"/>
      <c r="AB268" s="1053"/>
      <c r="AC268" s="1053"/>
      <c r="AD268" s="1053"/>
      <c r="AE268" s="1053"/>
      <c r="AF268" s="1053"/>
      <c r="AG268" s="1053"/>
      <c r="AH268" s="1053"/>
      <c r="AI268" s="1053"/>
      <c r="AJ268" s="1053"/>
      <c r="AK268" s="1053"/>
      <c r="AL268" s="1053"/>
      <c r="AM268" s="1053"/>
      <c r="AN268" s="1053"/>
      <c r="AO268" s="1053"/>
      <c r="AP268" s="1053"/>
      <c r="AQ268" s="1053"/>
      <c r="AR268" s="1053"/>
      <c r="AS268" s="1053"/>
      <c r="AT268" s="1053"/>
      <c r="AU268" s="1053"/>
      <c r="AV268" s="1053"/>
      <c r="AW268" s="1053"/>
      <c r="AX268" s="1053"/>
      <c r="AY268" s="1053"/>
      <c r="AZ268" s="1053"/>
    </row>
    <row r="269" spans="1:52">
      <c r="A269" s="1053"/>
      <c r="B269" s="1053"/>
      <c r="C269" s="1053"/>
      <c r="D269" s="1053"/>
      <c r="E269" s="1053"/>
      <c r="F269" s="1053"/>
      <c r="G269" s="1053"/>
      <c r="H269" s="1053"/>
      <c r="I269" s="1053"/>
      <c r="J269" s="1053"/>
      <c r="K269" s="1053"/>
      <c r="L269" s="1053"/>
      <c r="M269" s="1053"/>
      <c r="N269" s="1053"/>
      <c r="O269" s="1053"/>
      <c r="P269" s="1053"/>
      <c r="Q269" s="1053"/>
      <c r="R269" s="1053"/>
      <c r="S269" s="1053"/>
      <c r="T269" s="1053"/>
      <c r="U269" s="1053"/>
      <c r="V269" s="1053"/>
      <c r="W269" s="1053"/>
      <c r="X269" s="1053"/>
      <c r="Y269" s="1053"/>
      <c r="Z269" s="1053"/>
      <c r="AA269" s="1053"/>
      <c r="AB269" s="1053"/>
      <c r="AC269" s="1053"/>
      <c r="AD269" s="1053"/>
      <c r="AE269" s="1053"/>
      <c r="AF269" s="1053"/>
      <c r="AG269" s="1053"/>
      <c r="AH269" s="1053"/>
      <c r="AI269" s="1053"/>
      <c r="AJ269" s="1053"/>
      <c r="AK269" s="1053"/>
      <c r="AL269" s="1053"/>
      <c r="AM269" s="1053"/>
      <c r="AN269" s="1053"/>
      <c r="AO269" s="1053"/>
      <c r="AP269" s="1053"/>
      <c r="AQ269" s="1053"/>
      <c r="AR269" s="1053"/>
      <c r="AS269" s="1053"/>
      <c r="AT269" s="1053"/>
      <c r="AU269" s="1053"/>
      <c r="AV269" s="1053"/>
      <c r="AW269" s="1053"/>
      <c r="AX269" s="1053"/>
      <c r="AY269" s="1053"/>
      <c r="AZ269" s="1053"/>
    </row>
    <row r="270" spans="1:52">
      <c r="A270" s="1053"/>
      <c r="B270" s="1053"/>
      <c r="C270" s="1053"/>
      <c r="D270" s="1053"/>
      <c r="E270" s="1053"/>
      <c r="F270" s="1053"/>
      <c r="G270" s="1053"/>
      <c r="H270" s="1053"/>
      <c r="I270" s="1053"/>
      <c r="J270" s="1053"/>
      <c r="K270" s="1053"/>
      <c r="L270" s="1053"/>
      <c r="M270" s="1053"/>
      <c r="N270" s="1053"/>
      <c r="O270" s="1053"/>
      <c r="P270" s="1053"/>
      <c r="Q270" s="1053"/>
      <c r="R270" s="1053"/>
      <c r="S270" s="1053"/>
      <c r="T270" s="1053"/>
      <c r="U270" s="1053"/>
      <c r="V270" s="1053"/>
      <c r="W270" s="1053"/>
      <c r="X270" s="1053"/>
      <c r="Y270" s="1053"/>
      <c r="Z270" s="1053"/>
      <c r="AA270" s="1053"/>
      <c r="AB270" s="1053"/>
      <c r="AC270" s="1053"/>
      <c r="AD270" s="1053"/>
      <c r="AE270" s="1053"/>
      <c r="AF270" s="1053"/>
      <c r="AG270" s="1053"/>
      <c r="AH270" s="1053"/>
      <c r="AI270" s="1053"/>
      <c r="AJ270" s="1053"/>
      <c r="AK270" s="1053"/>
      <c r="AL270" s="1053"/>
      <c r="AM270" s="1053"/>
      <c r="AN270" s="1053"/>
      <c r="AO270" s="1053"/>
      <c r="AP270" s="1053"/>
      <c r="AQ270" s="1053"/>
      <c r="AR270" s="1053"/>
      <c r="AS270" s="1053"/>
      <c r="AT270" s="1053"/>
      <c r="AU270" s="1053"/>
      <c r="AV270" s="1053"/>
      <c r="AW270" s="1053"/>
      <c r="AX270" s="1053"/>
      <c r="AY270" s="1053"/>
      <c r="AZ270" s="1053"/>
    </row>
    <row r="271" spans="1:52">
      <c r="A271" s="1053"/>
      <c r="B271" s="1053"/>
      <c r="C271" s="1053"/>
      <c r="D271" s="1053"/>
      <c r="E271" s="1053"/>
      <c r="F271" s="1053"/>
      <c r="G271" s="1053"/>
      <c r="H271" s="1053"/>
      <c r="I271" s="1053"/>
      <c r="J271" s="1053"/>
      <c r="K271" s="1053"/>
      <c r="L271" s="1053"/>
      <c r="M271" s="1053"/>
      <c r="N271" s="1053"/>
      <c r="O271" s="1053"/>
      <c r="P271" s="1053"/>
      <c r="Q271" s="1053"/>
      <c r="R271" s="1053"/>
      <c r="S271" s="1053"/>
      <c r="T271" s="1053"/>
      <c r="U271" s="1053"/>
      <c r="V271" s="1053"/>
      <c r="W271" s="1053"/>
      <c r="X271" s="1053"/>
      <c r="Y271" s="1053"/>
      <c r="Z271" s="1053"/>
      <c r="AA271" s="1053"/>
      <c r="AB271" s="1053"/>
      <c r="AC271" s="1053"/>
      <c r="AD271" s="1053"/>
      <c r="AE271" s="1053"/>
      <c r="AF271" s="1053"/>
      <c r="AG271" s="1053"/>
      <c r="AH271" s="1053"/>
      <c r="AI271" s="1053"/>
      <c r="AJ271" s="1053"/>
      <c r="AK271" s="1053"/>
      <c r="AL271" s="1053"/>
      <c r="AM271" s="1053"/>
      <c r="AN271" s="1053"/>
      <c r="AO271" s="1053"/>
      <c r="AP271" s="1053"/>
      <c r="AQ271" s="1053"/>
      <c r="AR271" s="1053"/>
      <c r="AS271" s="1053"/>
      <c r="AT271" s="1053"/>
      <c r="AU271" s="1053"/>
      <c r="AV271" s="1053"/>
      <c r="AW271" s="1053"/>
      <c r="AX271" s="1053"/>
      <c r="AY271" s="1053"/>
      <c r="AZ271" s="1053"/>
    </row>
    <row r="272" spans="1:52">
      <c r="A272" s="1053"/>
      <c r="B272" s="1053"/>
      <c r="C272" s="1053"/>
      <c r="D272" s="1053"/>
      <c r="E272" s="1053"/>
      <c r="F272" s="1053"/>
      <c r="G272" s="1053"/>
      <c r="H272" s="1053"/>
      <c r="I272" s="1053"/>
      <c r="J272" s="1053"/>
      <c r="K272" s="1053"/>
      <c r="L272" s="1053"/>
      <c r="M272" s="1053"/>
      <c r="N272" s="1053"/>
      <c r="O272" s="1053"/>
      <c r="P272" s="1053"/>
      <c r="Q272" s="1053"/>
      <c r="R272" s="1053"/>
      <c r="S272" s="1053"/>
      <c r="T272" s="1053"/>
      <c r="U272" s="1053"/>
      <c r="V272" s="1053"/>
      <c r="W272" s="1053"/>
      <c r="X272" s="1053"/>
      <c r="Y272" s="1053"/>
      <c r="Z272" s="1053"/>
      <c r="AA272" s="1053"/>
      <c r="AB272" s="1053"/>
      <c r="AC272" s="1053"/>
      <c r="AD272" s="1053"/>
      <c r="AE272" s="1053"/>
      <c r="AF272" s="1053"/>
      <c r="AG272" s="1053"/>
      <c r="AH272" s="1053"/>
      <c r="AI272" s="1053"/>
      <c r="AJ272" s="1053"/>
      <c r="AK272" s="1053"/>
      <c r="AL272" s="1053"/>
      <c r="AM272" s="1053"/>
      <c r="AN272" s="1053"/>
      <c r="AO272" s="1053"/>
      <c r="AP272" s="1053"/>
      <c r="AQ272" s="1053"/>
      <c r="AR272" s="1053"/>
      <c r="AS272" s="1053"/>
      <c r="AT272" s="1053"/>
      <c r="AU272" s="1053"/>
      <c r="AV272" s="1053"/>
      <c r="AW272" s="1053"/>
      <c r="AX272" s="1053"/>
      <c r="AY272" s="1053"/>
      <c r="AZ272" s="1053"/>
    </row>
    <row r="273" spans="1:52">
      <c r="A273" s="1053"/>
      <c r="B273" s="1053"/>
      <c r="C273" s="1053"/>
      <c r="D273" s="1053"/>
      <c r="E273" s="1053"/>
      <c r="F273" s="1053"/>
      <c r="G273" s="1053"/>
      <c r="H273" s="1053"/>
      <c r="I273" s="1053"/>
      <c r="J273" s="1053"/>
      <c r="K273" s="1053"/>
      <c r="L273" s="1053"/>
      <c r="M273" s="1053"/>
      <c r="N273" s="1053"/>
      <c r="O273" s="1053"/>
      <c r="P273" s="1053"/>
      <c r="Q273" s="1053"/>
      <c r="R273" s="1053"/>
      <c r="S273" s="1053"/>
      <c r="T273" s="1053"/>
      <c r="U273" s="1053"/>
      <c r="V273" s="1053"/>
      <c r="W273" s="1053"/>
      <c r="X273" s="1053"/>
      <c r="Y273" s="1053"/>
      <c r="Z273" s="1053"/>
      <c r="AA273" s="1053"/>
      <c r="AB273" s="1053"/>
      <c r="AC273" s="1053"/>
      <c r="AD273" s="1053"/>
      <c r="AE273" s="1053"/>
      <c r="AF273" s="1053"/>
      <c r="AG273" s="1053"/>
      <c r="AH273" s="1053"/>
      <c r="AI273" s="1053"/>
      <c r="AJ273" s="1053"/>
      <c r="AK273" s="1053"/>
      <c r="AL273" s="1053"/>
      <c r="AM273" s="1053"/>
      <c r="AN273" s="1053"/>
      <c r="AO273" s="1053"/>
      <c r="AP273" s="1053"/>
      <c r="AQ273" s="1053"/>
      <c r="AR273" s="1053"/>
      <c r="AS273" s="1053"/>
      <c r="AT273" s="1053"/>
      <c r="AU273" s="1053"/>
      <c r="AV273" s="1053"/>
      <c r="AW273" s="1053"/>
      <c r="AX273" s="1053"/>
      <c r="AY273" s="1053"/>
      <c r="AZ273" s="1053"/>
    </row>
    <row r="274" spans="1:52">
      <c r="A274" s="1053"/>
      <c r="B274" s="1053"/>
      <c r="C274" s="1053"/>
      <c r="D274" s="1053"/>
      <c r="E274" s="1053"/>
      <c r="F274" s="1053"/>
      <c r="G274" s="1053"/>
      <c r="H274" s="1053"/>
      <c r="I274" s="1053"/>
      <c r="J274" s="1053"/>
      <c r="K274" s="1053"/>
      <c r="L274" s="1053"/>
      <c r="M274" s="1053"/>
      <c r="N274" s="1053"/>
      <c r="O274" s="1053"/>
      <c r="P274" s="1053"/>
      <c r="Q274" s="1053"/>
      <c r="R274" s="1053"/>
      <c r="S274" s="1053"/>
      <c r="T274" s="1053"/>
      <c r="U274" s="1053"/>
      <c r="V274" s="1053"/>
      <c r="W274" s="1053"/>
      <c r="X274" s="1053"/>
      <c r="Y274" s="1053"/>
      <c r="Z274" s="1053"/>
      <c r="AA274" s="1053"/>
      <c r="AB274" s="1053"/>
      <c r="AC274" s="1053"/>
      <c r="AD274" s="1053"/>
      <c r="AE274" s="1053"/>
      <c r="AF274" s="1053"/>
      <c r="AG274" s="1053"/>
      <c r="AH274" s="1053"/>
      <c r="AI274" s="1053"/>
      <c r="AJ274" s="1053"/>
      <c r="AK274" s="1053"/>
      <c r="AL274" s="1053"/>
      <c r="AM274" s="1053"/>
      <c r="AN274" s="1053"/>
      <c r="AO274" s="1053"/>
      <c r="AP274" s="1053"/>
      <c r="AQ274" s="1053"/>
      <c r="AR274" s="1053"/>
      <c r="AS274" s="1053"/>
      <c r="AT274" s="1053"/>
      <c r="AU274" s="1053"/>
      <c r="AV274" s="1053"/>
      <c r="AW274" s="1053"/>
      <c r="AX274" s="1053"/>
      <c r="AY274" s="1053"/>
      <c r="AZ274" s="1053"/>
    </row>
    <row r="275" spans="1:52">
      <c r="A275" s="1053"/>
      <c r="B275" s="1053"/>
      <c r="C275" s="1053"/>
      <c r="D275" s="1053"/>
      <c r="E275" s="1053"/>
      <c r="F275" s="1053"/>
      <c r="G275" s="1053"/>
      <c r="H275" s="1053"/>
      <c r="I275" s="1053"/>
      <c r="J275" s="1053"/>
      <c r="K275" s="1053"/>
      <c r="L275" s="1053"/>
      <c r="M275" s="1053"/>
      <c r="N275" s="1053"/>
      <c r="O275" s="1053"/>
      <c r="P275" s="1053"/>
      <c r="Q275" s="1053"/>
      <c r="R275" s="1053"/>
      <c r="S275" s="1053"/>
      <c r="T275" s="1053"/>
      <c r="U275" s="1053"/>
      <c r="V275" s="1053"/>
      <c r="W275" s="1053"/>
      <c r="X275" s="1053"/>
      <c r="Y275" s="1053"/>
      <c r="Z275" s="1053"/>
      <c r="AA275" s="1053"/>
      <c r="AB275" s="1053"/>
      <c r="AC275" s="1053"/>
      <c r="AD275" s="1053"/>
      <c r="AE275" s="1053"/>
      <c r="AF275" s="1053"/>
      <c r="AG275" s="1053"/>
      <c r="AH275" s="1053"/>
      <c r="AI275" s="1053"/>
      <c r="AJ275" s="1053"/>
      <c r="AK275" s="1053"/>
      <c r="AL275" s="1053"/>
      <c r="AM275" s="1053"/>
      <c r="AN275" s="1053"/>
      <c r="AO275" s="1053"/>
      <c r="AP275" s="1053"/>
      <c r="AQ275" s="1053"/>
      <c r="AR275" s="1053"/>
      <c r="AS275" s="1053"/>
      <c r="AT275" s="1053"/>
      <c r="AU275" s="1053"/>
      <c r="AV275" s="1053"/>
      <c r="AW275" s="1053"/>
      <c r="AX275" s="1053"/>
      <c r="AY275" s="1053"/>
      <c r="AZ275" s="1053"/>
    </row>
    <row r="276" spans="1:52">
      <c r="A276" s="1053"/>
      <c r="B276" s="1053"/>
      <c r="C276" s="1053"/>
      <c r="D276" s="1053"/>
      <c r="E276" s="1053"/>
      <c r="F276" s="1053"/>
      <c r="G276" s="1053"/>
      <c r="H276" s="1053"/>
      <c r="I276" s="1053"/>
      <c r="J276" s="1053"/>
      <c r="K276" s="1053"/>
      <c r="L276" s="1053"/>
      <c r="M276" s="1053"/>
      <c r="N276" s="1053"/>
      <c r="O276" s="1053"/>
      <c r="P276" s="1053"/>
      <c r="Q276" s="1053"/>
      <c r="R276" s="1053"/>
      <c r="S276" s="1053"/>
      <c r="T276" s="1053"/>
      <c r="U276" s="1053"/>
      <c r="V276" s="1053"/>
      <c r="W276" s="1053"/>
      <c r="X276" s="1053"/>
      <c r="Y276" s="1053"/>
      <c r="Z276" s="1053"/>
      <c r="AA276" s="1053"/>
      <c r="AB276" s="1053"/>
      <c r="AC276" s="1053"/>
      <c r="AD276" s="1053"/>
      <c r="AE276" s="1053"/>
      <c r="AF276" s="1053"/>
      <c r="AG276" s="1053"/>
      <c r="AH276" s="1053"/>
      <c r="AI276" s="1053"/>
      <c r="AJ276" s="1053"/>
      <c r="AK276" s="1053"/>
      <c r="AL276" s="1053"/>
      <c r="AM276" s="1053"/>
      <c r="AN276" s="1053"/>
      <c r="AO276" s="1053"/>
      <c r="AP276" s="1053"/>
      <c r="AQ276" s="1053"/>
      <c r="AR276" s="1053"/>
      <c r="AS276" s="1053"/>
      <c r="AT276" s="1053"/>
      <c r="AU276" s="1053"/>
      <c r="AV276" s="1053"/>
      <c r="AW276" s="1053"/>
      <c r="AX276" s="1053"/>
      <c r="AY276" s="1053"/>
      <c r="AZ276" s="1053"/>
    </row>
    <row r="277" spans="1:52">
      <c r="A277" s="1053"/>
      <c r="B277" s="1053"/>
      <c r="C277" s="1053"/>
      <c r="D277" s="1053"/>
      <c r="E277" s="1053"/>
      <c r="F277" s="1053"/>
      <c r="G277" s="1053"/>
      <c r="H277" s="1053"/>
      <c r="I277" s="1053"/>
      <c r="J277" s="1053"/>
      <c r="K277" s="1053"/>
      <c r="L277" s="1053"/>
      <c r="M277" s="1053"/>
      <c r="N277" s="1053"/>
      <c r="O277" s="1053"/>
      <c r="P277" s="1053"/>
      <c r="Q277" s="1053"/>
      <c r="R277" s="1053"/>
      <c r="S277" s="1053"/>
      <c r="T277" s="1053"/>
      <c r="U277" s="1053"/>
      <c r="V277" s="1053"/>
      <c r="W277" s="1053"/>
      <c r="X277" s="1053"/>
      <c r="Y277" s="1053"/>
      <c r="Z277" s="1053"/>
      <c r="AA277" s="1053"/>
      <c r="AB277" s="1053"/>
      <c r="AC277" s="1053"/>
      <c r="AD277" s="1053"/>
      <c r="AE277" s="1053"/>
      <c r="AF277" s="1053"/>
      <c r="AG277" s="1053"/>
      <c r="AH277" s="1053"/>
      <c r="AI277" s="1053"/>
      <c r="AJ277" s="1053"/>
      <c r="AK277" s="1053"/>
      <c r="AL277" s="1053"/>
      <c r="AM277" s="1053"/>
      <c r="AN277" s="1053"/>
      <c r="AO277" s="1053"/>
      <c r="AP277" s="1053"/>
      <c r="AQ277" s="1053"/>
      <c r="AR277" s="1053"/>
      <c r="AS277" s="1053"/>
      <c r="AT277" s="1053"/>
      <c r="AU277" s="1053"/>
      <c r="AV277" s="1053"/>
      <c r="AW277" s="1053"/>
      <c r="AX277" s="1053"/>
      <c r="AY277" s="1053"/>
      <c r="AZ277" s="1053"/>
    </row>
    <row r="278" spans="1:52">
      <c r="A278" s="1053"/>
      <c r="B278" s="1053"/>
      <c r="C278" s="1053"/>
      <c r="D278" s="1053"/>
      <c r="E278" s="1053"/>
      <c r="F278" s="1053"/>
      <c r="G278" s="1053"/>
      <c r="H278" s="1053"/>
      <c r="I278" s="1053"/>
      <c r="J278" s="1053"/>
      <c r="K278" s="1053"/>
      <c r="L278" s="1053"/>
      <c r="M278" s="1053"/>
      <c r="N278" s="1053"/>
      <c r="O278" s="1053"/>
      <c r="P278" s="1053"/>
      <c r="Q278" s="1053"/>
      <c r="R278" s="1053"/>
      <c r="S278" s="1053"/>
      <c r="T278" s="1053"/>
      <c r="U278" s="1053"/>
      <c r="V278" s="1053"/>
      <c r="W278" s="1053"/>
      <c r="X278" s="1053"/>
      <c r="Y278" s="1053"/>
      <c r="Z278" s="1053"/>
      <c r="AA278" s="1053"/>
      <c r="AB278" s="1053"/>
      <c r="AC278" s="1053"/>
      <c r="AD278" s="1053"/>
      <c r="AE278" s="1053"/>
      <c r="AF278" s="1053"/>
      <c r="AG278" s="1053"/>
      <c r="AH278" s="1053"/>
      <c r="AI278" s="1053"/>
      <c r="AJ278" s="1053"/>
      <c r="AK278" s="1053"/>
      <c r="AL278" s="1053"/>
      <c r="AM278" s="1053"/>
      <c r="AN278" s="1053"/>
      <c r="AO278" s="1053"/>
      <c r="AP278" s="1053"/>
      <c r="AQ278" s="1053"/>
      <c r="AR278" s="1053"/>
      <c r="AS278" s="1053"/>
      <c r="AT278" s="1053"/>
      <c r="AU278" s="1053"/>
      <c r="AV278" s="1053"/>
      <c r="AW278" s="1053"/>
      <c r="AX278" s="1053"/>
      <c r="AY278" s="1053"/>
      <c r="AZ278" s="1053"/>
    </row>
    <row r="279" spans="1:52">
      <c r="A279" s="1053"/>
      <c r="B279" s="1053"/>
      <c r="C279" s="1053"/>
      <c r="D279" s="1053"/>
      <c r="E279" s="1053"/>
      <c r="F279" s="1053"/>
      <c r="G279" s="1053"/>
      <c r="H279" s="1053"/>
      <c r="I279" s="1053"/>
      <c r="J279" s="1053"/>
      <c r="K279" s="1053"/>
      <c r="L279" s="1053"/>
      <c r="M279" s="1053"/>
      <c r="N279" s="1053"/>
      <c r="O279" s="1053"/>
      <c r="P279" s="1053"/>
      <c r="Q279" s="1053"/>
      <c r="R279" s="1053"/>
      <c r="S279" s="1053"/>
      <c r="T279" s="1053"/>
      <c r="U279" s="1053"/>
      <c r="V279" s="1053"/>
      <c r="W279" s="1053"/>
      <c r="X279" s="1053"/>
      <c r="Y279" s="1053"/>
      <c r="Z279" s="1053"/>
      <c r="AA279" s="1053"/>
      <c r="AB279" s="1053"/>
      <c r="AC279" s="1053"/>
      <c r="AD279" s="1053"/>
      <c r="AE279" s="1053"/>
      <c r="AF279" s="1053"/>
      <c r="AG279" s="1053"/>
      <c r="AH279" s="1053"/>
      <c r="AI279" s="1053"/>
      <c r="AJ279" s="1053"/>
      <c r="AK279" s="1053"/>
      <c r="AL279" s="1053"/>
      <c r="AM279" s="1053"/>
      <c r="AN279" s="1053"/>
      <c r="AO279" s="1053"/>
      <c r="AP279" s="1053"/>
      <c r="AQ279" s="1053"/>
      <c r="AR279" s="1053"/>
      <c r="AS279" s="1053"/>
      <c r="AT279" s="1053"/>
      <c r="AU279" s="1053"/>
      <c r="AV279" s="1053"/>
      <c r="AW279" s="1053"/>
      <c r="AX279" s="1053"/>
      <c r="AY279" s="1053"/>
      <c r="AZ279" s="1053"/>
    </row>
    <row r="280" spans="1:52">
      <c r="A280" s="1053"/>
      <c r="B280" s="1053"/>
      <c r="C280" s="1053"/>
      <c r="D280" s="1053"/>
      <c r="E280" s="1053"/>
      <c r="F280" s="1053"/>
      <c r="G280" s="1053"/>
      <c r="H280" s="1053"/>
      <c r="I280" s="1053"/>
      <c r="J280" s="1053"/>
      <c r="K280" s="1053"/>
      <c r="L280" s="1053"/>
      <c r="M280" s="1053"/>
      <c r="N280" s="1053"/>
      <c r="O280" s="1053"/>
      <c r="P280" s="1053"/>
      <c r="Q280" s="1053"/>
      <c r="R280" s="1053"/>
      <c r="S280" s="1053"/>
      <c r="T280" s="1053"/>
      <c r="U280" s="1053"/>
      <c r="V280" s="1053"/>
      <c r="W280" s="1053"/>
      <c r="X280" s="1053"/>
      <c r="Y280" s="1053"/>
      <c r="Z280" s="1053"/>
      <c r="AA280" s="1053"/>
      <c r="AB280" s="1053"/>
      <c r="AC280" s="1053"/>
      <c r="AD280" s="1053"/>
      <c r="AE280" s="1053"/>
      <c r="AF280" s="1053"/>
      <c r="AG280" s="1053"/>
      <c r="AH280" s="1053"/>
      <c r="AI280" s="1053"/>
      <c r="AJ280" s="1053"/>
      <c r="AK280" s="1053"/>
      <c r="AL280" s="1053"/>
      <c r="AM280" s="1053"/>
      <c r="AN280" s="1053"/>
      <c r="AO280" s="1053"/>
      <c r="AP280" s="1053"/>
      <c r="AQ280" s="1053"/>
      <c r="AR280" s="1053"/>
      <c r="AS280" s="1053"/>
      <c r="AT280" s="1053"/>
      <c r="AU280" s="1053"/>
      <c r="AV280" s="1053"/>
      <c r="AW280" s="1053"/>
      <c r="AX280" s="1053"/>
      <c r="AY280" s="1053"/>
      <c r="AZ280" s="1053"/>
    </row>
    <row r="281" spans="1:52">
      <c r="A281" s="1053"/>
      <c r="B281" s="1053"/>
      <c r="C281" s="1053"/>
      <c r="D281" s="1053"/>
      <c r="E281" s="1053"/>
      <c r="F281" s="1053"/>
      <c r="G281" s="1053"/>
      <c r="H281" s="1053"/>
      <c r="I281" s="1053"/>
      <c r="J281" s="1053"/>
      <c r="K281" s="1053"/>
      <c r="L281" s="1053"/>
      <c r="M281" s="1053"/>
      <c r="N281" s="1053"/>
      <c r="O281" s="1053"/>
      <c r="P281" s="1053"/>
      <c r="Q281" s="1053"/>
      <c r="R281" s="1053"/>
      <c r="S281" s="1053"/>
      <c r="T281" s="1053"/>
      <c r="U281" s="1053"/>
      <c r="V281" s="1053"/>
      <c r="W281" s="1053"/>
      <c r="X281" s="1053"/>
      <c r="Y281" s="1053"/>
      <c r="Z281" s="1053"/>
      <c r="AA281" s="1053"/>
      <c r="AB281" s="1053"/>
      <c r="AC281" s="1053"/>
      <c r="AD281" s="1053"/>
      <c r="AE281" s="1053"/>
      <c r="AF281" s="1053"/>
      <c r="AG281" s="1053"/>
      <c r="AH281" s="1053"/>
      <c r="AI281" s="1053"/>
      <c r="AJ281" s="1053"/>
      <c r="AK281" s="1053"/>
      <c r="AL281" s="1053"/>
      <c r="AM281" s="1053"/>
      <c r="AN281" s="1053"/>
      <c r="AO281" s="1053"/>
      <c r="AP281" s="1053"/>
      <c r="AQ281" s="1053"/>
      <c r="AR281" s="1053"/>
      <c r="AS281" s="1053"/>
      <c r="AT281" s="1053"/>
      <c r="AU281" s="1053"/>
      <c r="AV281" s="1053"/>
      <c r="AW281" s="1053"/>
      <c r="AX281" s="1053"/>
      <c r="AY281" s="1053"/>
      <c r="AZ281" s="1053"/>
    </row>
    <row r="282" spans="1:52">
      <c r="A282" s="1053"/>
      <c r="B282" s="1053"/>
      <c r="C282" s="1053"/>
      <c r="D282" s="1053"/>
      <c r="E282" s="1053"/>
      <c r="F282" s="1053"/>
      <c r="G282" s="1053"/>
      <c r="H282" s="1053"/>
      <c r="I282" s="1053"/>
      <c r="J282" s="1053"/>
      <c r="K282" s="1053"/>
      <c r="L282" s="1053"/>
      <c r="M282" s="1053"/>
      <c r="N282" s="1053"/>
      <c r="O282" s="1053"/>
      <c r="P282" s="1053"/>
      <c r="Q282" s="1053"/>
      <c r="R282" s="1053"/>
      <c r="S282" s="1053"/>
      <c r="T282" s="1053"/>
      <c r="U282" s="1053"/>
      <c r="V282" s="1053"/>
      <c r="W282" s="1053"/>
      <c r="X282" s="1053"/>
      <c r="Y282" s="1053"/>
      <c r="Z282" s="1053"/>
      <c r="AA282" s="1053"/>
      <c r="AB282" s="1053"/>
      <c r="AC282" s="1053"/>
      <c r="AD282" s="1053"/>
      <c r="AE282" s="1053"/>
      <c r="AF282" s="1053"/>
      <c r="AG282" s="1053"/>
      <c r="AH282" s="1053"/>
      <c r="AI282" s="1053"/>
      <c r="AJ282" s="1053"/>
      <c r="AK282" s="1053"/>
      <c r="AL282" s="1053"/>
      <c r="AM282" s="1053"/>
      <c r="AN282" s="1053"/>
      <c r="AO282" s="1053"/>
      <c r="AP282" s="1053"/>
      <c r="AQ282" s="1053"/>
      <c r="AR282" s="1053"/>
      <c r="AS282" s="1053"/>
      <c r="AT282" s="1053"/>
      <c r="AU282" s="1053"/>
      <c r="AV282" s="1053"/>
      <c r="AW282" s="1053"/>
      <c r="AX282" s="1053"/>
      <c r="AY282" s="1053"/>
      <c r="AZ282" s="1053"/>
    </row>
    <row r="283" spans="1:52">
      <c r="A283" s="1053"/>
      <c r="B283" s="1053"/>
      <c r="C283" s="1053"/>
      <c r="D283" s="1053"/>
      <c r="E283" s="1053"/>
      <c r="F283" s="1053"/>
      <c r="G283" s="1053"/>
      <c r="H283" s="1053"/>
      <c r="I283" s="1053"/>
      <c r="J283" s="1053"/>
      <c r="K283" s="1053"/>
      <c r="L283" s="1053"/>
      <c r="M283" s="1053"/>
      <c r="N283" s="1053"/>
      <c r="O283" s="1053"/>
      <c r="P283" s="1053"/>
      <c r="Q283" s="1053"/>
      <c r="R283" s="1053"/>
      <c r="S283" s="1053"/>
      <c r="T283" s="1053"/>
      <c r="U283" s="1053"/>
      <c r="V283" s="1053"/>
      <c r="W283" s="1053"/>
      <c r="X283" s="1053"/>
      <c r="Y283" s="1053"/>
      <c r="Z283" s="1053"/>
      <c r="AA283" s="1053"/>
      <c r="AB283" s="1053"/>
      <c r="AC283" s="1053"/>
      <c r="AD283" s="1053"/>
      <c r="AE283" s="1053"/>
      <c r="AF283" s="1053"/>
      <c r="AG283" s="1053"/>
      <c r="AH283" s="1053"/>
      <c r="AI283" s="1053"/>
      <c r="AJ283" s="1053"/>
      <c r="AK283" s="1053"/>
      <c r="AL283" s="1053"/>
      <c r="AM283" s="1053"/>
      <c r="AN283" s="1053"/>
      <c r="AO283" s="1053"/>
      <c r="AP283" s="1053"/>
      <c r="AQ283" s="1053"/>
      <c r="AR283" s="1053"/>
      <c r="AS283" s="1053"/>
      <c r="AT283" s="1053"/>
      <c r="AU283" s="1053"/>
      <c r="AV283" s="1053"/>
      <c r="AW283" s="1053"/>
      <c r="AX283" s="1053"/>
      <c r="AY283" s="1053"/>
      <c r="AZ283" s="1053"/>
    </row>
    <row r="284" spans="1:52">
      <c r="A284" s="1053"/>
      <c r="B284" s="1053"/>
      <c r="C284" s="1053"/>
      <c r="D284" s="1053"/>
      <c r="E284" s="1053"/>
      <c r="F284" s="1053"/>
      <c r="G284" s="1053"/>
      <c r="H284" s="1053"/>
      <c r="I284" s="1053"/>
      <c r="J284" s="1053"/>
      <c r="K284" s="1053"/>
      <c r="L284" s="1053"/>
      <c r="M284" s="1053"/>
      <c r="N284" s="1053"/>
      <c r="O284" s="1053"/>
      <c r="P284" s="1053"/>
      <c r="Q284" s="1053"/>
      <c r="R284" s="1053"/>
      <c r="S284" s="1053"/>
      <c r="T284" s="1053"/>
      <c r="U284" s="1053"/>
      <c r="V284" s="1053"/>
      <c r="W284" s="1053"/>
      <c r="X284" s="1053"/>
      <c r="Y284" s="1053"/>
      <c r="Z284" s="1053"/>
      <c r="AA284" s="1053"/>
      <c r="AB284" s="1053"/>
      <c r="AC284" s="1053"/>
      <c r="AD284" s="1053"/>
      <c r="AE284" s="1053"/>
      <c r="AF284" s="1053"/>
      <c r="AG284" s="1053"/>
      <c r="AH284" s="1053"/>
      <c r="AI284" s="1053"/>
      <c r="AJ284" s="1053"/>
      <c r="AK284" s="1053"/>
      <c r="AL284" s="1053"/>
      <c r="AM284" s="1053"/>
      <c r="AN284" s="1053"/>
      <c r="AO284" s="1053"/>
      <c r="AP284" s="1053"/>
      <c r="AQ284" s="1053"/>
      <c r="AR284" s="1053"/>
      <c r="AS284" s="1053"/>
      <c r="AT284" s="1053"/>
      <c r="AU284" s="1053"/>
      <c r="AV284" s="1053"/>
      <c r="AW284" s="1053"/>
      <c r="AX284" s="1053"/>
      <c r="AY284" s="1053"/>
      <c r="AZ284" s="1053"/>
    </row>
    <row r="285" spans="1:52">
      <c r="A285" s="1053"/>
      <c r="B285" s="1053"/>
      <c r="C285" s="1053"/>
      <c r="D285" s="1053"/>
      <c r="E285" s="1053"/>
      <c r="F285" s="1053"/>
      <c r="G285" s="1053"/>
      <c r="H285" s="1053"/>
      <c r="I285" s="1053"/>
      <c r="J285" s="1053"/>
      <c r="K285" s="1053"/>
      <c r="L285" s="1053"/>
      <c r="M285" s="1053"/>
      <c r="N285" s="1053"/>
      <c r="O285" s="1053"/>
      <c r="P285" s="1053"/>
      <c r="Q285" s="1053"/>
      <c r="R285" s="1053"/>
      <c r="S285" s="1053"/>
      <c r="T285" s="1053"/>
      <c r="U285" s="1053"/>
      <c r="V285" s="1053"/>
      <c r="W285" s="1053"/>
      <c r="X285" s="1053"/>
      <c r="Y285" s="1053"/>
      <c r="Z285" s="1053"/>
      <c r="AA285" s="1053"/>
      <c r="AB285" s="1053"/>
      <c r="AC285" s="1053"/>
      <c r="AD285" s="1053"/>
      <c r="AE285" s="1053"/>
      <c r="AF285" s="1053"/>
      <c r="AG285" s="1053"/>
      <c r="AH285" s="1053"/>
      <c r="AI285" s="1053"/>
      <c r="AJ285" s="1053"/>
      <c r="AK285" s="1053"/>
      <c r="AL285" s="1053"/>
      <c r="AM285" s="1053"/>
      <c r="AN285" s="1053"/>
      <c r="AO285" s="1053"/>
      <c r="AP285" s="1053"/>
      <c r="AQ285" s="1053"/>
      <c r="AR285" s="1053"/>
      <c r="AS285" s="1053"/>
      <c r="AT285" s="1053"/>
      <c r="AU285" s="1053"/>
      <c r="AV285" s="1053"/>
      <c r="AW285" s="1053"/>
      <c r="AX285" s="1053"/>
      <c r="AY285" s="1053"/>
      <c r="AZ285" s="1053"/>
    </row>
    <row r="286" spans="1:52">
      <c r="A286" s="1053"/>
      <c r="B286" s="1053"/>
      <c r="C286" s="1053"/>
      <c r="D286" s="1053"/>
      <c r="E286" s="1053"/>
      <c r="F286" s="1053"/>
      <c r="G286" s="1053"/>
      <c r="H286" s="1053"/>
      <c r="I286" s="1053"/>
      <c r="J286" s="1053"/>
      <c r="K286" s="1053"/>
      <c r="L286" s="1053"/>
      <c r="M286" s="1053"/>
      <c r="N286" s="1053"/>
      <c r="O286" s="1053"/>
      <c r="P286" s="1053"/>
      <c r="Q286" s="1053"/>
      <c r="R286" s="1053"/>
      <c r="S286" s="1053"/>
      <c r="T286" s="1053"/>
      <c r="U286" s="1053"/>
      <c r="V286" s="1053"/>
      <c r="W286" s="1053"/>
      <c r="X286" s="1053"/>
      <c r="Y286" s="1053"/>
      <c r="Z286" s="1053"/>
      <c r="AA286" s="1053"/>
      <c r="AB286" s="1053"/>
      <c r="AC286" s="1053"/>
      <c r="AD286" s="1053"/>
      <c r="AE286" s="1053"/>
      <c r="AF286" s="1053"/>
      <c r="AG286" s="1053"/>
      <c r="AH286" s="1053"/>
      <c r="AI286" s="1053"/>
      <c r="AJ286" s="1053"/>
      <c r="AK286" s="1053"/>
      <c r="AL286" s="1053"/>
      <c r="AM286" s="1053"/>
      <c r="AN286" s="1053"/>
      <c r="AO286" s="1053"/>
      <c r="AP286" s="1053"/>
      <c r="AQ286" s="1053"/>
      <c r="AR286" s="1053"/>
      <c r="AS286" s="1053"/>
      <c r="AT286" s="1053"/>
      <c r="AU286" s="1053"/>
      <c r="AV286" s="1053"/>
      <c r="AW286" s="1053"/>
      <c r="AX286" s="1053"/>
      <c r="AY286" s="1053"/>
      <c r="AZ286" s="1053"/>
    </row>
    <row r="287" spans="1:52">
      <c r="A287" s="1053"/>
      <c r="B287" s="1053"/>
      <c r="C287" s="1053"/>
      <c r="D287" s="1053"/>
      <c r="E287" s="1053"/>
      <c r="F287" s="1053"/>
      <c r="G287" s="1053"/>
      <c r="H287" s="1053"/>
      <c r="I287" s="1053"/>
      <c r="J287" s="1053"/>
      <c r="K287" s="1053"/>
      <c r="L287" s="1053"/>
      <c r="M287" s="1053"/>
      <c r="N287" s="1053"/>
      <c r="O287" s="1053"/>
      <c r="P287" s="1053"/>
      <c r="Q287" s="1053"/>
      <c r="R287" s="1053"/>
      <c r="S287" s="1053"/>
      <c r="T287" s="1053"/>
      <c r="U287" s="1053"/>
      <c r="V287" s="1053"/>
      <c r="W287" s="1053"/>
      <c r="X287" s="1053"/>
      <c r="Y287" s="1053"/>
      <c r="Z287" s="1053"/>
      <c r="AA287" s="1053"/>
      <c r="AB287" s="1053"/>
      <c r="AC287" s="1053"/>
      <c r="AD287" s="1053"/>
      <c r="AE287" s="1053"/>
      <c r="AF287" s="1053"/>
      <c r="AG287" s="1053"/>
      <c r="AH287" s="1053"/>
      <c r="AI287" s="1053"/>
      <c r="AJ287" s="1053"/>
      <c r="AK287" s="1053"/>
      <c r="AL287" s="1053"/>
      <c r="AM287" s="1053"/>
      <c r="AN287" s="1053"/>
      <c r="AO287" s="1053"/>
      <c r="AP287" s="1053"/>
      <c r="AQ287" s="1053"/>
      <c r="AR287" s="1053"/>
      <c r="AS287" s="1053"/>
      <c r="AT287" s="1053"/>
      <c r="AU287" s="1053"/>
      <c r="AV287" s="1053"/>
      <c r="AW287" s="1053"/>
      <c r="AX287" s="1053"/>
      <c r="AY287" s="1053"/>
      <c r="AZ287" s="1053"/>
    </row>
    <row r="288" spans="1:52">
      <c r="A288" s="1053"/>
      <c r="B288" s="1053"/>
      <c r="C288" s="1053"/>
      <c r="D288" s="1053"/>
      <c r="E288" s="1053"/>
      <c r="F288" s="1053"/>
      <c r="G288" s="1053"/>
      <c r="H288" s="1053"/>
      <c r="I288" s="1053"/>
      <c r="J288" s="1053"/>
      <c r="K288" s="1053"/>
      <c r="L288" s="1053"/>
      <c r="M288" s="1053"/>
      <c r="N288" s="1053"/>
      <c r="O288" s="1053"/>
      <c r="P288" s="1053"/>
      <c r="Q288" s="1053"/>
      <c r="R288" s="1053"/>
      <c r="S288" s="1053"/>
      <c r="T288" s="1053"/>
      <c r="U288" s="1053"/>
      <c r="V288" s="1053"/>
      <c r="W288" s="1053"/>
      <c r="X288" s="1053"/>
      <c r="Y288" s="1053"/>
      <c r="Z288" s="1053"/>
      <c r="AA288" s="1053"/>
      <c r="AB288" s="1053"/>
      <c r="AC288" s="1053"/>
      <c r="AD288" s="1053"/>
      <c r="AE288" s="1053"/>
      <c r="AF288" s="1053"/>
      <c r="AG288" s="1053"/>
      <c r="AH288" s="1053"/>
      <c r="AI288" s="1053"/>
      <c r="AJ288" s="1053"/>
      <c r="AK288" s="1053"/>
      <c r="AL288" s="1053"/>
      <c r="AM288" s="1053"/>
      <c r="AN288" s="1053"/>
      <c r="AO288" s="1053"/>
      <c r="AP288" s="1053"/>
      <c r="AQ288" s="1053"/>
      <c r="AR288" s="1053"/>
      <c r="AS288" s="1053"/>
      <c r="AT288" s="1053"/>
      <c r="AU288" s="1053"/>
      <c r="AV288" s="1053"/>
      <c r="AW288" s="1053"/>
      <c r="AX288" s="1053"/>
      <c r="AY288" s="1053"/>
      <c r="AZ288" s="1053"/>
    </row>
    <row r="289" spans="1:52">
      <c r="A289" s="1053"/>
      <c r="B289" s="1053"/>
      <c r="C289" s="1053"/>
      <c r="D289" s="1053"/>
      <c r="E289" s="1053"/>
      <c r="F289" s="1053"/>
      <c r="G289" s="1053"/>
      <c r="H289" s="1053"/>
      <c r="I289" s="1053"/>
      <c r="J289" s="1053"/>
      <c r="K289" s="1053"/>
      <c r="L289" s="1053"/>
      <c r="M289" s="1053"/>
      <c r="N289" s="1053"/>
      <c r="O289" s="1053"/>
      <c r="P289" s="1053"/>
      <c r="Q289" s="1053"/>
      <c r="R289" s="1053"/>
      <c r="S289" s="1053"/>
      <c r="T289" s="1053"/>
      <c r="U289" s="1053"/>
      <c r="V289" s="1053"/>
      <c r="W289" s="1053"/>
      <c r="X289" s="1053"/>
      <c r="Y289" s="1053"/>
      <c r="Z289" s="1053"/>
      <c r="AA289" s="1053"/>
      <c r="AB289" s="1053"/>
      <c r="AC289" s="1053"/>
      <c r="AD289" s="1053"/>
      <c r="AE289" s="1053"/>
      <c r="AF289" s="1053"/>
      <c r="AG289" s="1053"/>
      <c r="AH289" s="1053"/>
      <c r="AI289" s="1053"/>
      <c r="AJ289" s="1053"/>
      <c r="AK289" s="1053"/>
      <c r="AL289" s="1053"/>
      <c r="AM289" s="1053"/>
      <c r="AN289" s="1053"/>
      <c r="AO289" s="1053"/>
      <c r="AP289" s="1053"/>
      <c r="AQ289" s="1053"/>
      <c r="AR289" s="1053"/>
      <c r="AS289" s="1053"/>
      <c r="AT289" s="1053"/>
      <c r="AU289" s="1053"/>
      <c r="AV289" s="1053"/>
      <c r="AW289" s="1053"/>
      <c r="AX289" s="1053"/>
      <c r="AY289" s="1053"/>
      <c r="AZ289" s="1053"/>
    </row>
    <row r="290" spans="1:52">
      <c r="A290" s="1053"/>
      <c r="B290" s="1053"/>
      <c r="C290" s="1053"/>
      <c r="D290" s="1053"/>
      <c r="E290" s="1053"/>
      <c r="F290" s="1053"/>
      <c r="G290" s="1053"/>
      <c r="H290" s="1053"/>
      <c r="I290" s="1053"/>
      <c r="J290" s="1053"/>
      <c r="K290" s="1053"/>
      <c r="L290" s="1053"/>
      <c r="M290" s="1053"/>
      <c r="N290" s="1053"/>
      <c r="O290" s="1053"/>
      <c r="P290" s="1053"/>
      <c r="Q290" s="1053"/>
      <c r="R290" s="1053"/>
      <c r="S290" s="1053"/>
      <c r="T290" s="1053"/>
      <c r="U290" s="1053"/>
      <c r="V290" s="1053"/>
      <c r="W290" s="1053"/>
      <c r="X290" s="1053"/>
      <c r="Y290" s="1053"/>
      <c r="Z290" s="1053"/>
      <c r="AA290" s="1053"/>
      <c r="AB290" s="1053"/>
      <c r="AC290" s="1053"/>
      <c r="AD290" s="1053"/>
      <c r="AE290" s="1053"/>
      <c r="AF290" s="1053"/>
      <c r="AG290" s="1053"/>
      <c r="AH290" s="1053"/>
      <c r="AI290" s="1053"/>
      <c r="AJ290" s="1053"/>
      <c r="AK290" s="1053"/>
      <c r="AL290" s="1053"/>
      <c r="AM290" s="1053"/>
      <c r="AN290" s="1053"/>
      <c r="AO290" s="1053"/>
      <c r="AP290" s="1053"/>
      <c r="AQ290" s="1053"/>
      <c r="AR290" s="1053"/>
      <c r="AS290" s="1053"/>
      <c r="AT290" s="1053"/>
      <c r="AU290" s="1053"/>
      <c r="AV290" s="1053"/>
      <c r="AW290" s="1053"/>
      <c r="AX290" s="1053"/>
      <c r="AY290" s="1053"/>
      <c r="AZ290" s="1053"/>
    </row>
    <row r="291" spans="1:52">
      <c r="A291" s="1053"/>
      <c r="B291" s="1053"/>
      <c r="C291" s="1053"/>
      <c r="D291" s="1053"/>
      <c r="E291" s="1053"/>
      <c r="F291" s="1053"/>
      <c r="G291" s="1053"/>
      <c r="H291" s="1053"/>
      <c r="I291" s="1053"/>
      <c r="J291" s="1053"/>
      <c r="K291" s="1053"/>
      <c r="L291" s="1053"/>
      <c r="M291" s="1053"/>
      <c r="N291" s="1053"/>
      <c r="O291" s="1053"/>
      <c r="P291" s="1053"/>
      <c r="Q291" s="1053"/>
      <c r="R291" s="1053"/>
      <c r="S291" s="1053"/>
      <c r="T291" s="1053"/>
      <c r="U291" s="1053"/>
      <c r="V291" s="1053"/>
      <c r="W291" s="1053"/>
      <c r="X291" s="1053"/>
      <c r="Y291" s="1053"/>
      <c r="Z291" s="1053"/>
      <c r="AA291" s="1053"/>
      <c r="AB291" s="1053"/>
      <c r="AC291" s="1053"/>
      <c r="AD291" s="1053"/>
      <c r="AE291" s="1053"/>
      <c r="AF291" s="1053"/>
      <c r="AG291" s="1053"/>
      <c r="AH291" s="1053"/>
      <c r="AI291" s="1053"/>
      <c r="AJ291" s="1053"/>
      <c r="AK291" s="1053"/>
      <c r="AL291" s="1053"/>
      <c r="AM291" s="1053"/>
      <c r="AN291" s="1053"/>
      <c r="AO291" s="1053"/>
      <c r="AP291" s="1053"/>
      <c r="AQ291" s="1053"/>
      <c r="AR291" s="1053"/>
      <c r="AS291" s="1053"/>
      <c r="AT291" s="1053"/>
      <c r="AU291" s="1053"/>
      <c r="AV291" s="1053"/>
      <c r="AW291" s="1053"/>
      <c r="AX291" s="1053"/>
      <c r="AY291" s="1053"/>
      <c r="AZ291" s="1053"/>
    </row>
    <row r="292" spans="1:52">
      <c r="A292" s="1053"/>
      <c r="B292" s="1053"/>
      <c r="C292" s="1053"/>
      <c r="D292" s="1053"/>
      <c r="E292" s="1053"/>
      <c r="F292" s="1053"/>
      <c r="G292" s="1053"/>
      <c r="H292" s="1053"/>
      <c r="I292" s="1053"/>
      <c r="J292" s="1053"/>
      <c r="K292" s="1053"/>
      <c r="L292" s="1053"/>
      <c r="M292" s="1053"/>
      <c r="N292" s="1053"/>
      <c r="O292" s="1053"/>
      <c r="P292" s="1053"/>
      <c r="Q292" s="1053"/>
      <c r="R292" s="1053"/>
      <c r="S292" s="1053"/>
      <c r="T292" s="1053"/>
      <c r="U292" s="1053"/>
      <c r="V292" s="1053"/>
      <c r="W292" s="1053"/>
      <c r="X292" s="1053"/>
      <c r="Y292" s="1053"/>
      <c r="Z292" s="1053"/>
      <c r="AA292" s="1053"/>
      <c r="AB292" s="1053"/>
      <c r="AC292" s="1053"/>
      <c r="AD292" s="1053"/>
      <c r="AE292" s="1053"/>
      <c r="AF292" s="1053"/>
      <c r="AG292" s="1053"/>
      <c r="AH292" s="1053"/>
      <c r="AI292" s="1053"/>
      <c r="AJ292" s="1053"/>
      <c r="AK292" s="1053"/>
      <c r="AL292" s="1053"/>
      <c r="AM292" s="1053"/>
      <c r="AN292" s="1053"/>
      <c r="AO292" s="1053"/>
      <c r="AP292" s="1053"/>
      <c r="AQ292" s="1053"/>
      <c r="AR292" s="1053"/>
      <c r="AS292" s="1053"/>
      <c r="AT292" s="1053"/>
      <c r="AU292" s="1053"/>
      <c r="AV292" s="1053"/>
      <c r="AW292" s="1053"/>
      <c r="AX292" s="1053"/>
      <c r="AY292" s="1053"/>
      <c r="AZ292" s="1053"/>
    </row>
    <row r="293" spans="1:52">
      <c r="A293" s="1053"/>
      <c r="B293" s="1053"/>
      <c r="C293" s="1053"/>
      <c r="D293" s="1053"/>
      <c r="E293" s="1053"/>
      <c r="F293" s="1053"/>
      <c r="G293" s="1053"/>
      <c r="H293" s="1053"/>
      <c r="I293" s="1053"/>
      <c r="J293" s="1053"/>
      <c r="K293" s="1053"/>
      <c r="L293" s="1053"/>
      <c r="M293" s="1053"/>
      <c r="N293" s="1053"/>
      <c r="O293" s="1053"/>
      <c r="P293" s="1053"/>
      <c r="Q293" s="1053"/>
      <c r="R293" s="1053"/>
      <c r="S293" s="1053"/>
      <c r="T293" s="1053"/>
      <c r="U293" s="1053"/>
      <c r="V293" s="1053"/>
      <c r="W293" s="1053"/>
      <c r="X293" s="1053"/>
      <c r="Y293" s="1053"/>
      <c r="Z293" s="1053"/>
      <c r="AA293" s="1053"/>
      <c r="AB293" s="1053"/>
      <c r="AC293" s="1053"/>
      <c r="AD293" s="1053"/>
      <c r="AE293" s="1053"/>
      <c r="AF293" s="1053"/>
      <c r="AG293" s="1053"/>
      <c r="AH293" s="1053"/>
      <c r="AI293" s="1053"/>
      <c r="AJ293" s="1053"/>
      <c r="AK293" s="1053"/>
      <c r="AL293" s="1053"/>
      <c r="AM293" s="1053"/>
      <c r="AN293" s="1053"/>
      <c r="AO293" s="1053"/>
      <c r="AP293" s="1053"/>
      <c r="AQ293" s="1053"/>
      <c r="AR293" s="1053"/>
      <c r="AS293" s="1053"/>
      <c r="AT293" s="1053"/>
      <c r="AU293" s="1053"/>
      <c r="AV293" s="1053"/>
      <c r="AW293" s="1053"/>
      <c r="AX293" s="1053"/>
      <c r="AY293" s="1053"/>
      <c r="AZ293" s="1053"/>
    </row>
    <row r="294" spans="1:52">
      <c r="A294" s="1053"/>
      <c r="B294" s="1053"/>
      <c r="C294" s="1053"/>
      <c r="D294" s="1053"/>
      <c r="E294" s="1053"/>
      <c r="F294" s="1053"/>
      <c r="G294" s="1053"/>
      <c r="H294" s="1053"/>
      <c r="I294" s="1053"/>
      <c r="J294" s="1053"/>
      <c r="K294" s="1053"/>
      <c r="L294" s="1053"/>
      <c r="M294" s="1053"/>
      <c r="N294" s="1053"/>
      <c r="O294" s="1053"/>
      <c r="P294" s="1053"/>
      <c r="Q294" s="1053"/>
      <c r="R294" s="1053"/>
      <c r="S294" s="1053"/>
      <c r="T294" s="1053"/>
      <c r="U294" s="1053"/>
      <c r="V294" s="1053"/>
      <c r="W294" s="1053"/>
      <c r="X294" s="1053"/>
      <c r="Y294" s="1053"/>
      <c r="Z294" s="1053"/>
      <c r="AA294" s="1053"/>
      <c r="AB294" s="1053"/>
      <c r="AC294" s="1053"/>
      <c r="AD294" s="1053"/>
      <c r="AE294" s="1053"/>
      <c r="AF294" s="1053"/>
      <c r="AG294" s="1053"/>
      <c r="AH294" s="1053"/>
      <c r="AI294" s="1053"/>
      <c r="AJ294" s="1053"/>
      <c r="AK294" s="1053"/>
      <c r="AL294" s="1053"/>
      <c r="AM294" s="1053"/>
      <c r="AN294" s="1053"/>
      <c r="AO294" s="1053"/>
      <c r="AP294" s="1053"/>
      <c r="AQ294" s="1053"/>
      <c r="AR294" s="1053"/>
      <c r="AS294" s="1053"/>
      <c r="AT294" s="1053"/>
      <c r="AU294" s="1053"/>
      <c r="AV294" s="1053"/>
      <c r="AW294" s="1053"/>
      <c r="AX294" s="1053"/>
      <c r="AY294" s="1053"/>
      <c r="AZ294" s="1053"/>
    </row>
    <row r="295" spans="1:52">
      <c r="A295" s="1053"/>
      <c r="B295" s="1053"/>
      <c r="C295" s="1053"/>
      <c r="D295" s="1053"/>
      <c r="E295" s="1053"/>
      <c r="F295" s="1053"/>
      <c r="G295" s="1053"/>
      <c r="H295" s="1053"/>
      <c r="I295" s="1053"/>
      <c r="J295" s="1053"/>
      <c r="K295" s="1053"/>
      <c r="L295" s="1053"/>
      <c r="M295" s="1053"/>
      <c r="N295" s="1053"/>
      <c r="O295" s="1053"/>
      <c r="P295" s="1053"/>
      <c r="Q295" s="1053"/>
      <c r="R295" s="1053"/>
      <c r="S295" s="1053"/>
      <c r="T295" s="1053"/>
      <c r="U295" s="1053"/>
      <c r="V295" s="1053"/>
      <c r="W295" s="1053"/>
      <c r="X295" s="1053"/>
      <c r="Y295" s="1053"/>
      <c r="Z295" s="1053"/>
      <c r="AA295" s="1053"/>
      <c r="AB295" s="1053"/>
      <c r="AC295" s="1053"/>
      <c r="AD295" s="1053"/>
      <c r="AE295" s="1053"/>
      <c r="AF295" s="1053"/>
      <c r="AG295" s="1053"/>
      <c r="AH295" s="1053"/>
      <c r="AI295" s="1053"/>
      <c r="AJ295" s="1053"/>
      <c r="AK295" s="1053"/>
      <c r="AL295" s="1053"/>
      <c r="AM295" s="1053"/>
      <c r="AN295" s="1053"/>
      <c r="AO295" s="1053"/>
      <c r="AP295" s="1053"/>
      <c r="AQ295" s="1053"/>
      <c r="AR295" s="1053"/>
      <c r="AS295" s="1053"/>
      <c r="AT295" s="1053"/>
      <c r="AU295" s="1053"/>
      <c r="AV295" s="1053"/>
      <c r="AW295" s="1053"/>
      <c r="AX295" s="1053"/>
      <c r="AY295" s="1053"/>
      <c r="AZ295" s="1053"/>
    </row>
    <row r="296" spans="1:52">
      <c r="A296" s="1053"/>
      <c r="B296" s="1053"/>
      <c r="C296" s="1053"/>
      <c r="D296" s="1053"/>
      <c r="E296" s="1053"/>
      <c r="F296" s="1053"/>
      <c r="G296" s="1053"/>
      <c r="H296" s="1053"/>
      <c r="I296" s="1053"/>
      <c r="J296" s="1053"/>
      <c r="K296" s="1053"/>
      <c r="L296" s="1053"/>
      <c r="M296" s="1053"/>
      <c r="N296" s="1053"/>
      <c r="O296" s="1053"/>
      <c r="P296" s="1053"/>
      <c r="Q296" s="1053"/>
      <c r="R296" s="1053"/>
      <c r="S296" s="1053"/>
      <c r="T296" s="1053"/>
      <c r="U296" s="1053"/>
      <c r="V296" s="1053"/>
      <c r="W296" s="1053"/>
      <c r="X296" s="1053"/>
      <c r="Y296" s="1053"/>
      <c r="Z296" s="1053"/>
      <c r="AA296" s="1053"/>
      <c r="AB296" s="1053"/>
      <c r="AC296" s="1053"/>
      <c r="AD296" s="1053"/>
      <c r="AE296" s="1053"/>
      <c r="AF296" s="1053"/>
      <c r="AG296" s="1053"/>
      <c r="AH296" s="1053"/>
      <c r="AI296" s="1053"/>
      <c r="AJ296" s="1053"/>
      <c r="AK296" s="1053"/>
      <c r="AL296" s="1053"/>
      <c r="AM296" s="1053"/>
      <c r="AN296" s="1053"/>
      <c r="AO296" s="1053"/>
      <c r="AP296" s="1053"/>
      <c r="AQ296" s="1053"/>
      <c r="AR296" s="1053"/>
      <c r="AS296" s="1053"/>
      <c r="AT296" s="1053"/>
      <c r="AU296" s="1053"/>
      <c r="AV296" s="1053"/>
      <c r="AW296" s="1053"/>
      <c r="AX296" s="1053"/>
      <c r="AY296" s="1053"/>
      <c r="AZ296" s="1053"/>
    </row>
    <row r="297" spans="1:52">
      <c r="A297" s="1053"/>
      <c r="B297" s="1053"/>
      <c r="C297" s="1053"/>
      <c r="D297" s="1053"/>
      <c r="E297" s="1053"/>
      <c r="F297" s="1053"/>
      <c r="G297" s="1053"/>
      <c r="H297" s="1053"/>
      <c r="I297" s="1053"/>
      <c r="J297" s="1053"/>
      <c r="K297" s="1053"/>
      <c r="L297" s="1053"/>
      <c r="M297" s="1053"/>
      <c r="N297" s="1053"/>
      <c r="O297" s="1053"/>
      <c r="P297" s="1053"/>
      <c r="Q297" s="1053"/>
      <c r="R297" s="1053"/>
      <c r="S297" s="1053"/>
      <c r="T297" s="1053"/>
      <c r="U297" s="1053"/>
      <c r="V297" s="1053"/>
      <c r="W297" s="1053"/>
      <c r="X297" s="1053"/>
      <c r="Y297" s="1053"/>
      <c r="Z297" s="1053"/>
      <c r="AA297" s="1053"/>
      <c r="AB297" s="1053"/>
      <c r="AC297" s="1053"/>
      <c r="AD297" s="1053"/>
      <c r="AE297" s="1053"/>
      <c r="AF297" s="1053"/>
      <c r="AG297" s="1053"/>
      <c r="AH297" s="1053"/>
      <c r="AI297" s="1053"/>
      <c r="AJ297" s="1053"/>
      <c r="AK297" s="1053"/>
      <c r="AL297" s="1053"/>
      <c r="AM297" s="1053"/>
      <c r="AN297" s="1053"/>
      <c r="AO297" s="1053"/>
      <c r="AP297" s="1053"/>
      <c r="AQ297" s="1053"/>
      <c r="AR297" s="1053"/>
      <c r="AS297" s="1053"/>
      <c r="AT297" s="1053"/>
      <c r="AU297" s="1053"/>
      <c r="AV297" s="1053"/>
      <c r="AW297" s="1053"/>
      <c r="AX297" s="1053"/>
      <c r="AY297" s="1053"/>
      <c r="AZ297" s="1053"/>
    </row>
    <row r="298" spans="1:52">
      <c r="A298" s="1053"/>
      <c r="B298" s="1053"/>
      <c r="C298" s="1053"/>
      <c r="D298" s="1053"/>
      <c r="E298" s="1053"/>
      <c r="F298" s="1053"/>
      <c r="G298" s="1053"/>
      <c r="H298" s="1053"/>
      <c r="I298" s="1053"/>
      <c r="J298" s="1053"/>
      <c r="K298" s="1053"/>
      <c r="L298" s="1053"/>
      <c r="M298" s="1053"/>
      <c r="N298" s="1053"/>
      <c r="O298" s="1053"/>
      <c r="P298" s="1053"/>
      <c r="Q298" s="1053"/>
      <c r="R298" s="1053"/>
      <c r="S298" s="1053"/>
      <c r="T298" s="1053"/>
      <c r="U298" s="1053"/>
      <c r="V298" s="1053"/>
      <c r="W298" s="1053"/>
      <c r="X298" s="1053"/>
      <c r="Y298" s="1053"/>
      <c r="Z298" s="1053"/>
      <c r="AA298" s="1053"/>
      <c r="AB298" s="1053"/>
      <c r="AC298" s="1053"/>
      <c r="AD298" s="1053"/>
      <c r="AE298" s="1053"/>
      <c r="AF298" s="1053"/>
      <c r="AG298" s="1053"/>
      <c r="AH298" s="1053"/>
      <c r="AI298" s="1053"/>
      <c r="AJ298" s="1053"/>
      <c r="AK298" s="1053"/>
      <c r="AL298" s="1053"/>
      <c r="AM298" s="1053"/>
      <c r="AN298" s="1053"/>
      <c r="AO298" s="1053"/>
      <c r="AP298" s="1053"/>
      <c r="AQ298" s="1053"/>
      <c r="AR298" s="1053"/>
      <c r="AS298" s="1053"/>
      <c r="AT298" s="1053"/>
      <c r="AU298" s="1053"/>
      <c r="AV298" s="1053"/>
      <c r="AW298" s="1053"/>
      <c r="AX298" s="1053"/>
      <c r="AY298" s="1053"/>
      <c r="AZ298" s="1053"/>
    </row>
    <row r="299" spans="1:52">
      <c r="A299" s="1053"/>
      <c r="B299" s="1053"/>
      <c r="C299" s="1053"/>
      <c r="D299" s="1053"/>
      <c r="E299" s="1053"/>
      <c r="F299" s="1053"/>
      <c r="G299" s="1053"/>
      <c r="H299" s="1053"/>
      <c r="I299" s="1053"/>
      <c r="J299" s="1053"/>
      <c r="K299" s="1053"/>
      <c r="L299" s="1053"/>
      <c r="M299" s="1053"/>
      <c r="N299" s="1053"/>
      <c r="O299" s="1053"/>
      <c r="P299" s="1053"/>
      <c r="Q299" s="1053"/>
      <c r="R299" s="1053"/>
      <c r="S299" s="1053"/>
      <c r="T299" s="1053"/>
      <c r="U299" s="1053"/>
      <c r="V299" s="1053"/>
      <c r="W299" s="1053"/>
      <c r="X299" s="1053"/>
      <c r="Y299" s="1053"/>
      <c r="Z299" s="1053"/>
      <c r="AA299" s="1053"/>
      <c r="AB299" s="1053"/>
      <c r="AC299" s="1053"/>
      <c r="AD299" s="1053"/>
      <c r="AE299" s="1053"/>
      <c r="AF299" s="1053"/>
      <c r="AG299" s="1053"/>
      <c r="AH299" s="1053"/>
      <c r="AI299" s="1053"/>
      <c r="AJ299" s="1053"/>
      <c r="AK299" s="1053"/>
      <c r="AL299" s="1053"/>
      <c r="AM299" s="1053"/>
      <c r="AN299" s="1053"/>
      <c r="AO299" s="1053"/>
      <c r="AP299" s="1053"/>
      <c r="AQ299" s="1053"/>
      <c r="AR299" s="1053"/>
      <c r="AS299" s="1053"/>
      <c r="AT299" s="1053"/>
      <c r="AU299" s="1053"/>
      <c r="AV299" s="1053"/>
      <c r="AW299" s="1053"/>
      <c r="AX299" s="1053"/>
      <c r="AY299" s="1053"/>
      <c r="AZ299" s="1053"/>
    </row>
    <row r="300" spans="1:52">
      <c r="A300" s="1053"/>
      <c r="B300" s="1053"/>
      <c r="C300" s="1053"/>
      <c r="D300" s="1053"/>
      <c r="E300" s="1053"/>
      <c r="F300" s="1053"/>
      <c r="G300" s="1053"/>
      <c r="H300" s="1053"/>
      <c r="I300" s="1053"/>
      <c r="J300" s="1053"/>
      <c r="K300" s="1053"/>
      <c r="L300" s="1053"/>
      <c r="M300" s="1053"/>
      <c r="N300" s="1053"/>
      <c r="O300" s="1053"/>
      <c r="P300" s="1053"/>
      <c r="Q300" s="1053"/>
      <c r="R300" s="1053"/>
      <c r="S300" s="1053"/>
      <c r="T300" s="1053"/>
      <c r="U300" s="1053"/>
      <c r="V300" s="1053"/>
      <c r="W300" s="1053"/>
      <c r="X300" s="1053"/>
      <c r="Y300" s="1053"/>
      <c r="Z300" s="1053"/>
      <c r="AA300" s="1053"/>
      <c r="AB300" s="1053"/>
      <c r="AC300" s="1053"/>
      <c r="AD300" s="1053"/>
      <c r="AE300" s="1053"/>
      <c r="AF300" s="1053"/>
      <c r="AG300" s="1053"/>
      <c r="AH300" s="1053"/>
      <c r="AI300" s="1053"/>
      <c r="AJ300" s="1053"/>
      <c r="AK300" s="1053"/>
      <c r="AL300" s="1053"/>
      <c r="AM300" s="1053"/>
      <c r="AN300" s="1053"/>
      <c r="AO300" s="1053"/>
      <c r="AP300" s="1053"/>
      <c r="AQ300" s="1053"/>
      <c r="AR300" s="1053"/>
      <c r="AS300" s="1053"/>
      <c r="AT300" s="1053"/>
      <c r="AU300" s="1053"/>
      <c r="AV300" s="1053"/>
      <c r="AW300" s="1053"/>
      <c r="AX300" s="1053"/>
      <c r="AY300" s="1053"/>
      <c r="AZ300" s="1053"/>
    </row>
    <row r="301" spans="1:52">
      <c r="A301" s="1053"/>
      <c r="B301" s="1053"/>
      <c r="C301" s="1053"/>
      <c r="D301" s="1053"/>
      <c r="E301" s="1053"/>
      <c r="F301" s="1053"/>
      <c r="G301" s="1053"/>
      <c r="H301" s="1053"/>
      <c r="I301" s="1053"/>
      <c r="J301" s="1053"/>
      <c r="K301" s="1053"/>
      <c r="L301" s="1053"/>
      <c r="M301" s="1053"/>
      <c r="N301" s="1053"/>
      <c r="O301" s="1053"/>
      <c r="P301" s="1053"/>
      <c r="Q301" s="1053"/>
      <c r="R301" s="1053"/>
      <c r="S301" s="1053"/>
      <c r="T301" s="1053"/>
      <c r="U301" s="1053"/>
      <c r="V301" s="1053"/>
      <c r="W301" s="1053"/>
      <c r="X301" s="1053"/>
      <c r="Y301" s="1053"/>
      <c r="Z301" s="1053"/>
      <c r="AA301" s="1053"/>
      <c r="AB301" s="1053"/>
      <c r="AC301" s="1053"/>
      <c r="AD301" s="1053"/>
      <c r="AE301" s="1053"/>
      <c r="AF301" s="1053"/>
      <c r="AG301" s="1053"/>
      <c r="AH301" s="1053"/>
      <c r="AI301" s="1053"/>
      <c r="AJ301" s="1053"/>
      <c r="AK301" s="1053"/>
      <c r="AL301" s="1053"/>
      <c r="AM301" s="1053"/>
      <c r="AN301" s="1053"/>
      <c r="AO301" s="1053"/>
      <c r="AP301" s="1053"/>
      <c r="AQ301" s="1053"/>
      <c r="AR301" s="1053"/>
      <c r="AS301" s="1053"/>
      <c r="AT301" s="1053"/>
      <c r="AU301" s="1053"/>
      <c r="AV301" s="1053"/>
      <c r="AW301" s="1053"/>
      <c r="AX301" s="1053"/>
      <c r="AY301" s="1053"/>
      <c r="AZ301" s="1053"/>
    </row>
    <row r="302" spans="1:52">
      <c r="A302" s="1053"/>
      <c r="B302" s="1053"/>
      <c r="C302" s="1053"/>
      <c r="D302" s="1053"/>
      <c r="E302" s="1053"/>
      <c r="F302" s="1053"/>
      <c r="G302" s="1053"/>
      <c r="H302" s="1053"/>
      <c r="I302" s="1053"/>
      <c r="J302" s="1053"/>
      <c r="K302" s="1053"/>
      <c r="L302" s="1053"/>
      <c r="M302" s="1053"/>
      <c r="N302" s="1053"/>
      <c r="O302" s="1053"/>
      <c r="P302" s="1053"/>
      <c r="Q302" s="1053"/>
      <c r="R302" s="1053"/>
      <c r="S302" s="1053"/>
      <c r="T302" s="1053"/>
      <c r="U302" s="1053"/>
      <c r="V302" s="1053"/>
      <c r="W302" s="1053"/>
      <c r="X302" s="1053"/>
      <c r="Y302" s="1053"/>
      <c r="Z302" s="1053"/>
      <c r="AA302" s="1053"/>
      <c r="AB302" s="1053"/>
      <c r="AC302" s="1053"/>
      <c r="AD302" s="1053"/>
      <c r="AE302" s="1053"/>
      <c r="AF302" s="1053"/>
      <c r="AG302" s="1053"/>
      <c r="AH302" s="1053"/>
      <c r="AI302" s="1053"/>
      <c r="AJ302" s="1053"/>
      <c r="AK302" s="1053"/>
      <c r="AL302" s="1053"/>
      <c r="AM302" s="1053"/>
      <c r="AN302" s="1053"/>
      <c r="AO302" s="1053"/>
      <c r="AP302" s="1053"/>
      <c r="AQ302" s="1053"/>
      <c r="AR302" s="1053"/>
      <c r="AS302" s="1053"/>
      <c r="AT302" s="1053"/>
      <c r="AU302" s="1053"/>
      <c r="AV302" s="1053"/>
      <c r="AW302" s="1053"/>
      <c r="AX302" s="1053"/>
      <c r="AY302" s="1053"/>
      <c r="AZ302" s="1053"/>
    </row>
    <row r="303" spans="1:52">
      <c r="A303" s="1053"/>
      <c r="B303" s="1053"/>
      <c r="C303" s="1053"/>
      <c r="D303" s="1053"/>
      <c r="E303" s="1053"/>
      <c r="F303" s="1053"/>
      <c r="G303" s="1053"/>
      <c r="H303" s="1053"/>
      <c r="I303" s="1053"/>
      <c r="J303" s="1053"/>
      <c r="K303" s="1053"/>
      <c r="L303" s="1053"/>
      <c r="M303" s="1053"/>
      <c r="N303" s="1053"/>
      <c r="O303" s="1053"/>
      <c r="P303" s="1053"/>
      <c r="Q303" s="1053"/>
      <c r="R303" s="1053"/>
      <c r="S303" s="1053"/>
      <c r="T303" s="1053"/>
      <c r="U303" s="1053"/>
      <c r="V303" s="1053"/>
      <c r="W303" s="1053"/>
      <c r="X303" s="1053"/>
      <c r="Y303" s="1053"/>
      <c r="Z303" s="1053"/>
      <c r="AA303" s="1053"/>
      <c r="AB303" s="1053"/>
      <c r="AC303" s="1053"/>
      <c r="AD303" s="1053"/>
      <c r="AE303" s="1053"/>
      <c r="AF303" s="1053"/>
      <c r="AG303" s="1053"/>
      <c r="AH303" s="1053"/>
      <c r="AI303" s="1053"/>
      <c r="AJ303" s="1053"/>
      <c r="AK303" s="1053"/>
      <c r="AL303" s="1053"/>
      <c r="AM303" s="1053"/>
      <c r="AN303" s="1053"/>
      <c r="AO303" s="1053"/>
      <c r="AP303" s="1053"/>
      <c r="AQ303" s="1053"/>
      <c r="AR303" s="1053"/>
      <c r="AS303" s="1053"/>
      <c r="AT303" s="1053"/>
      <c r="AU303" s="1053"/>
      <c r="AV303" s="1053"/>
      <c r="AW303" s="1053"/>
      <c r="AX303" s="1053"/>
      <c r="AY303" s="1053"/>
      <c r="AZ303" s="1053"/>
    </row>
    <row r="304" spans="1:52">
      <c r="A304" s="1053"/>
      <c r="B304" s="1053"/>
      <c r="C304" s="1053"/>
      <c r="D304" s="1053"/>
      <c r="E304" s="1053"/>
      <c r="F304" s="1053"/>
      <c r="G304" s="1053"/>
      <c r="H304" s="1053"/>
      <c r="I304" s="1053"/>
      <c r="J304" s="1053"/>
      <c r="K304" s="1053"/>
      <c r="L304" s="1053"/>
      <c r="M304" s="1053"/>
      <c r="N304" s="1053"/>
      <c r="O304" s="1053"/>
      <c r="P304" s="1053"/>
      <c r="Q304" s="1053"/>
      <c r="R304" s="1053"/>
      <c r="S304" s="1053"/>
      <c r="T304" s="1053"/>
      <c r="U304" s="1053"/>
      <c r="V304" s="1053"/>
      <c r="W304" s="1053"/>
      <c r="X304" s="1053"/>
      <c r="Y304" s="1053"/>
      <c r="Z304" s="1053"/>
      <c r="AA304" s="1053"/>
      <c r="AB304" s="1053"/>
      <c r="AC304" s="1053"/>
      <c r="AD304" s="1053"/>
      <c r="AE304" s="1053"/>
      <c r="AF304" s="1053"/>
      <c r="AG304" s="1053"/>
      <c r="AH304" s="1053"/>
      <c r="AI304" s="1053"/>
      <c r="AJ304" s="1053"/>
      <c r="AK304" s="1053"/>
      <c r="AL304" s="1053"/>
      <c r="AM304" s="1053"/>
      <c r="AN304" s="1053"/>
      <c r="AO304" s="1053"/>
      <c r="AP304" s="1053"/>
      <c r="AQ304" s="1053"/>
      <c r="AR304" s="1053"/>
      <c r="AS304" s="1053"/>
      <c r="AT304" s="1053"/>
      <c r="AU304" s="1053"/>
      <c r="AV304" s="1053"/>
      <c r="AW304" s="1053"/>
      <c r="AX304" s="1053"/>
      <c r="AY304" s="1053"/>
      <c r="AZ304" s="1053"/>
    </row>
    <row r="305" spans="1:52">
      <c r="A305" s="1053"/>
      <c r="B305" s="1053"/>
      <c r="C305" s="1053"/>
      <c r="D305" s="1053"/>
      <c r="E305" s="1053"/>
      <c r="F305" s="1053"/>
      <c r="G305" s="1053"/>
      <c r="H305" s="1053"/>
      <c r="I305" s="1053"/>
      <c r="J305" s="1053"/>
      <c r="K305" s="1053"/>
      <c r="L305" s="1053"/>
      <c r="M305" s="1053"/>
      <c r="N305" s="1053"/>
      <c r="O305" s="1053"/>
      <c r="P305" s="1053"/>
      <c r="Q305" s="1053"/>
      <c r="R305" s="1053"/>
      <c r="S305" s="1053"/>
      <c r="T305" s="1053"/>
      <c r="U305" s="1053"/>
      <c r="V305" s="1053"/>
      <c r="W305" s="1053"/>
      <c r="X305" s="1053"/>
      <c r="Y305" s="1053"/>
      <c r="Z305" s="1053"/>
      <c r="AA305" s="1053"/>
      <c r="AB305" s="1053"/>
      <c r="AC305" s="1053"/>
      <c r="AD305" s="1053"/>
      <c r="AE305" s="1053"/>
      <c r="AF305" s="1053"/>
      <c r="AG305" s="1053"/>
      <c r="AH305" s="1053"/>
      <c r="AI305" s="1053"/>
      <c r="AJ305" s="1053"/>
      <c r="AK305" s="1053"/>
      <c r="AL305" s="1053"/>
      <c r="AM305" s="1053"/>
      <c r="AN305" s="1053"/>
      <c r="AO305" s="1053"/>
      <c r="AP305" s="1053"/>
      <c r="AQ305" s="1053"/>
      <c r="AR305" s="1053"/>
      <c r="AS305" s="1053"/>
      <c r="AT305" s="1053"/>
      <c r="AU305" s="1053"/>
      <c r="AV305" s="1053"/>
      <c r="AW305" s="1053"/>
      <c r="AX305" s="1053"/>
      <c r="AY305" s="1053"/>
      <c r="AZ305" s="1053"/>
    </row>
    <row r="306" spans="1:52">
      <c r="A306" s="1053"/>
      <c r="B306" s="1053"/>
      <c r="C306" s="1053"/>
      <c r="D306" s="1053"/>
      <c r="E306" s="1053"/>
      <c r="F306" s="1053"/>
      <c r="G306" s="1053"/>
      <c r="H306" s="1053"/>
      <c r="I306" s="1053"/>
      <c r="J306" s="1053"/>
      <c r="K306" s="1053"/>
      <c r="L306" s="1053"/>
      <c r="M306" s="1053"/>
      <c r="N306" s="1053"/>
      <c r="O306" s="1053"/>
      <c r="P306" s="1053"/>
      <c r="Q306" s="1053"/>
      <c r="R306" s="1053"/>
      <c r="S306" s="1053"/>
      <c r="T306" s="1053"/>
      <c r="U306" s="1053"/>
      <c r="V306" s="1053"/>
      <c r="W306" s="1053"/>
      <c r="X306" s="1053"/>
      <c r="Y306" s="1053"/>
      <c r="Z306" s="1053"/>
      <c r="AA306" s="1053"/>
      <c r="AB306" s="1053"/>
      <c r="AC306" s="1053"/>
      <c r="AD306" s="1053"/>
      <c r="AE306" s="1053"/>
      <c r="AF306" s="1053"/>
      <c r="AG306" s="1053"/>
      <c r="AH306" s="1053"/>
      <c r="AI306" s="1053"/>
      <c r="AJ306" s="1053"/>
      <c r="AK306" s="1053"/>
      <c r="AL306" s="1053"/>
      <c r="AM306" s="1053"/>
      <c r="AN306" s="1053"/>
      <c r="AO306" s="1053"/>
      <c r="AP306" s="1053"/>
      <c r="AQ306" s="1053"/>
      <c r="AR306" s="1053"/>
      <c r="AS306" s="1053"/>
      <c r="AT306" s="1053"/>
      <c r="AU306" s="1053"/>
      <c r="AV306" s="1053"/>
      <c r="AW306" s="1053"/>
      <c r="AX306" s="1053"/>
      <c r="AY306" s="1053"/>
      <c r="AZ306" s="1053"/>
    </row>
    <row r="307" spans="1:52">
      <c r="A307" s="1053"/>
      <c r="B307" s="1053"/>
      <c r="C307" s="1053"/>
      <c r="D307" s="1053"/>
      <c r="E307" s="1053"/>
      <c r="F307" s="1053"/>
      <c r="G307" s="1053"/>
      <c r="H307" s="1053"/>
      <c r="I307" s="1053"/>
      <c r="J307" s="1053"/>
      <c r="K307" s="1053"/>
      <c r="L307" s="1053"/>
      <c r="M307" s="1053"/>
      <c r="N307" s="1053"/>
      <c r="O307" s="1053"/>
      <c r="P307" s="1053"/>
      <c r="Q307" s="1053"/>
      <c r="R307" s="1053"/>
      <c r="S307" s="1053"/>
      <c r="T307" s="1053"/>
      <c r="U307" s="1053"/>
      <c r="V307" s="1053"/>
      <c r="W307" s="1053"/>
      <c r="X307" s="1053"/>
      <c r="Y307" s="1053"/>
      <c r="Z307" s="1053"/>
      <c r="AA307" s="1053"/>
      <c r="AB307" s="1053"/>
      <c r="AC307" s="1053"/>
      <c r="AD307" s="1053"/>
      <c r="AE307" s="1053"/>
      <c r="AF307" s="1053"/>
      <c r="AG307" s="1053"/>
      <c r="AH307" s="1053"/>
      <c r="AI307" s="1053"/>
      <c r="AJ307" s="1053"/>
      <c r="AK307" s="1053"/>
      <c r="AL307" s="1053"/>
      <c r="AM307" s="1053"/>
      <c r="AN307" s="1053"/>
      <c r="AO307" s="1053"/>
      <c r="AP307" s="1053"/>
      <c r="AQ307" s="1053"/>
      <c r="AR307" s="1053"/>
      <c r="AS307" s="1053"/>
      <c r="AT307" s="1053"/>
      <c r="AU307" s="1053"/>
      <c r="AV307" s="1053"/>
      <c r="AW307" s="1053"/>
      <c r="AX307" s="1053"/>
      <c r="AY307" s="1053"/>
      <c r="AZ307" s="1053"/>
    </row>
    <row r="308" spans="1:52">
      <c r="A308" s="1053"/>
      <c r="B308" s="1053"/>
      <c r="C308" s="1053"/>
      <c r="D308" s="1053"/>
      <c r="E308" s="1053"/>
      <c r="F308" s="1053"/>
      <c r="G308" s="1053"/>
      <c r="H308" s="1053"/>
      <c r="I308" s="1053"/>
      <c r="J308" s="1053"/>
      <c r="K308" s="1053"/>
      <c r="L308" s="1053"/>
      <c r="M308" s="1053"/>
      <c r="N308" s="1053"/>
      <c r="O308" s="1053"/>
      <c r="P308" s="1053"/>
      <c r="Q308" s="1053"/>
      <c r="R308" s="1053"/>
      <c r="S308" s="1053"/>
      <c r="T308" s="1053"/>
      <c r="U308" s="1053"/>
      <c r="V308" s="1053"/>
      <c r="W308" s="1053"/>
      <c r="X308" s="1053"/>
      <c r="Y308" s="1053"/>
      <c r="Z308" s="1053"/>
      <c r="AA308" s="1053"/>
      <c r="AB308" s="1053"/>
      <c r="AC308" s="1053"/>
      <c r="AD308" s="1053"/>
      <c r="AE308" s="1053"/>
      <c r="AF308" s="1053"/>
      <c r="AG308" s="1053"/>
      <c r="AH308" s="1053"/>
      <c r="AI308" s="1053"/>
      <c r="AJ308" s="1053"/>
      <c r="AK308" s="1053"/>
      <c r="AL308" s="1053"/>
      <c r="AM308" s="1053"/>
      <c r="AN308" s="1053"/>
      <c r="AO308" s="1053"/>
      <c r="AP308" s="1053"/>
      <c r="AQ308" s="1053"/>
      <c r="AR308" s="1053"/>
      <c r="AS308" s="1053"/>
      <c r="AT308" s="1053"/>
      <c r="AU308" s="1053"/>
      <c r="AV308" s="1053"/>
      <c r="AW308" s="1053"/>
      <c r="AX308" s="1053"/>
      <c r="AY308" s="1053"/>
      <c r="AZ308" s="1053"/>
    </row>
    <row r="309" spans="1:52">
      <c r="A309" s="1053"/>
      <c r="B309" s="1053"/>
      <c r="C309" s="1053"/>
      <c r="D309" s="1053"/>
      <c r="E309" s="1053"/>
      <c r="F309" s="1053"/>
      <c r="G309" s="1053"/>
      <c r="H309" s="1053"/>
      <c r="I309" s="1053"/>
      <c r="J309" s="1053"/>
      <c r="K309" s="1053"/>
      <c r="L309" s="1053"/>
      <c r="M309" s="1053"/>
      <c r="N309" s="1053"/>
      <c r="O309" s="1053"/>
      <c r="P309" s="1053"/>
      <c r="Q309" s="1053"/>
      <c r="R309" s="1053"/>
      <c r="S309" s="1053"/>
      <c r="T309" s="1053"/>
      <c r="U309" s="1053"/>
      <c r="V309" s="1053"/>
      <c r="W309" s="1053"/>
      <c r="X309" s="1053"/>
      <c r="Y309" s="1053"/>
      <c r="Z309" s="1053"/>
      <c r="AA309" s="1053"/>
      <c r="AB309" s="1053"/>
      <c r="AC309" s="1053"/>
      <c r="AD309" s="1053"/>
      <c r="AE309" s="1053"/>
      <c r="AF309" s="1053"/>
      <c r="AG309" s="1053"/>
      <c r="AH309" s="1053"/>
      <c r="AI309" s="1053"/>
      <c r="AJ309" s="1053"/>
      <c r="AK309" s="1053"/>
      <c r="AL309" s="1053"/>
      <c r="AM309" s="1053"/>
      <c r="AN309" s="1053"/>
      <c r="AO309" s="1053"/>
      <c r="AP309" s="1053"/>
      <c r="AQ309" s="1053"/>
      <c r="AR309" s="1053"/>
      <c r="AS309" s="1053"/>
      <c r="AT309" s="1053"/>
      <c r="AU309" s="1053"/>
      <c r="AV309" s="1053"/>
      <c r="AW309" s="1053"/>
      <c r="AX309" s="1053"/>
      <c r="AY309" s="1053"/>
      <c r="AZ309" s="1053"/>
    </row>
    <row r="310" spans="1:52">
      <c r="A310" s="1053"/>
      <c r="B310" s="1053"/>
      <c r="C310" s="1053"/>
      <c r="D310" s="1053"/>
      <c r="E310" s="1053"/>
      <c r="F310" s="1053"/>
      <c r="G310" s="1053"/>
      <c r="H310" s="1053"/>
      <c r="I310" s="1053"/>
      <c r="J310" s="1053"/>
      <c r="K310" s="1053"/>
      <c r="L310" s="1053"/>
      <c r="M310" s="1053"/>
      <c r="N310" s="1053"/>
      <c r="O310" s="1053"/>
      <c r="P310" s="1053"/>
      <c r="Q310" s="1053"/>
      <c r="R310" s="1053"/>
      <c r="S310" s="1053"/>
      <c r="T310" s="1053"/>
      <c r="U310" s="1053"/>
      <c r="V310" s="1053"/>
      <c r="W310" s="1053"/>
      <c r="X310" s="1053"/>
      <c r="Y310" s="1053"/>
      <c r="Z310" s="1053"/>
      <c r="AA310" s="1053"/>
      <c r="AB310" s="1053"/>
      <c r="AC310" s="1053"/>
      <c r="AD310" s="1053"/>
      <c r="AE310" s="1053"/>
      <c r="AF310" s="1053"/>
      <c r="AG310" s="1053"/>
      <c r="AH310" s="1053"/>
      <c r="AI310" s="1053"/>
      <c r="AJ310" s="1053"/>
      <c r="AK310" s="1053"/>
      <c r="AL310" s="1053"/>
      <c r="AM310" s="1053"/>
      <c r="AN310" s="1053"/>
      <c r="AO310" s="1053"/>
      <c r="AP310" s="1053"/>
      <c r="AQ310" s="1053"/>
      <c r="AR310" s="1053"/>
      <c r="AS310" s="1053"/>
      <c r="AT310" s="1053"/>
      <c r="AU310" s="1053"/>
      <c r="AV310" s="1053"/>
      <c r="AW310" s="1053"/>
      <c r="AX310" s="1053"/>
      <c r="AY310" s="1053"/>
      <c r="AZ310" s="1053"/>
    </row>
    <row r="311" spans="1:52">
      <c r="A311" s="1053"/>
      <c r="B311" s="1053"/>
      <c r="C311" s="1053"/>
      <c r="D311" s="1053"/>
      <c r="E311" s="1053"/>
      <c r="F311" s="1053"/>
      <c r="G311" s="1053"/>
      <c r="H311" s="1053"/>
      <c r="I311" s="1053"/>
      <c r="J311" s="1053"/>
      <c r="K311" s="1053"/>
      <c r="L311" s="1053"/>
      <c r="M311" s="1053"/>
      <c r="N311" s="1053"/>
      <c r="O311" s="1053"/>
      <c r="P311" s="1053"/>
      <c r="Q311" s="1053"/>
      <c r="R311" s="1053"/>
      <c r="S311" s="1053"/>
      <c r="T311" s="1053"/>
      <c r="U311" s="1053"/>
      <c r="V311" s="1053"/>
      <c r="W311" s="1053"/>
      <c r="X311" s="1053"/>
      <c r="Y311" s="1053"/>
      <c r="Z311" s="1053"/>
      <c r="AA311" s="1053"/>
      <c r="AB311" s="1053"/>
      <c r="AC311" s="1053"/>
      <c r="AD311" s="1053"/>
      <c r="AE311" s="1053"/>
      <c r="AF311" s="1053"/>
      <c r="AG311" s="1053"/>
      <c r="AH311" s="1053"/>
      <c r="AI311" s="1053"/>
      <c r="AJ311" s="1053"/>
      <c r="AK311" s="1053"/>
      <c r="AL311" s="1053"/>
      <c r="AM311" s="1053"/>
      <c r="AN311" s="1053"/>
      <c r="AO311" s="1053"/>
      <c r="AP311" s="1053"/>
      <c r="AQ311" s="1053"/>
      <c r="AR311" s="1053"/>
      <c r="AS311" s="1053"/>
      <c r="AT311" s="1053"/>
      <c r="AU311" s="1053"/>
      <c r="AV311" s="1053"/>
      <c r="AW311" s="1053"/>
      <c r="AX311" s="1053"/>
      <c r="AY311" s="1053"/>
      <c r="AZ311" s="1053"/>
    </row>
    <row r="312" spans="1:52">
      <c r="A312" s="1053"/>
      <c r="B312" s="1053"/>
      <c r="C312" s="1053"/>
      <c r="D312" s="1053"/>
      <c r="E312" s="1053"/>
      <c r="F312" s="1053"/>
      <c r="G312" s="1053"/>
      <c r="H312" s="1053"/>
      <c r="I312" s="1053"/>
      <c r="J312" s="1053"/>
      <c r="K312" s="1053"/>
      <c r="L312" s="1053"/>
      <c r="M312" s="1053"/>
      <c r="N312" s="1053"/>
      <c r="O312" s="1053"/>
      <c r="P312" s="1053"/>
      <c r="Q312" s="1053"/>
      <c r="R312" s="1053"/>
      <c r="S312" s="1053"/>
      <c r="T312" s="1053"/>
      <c r="U312" s="1053"/>
      <c r="V312" s="1053"/>
      <c r="W312" s="1053"/>
      <c r="X312" s="1053"/>
      <c r="Y312" s="1053"/>
      <c r="Z312" s="1053"/>
      <c r="AA312" s="1053"/>
      <c r="AB312" s="1053"/>
      <c r="AC312" s="1053"/>
      <c r="AD312" s="1053"/>
      <c r="AE312" s="1053"/>
      <c r="AF312" s="1053"/>
      <c r="AG312" s="1053"/>
      <c r="AH312" s="1053"/>
      <c r="AI312" s="1053"/>
      <c r="AJ312" s="1053"/>
      <c r="AK312" s="1053"/>
      <c r="AL312" s="1053"/>
      <c r="AM312" s="1053"/>
      <c r="AN312" s="1053"/>
      <c r="AO312" s="1053"/>
      <c r="AP312" s="1053"/>
      <c r="AQ312" s="1053"/>
      <c r="AR312" s="1053"/>
      <c r="AS312" s="1053"/>
      <c r="AT312" s="1053"/>
      <c r="AU312" s="1053"/>
      <c r="AV312" s="1053"/>
      <c r="AW312" s="1053"/>
      <c r="AX312" s="1053"/>
      <c r="AY312" s="1053"/>
      <c r="AZ312" s="1053"/>
    </row>
    <row r="313" spans="1:52">
      <c r="A313" s="1053"/>
      <c r="B313" s="1053"/>
      <c r="C313" s="1053"/>
      <c r="D313" s="1053"/>
      <c r="E313" s="1053"/>
      <c r="F313" s="1053"/>
      <c r="G313" s="1053"/>
      <c r="H313" s="1053"/>
      <c r="I313" s="1053"/>
      <c r="J313" s="1053"/>
      <c r="K313" s="1053"/>
      <c r="L313" s="1053"/>
      <c r="M313" s="1053"/>
      <c r="N313" s="1053"/>
      <c r="O313" s="1053"/>
      <c r="P313" s="1053"/>
      <c r="Q313" s="1053"/>
      <c r="R313" s="1053"/>
      <c r="S313" s="1053"/>
      <c r="T313" s="1053"/>
      <c r="U313" s="1053"/>
      <c r="V313" s="1053"/>
      <c r="W313" s="1053"/>
      <c r="X313" s="1053"/>
      <c r="Y313" s="1053"/>
      <c r="Z313" s="1053"/>
      <c r="AA313" s="1053"/>
      <c r="AB313" s="1053"/>
      <c r="AC313" s="1053"/>
      <c r="AD313" s="1053"/>
      <c r="AE313" s="1053"/>
      <c r="AF313" s="1053"/>
      <c r="AG313" s="1053"/>
      <c r="AH313" s="1053"/>
      <c r="AI313" s="1053"/>
      <c r="AJ313" s="1053"/>
      <c r="AK313" s="1053"/>
      <c r="AL313" s="1053"/>
      <c r="AM313" s="1053"/>
      <c r="AN313" s="1053"/>
      <c r="AO313" s="1053"/>
      <c r="AP313" s="1053"/>
      <c r="AQ313" s="1053"/>
      <c r="AR313" s="1053"/>
      <c r="AS313" s="1053"/>
      <c r="AT313" s="1053"/>
      <c r="AU313" s="1053"/>
      <c r="AV313" s="1053"/>
      <c r="AW313" s="1053"/>
      <c r="AX313" s="1053"/>
      <c r="AY313" s="1053"/>
      <c r="AZ313" s="1053"/>
    </row>
    <row r="314" spans="1:52">
      <c r="A314" s="1053"/>
      <c r="B314" s="1053"/>
      <c r="C314" s="1053"/>
      <c r="D314" s="1053"/>
      <c r="E314" s="1053"/>
      <c r="F314" s="1053"/>
      <c r="G314" s="1053"/>
      <c r="H314" s="1053"/>
      <c r="I314" s="1053"/>
      <c r="J314" s="1053"/>
      <c r="K314" s="1053"/>
      <c r="L314" s="1053"/>
      <c r="M314" s="1053"/>
      <c r="N314" s="1053"/>
      <c r="O314" s="1053"/>
      <c r="P314" s="1053"/>
      <c r="Q314" s="1053"/>
      <c r="R314" s="1053"/>
      <c r="S314" s="1053"/>
      <c r="T314" s="1053"/>
      <c r="U314" s="1053"/>
      <c r="V314" s="1053"/>
      <c r="W314" s="1053"/>
      <c r="X314" s="1053"/>
      <c r="Y314" s="1053"/>
      <c r="Z314" s="1053"/>
      <c r="AA314" s="1053"/>
      <c r="AB314" s="1053"/>
      <c r="AC314" s="1053"/>
      <c r="AD314" s="1053"/>
      <c r="AE314" s="1053"/>
      <c r="AF314" s="1053"/>
      <c r="AG314" s="1053"/>
      <c r="AH314" s="1053"/>
      <c r="AI314" s="1053"/>
      <c r="AJ314" s="1053"/>
      <c r="AK314" s="1053"/>
      <c r="AL314" s="1053"/>
      <c r="AM314" s="1053"/>
      <c r="AN314" s="1053"/>
      <c r="AO314" s="1053"/>
      <c r="AP314" s="1053"/>
      <c r="AQ314" s="1053"/>
      <c r="AR314" s="1053"/>
      <c r="AS314" s="1053"/>
      <c r="AT314" s="1053"/>
      <c r="AU314" s="1053"/>
      <c r="AV314" s="1053"/>
      <c r="AW314" s="1053"/>
      <c r="AX314" s="1053"/>
      <c r="AY314" s="1053"/>
      <c r="AZ314" s="1053"/>
    </row>
    <row r="315" spans="1:52">
      <c r="A315" s="1053"/>
      <c r="B315" s="1053"/>
      <c r="C315" s="1053"/>
      <c r="D315" s="1053"/>
      <c r="E315" s="1053"/>
      <c r="F315" s="1053"/>
      <c r="G315" s="1053"/>
      <c r="H315" s="1053"/>
      <c r="I315" s="1053"/>
      <c r="J315" s="1053"/>
      <c r="K315" s="1053"/>
      <c r="L315" s="1053"/>
      <c r="M315" s="1053"/>
      <c r="N315" s="1053"/>
      <c r="O315" s="1053"/>
      <c r="P315" s="1053"/>
      <c r="Q315" s="1053"/>
      <c r="R315" s="1053"/>
      <c r="S315" s="1053"/>
      <c r="T315" s="1053"/>
      <c r="U315" s="1053"/>
      <c r="V315" s="1053"/>
      <c r="W315" s="1053"/>
      <c r="X315" s="1053"/>
      <c r="Y315" s="1053"/>
      <c r="Z315" s="1053"/>
      <c r="AA315" s="1053"/>
      <c r="AB315" s="1053"/>
      <c r="AC315" s="1053"/>
      <c r="AD315" s="1053"/>
      <c r="AE315" s="1053"/>
      <c r="AF315" s="1053"/>
      <c r="AG315" s="1053"/>
      <c r="AH315" s="1053"/>
      <c r="AI315" s="1053"/>
      <c r="AJ315" s="1053"/>
      <c r="AK315" s="1053"/>
      <c r="AL315" s="1053"/>
      <c r="AM315" s="1053"/>
      <c r="AN315" s="1053"/>
      <c r="AO315" s="1053"/>
      <c r="AP315" s="1053"/>
      <c r="AQ315" s="1053"/>
      <c r="AR315" s="1053"/>
      <c r="AS315" s="1053"/>
      <c r="AT315" s="1053"/>
      <c r="AU315" s="1053"/>
      <c r="AV315" s="1053"/>
      <c r="AW315" s="1053"/>
      <c r="AX315" s="1053"/>
      <c r="AY315" s="1053"/>
      <c r="AZ315" s="1053"/>
    </row>
    <row r="316" spans="1:52">
      <c r="A316" s="1053"/>
      <c r="B316" s="1053"/>
      <c r="C316" s="1053"/>
      <c r="D316" s="1053"/>
      <c r="E316" s="1053"/>
      <c r="F316" s="1053"/>
      <c r="G316" s="1053"/>
      <c r="H316" s="1053"/>
      <c r="I316" s="1053"/>
      <c r="J316" s="1053"/>
      <c r="K316" s="1053"/>
      <c r="L316" s="1053"/>
      <c r="M316" s="1053"/>
      <c r="N316" s="1053"/>
      <c r="O316" s="1053"/>
      <c r="P316" s="1053"/>
      <c r="Q316" s="1053"/>
      <c r="R316" s="1053"/>
      <c r="S316" s="1053"/>
      <c r="T316" s="1053"/>
      <c r="U316" s="1053"/>
      <c r="V316" s="1053"/>
      <c r="W316" s="1053"/>
      <c r="X316" s="1053"/>
      <c r="Y316" s="1053"/>
      <c r="Z316" s="1053"/>
      <c r="AA316" s="1053"/>
      <c r="AB316" s="1053"/>
      <c r="AC316" s="1053"/>
      <c r="AD316" s="1053"/>
      <c r="AE316" s="1053"/>
      <c r="AF316" s="1053"/>
      <c r="AG316" s="1053"/>
      <c r="AH316" s="1053"/>
      <c r="AI316" s="1053"/>
      <c r="AJ316" s="1053"/>
      <c r="AK316" s="1053"/>
      <c r="AL316" s="1053"/>
      <c r="AM316" s="1053"/>
      <c r="AN316" s="1053"/>
      <c r="AO316" s="1053"/>
      <c r="AP316" s="1053"/>
      <c r="AQ316" s="1053"/>
      <c r="AR316" s="1053"/>
      <c r="AS316" s="1053"/>
      <c r="AT316" s="1053"/>
      <c r="AU316" s="1053"/>
      <c r="AV316" s="1053"/>
      <c r="AW316" s="1053"/>
      <c r="AX316" s="1053"/>
      <c r="AY316" s="1053"/>
      <c r="AZ316" s="1053"/>
    </row>
    <row r="317" spans="1:52">
      <c r="A317" s="1053"/>
      <c r="B317" s="1053"/>
      <c r="C317" s="1053"/>
      <c r="D317" s="1053"/>
      <c r="E317" s="1053"/>
      <c r="F317" s="1053"/>
      <c r="G317" s="1053"/>
      <c r="H317" s="1053"/>
      <c r="I317" s="1053"/>
      <c r="J317" s="1053"/>
      <c r="K317" s="1053"/>
      <c r="L317" s="1053"/>
      <c r="M317" s="1053"/>
      <c r="N317" s="1053"/>
      <c r="O317" s="1053"/>
      <c r="P317" s="1053"/>
      <c r="Q317" s="1053"/>
      <c r="R317" s="1053"/>
      <c r="S317" s="1053"/>
      <c r="T317" s="1053"/>
      <c r="U317" s="1053"/>
      <c r="V317" s="1053"/>
      <c r="W317" s="1053"/>
      <c r="X317" s="1053"/>
      <c r="Y317" s="1053"/>
      <c r="Z317" s="1053"/>
      <c r="AA317" s="1053"/>
      <c r="AB317" s="1053"/>
      <c r="AC317" s="1053"/>
      <c r="AD317" s="1053"/>
      <c r="AE317" s="1053"/>
      <c r="AF317" s="1053"/>
      <c r="AG317" s="1053"/>
      <c r="AH317" s="1053"/>
      <c r="AI317" s="1053"/>
      <c r="AJ317" s="1053"/>
      <c r="AK317" s="1053"/>
      <c r="AL317" s="1053"/>
      <c r="AM317" s="1053"/>
      <c r="AN317" s="1053"/>
      <c r="AO317" s="1053"/>
      <c r="AP317" s="1053"/>
      <c r="AQ317" s="1053"/>
      <c r="AR317" s="1053"/>
      <c r="AS317" s="1053"/>
      <c r="AT317" s="1053"/>
      <c r="AU317" s="1053"/>
      <c r="AV317" s="1053"/>
      <c r="AW317" s="1053"/>
      <c r="AX317" s="1053"/>
      <c r="AY317" s="1053"/>
      <c r="AZ317" s="1053"/>
    </row>
    <row r="318" spans="1:52">
      <c r="A318" s="1053"/>
      <c r="B318" s="1053"/>
      <c r="C318" s="1053"/>
      <c r="D318" s="1053"/>
      <c r="E318" s="1053"/>
      <c r="F318" s="1053"/>
      <c r="G318" s="1053"/>
      <c r="H318" s="1053"/>
      <c r="I318" s="1053"/>
      <c r="J318" s="1053"/>
      <c r="K318" s="1053"/>
      <c r="L318" s="1053"/>
      <c r="M318" s="1053"/>
      <c r="N318" s="1053"/>
      <c r="O318" s="1053"/>
      <c r="P318" s="1053"/>
      <c r="Q318" s="1053"/>
      <c r="R318" s="1053"/>
      <c r="S318" s="1053"/>
      <c r="T318" s="1053"/>
      <c r="U318" s="1053"/>
      <c r="V318" s="1053"/>
      <c r="W318" s="1053"/>
      <c r="X318" s="1053"/>
      <c r="Y318" s="1053"/>
      <c r="Z318" s="1053"/>
      <c r="AA318" s="1053"/>
      <c r="AB318" s="1053"/>
      <c r="AC318" s="1053"/>
      <c r="AD318" s="1053"/>
      <c r="AE318" s="1053"/>
      <c r="AF318" s="1053"/>
      <c r="AG318" s="1053"/>
      <c r="AH318" s="1053"/>
      <c r="AI318" s="1053"/>
      <c r="AJ318" s="1053"/>
      <c r="AK318" s="1053"/>
      <c r="AL318" s="1053"/>
      <c r="AM318" s="1053"/>
      <c r="AN318" s="1053"/>
      <c r="AO318" s="1053"/>
      <c r="AP318" s="1053"/>
      <c r="AQ318" s="1053"/>
      <c r="AR318" s="1053"/>
      <c r="AS318" s="1053"/>
      <c r="AT318" s="1053"/>
      <c r="AU318" s="1053"/>
      <c r="AV318" s="1053"/>
      <c r="AW318" s="1053"/>
      <c r="AX318" s="1053"/>
      <c r="AY318" s="1053"/>
      <c r="AZ318" s="1053"/>
    </row>
    <row r="319" spans="1:52">
      <c r="A319" s="1053"/>
      <c r="B319" s="1053"/>
      <c r="C319" s="1053"/>
      <c r="D319" s="1053"/>
      <c r="E319" s="1053"/>
      <c r="F319" s="1053"/>
      <c r="G319" s="1053"/>
      <c r="H319" s="1053"/>
      <c r="I319" s="1053"/>
      <c r="J319" s="1053"/>
      <c r="K319" s="1053"/>
      <c r="L319" s="1053"/>
      <c r="M319" s="1053"/>
      <c r="N319" s="1053"/>
      <c r="O319" s="1053"/>
      <c r="P319" s="1053"/>
      <c r="Q319" s="1053"/>
      <c r="R319" s="1053"/>
      <c r="S319" s="1053"/>
      <c r="T319" s="1053"/>
      <c r="U319" s="1053"/>
      <c r="V319" s="1053"/>
      <c r="W319" s="1053"/>
      <c r="X319" s="1053"/>
      <c r="Y319" s="1053"/>
      <c r="Z319" s="1053"/>
      <c r="AA319" s="1053"/>
      <c r="AB319" s="1053"/>
      <c r="AC319" s="1053"/>
      <c r="AD319" s="1053"/>
      <c r="AE319" s="1053"/>
      <c r="AF319" s="1053"/>
      <c r="AG319" s="1053"/>
      <c r="AH319" s="1053"/>
      <c r="AI319" s="1053"/>
      <c r="AJ319" s="1053"/>
      <c r="AK319" s="1053"/>
      <c r="AL319" s="1053"/>
      <c r="AM319" s="1053"/>
      <c r="AN319" s="1053"/>
      <c r="AO319" s="1053"/>
      <c r="AP319" s="1053"/>
      <c r="AQ319" s="1053"/>
      <c r="AR319" s="1053"/>
      <c r="AS319" s="1053"/>
      <c r="AT319" s="1053"/>
      <c r="AU319" s="1053"/>
      <c r="AV319" s="1053"/>
      <c r="AW319" s="1053"/>
      <c r="AX319" s="1053"/>
      <c r="AY319" s="1053"/>
      <c r="AZ319" s="1053"/>
    </row>
    <row r="320" spans="1:52">
      <c r="A320" s="1053"/>
      <c r="B320" s="1053"/>
      <c r="C320" s="1053"/>
      <c r="D320" s="1053"/>
      <c r="E320" s="1053"/>
      <c r="F320" s="1053"/>
      <c r="G320" s="1053"/>
      <c r="H320" s="1053"/>
      <c r="I320" s="1053"/>
      <c r="J320" s="1053"/>
      <c r="K320" s="1053"/>
      <c r="L320" s="1053"/>
      <c r="M320" s="1053"/>
      <c r="N320" s="1053"/>
      <c r="O320" s="1053"/>
      <c r="P320" s="1053"/>
      <c r="Q320" s="1053"/>
      <c r="R320" s="1053"/>
      <c r="S320" s="1053"/>
      <c r="T320" s="1053"/>
      <c r="U320" s="1053"/>
      <c r="V320" s="1053"/>
      <c r="W320" s="1053"/>
      <c r="X320" s="1053"/>
      <c r="Y320" s="1053"/>
      <c r="Z320" s="1053"/>
      <c r="AA320" s="1053"/>
      <c r="AB320" s="1053"/>
      <c r="AC320" s="1053"/>
      <c r="AD320" s="1053"/>
      <c r="AE320" s="1053"/>
      <c r="AF320" s="1053"/>
      <c r="AG320" s="1053"/>
      <c r="AH320" s="1053"/>
      <c r="AI320" s="1053"/>
      <c r="AJ320" s="1053"/>
      <c r="AK320" s="1053"/>
      <c r="AL320" s="1053"/>
      <c r="AM320" s="1053"/>
      <c r="AN320" s="1053"/>
      <c r="AO320" s="1053"/>
      <c r="AP320" s="1053"/>
      <c r="AQ320" s="1053"/>
      <c r="AR320" s="1053"/>
      <c r="AS320" s="1053"/>
      <c r="AT320" s="1053"/>
      <c r="AU320" s="1053"/>
      <c r="AV320" s="1053"/>
      <c r="AW320" s="1053"/>
      <c r="AX320" s="1053"/>
      <c r="AY320" s="1053"/>
      <c r="AZ320" s="1053"/>
    </row>
    <row r="321" spans="1:52">
      <c r="A321" s="1053"/>
      <c r="B321" s="1053"/>
      <c r="C321" s="1053"/>
      <c r="D321" s="1053"/>
      <c r="E321" s="1053"/>
      <c r="F321" s="1053"/>
      <c r="G321" s="1053"/>
      <c r="H321" s="1053"/>
      <c r="I321" s="1053"/>
      <c r="J321" s="1053"/>
      <c r="K321" s="1053"/>
      <c r="L321" s="1053"/>
      <c r="M321" s="1053"/>
      <c r="N321" s="1053"/>
      <c r="O321" s="1053"/>
      <c r="P321" s="1053"/>
      <c r="Q321" s="1053"/>
      <c r="R321" s="1053"/>
      <c r="S321" s="1053"/>
      <c r="T321" s="1053"/>
      <c r="U321" s="1053"/>
      <c r="V321" s="1053"/>
      <c r="W321" s="1053"/>
      <c r="X321" s="1053"/>
      <c r="Y321" s="1053"/>
      <c r="Z321" s="1053"/>
      <c r="AA321" s="1053"/>
      <c r="AB321" s="1053"/>
      <c r="AC321" s="1053"/>
      <c r="AD321" s="1053"/>
      <c r="AE321" s="1053"/>
      <c r="AF321" s="1053"/>
      <c r="AG321" s="1053"/>
      <c r="AH321" s="1053"/>
      <c r="AI321" s="1053"/>
      <c r="AJ321" s="1053"/>
      <c r="AK321" s="1053"/>
      <c r="AL321" s="1053"/>
      <c r="AM321" s="1053"/>
      <c r="AN321" s="1053"/>
      <c r="AO321" s="1053"/>
      <c r="AP321" s="1053"/>
      <c r="AQ321" s="1053"/>
      <c r="AR321" s="1053"/>
      <c r="AS321" s="1053"/>
      <c r="AT321" s="1053"/>
      <c r="AU321" s="1053"/>
      <c r="AV321" s="1053"/>
      <c r="AW321" s="1053"/>
      <c r="AX321" s="1053"/>
      <c r="AY321" s="1053"/>
      <c r="AZ321" s="1053"/>
    </row>
    <row r="322" spans="1:52">
      <c r="A322" s="1053"/>
      <c r="B322" s="1053"/>
      <c r="C322" s="1053"/>
      <c r="D322" s="1053"/>
      <c r="E322" s="1053"/>
      <c r="F322" s="1053"/>
      <c r="G322" s="1053"/>
      <c r="H322" s="1053"/>
      <c r="I322" s="1053"/>
      <c r="J322" s="1053"/>
      <c r="K322" s="1053"/>
      <c r="L322" s="1053"/>
      <c r="M322" s="1053"/>
      <c r="N322" s="1053"/>
      <c r="O322" s="1053"/>
      <c r="P322" s="1053"/>
      <c r="Q322" s="1053"/>
      <c r="R322" s="1053"/>
      <c r="S322" s="1053"/>
      <c r="T322" s="1053"/>
      <c r="U322" s="1053"/>
      <c r="V322" s="1053"/>
      <c r="W322" s="1053"/>
      <c r="X322" s="1053"/>
      <c r="Y322" s="1053"/>
      <c r="Z322" s="1053"/>
      <c r="AA322" s="1053"/>
      <c r="AB322" s="1053"/>
      <c r="AC322" s="1053"/>
      <c r="AD322" s="1053"/>
      <c r="AE322" s="1053"/>
      <c r="AF322" s="1053"/>
      <c r="AG322" s="1053"/>
      <c r="AH322" s="1053"/>
      <c r="AI322" s="1053"/>
      <c r="AJ322" s="1053"/>
      <c r="AK322" s="1053"/>
      <c r="AL322" s="1053"/>
      <c r="AM322" s="1053"/>
      <c r="AN322" s="1053"/>
      <c r="AO322" s="1053"/>
      <c r="AP322" s="1053"/>
      <c r="AQ322" s="1053"/>
      <c r="AR322" s="1053"/>
      <c r="AS322" s="1053"/>
      <c r="AT322" s="1053"/>
      <c r="AU322" s="1053"/>
      <c r="AV322" s="1053"/>
      <c r="AW322" s="1053"/>
      <c r="AX322" s="1053"/>
      <c r="AY322" s="1053"/>
      <c r="AZ322" s="1053"/>
    </row>
    <row r="323" spans="1:52">
      <c r="A323" s="1053"/>
      <c r="B323" s="1053"/>
      <c r="C323" s="1053"/>
      <c r="D323" s="1053"/>
      <c r="E323" s="1053"/>
      <c r="F323" s="1053"/>
      <c r="G323" s="1053"/>
      <c r="H323" s="1053"/>
      <c r="I323" s="1053"/>
      <c r="J323" s="1053"/>
      <c r="K323" s="1053"/>
      <c r="L323" s="1053"/>
      <c r="M323" s="1053"/>
      <c r="N323" s="1053"/>
      <c r="O323" s="1053"/>
      <c r="P323" s="1053"/>
      <c r="Q323" s="1053"/>
      <c r="R323" s="1053"/>
      <c r="S323" s="1053"/>
      <c r="T323" s="1053"/>
      <c r="U323" s="1053"/>
      <c r="V323" s="1053"/>
      <c r="W323" s="1053"/>
      <c r="X323" s="1053"/>
      <c r="Y323" s="1053"/>
      <c r="Z323" s="1053"/>
      <c r="AA323" s="1053"/>
      <c r="AB323" s="1053"/>
      <c r="AC323" s="1053"/>
      <c r="AD323" s="1053"/>
      <c r="AE323" s="1053"/>
      <c r="AF323" s="1053"/>
      <c r="AG323" s="1053"/>
      <c r="AH323" s="1053"/>
      <c r="AI323" s="1053"/>
      <c r="AJ323" s="1053"/>
      <c r="AK323" s="1053"/>
      <c r="AL323" s="1053"/>
      <c r="AM323" s="1053"/>
      <c r="AN323" s="1053"/>
      <c r="AO323" s="1053"/>
      <c r="AP323" s="1053"/>
      <c r="AQ323" s="1053"/>
      <c r="AR323" s="1053"/>
      <c r="AS323" s="1053"/>
      <c r="AT323" s="1053"/>
      <c r="AU323" s="1053"/>
      <c r="AV323" s="1053"/>
      <c r="AW323" s="1053"/>
      <c r="AX323" s="1053"/>
      <c r="AY323" s="1053"/>
      <c r="AZ323" s="1053"/>
    </row>
    <row r="324" spans="1:52">
      <c r="A324" s="1053"/>
      <c r="B324" s="1053"/>
      <c r="C324" s="1053"/>
      <c r="D324" s="1053"/>
      <c r="E324" s="1053"/>
      <c r="F324" s="1053"/>
      <c r="G324" s="1053"/>
      <c r="H324" s="1053"/>
      <c r="I324" s="1053"/>
      <c r="J324" s="1053"/>
      <c r="K324" s="1053"/>
      <c r="L324" s="1053"/>
      <c r="M324" s="1053"/>
      <c r="N324" s="1053"/>
      <c r="O324" s="1053"/>
      <c r="P324" s="1053"/>
      <c r="Q324" s="1053"/>
      <c r="R324" s="1053"/>
      <c r="S324" s="1053"/>
      <c r="T324" s="1053"/>
      <c r="U324" s="1053"/>
      <c r="V324" s="1053"/>
      <c r="W324" s="1053"/>
      <c r="X324" s="1053"/>
      <c r="Y324" s="1053"/>
      <c r="Z324" s="1053"/>
      <c r="AA324" s="1053"/>
      <c r="AB324" s="1053"/>
      <c r="AC324" s="1053"/>
      <c r="AD324" s="1053"/>
      <c r="AE324" s="1053"/>
      <c r="AF324" s="1053"/>
      <c r="AG324" s="1053"/>
      <c r="AH324" s="1053"/>
      <c r="AI324" s="1053"/>
      <c r="AJ324" s="1053"/>
      <c r="AK324" s="1053"/>
      <c r="AL324" s="1053"/>
      <c r="AM324" s="1053"/>
      <c r="AN324" s="1053"/>
      <c r="AO324" s="1053"/>
      <c r="AP324" s="1053"/>
      <c r="AQ324" s="1053"/>
      <c r="AR324" s="1053"/>
      <c r="AS324" s="1053"/>
      <c r="AT324" s="1053"/>
      <c r="AU324" s="1053"/>
      <c r="AV324" s="1053"/>
      <c r="AW324" s="1053"/>
      <c r="AX324" s="1053"/>
      <c r="AY324" s="1053"/>
      <c r="AZ324" s="1053"/>
    </row>
    <row r="325" spans="1:52">
      <c r="A325" s="1053"/>
      <c r="B325" s="1053"/>
      <c r="C325" s="1053"/>
      <c r="D325" s="1053"/>
      <c r="E325" s="1053"/>
      <c r="F325" s="1053"/>
      <c r="G325" s="1053"/>
      <c r="H325" s="1053"/>
      <c r="I325" s="1053"/>
      <c r="J325" s="1053"/>
      <c r="K325" s="1053"/>
      <c r="L325" s="1053"/>
      <c r="M325" s="1053"/>
      <c r="N325" s="1053"/>
      <c r="O325" s="1053"/>
      <c r="P325" s="1053"/>
      <c r="Q325" s="1053"/>
      <c r="R325" s="1053"/>
      <c r="S325" s="1053"/>
      <c r="T325" s="1053"/>
      <c r="U325" s="1053"/>
      <c r="V325" s="1053"/>
      <c r="W325" s="1053"/>
      <c r="X325" s="1053"/>
      <c r="Y325" s="1053"/>
      <c r="Z325" s="1053"/>
      <c r="AA325" s="1053"/>
      <c r="AB325" s="1053"/>
      <c r="AC325" s="1053"/>
      <c r="AD325" s="1053"/>
      <c r="AE325" s="1053"/>
      <c r="AF325" s="1053"/>
      <c r="AG325" s="1053"/>
      <c r="AH325" s="1053"/>
      <c r="AI325" s="1053"/>
      <c r="AJ325" s="1053"/>
      <c r="AK325" s="1053"/>
      <c r="AL325" s="1053"/>
      <c r="AM325" s="1053"/>
      <c r="AN325" s="1053"/>
      <c r="AO325" s="1053"/>
      <c r="AP325" s="1053"/>
      <c r="AQ325" s="1053"/>
      <c r="AR325" s="1053"/>
      <c r="AS325" s="1053"/>
      <c r="AT325" s="1053"/>
      <c r="AU325" s="1053"/>
      <c r="AV325" s="1053"/>
      <c r="AW325" s="1053"/>
      <c r="AX325" s="1053"/>
      <c r="AY325" s="1053"/>
      <c r="AZ325" s="1053"/>
    </row>
    <row r="326" spans="1:52">
      <c r="A326" s="1053"/>
      <c r="B326" s="1053"/>
      <c r="C326" s="1053"/>
      <c r="D326" s="1053"/>
      <c r="E326" s="1053"/>
      <c r="F326" s="1053"/>
      <c r="G326" s="1053"/>
      <c r="H326" s="1053"/>
      <c r="I326" s="1053"/>
      <c r="J326" s="1053"/>
      <c r="K326" s="1053"/>
      <c r="L326" s="1053"/>
      <c r="M326" s="1053"/>
      <c r="N326" s="1053"/>
      <c r="O326" s="1053"/>
      <c r="P326" s="1053"/>
      <c r="Q326" s="1053"/>
      <c r="R326" s="1053"/>
      <c r="S326" s="1053"/>
      <c r="T326" s="1053"/>
      <c r="U326" s="1053"/>
      <c r="V326" s="1053"/>
      <c r="W326" s="1053"/>
      <c r="X326" s="1053"/>
      <c r="Y326" s="1053"/>
      <c r="Z326" s="1053"/>
      <c r="AA326" s="1053"/>
      <c r="AB326" s="1053"/>
      <c r="AC326" s="1053"/>
      <c r="AD326" s="1053"/>
      <c r="AE326" s="1053"/>
      <c r="AF326" s="1053"/>
      <c r="AG326" s="1053"/>
      <c r="AH326" s="1053"/>
      <c r="AI326" s="1053"/>
      <c r="AJ326" s="1053"/>
      <c r="AK326" s="1053"/>
      <c r="AL326" s="1053"/>
      <c r="AM326" s="1053"/>
      <c r="AN326" s="1053"/>
      <c r="AO326" s="1053"/>
      <c r="AP326" s="1053"/>
      <c r="AQ326" s="1053"/>
      <c r="AR326" s="1053"/>
      <c r="AS326" s="1053"/>
      <c r="AT326" s="1053"/>
      <c r="AU326" s="1053"/>
      <c r="AV326" s="1053"/>
      <c r="AW326" s="1053"/>
      <c r="AX326" s="1053"/>
      <c r="AY326" s="1053"/>
      <c r="AZ326" s="1053"/>
    </row>
    <row r="327" spans="1:52">
      <c r="A327" s="1053"/>
      <c r="B327" s="1053"/>
      <c r="C327" s="1053"/>
      <c r="D327" s="1053"/>
      <c r="E327" s="1053"/>
      <c r="F327" s="1053"/>
      <c r="G327" s="1053"/>
      <c r="H327" s="1053"/>
      <c r="I327" s="1053"/>
      <c r="J327" s="1053"/>
      <c r="K327" s="1053"/>
      <c r="L327" s="1053"/>
      <c r="M327" s="1053"/>
      <c r="N327" s="1053"/>
      <c r="O327" s="1053"/>
      <c r="P327" s="1053"/>
      <c r="Q327" s="1053"/>
      <c r="R327" s="1053"/>
      <c r="S327" s="1053"/>
      <c r="T327" s="1053"/>
      <c r="U327" s="1053"/>
      <c r="V327" s="1053"/>
      <c r="W327" s="1053"/>
      <c r="X327" s="1053"/>
      <c r="Y327" s="1053"/>
      <c r="Z327" s="1053"/>
      <c r="AA327" s="1053"/>
      <c r="AB327" s="1053"/>
      <c r="AC327" s="1053"/>
      <c r="AD327" s="1053"/>
      <c r="AE327" s="1053"/>
      <c r="AF327" s="1053"/>
      <c r="AG327" s="1053"/>
      <c r="AH327" s="1053"/>
      <c r="AI327" s="1053"/>
      <c r="AJ327" s="1053"/>
      <c r="AK327" s="1053"/>
      <c r="AL327" s="1053"/>
      <c r="AM327" s="1053"/>
      <c r="AN327" s="1053"/>
      <c r="AO327" s="1053"/>
      <c r="AP327" s="1053"/>
      <c r="AQ327" s="1053"/>
      <c r="AR327" s="1053"/>
      <c r="AS327" s="1053"/>
      <c r="AT327" s="1053"/>
      <c r="AU327" s="1053"/>
      <c r="AV327" s="1053"/>
      <c r="AW327" s="1053"/>
      <c r="AX327" s="1053"/>
      <c r="AY327" s="1053"/>
      <c r="AZ327" s="1053"/>
    </row>
    <row r="328" spans="1:52">
      <c r="A328" s="1053"/>
      <c r="B328" s="1053"/>
      <c r="C328" s="1053"/>
      <c r="D328" s="1053"/>
      <c r="E328" s="1053"/>
      <c r="F328" s="1053"/>
      <c r="G328" s="1053"/>
      <c r="H328" s="1053"/>
      <c r="I328" s="1053"/>
      <c r="J328" s="1053"/>
      <c r="K328" s="1053"/>
      <c r="L328" s="1053"/>
      <c r="M328" s="1053"/>
      <c r="N328" s="1053"/>
      <c r="O328" s="1053"/>
      <c r="P328" s="1053"/>
      <c r="Q328" s="1053"/>
      <c r="R328" s="1053"/>
      <c r="S328" s="1053"/>
      <c r="T328" s="1053"/>
      <c r="U328" s="1053"/>
      <c r="V328" s="1053"/>
      <c r="W328" s="1053"/>
      <c r="X328" s="1053"/>
      <c r="Y328" s="1053"/>
      <c r="Z328" s="1053"/>
      <c r="AA328" s="1053"/>
      <c r="AB328" s="1053"/>
      <c r="AC328" s="1053"/>
      <c r="AD328" s="1053"/>
      <c r="AE328" s="1053"/>
      <c r="AF328" s="1053"/>
      <c r="AG328" s="1053"/>
      <c r="AH328" s="1053"/>
      <c r="AI328" s="1053"/>
      <c r="AJ328" s="1053"/>
      <c r="AK328" s="1053"/>
      <c r="AL328" s="1053"/>
      <c r="AM328" s="1053"/>
      <c r="AN328" s="1053"/>
      <c r="AO328" s="1053"/>
      <c r="AP328" s="1053"/>
      <c r="AQ328" s="1053"/>
      <c r="AR328" s="1053"/>
      <c r="AS328" s="1053"/>
      <c r="AT328" s="1053"/>
      <c r="AU328" s="1053"/>
      <c r="AV328" s="1053"/>
      <c r="AW328" s="1053"/>
      <c r="AX328" s="1053"/>
      <c r="AY328" s="1053"/>
      <c r="AZ328" s="1053"/>
    </row>
    <row r="329" spans="1:52">
      <c r="A329" s="1053"/>
      <c r="B329" s="1053"/>
      <c r="C329" s="1053"/>
      <c r="D329" s="1053"/>
      <c r="E329" s="1053"/>
      <c r="F329" s="1053"/>
      <c r="G329" s="1053"/>
      <c r="H329" s="1053"/>
      <c r="I329" s="1053"/>
      <c r="J329" s="1053"/>
      <c r="K329" s="1053"/>
      <c r="L329" s="1053"/>
      <c r="M329" s="1053"/>
      <c r="N329" s="1053"/>
      <c r="O329" s="1053"/>
      <c r="P329" s="1053"/>
      <c r="Q329" s="1053"/>
      <c r="R329" s="1053"/>
      <c r="S329" s="1053"/>
      <c r="T329" s="1053"/>
      <c r="U329" s="1053"/>
      <c r="V329" s="1053"/>
      <c r="W329" s="1053"/>
      <c r="X329" s="1053"/>
      <c r="Y329" s="1053"/>
      <c r="Z329" s="1053"/>
      <c r="AA329" s="1053"/>
      <c r="AB329" s="1053"/>
      <c r="AC329" s="1053"/>
      <c r="AD329" s="1053"/>
      <c r="AE329" s="1053"/>
      <c r="AF329" s="1053"/>
      <c r="AG329" s="1053"/>
      <c r="AH329" s="1053"/>
      <c r="AI329" s="1053"/>
      <c r="AJ329" s="1053"/>
      <c r="AK329" s="1053"/>
      <c r="AL329" s="1053"/>
      <c r="AM329" s="1053"/>
      <c r="AN329" s="1053"/>
      <c r="AO329" s="1053"/>
      <c r="AP329" s="1053"/>
      <c r="AQ329" s="1053"/>
      <c r="AR329" s="1053"/>
      <c r="AS329" s="1053"/>
      <c r="AT329" s="1053"/>
      <c r="AU329" s="1053"/>
      <c r="AV329" s="1053"/>
      <c r="AW329" s="1053"/>
      <c r="AX329" s="1053"/>
      <c r="AY329" s="1053"/>
      <c r="AZ329" s="1053"/>
    </row>
    <row r="330" spans="1:52">
      <c r="A330" s="1053"/>
      <c r="B330" s="1053"/>
      <c r="C330" s="1053"/>
      <c r="D330" s="1053"/>
      <c r="E330" s="1053"/>
      <c r="F330" s="1053"/>
      <c r="G330" s="1053"/>
      <c r="H330" s="1053"/>
      <c r="I330" s="1053"/>
      <c r="J330" s="1053"/>
      <c r="K330" s="1053"/>
      <c r="L330" s="1053"/>
      <c r="M330" s="1053"/>
      <c r="N330" s="1053"/>
      <c r="O330" s="1053"/>
      <c r="P330" s="1053"/>
      <c r="Q330" s="1053"/>
      <c r="R330" s="1053"/>
      <c r="S330" s="1053"/>
      <c r="T330" s="1053"/>
      <c r="U330" s="1053"/>
      <c r="V330" s="1053"/>
      <c r="W330" s="1053"/>
      <c r="X330" s="1053"/>
      <c r="Y330" s="1053"/>
      <c r="Z330" s="1053"/>
      <c r="AA330" s="1053"/>
      <c r="AB330" s="1053"/>
      <c r="AC330" s="1053"/>
      <c r="AD330" s="1053"/>
      <c r="AE330" s="1053"/>
      <c r="AF330" s="1053"/>
      <c r="AG330" s="1053"/>
      <c r="AH330" s="1053"/>
      <c r="AI330" s="1053"/>
      <c r="AJ330" s="1053"/>
      <c r="AK330" s="1053"/>
      <c r="AL330" s="1053"/>
      <c r="AM330" s="1053"/>
      <c r="AN330" s="1053"/>
      <c r="AO330" s="1053"/>
      <c r="AP330" s="1053"/>
      <c r="AQ330" s="1053"/>
      <c r="AR330" s="1053"/>
      <c r="AS330" s="1053"/>
      <c r="AT330" s="1053"/>
      <c r="AU330" s="1053"/>
      <c r="AV330" s="1053"/>
      <c r="AW330" s="1053"/>
      <c r="AX330" s="1053"/>
      <c r="AY330" s="1053"/>
      <c r="AZ330" s="1053"/>
    </row>
    <row r="331" spans="1:52">
      <c r="A331" s="1053"/>
      <c r="B331" s="1053"/>
      <c r="C331" s="1053"/>
      <c r="D331" s="1053"/>
      <c r="E331" s="1053"/>
      <c r="F331" s="1053"/>
      <c r="G331" s="1053"/>
      <c r="H331" s="1053"/>
      <c r="I331" s="1053"/>
      <c r="J331" s="1053"/>
      <c r="K331" s="1053"/>
      <c r="L331" s="1053"/>
      <c r="M331" s="1053"/>
      <c r="N331" s="1053"/>
      <c r="O331" s="1053"/>
      <c r="P331" s="1053"/>
      <c r="Q331" s="1053"/>
      <c r="R331" s="1053"/>
      <c r="S331" s="1053"/>
      <c r="T331" s="1053"/>
      <c r="U331" s="1053"/>
      <c r="V331" s="1053"/>
      <c r="W331" s="1053"/>
      <c r="X331" s="1053"/>
      <c r="Y331" s="1053"/>
      <c r="Z331" s="1053"/>
      <c r="AA331" s="1053"/>
      <c r="AB331" s="1053"/>
      <c r="AC331" s="1053"/>
      <c r="AD331" s="1053"/>
      <c r="AE331" s="1053"/>
      <c r="AF331" s="1053"/>
      <c r="AG331" s="1053"/>
      <c r="AH331" s="1053"/>
      <c r="AI331" s="1053"/>
      <c r="AJ331" s="1053"/>
      <c r="AK331" s="1053"/>
      <c r="AL331" s="1053"/>
      <c r="AM331" s="1053"/>
      <c r="AN331" s="1053"/>
      <c r="AO331" s="1053"/>
      <c r="AP331" s="1053"/>
      <c r="AQ331" s="1053"/>
      <c r="AR331" s="1053"/>
      <c r="AS331" s="1053"/>
      <c r="AT331" s="1053"/>
      <c r="AU331" s="1053"/>
      <c r="AV331" s="1053"/>
      <c r="AW331" s="1053"/>
      <c r="AX331" s="1053"/>
      <c r="AY331" s="1053"/>
      <c r="AZ331" s="1053"/>
    </row>
    <row r="332" spans="1:52">
      <c r="A332" s="1053"/>
      <c r="B332" s="1053"/>
      <c r="C332" s="1053"/>
      <c r="D332" s="1053"/>
      <c r="E332" s="1053"/>
      <c r="F332" s="1053"/>
      <c r="G332" s="1053"/>
      <c r="H332" s="1053"/>
      <c r="I332" s="1053"/>
      <c r="J332" s="1053"/>
      <c r="K332" s="1053"/>
      <c r="L332" s="1053"/>
      <c r="M332" s="1053"/>
      <c r="N332" s="1053"/>
      <c r="O332" s="1053"/>
      <c r="P332" s="1053"/>
      <c r="Q332" s="1053"/>
      <c r="R332" s="1053"/>
      <c r="S332" s="1053"/>
      <c r="T332" s="1053"/>
      <c r="U332" s="1053"/>
      <c r="V332" s="1053"/>
      <c r="W332" s="1053"/>
      <c r="X332" s="1053"/>
      <c r="Y332" s="1053"/>
      <c r="Z332" s="1053"/>
      <c r="AA332" s="1053"/>
      <c r="AB332" s="1053"/>
      <c r="AC332" s="1053"/>
      <c r="AD332" s="1053"/>
      <c r="AE332" s="1053"/>
      <c r="AF332" s="1053"/>
      <c r="AG332" s="1053"/>
      <c r="AH332" s="1053"/>
      <c r="AI332" s="1053"/>
      <c r="AJ332" s="1053"/>
      <c r="AK332" s="1053"/>
      <c r="AL332" s="1053"/>
      <c r="AM332" s="1053"/>
      <c r="AN332" s="1053"/>
      <c r="AO332" s="1053"/>
      <c r="AP332" s="1053"/>
      <c r="AQ332" s="1053"/>
      <c r="AR332" s="1053"/>
      <c r="AS332" s="1053"/>
      <c r="AT332" s="1053"/>
      <c r="AU332" s="1053"/>
      <c r="AV332" s="1053"/>
      <c r="AW332" s="1053"/>
      <c r="AX332" s="1053"/>
      <c r="AY332" s="1053"/>
      <c r="AZ332" s="1053"/>
    </row>
    <row r="333" spans="1:52">
      <c r="A333" s="1053"/>
      <c r="B333" s="1053"/>
      <c r="C333" s="1053"/>
      <c r="D333" s="1053"/>
      <c r="E333" s="1053"/>
      <c r="F333" s="1053"/>
      <c r="G333" s="1053"/>
      <c r="H333" s="1053"/>
      <c r="I333" s="1053"/>
      <c r="J333" s="1053"/>
      <c r="K333" s="1053"/>
      <c r="L333" s="1053"/>
      <c r="M333" s="1053"/>
      <c r="N333" s="1053"/>
      <c r="O333" s="1053"/>
      <c r="P333" s="1053"/>
      <c r="Q333" s="1053"/>
      <c r="R333" s="1053"/>
      <c r="S333" s="1053"/>
      <c r="T333" s="1053"/>
      <c r="U333" s="1053"/>
      <c r="V333" s="1053"/>
      <c r="W333" s="1053"/>
      <c r="X333" s="1053"/>
      <c r="Y333" s="1053"/>
      <c r="Z333" s="1053"/>
      <c r="AA333" s="1053"/>
      <c r="AB333" s="1053"/>
      <c r="AC333" s="1053"/>
      <c r="AD333" s="1053"/>
      <c r="AE333" s="1053"/>
      <c r="AF333" s="1053"/>
      <c r="AG333" s="1053"/>
      <c r="AH333" s="1053"/>
      <c r="AI333" s="1053"/>
      <c r="AJ333" s="1053"/>
      <c r="AK333" s="1053"/>
      <c r="AL333" s="1053"/>
      <c r="AM333" s="1053"/>
      <c r="AN333" s="1053"/>
      <c r="AO333" s="1053"/>
      <c r="AP333" s="1053"/>
      <c r="AQ333" s="1053"/>
      <c r="AR333" s="1053"/>
      <c r="AS333" s="1053"/>
      <c r="AT333" s="1053"/>
      <c r="AU333" s="1053"/>
      <c r="AV333" s="1053"/>
      <c r="AW333" s="1053"/>
      <c r="AX333" s="1053"/>
      <c r="AY333" s="1053"/>
      <c r="AZ333" s="1053"/>
    </row>
    <row r="334" spans="1:52">
      <c r="A334" s="1053"/>
      <c r="B334" s="1053"/>
      <c r="C334" s="1053"/>
      <c r="D334" s="1053"/>
      <c r="E334" s="1053"/>
      <c r="F334" s="1053"/>
      <c r="G334" s="1053"/>
      <c r="H334" s="1053"/>
      <c r="I334" s="1053"/>
      <c r="J334" s="1053"/>
      <c r="K334" s="1053"/>
      <c r="L334" s="1053"/>
      <c r="M334" s="1053"/>
      <c r="N334" s="1053"/>
      <c r="O334" s="1053"/>
      <c r="P334" s="1053"/>
      <c r="Q334" s="1053"/>
      <c r="R334" s="1053"/>
      <c r="S334" s="1053"/>
      <c r="T334" s="1053"/>
      <c r="U334" s="1053"/>
      <c r="V334" s="1053"/>
      <c r="W334" s="1053"/>
      <c r="X334" s="1053"/>
      <c r="Y334" s="1053"/>
      <c r="Z334" s="1053"/>
      <c r="AA334" s="1053"/>
      <c r="AB334" s="1053"/>
      <c r="AC334" s="1053"/>
      <c r="AD334" s="1053"/>
      <c r="AE334" s="1053"/>
      <c r="AF334" s="1053"/>
      <c r="AG334" s="1053"/>
      <c r="AH334" s="1053"/>
      <c r="AI334" s="1053"/>
      <c r="AJ334" s="1053"/>
      <c r="AK334" s="1053"/>
      <c r="AL334" s="1053"/>
      <c r="AM334" s="1053"/>
      <c r="AN334" s="1053"/>
      <c r="AO334" s="1053"/>
      <c r="AP334" s="1053"/>
      <c r="AQ334" s="1053"/>
      <c r="AR334" s="1053"/>
      <c r="AS334" s="1053"/>
      <c r="AT334" s="1053"/>
      <c r="AU334" s="1053"/>
      <c r="AV334" s="1053"/>
      <c r="AW334" s="1053"/>
      <c r="AX334" s="1053"/>
      <c r="AY334" s="1053"/>
      <c r="AZ334" s="1053"/>
    </row>
    <row r="335" spans="1:52">
      <c r="A335" s="1053"/>
      <c r="B335" s="1053"/>
      <c r="C335" s="1053"/>
      <c r="D335" s="1053"/>
      <c r="E335" s="1053"/>
      <c r="F335" s="1053"/>
      <c r="G335" s="1053"/>
      <c r="H335" s="1053"/>
      <c r="I335" s="1053"/>
      <c r="J335" s="1053"/>
      <c r="K335" s="1053"/>
      <c r="L335" s="1053"/>
      <c r="M335" s="1053"/>
      <c r="N335" s="1053"/>
      <c r="O335" s="1053"/>
      <c r="P335" s="1053"/>
      <c r="Q335" s="1053"/>
      <c r="R335" s="1053"/>
      <c r="S335" s="1053"/>
      <c r="T335" s="1053"/>
      <c r="U335" s="1053"/>
      <c r="V335" s="1053"/>
      <c r="W335" s="1053"/>
      <c r="X335" s="1053"/>
      <c r="Y335" s="1053"/>
      <c r="Z335" s="1053"/>
      <c r="AA335" s="1053"/>
      <c r="AB335" s="1053"/>
      <c r="AC335" s="1053"/>
      <c r="AD335" s="1053"/>
      <c r="AE335" s="1053"/>
      <c r="AF335" s="1053"/>
      <c r="AG335" s="1053"/>
      <c r="AH335" s="1053"/>
      <c r="AI335" s="1053"/>
      <c r="AJ335" s="1053"/>
      <c r="AK335" s="1053"/>
      <c r="AL335" s="1053"/>
      <c r="AM335" s="1053"/>
      <c r="AN335" s="1053"/>
      <c r="AO335" s="1053"/>
      <c r="AP335" s="1053"/>
      <c r="AQ335" s="1053"/>
      <c r="AR335" s="1053"/>
      <c r="AS335" s="1053"/>
      <c r="AT335" s="1053"/>
      <c r="AU335" s="1053"/>
      <c r="AV335" s="1053"/>
      <c r="AW335" s="1053"/>
      <c r="AX335" s="1053"/>
      <c r="AY335" s="1053"/>
      <c r="AZ335" s="1053"/>
    </row>
    <row r="336" spans="1:52">
      <c r="A336" s="1053"/>
      <c r="B336" s="1053"/>
      <c r="C336" s="1053"/>
      <c r="D336" s="1053"/>
      <c r="E336" s="1053"/>
      <c r="F336" s="1053"/>
      <c r="G336" s="1053"/>
      <c r="H336" s="1053"/>
      <c r="I336" s="1053"/>
      <c r="J336" s="1053"/>
      <c r="K336" s="1053"/>
      <c r="L336" s="1053"/>
      <c r="M336" s="1053"/>
      <c r="N336" s="1053"/>
      <c r="O336" s="1053"/>
      <c r="P336" s="1053"/>
      <c r="Q336" s="1053"/>
      <c r="R336" s="1053"/>
      <c r="S336" s="1053"/>
      <c r="T336" s="1053"/>
      <c r="U336" s="1053"/>
      <c r="V336" s="1053"/>
      <c r="W336" s="1053"/>
      <c r="X336" s="1053"/>
      <c r="Y336" s="1053"/>
      <c r="Z336" s="1053"/>
      <c r="AA336" s="1053"/>
      <c r="AB336" s="1053"/>
      <c r="AC336" s="1053"/>
      <c r="AD336" s="1053"/>
      <c r="AE336" s="1053"/>
      <c r="AF336" s="1053"/>
      <c r="AG336" s="1053"/>
      <c r="AH336" s="1053"/>
      <c r="AI336" s="1053"/>
      <c r="AJ336" s="1053"/>
      <c r="AK336" s="1053"/>
      <c r="AL336" s="1053"/>
      <c r="AM336" s="1053"/>
      <c r="AN336" s="1053"/>
      <c r="AO336" s="1053"/>
      <c r="AP336" s="1053"/>
      <c r="AQ336" s="1053"/>
      <c r="AR336" s="1053"/>
      <c r="AS336" s="1053"/>
      <c r="AT336" s="1053"/>
      <c r="AU336" s="1053"/>
      <c r="AV336" s="1053"/>
      <c r="AW336" s="1053"/>
      <c r="AX336" s="1053"/>
      <c r="AY336" s="1053"/>
      <c r="AZ336" s="1053"/>
    </row>
    <row r="337" spans="1:52">
      <c r="A337" s="1053"/>
      <c r="B337" s="1053"/>
      <c r="C337" s="1053"/>
      <c r="D337" s="1053"/>
      <c r="E337" s="1053"/>
      <c r="F337" s="1053"/>
      <c r="G337" s="1053"/>
      <c r="H337" s="1053"/>
      <c r="I337" s="1053"/>
      <c r="J337" s="1053"/>
      <c r="K337" s="1053"/>
      <c r="L337" s="1053"/>
      <c r="M337" s="1053"/>
      <c r="N337" s="1053"/>
      <c r="O337" s="1053"/>
      <c r="P337" s="1053"/>
      <c r="Q337" s="1053"/>
      <c r="R337" s="1053"/>
      <c r="S337" s="1053"/>
      <c r="T337" s="1053"/>
      <c r="U337" s="1053"/>
      <c r="V337" s="1053"/>
      <c r="W337" s="1053"/>
      <c r="X337" s="1053"/>
      <c r="Y337" s="1053"/>
      <c r="Z337" s="1053"/>
      <c r="AA337" s="1053"/>
      <c r="AB337" s="1053"/>
      <c r="AC337" s="1053"/>
      <c r="AD337" s="1053"/>
      <c r="AE337" s="1053"/>
      <c r="AF337" s="1053"/>
      <c r="AG337" s="1053"/>
      <c r="AH337" s="1053"/>
      <c r="AI337" s="1053"/>
      <c r="AJ337" s="1053"/>
      <c r="AK337" s="1053"/>
      <c r="AL337" s="1053"/>
      <c r="AM337" s="1053"/>
      <c r="AN337" s="1053"/>
      <c r="AO337" s="1053"/>
      <c r="AP337" s="1053"/>
      <c r="AQ337" s="1053"/>
      <c r="AR337" s="1053"/>
      <c r="AS337" s="1053"/>
      <c r="AT337" s="1053"/>
      <c r="AU337" s="1053"/>
      <c r="AV337" s="1053"/>
      <c r="AW337" s="1053"/>
      <c r="AX337" s="1053"/>
      <c r="AY337" s="1053"/>
      <c r="AZ337" s="1053"/>
    </row>
    <row r="338" spans="1:52">
      <c r="A338" s="1053"/>
      <c r="B338" s="1053"/>
      <c r="C338" s="1053"/>
      <c r="D338" s="1053"/>
      <c r="E338" s="1053"/>
      <c r="F338" s="1053"/>
      <c r="G338" s="1053"/>
      <c r="H338" s="1053"/>
      <c r="I338" s="1053"/>
      <c r="J338" s="1053"/>
      <c r="K338" s="1053"/>
      <c r="L338" s="1053"/>
      <c r="M338" s="1053"/>
      <c r="N338" s="1053"/>
      <c r="O338" s="1053"/>
      <c r="P338" s="1053"/>
      <c r="Q338" s="1053"/>
      <c r="R338" s="1053"/>
      <c r="S338" s="1053"/>
      <c r="T338" s="1053"/>
      <c r="U338" s="1053"/>
      <c r="V338" s="1053"/>
      <c r="W338" s="1053"/>
      <c r="X338" s="1053"/>
      <c r="Y338" s="1053"/>
      <c r="Z338" s="1053"/>
      <c r="AA338" s="1053"/>
      <c r="AB338" s="1053"/>
      <c r="AC338" s="1053"/>
      <c r="AD338" s="1053"/>
      <c r="AE338" s="1053"/>
      <c r="AF338" s="1053"/>
      <c r="AG338" s="1053"/>
      <c r="AH338" s="1053"/>
      <c r="AI338" s="1053"/>
      <c r="AJ338" s="1053"/>
      <c r="AK338" s="1053"/>
      <c r="AL338" s="1053"/>
      <c r="AM338" s="1053"/>
      <c r="AN338" s="1053"/>
      <c r="AO338" s="1053"/>
      <c r="AP338" s="1053"/>
      <c r="AQ338" s="1053"/>
      <c r="AR338" s="1053"/>
      <c r="AS338" s="1053"/>
      <c r="AT338" s="1053"/>
      <c r="AU338" s="1053"/>
      <c r="AV338" s="1053"/>
      <c r="AW338" s="1053"/>
      <c r="AX338" s="1053"/>
      <c r="AY338" s="1053"/>
      <c r="AZ338" s="1053"/>
    </row>
    <row r="339" spans="1:52">
      <c r="A339" s="1053"/>
      <c r="B339" s="1053"/>
      <c r="C339" s="1053"/>
      <c r="D339" s="1053"/>
      <c r="E339" s="1053"/>
      <c r="F339" s="1053"/>
      <c r="G339" s="1053"/>
      <c r="H339" s="1053"/>
      <c r="I339" s="1053"/>
      <c r="J339" s="1053"/>
      <c r="K339" s="1053"/>
      <c r="L339" s="1053"/>
      <c r="M339" s="1053"/>
      <c r="N339" s="1053"/>
      <c r="O339" s="1053"/>
      <c r="P339" s="1053"/>
      <c r="Q339" s="1053"/>
      <c r="R339" s="1053"/>
      <c r="S339" s="1053"/>
      <c r="T339" s="1053"/>
      <c r="U339" s="1053"/>
      <c r="V339" s="1053"/>
      <c r="W339" s="1053"/>
      <c r="X339" s="1053"/>
      <c r="Y339" s="1053"/>
      <c r="Z339" s="1053"/>
      <c r="AA339" s="1053"/>
      <c r="AB339" s="1053"/>
      <c r="AC339" s="1053"/>
      <c r="AD339" s="1053"/>
      <c r="AE339" s="1053"/>
      <c r="AF339" s="1053"/>
      <c r="AG339" s="1053"/>
      <c r="AH339" s="1053"/>
      <c r="AI339" s="1053"/>
      <c r="AJ339" s="1053"/>
      <c r="AK339" s="1053"/>
      <c r="AL339" s="1053"/>
      <c r="AM339" s="1053"/>
      <c r="AN339" s="1053"/>
      <c r="AO339" s="1053"/>
      <c r="AP339" s="1053"/>
      <c r="AQ339" s="1053"/>
      <c r="AR339" s="1053"/>
      <c r="AS339" s="1053"/>
      <c r="AT339" s="1053"/>
      <c r="AU339" s="1053"/>
      <c r="AV339" s="1053"/>
      <c r="AW339" s="1053"/>
      <c r="AX339" s="1053"/>
      <c r="AY339" s="1053"/>
      <c r="AZ339" s="1053"/>
    </row>
    <row r="340" spans="1:52">
      <c r="A340" s="1053"/>
      <c r="B340" s="1053"/>
      <c r="C340" s="1053"/>
      <c r="D340" s="1053"/>
      <c r="E340" s="1053"/>
      <c r="F340" s="1053"/>
      <c r="G340" s="1053"/>
      <c r="H340" s="1053"/>
      <c r="I340" s="1053"/>
      <c r="J340" s="1053"/>
      <c r="K340" s="1053"/>
      <c r="L340" s="1053"/>
      <c r="M340" s="1053"/>
      <c r="N340" s="1053"/>
      <c r="O340" s="1053"/>
      <c r="P340" s="1053"/>
      <c r="Q340" s="1053"/>
      <c r="R340" s="1053"/>
      <c r="S340" s="1053"/>
      <c r="T340" s="1053"/>
      <c r="U340" s="1053"/>
      <c r="V340" s="1053"/>
      <c r="W340" s="1053"/>
      <c r="X340" s="1053"/>
      <c r="Y340" s="1053"/>
      <c r="Z340" s="1053"/>
      <c r="AA340" s="1053"/>
      <c r="AB340" s="1053"/>
      <c r="AC340" s="1053"/>
      <c r="AD340" s="1053"/>
      <c r="AE340" s="1053"/>
      <c r="AF340" s="1053"/>
      <c r="AG340" s="1053"/>
      <c r="AH340" s="1053"/>
      <c r="AI340" s="1053"/>
      <c r="AJ340" s="1053"/>
      <c r="AK340" s="1053"/>
      <c r="AL340" s="1053"/>
      <c r="AM340" s="1053"/>
      <c r="AN340" s="1053"/>
      <c r="AO340" s="1053"/>
      <c r="AP340" s="1053"/>
      <c r="AQ340" s="1053"/>
      <c r="AR340" s="1053"/>
      <c r="AS340" s="1053"/>
      <c r="AT340" s="1053"/>
      <c r="AU340" s="1053"/>
      <c r="AV340" s="1053"/>
      <c r="AW340" s="1053"/>
      <c r="AX340" s="1053"/>
      <c r="AY340" s="1053"/>
      <c r="AZ340" s="1053"/>
    </row>
    <row r="341" spans="1:52">
      <c r="A341" s="1053"/>
      <c r="B341" s="1053"/>
      <c r="C341" s="1053"/>
      <c r="D341" s="1053"/>
      <c r="E341" s="1053"/>
      <c r="F341" s="1053"/>
      <c r="G341" s="1053"/>
      <c r="H341" s="1053"/>
      <c r="I341" s="1053"/>
      <c r="J341" s="1053"/>
      <c r="K341" s="1053"/>
      <c r="L341" s="1053"/>
      <c r="M341" s="1053"/>
      <c r="N341" s="1053"/>
      <c r="O341" s="1053"/>
      <c r="P341" s="1053"/>
      <c r="Q341" s="1053"/>
      <c r="R341" s="1053"/>
      <c r="S341" s="1053"/>
      <c r="T341" s="1053"/>
      <c r="U341" s="1053"/>
      <c r="V341" s="1053"/>
      <c r="W341" s="1053"/>
      <c r="X341" s="1053"/>
      <c r="Y341" s="1053"/>
      <c r="Z341" s="1053"/>
      <c r="AA341" s="1053"/>
      <c r="AB341" s="1053"/>
      <c r="AC341" s="1053"/>
      <c r="AD341" s="1053"/>
      <c r="AE341" s="1053"/>
      <c r="AF341" s="1053"/>
      <c r="AG341" s="1053"/>
      <c r="AH341" s="1053"/>
      <c r="AI341" s="1053"/>
      <c r="AJ341" s="1053"/>
      <c r="AK341" s="1053"/>
      <c r="AL341" s="1053"/>
      <c r="AM341" s="1053"/>
      <c r="AN341" s="1053"/>
      <c r="AO341" s="1053"/>
      <c r="AP341" s="1053"/>
      <c r="AQ341" s="1053"/>
      <c r="AR341" s="1053"/>
      <c r="AS341" s="1053"/>
      <c r="AT341" s="1053"/>
      <c r="AU341" s="1053"/>
      <c r="AV341" s="1053"/>
      <c r="AW341" s="1053"/>
      <c r="AX341" s="1053"/>
      <c r="AY341" s="1053"/>
      <c r="AZ341" s="1053"/>
    </row>
    <row r="342" spans="1:52">
      <c r="A342" s="1053"/>
      <c r="B342" s="1053"/>
      <c r="C342" s="1053"/>
      <c r="D342" s="1053"/>
      <c r="E342" s="1053"/>
      <c r="F342" s="1053"/>
      <c r="G342" s="1053"/>
      <c r="H342" s="1053"/>
      <c r="I342" s="1053"/>
      <c r="J342" s="1053"/>
      <c r="K342" s="1053"/>
      <c r="L342" s="1053"/>
      <c r="M342" s="1053"/>
      <c r="N342" s="1053"/>
      <c r="O342" s="1053"/>
      <c r="P342" s="1053"/>
      <c r="Q342" s="1053"/>
      <c r="R342" s="1053"/>
      <c r="S342" s="1053"/>
      <c r="T342" s="1053"/>
      <c r="U342" s="1053"/>
      <c r="V342" s="1053"/>
      <c r="W342" s="1053"/>
      <c r="X342" s="1053"/>
      <c r="Y342" s="1053"/>
      <c r="Z342" s="1053"/>
      <c r="AA342" s="1053"/>
      <c r="AB342" s="1053"/>
      <c r="AC342" s="1053"/>
      <c r="AD342" s="1053"/>
      <c r="AE342" s="1053"/>
      <c r="AF342" s="1053"/>
      <c r="AG342" s="1053"/>
      <c r="AH342" s="1053"/>
      <c r="AI342" s="1053"/>
      <c r="AJ342" s="1053"/>
      <c r="AK342" s="1053"/>
      <c r="AL342" s="1053"/>
      <c r="AM342" s="1053"/>
      <c r="AN342" s="1053"/>
      <c r="AO342" s="1053"/>
      <c r="AP342" s="1053"/>
      <c r="AQ342" s="1053"/>
      <c r="AR342" s="1053"/>
      <c r="AS342" s="1053"/>
      <c r="AT342" s="1053"/>
      <c r="AU342" s="1053"/>
      <c r="AV342" s="1053"/>
      <c r="AW342" s="1053"/>
      <c r="AX342" s="1053"/>
      <c r="AY342" s="1053"/>
      <c r="AZ342" s="1053"/>
    </row>
    <row r="343" spans="1:52">
      <c r="A343" s="1053"/>
      <c r="B343" s="1053"/>
      <c r="C343" s="1053"/>
      <c r="D343" s="1053"/>
      <c r="E343" s="1053"/>
      <c r="F343" s="1053"/>
      <c r="G343" s="1053"/>
      <c r="H343" s="1053"/>
      <c r="I343" s="1053"/>
      <c r="J343" s="1053"/>
      <c r="K343" s="1053"/>
      <c r="L343" s="1053"/>
      <c r="M343" s="1053"/>
      <c r="N343" s="1053"/>
      <c r="O343" s="1053"/>
      <c r="P343" s="1053"/>
      <c r="Q343" s="1053"/>
      <c r="R343" s="1053"/>
      <c r="S343" s="1053"/>
      <c r="T343" s="1053"/>
      <c r="U343" s="1053"/>
      <c r="V343" s="1053"/>
      <c r="W343" s="1053"/>
      <c r="X343" s="1053"/>
      <c r="Y343" s="1053"/>
      <c r="Z343" s="1053"/>
      <c r="AA343" s="1053"/>
      <c r="AB343" s="1053"/>
      <c r="AC343" s="1053"/>
      <c r="AD343" s="1053"/>
      <c r="AE343" s="1053"/>
      <c r="AF343" s="1053"/>
      <c r="AG343" s="1053"/>
      <c r="AH343" s="1053"/>
      <c r="AI343" s="1053"/>
      <c r="AJ343" s="1053"/>
      <c r="AK343" s="1053"/>
      <c r="AL343" s="1053"/>
      <c r="AM343" s="1053"/>
      <c r="AN343" s="1053"/>
      <c r="AO343" s="1053"/>
      <c r="AP343" s="1053"/>
      <c r="AQ343" s="1053"/>
      <c r="AR343" s="1053"/>
      <c r="AS343" s="1053"/>
      <c r="AT343" s="1053"/>
      <c r="AU343" s="1053"/>
      <c r="AV343" s="1053"/>
      <c r="AW343" s="1053"/>
      <c r="AX343" s="1053"/>
      <c r="AY343" s="1053"/>
      <c r="AZ343" s="1053"/>
    </row>
    <row r="344" spans="1:52">
      <c r="A344" s="1053"/>
      <c r="B344" s="1053"/>
      <c r="C344" s="1053"/>
      <c r="D344" s="1053"/>
      <c r="E344" s="1053"/>
      <c r="F344" s="1053"/>
      <c r="G344" s="1053"/>
      <c r="H344" s="1053"/>
      <c r="I344" s="1053"/>
      <c r="J344" s="1053"/>
      <c r="K344" s="1053"/>
      <c r="L344" s="1053"/>
      <c r="M344" s="1053"/>
      <c r="N344" s="1053"/>
      <c r="O344" s="1053"/>
      <c r="P344" s="1053"/>
      <c r="Q344" s="1053"/>
      <c r="R344" s="1053"/>
      <c r="S344" s="1053"/>
      <c r="T344" s="1053"/>
      <c r="U344" s="1053"/>
      <c r="V344" s="1053"/>
      <c r="W344" s="1053"/>
      <c r="X344" s="1053"/>
      <c r="Y344" s="1053"/>
      <c r="Z344" s="1053"/>
      <c r="AA344" s="1053"/>
      <c r="AB344" s="1053"/>
      <c r="AC344" s="1053"/>
      <c r="AD344" s="1053"/>
      <c r="AE344" s="1053"/>
      <c r="AF344" s="1053"/>
      <c r="AG344" s="1053"/>
      <c r="AH344" s="1053"/>
      <c r="AI344" s="1053"/>
      <c r="AJ344" s="1053"/>
      <c r="AK344" s="1053"/>
      <c r="AL344" s="1053"/>
      <c r="AM344" s="1053"/>
      <c r="AN344" s="1053"/>
      <c r="AO344" s="1053"/>
      <c r="AP344" s="1053"/>
      <c r="AQ344" s="1053"/>
      <c r="AR344" s="1053"/>
      <c r="AS344" s="1053"/>
      <c r="AT344" s="1053"/>
      <c r="AU344" s="1053"/>
      <c r="AV344" s="1053"/>
      <c r="AW344" s="1053"/>
      <c r="AX344" s="1053"/>
      <c r="AY344" s="1053"/>
      <c r="AZ344" s="1053"/>
    </row>
    <row r="345" spans="1:52">
      <c r="A345" s="1053"/>
      <c r="B345" s="1053"/>
      <c r="C345" s="1053"/>
      <c r="D345" s="1053"/>
      <c r="E345" s="1053"/>
      <c r="F345" s="1053"/>
      <c r="G345" s="1053"/>
      <c r="H345" s="1053"/>
      <c r="I345" s="1053"/>
      <c r="J345" s="1053"/>
      <c r="K345" s="1053"/>
      <c r="L345" s="1053"/>
      <c r="M345" s="1053"/>
      <c r="N345" s="1053"/>
      <c r="O345" s="1053"/>
      <c r="P345" s="1053"/>
      <c r="Q345" s="1053"/>
      <c r="R345" s="1053"/>
      <c r="S345" s="1053"/>
      <c r="T345" s="1053"/>
      <c r="U345" s="1053"/>
      <c r="V345" s="1053"/>
      <c r="W345" s="1053"/>
      <c r="X345" s="1053"/>
      <c r="Y345" s="1053"/>
      <c r="Z345" s="1053"/>
      <c r="AA345" s="1053"/>
      <c r="AB345" s="1053"/>
      <c r="AC345" s="1053"/>
      <c r="AD345" s="1053"/>
      <c r="AE345" s="1053"/>
      <c r="AF345" s="1053"/>
      <c r="AG345" s="1053"/>
      <c r="AH345" s="1053"/>
      <c r="AI345" s="1053"/>
      <c r="AJ345" s="1053"/>
      <c r="AK345" s="1053"/>
      <c r="AL345" s="1053"/>
      <c r="AM345" s="1053"/>
      <c r="AN345" s="1053"/>
      <c r="AO345" s="1053"/>
      <c r="AP345" s="1053"/>
      <c r="AQ345" s="1053"/>
      <c r="AR345" s="1053"/>
      <c r="AS345" s="1053"/>
      <c r="AT345" s="1053"/>
      <c r="AU345" s="1053"/>
      <c r="AV345" s="1053"/>
      <c r="AW345" s="1053"/>
      <c r="AX345" s="1053"/>
      <c r="AY345" s="1053"/>
      <c r="AZ345" s="1053"/>
    </row>
    <row r="346" spans="1:52">
      <c r="A346" s="1053"/>
      <c r="B346" s="1053"/>
      <c r="C346" s="1053"/>
      <c r="D346" s="1053"/>
      <c r="E346" s="1053"/>
      <c r="F346" s="1053"/>
      <c r="G346" s="1053"/>
      <c r="H346" s="1053"/>
      <c r="I346" s="1053"/>
      <c r="J346" s="1053"/>
      <c r="K346" s="1053"/>
      <c r="L346" s="1053"/>
      <c r="M346" s="1053"/>
      <c r="N346" s="1053"/>
      <c r="O346" s="1053"/>
      <c r="P346" s="1053"/>
      <c r="Q346" s="1053"/>
      <c r="R346" s="1053"/>
      <c r="S346" s="1053"/>
      <c r="T346" s="1053"/>
      <c r="U346" s="1053"/>
      <c r="V346" s="1053"/>
      <c r="W346" s="1053"/>
      <c r="X346" s="1053"/>
      <c r="Y346" s="1053"/>
      <c r="Z346" s="1053"/>
      <c r="AA346" s="1053"/>
      <c r="AB346" s="1053"/>
      <c r="AC346" s="1053"/>
      <c r="AD346" s="1053"/>
      <c r="AE346" s="1053"/>
      <c r="AF346" s="1053"/>
      <c r="AG346" s="1053"/>
      <c r="AH346" s="1053"/>
      <c r="AI346" s="1053"/>
      <c r="AJ346" s="1053"/>
      <c r="AK346" s="1053"/>
      <c r="AL346" s="1053"/>
      <c r="AM346" s="1053"/>
      <c r="AN346" s="1053"/>
      <c r="AO346" s="1053"/>
      <c r="AP346" s="1053"/>
      <c r="AQ346" s="1053"/>
      <c r="AR346" s="1053"/>
      <c r="AS346" s="1053"/>
      <c r="AT346" s="1053"/>
      <c r="AU346" s="1053"/>
      <c r="AV346" s="1053"/>
      <c r="AW346" s="1053"/>
      <c r="AX346" s="1053"/>
      <c r="AY346" s="1053"/>
      <c r="AZ346" s="1053"/>
    </row>
    <row r="347" spans="1:52">
      <c r="A347" s="1053"/>
      <c r="B347" s="1053"/>
      <c r="C347" s="1053"/>
      <c r="D347" s="1053"/>
      <c r="E347" s="1053"/>
      <c r="F347" s="1053"/>
      <c r="G347" s="1053"/>
      <c r="H347" s="1053"/>
      <c r="I347" s="1053"/>
      <c r="J347" s="1053"/>
      <c r="K347" s="1053"/>
      <c r="L347" s="1053"/>
      <c r="M347" s="1053"/>
      <c r="N347" s="1053"/>
      <c r="O347" s="1053"/>
      <c r="P347" s="1053"/>
      <c r="Q347" s="1053"/>
      <c r="R347" s="1053"/>
      <c r="S347" s="1053"/>
      <c r="T347" s="1053"/>
      <c r="U347" s="1053"/>
      <c r="V347" s="1053"/>
      <c r="W347" s="1053"/>
      <c r="X347" s="1053"/>
      <c r="Y347" s="1053"/>
      <c r="Z347" s="1053"/>
      <c r="AA347" s="1053"/>
      <c r="AB347" s="1053"/>
      <c r="AC347" s="1053"/>
      <c r="AD347" s="1053"/>
      <c r="AE347" s="1053"/>
      <c r="AF347" s="1053"/>
      <c r="AG347" s="1053"/>
      <c r="AH347" s="1053"/>
      <c r="AI347" s="1053"/>
      <c r="AJ347" s="1053"/>
      <c r="AK347" s="1053"/>
      <c r="AL347" s="1053"/>
      <c r="AM347" s="1053"/>
      <c r="AN347" s="1053"/>
      <c r="AO347" s="1053"/>
      <c r="AP347" s="1053"/>
      <c r="AQ347" s="1053"/>
      <c r="AR347" s="1053"/>
      <c r="AS347" s="1053"/>
      <c r="AT347" s="1053"/>
      <c r="AU347" s="1053"/>
      <c r="AV347" s="1053"/>
      <c r="AW347" s="1053"/>
      <c r="AX347" s="1053"/>
      <c r="AY347" s="1053"/>
      <c r="AZ347" s="1053"/>
    </row>
    <row r="348" spans="1:52">
      <c r="A348" s="1053"/>
      <c r="B348" s="1053"/>
      <c r="C348" s="1053"/>
      <c r="D348" s="1053"/>
      <c r="E348" s="1053"/>
      <c r="F348" s="1053"/>
      <c r="G348" s="1053"/>
      <c r="H348" s="1053"/>
      <c r="I348" s="1053"/>
      <c r="J348" s="1053"/>
      <c r="K348" s="1053"/>
      <c r="L348" s="1053"/>
      <c r="M348" s="1053"/>
      <c r="N348" s="1053"/>
      <c r="O348" s="1053"/>
      <c r="P348" s="1053"/>
      <c r="Q348" s="1053"/>
      <c r="R348" s="1053"/>
      <c r="S348" s="1053"/>
      <c r="T348" s="1053"/>
      <c r="U348" s="1053"/>
      <c r="V348" s="1053"/>
      <c r="W348" s="1053"/>
      <c r="X348" s="1053"/>
      <c r="Y348" s="1053"/>
      <c r="Z348" s="1053"/>
      <c r="AA348" s="1053"/>
      <c r="AB348" s="1053"/>
      <c r="AC348" s="1053"/>
      <c r="AD348" s="1053"/>
      <c r="AE348" s="1053"/>
      <c r="AF348" s="1053"/>
      <c r="AG348" s="1053"/>
      <c r="AH348" s="1053"/>
      <c r="AI348" s="1053"/>
      <c r="AJ348" s="1053"/>
      <c r="AK348" s="1053"/>
      <c r="AL348" s="1053"/>
      <c r="AM348" s="1053"/>
      <c r="AN348" s="1053"/>
      <c r="AO348" s="1053"/>
      <c r="AP348" s="1053"/>
      <c r="AQ348" s="1053"/>
      <c r="AR348" s="1053"/>
      <c r="AS348" s="1053"/>
      <c r="AT348" s="1053"/>
      <c r="AU348" s="1053"/>
      <c r="AV348" s="1053"/>
      <c r="AW348" s="1053"/>
      <c r="AX348" s="1053"/>
      <c r="AY348" s="1053"/>
      <c r="AZ348" s="1053"/>
    </row>
    <row r="349" spans="1:52">
      <c r="A349" s="1053"/>
      <c r="B349" s="1053"/>
      <c r="C349" s="1053"/>
      <c r="D349" s="1053"/>
      <c r="E349" s="1053"/>
      <c r="F349" s="1053"/>
      <c r="G349" s="1053"/>
      <c r="H349" s="1053"/>
      <c r="I349" s="1053"/>
      <c r="J349" s="1053"/>
      <c r="K349" s="1053"/>
      <c r="L349" s="1053"/>
      <c r="M349" s="1053"/>
      <c r="N349" s="1053"/>
      <c r="O349" s="1053"/>
      <c r="P349" s="1053"/>
      <c r="Q349" s="1053"/>
      <c r="R349" s="1053"/>
      <c r="S349" s="1053"/>
      <c r="T349" s="1053"/>
      <c r="U349" s="1053"/>
      <c r="V349" s="1053"/>
      <c r="W349" s="1053"/>
      <c r="X349" s="1053"/>
      <c r="Y349" s="1053"/>
      <c r="Z349" s="1053"/>
      <c r="AA349" s="1053"/>
      <c r="AB349" s="1053"/>
      <c r="AC349" s="1053"/>
      <c r="AD349" s="1053"/>
      <c r="AE349" s="1053"/>
      <c r="AF349" s="1053"/>
      <c r="AG349" s="1053"/>
      <c r="AH349" s="1053"/>
      <c r="AI349" s="1053"/>
      <c r="AJ349" s="1053"/>
      <c r="AK349" s="1053"/>
      <c r="AL349" s="1053"/>
      <c r="AM349" s="1053"/>
      <c r="AN349" s="1053"/>
      <c r="AO349" s="1053"/>
      <c r="AP349" s="1053"/>
      <c r="AQ349" s="1053"/>
      <c r="AR349" s="1053"/>
      <c r="AS349" s="1053"/>
      <c r="AT349" s="1053"/>
      <c r="AU349" s="1053"/>
      <c r="AV349" s="1053"/>
      <c r="AW349" s="1053"/>
      <c r="AX349" s="1053"/>
      <c r="AY349" s="1053"/>
      <c r="AZ349" s="1053"/>
    </row>
    <row r="350" spans="1:52">
      <c r="A350" s="1053"/>
      <c r="B350" s="1053"/>
      <c r="C350" s="1053"/>
      <c r="D350" s="1053"/>
      <c r="E350" s="1053"/>
      <c r="F350" s="1053"/>
      <c r="G350" s="1053"/>
      <c r="H350" s="1053"/>
      <c r="I350" s="1053"/>
      <c r="J350" s="1053"/>
      <c r="K350" s="1053"/>
      <c r="L350" s="1053"/>
      <c r="M350" s="1053"/>
      <c r="N350" s="1053"/>
      <c r="O350" s="1053"/>
      <c r="P350" s="1053"/>
      <c r="Q350" s="1053"/>
      <c r="R350" s="1053"/>
      <c r="S350" s="1053"/>
      <c r="T350" s="1053"/>
      <c r="U350" s="1053"/>
      <c r="V350" s="1053"/>
      <c r="W350" s="1053"/>
      <c r="X350" s="1053"/>
      <c r="Y350" s="1053"/>
      <c r="Z350" s="1053"/>
      <c r="AA350" s="1053"/>
      <c r="AB350" s="1053"/>
      <c r="AC350" s="1053"/>
      <c r="AD350" s="1053"/>
      <c r="AE350" s="1053"/>
      <c r="AF350" s="1053"/>
      <c r="AG350" s="1053"/>
      <c r="AH350" s="1053"/>
      <c r="AI350" s="1053"/>
      <c r="AJ350" s="1053"/>
      <c r="AK350" s="1053"/>
      <c r="AL350" s="1053"/>
      <c r="AM350" s="1053"/>
      <c r="AN350" s="1053"/>
      <c r="AO350" s="1053"/>
      <c r="AP350" s="1053"/>
      <c r="AQ350" s="1053"/>
      <c r="AR350" s="1053"/>
      <c r="AS350" s="1053"/>
      <c r="AT350" s="1053"/>
      <c r="AU350" s="1053"/>
      <c r="AV350" s="1053"/>
      <c r="AW350" s="1053"/>
      <c r="AX350" s="1053"/>
      <c r="AY350" s="1053"/>
      <c r="AZ350" s="1053"/>
    </row>
    <row r="351" spans="1:52">
      <c r="A351" s="1053"/>
      <c r="B351" s="1053"/>
      <c r="C351" s="1053"/>
      <c r="D351" s="1053"/>
      <c r="E351" s="1053"/>
      <c r="F351" s="1053"/>
      <c r="G351" s="1053"/>
      <c r="H351" s="1053"/>
      <c r="I351" s="1053"/>
      <c r="J351" s="1053"/>
      <c r="K351" s="1053"/>
      <c r="L351" s="1053"/>
      <c r="M351" s="1053"/>
      <c r="N351" s="1053"/>
      <c r="O351" s="1053"/>
      <c r="P351" s="1053"/>
      <c r="Q351" s="1053"/>
      <c r="R351" s="1053"/>
      <c r="S351" s="1053"/>
      <c r="T351" s="1053"/>
      <c r="U351" s="1053"/>
      <c r="V351" s="1053"/>
      <c r="W351" s="1053"/>
      <c r="X351" s="1053"/>
      <c r="Y351" s="1053"/>
      <c r="Z351" s="1053"/>
      <c r="AA351" s="1053"/>
      <c r="AB351" s="1053"/>
      <c r="AC351" s="1053"/>
      <c r="AD351" s="1053"/>
      <c r="AE351" s="1053"/>
      <c r="AF351" s="1053"/>
      <c r="AG351" s="1053"/>
      <c r="AH351" s="1053"/>
      <c r="AI351" s="1053"/>
      <c r="AJ351" s="1053"/>
      <c r="AK351" s="1053"/>
      <c r="AL351" s="1053"/>
      <c r="AM351" s="1053"/>
      <c r="AN351" s="1053"/>
      <c r="AO351" s="1053"/>
      <c r="AP351" s="1053"/>
      <c r="AQ351" s="1053"/>
      <c r="AR351" s="1053"/>
      <c r="AS351" s="1053"/>
      <c r="AT351" s="1053"/>
      <c r="AU351" s="1053"/>
      <c r="AV351" s="1053"/>
      <c r="AW351" s="1053"/>
      <c r="AX351" s="1053"/>
      <c r="AY351" s="1053"/>
      <c r="AZ351" s="1053"/>
    </row>
    <row r="352" spans="1:52">
      <c r="A352" s="1053"/>
      <c r="B352" s="1053"/>
      <c r="C352" s="1053"/>
      <c r="D352" s="1053"/>
      <c r="E352" s="1053"/>
      <c r="F352" s="1053"/>
      <c r="G352" s="1053"/>
      <c r="H352" s="1053"/>
      <c r="I352" s="1053"/>
      <c r="J352" s="1053"/>
      <c r="K352" s="1053"/>
      <c r="L352" s="1053"/>
      <c r="M352" s="1053"/>
      <c r="N352" s="1053"/>
      <c r="O352" s="1053"/>
      <c r="P352" s="1053"/>
      <c r="Q352" s="1053"/>
      <c r="R352" s="1053"/>
      <c r="S352" s="1053"/>
      <c r="T352" s="1053"/>
      <c r="U352" s="1053"/>
      <c r="V352" s="1053"/>
      <c r="W352" s="1053"/>
      <c r="X352" s="1053"/>
      <c r="Y352" s="1053"/>
      <c r="Z352" s="1053"/>
      <c r="AA352" s="1053"/>
      <c r="AB352" s="1053"/>
      <c r="AC352" s="1053"/>
      <c r="AD352" s="1053"/>
      <c r="AE352" s="1053"/>
      <c r="AF352" s="1053"/>
      <c r="AG352" s="1053"/>
      <c r="AH352" s="1053"/>
      <c r="AI352" s="1053"/>
      <c r="AJ352" s="1053"/>
      <c r="AK352" s="1053"/>
      <c r="AL352" s="1053"/>
      <c r="AM352" s="1053"/>
      <c r="AN352" s="1053"/>
      <c r="AO352" s="1053"/>
      <c r="AP352" s="1053"/>
      <c r="AQ352" s="1053"/>
      <c r="AR352" s="1053"/>
      <c r="AS352" s="1053"/>
      <c r="AT352" s="1053"/>
      <c r="AU352" s="1053"/>
      <c r="AV352" s="1053"/>
      <c r="AW352" s="1053"/>
      <c r="AX352" s="1053"/>
      <c r="AY352" s="1053"/>
      <c r="AZ352" s="1053"/>
    </row>
    <row r="353" spans="1:52">
      <c r="A353" s="1053"/>
      <c r="B353" s="1053"/>
      <c r="C353" s="1053"/>
      <c r="D353" s="1053"/>
      <c r="E353" s="1053"/>
      <c r="F353" s="1053"/>
      <c r="G353" s="1053"/>
      <c r="H353" s="1053"/>
      <c r="I353" s="1053"/>
      <c r="J353" s="1053"/>
      <c r="K353" s="1053"/>
      <c r="L353" s="1053"/>
      <c r="M353" s="1053"/>
      <c r="N353" s="1053"/>
      <c r="O353" s="1053"/>
      <c r="P353" s="1053"/>
      <c r="Q353" s="1053"/>
      <c r="R353" s="1053"/>
      <c r="S353" s="1053"/>
      <c r="T353" s="1053"/>
      <c r="U353" s="1053"/>
      <c r="V353" s="1053"/>
      <c r="W353" s="1053"/>
      <c r="X353" s="1053"/>
      <c r="Y353" s="1053"/>
      <c r="Z353" s="1053"/>
      <c r="AA353" s="1053"/>
      <c r="AB353" s="1053"/>
      <c r="AC353" s="1053"/>
      <c r="AD353" s="1053"/>
      <c r="AE353" s="1053"/>
      <c r="AF353" s="1053"/>
      <c r="AG353" s="1053"/>
      <c r="AH353" s="1053"/>
      <c r="AI353" s="1053"/>
      <c r="AJ353" s="1053"/>
      <c r="AK353" s="1053"/>
      <c r="AL353" s="1053"/>
      <c r="AM353" s="1053"/>
      <c r="AN353" s="1053"/>
      <c r="AO353" s="1053"/>
      <c r="AP353" s="1053"/>
      <c r="AQ353" s="1053"/>
      <c r="AR353" s="1053"/>
      <c r="AS353" s="1053"/>
      <c r="AT353" s="1053"/>
      <c r="AU353" s="1053"/>
      <c r="AV353" s="1053"/>
      <c r="AW353" s="1053"/>
      <c r="AX353" s="1053"/>
      <c r="AY353" s="1053"/>
      <c r="AZ353" s="1053"/>
    </row>
    <row r="354" spans="1:52">
      <c r="A354" s="1053"/>
      <c r="B354" s="1053"/>
      <c r="C354" s="1053"/>
      <c r="D354" s="1053"/>
      <c r="E354" s="1053"/>
      <c r="F354" s="1053"/>
      <c r="G354" s="1053"/>
      <c r="H354" s="1053"/>
      <c r="I354" s="1053"/>
      <c r="J354" s="1053"/>
      <c r="K354" s="1053"/>
      <c r="L354" s="1053"/>
      <c r="M354" s="1053"/>
      <c r="N354" s="1053"/>
      <c r="O354" s="1053"/>
      <c r="P354" s="1053"/>
      <c r="Q354" s="1053"/>
      <c r="R354" s="1053"/>
      <c r="S354" s="1053"/>
      <c r="T354" s="1053"/>
      <c r="U354" s="1053"/>
      <c r="V354" s="1053"/>
      <c r="W354" s="1053"/>
      <c r="X354" s="1053"/>
      <c r="Y354" s="1053"/>
      <c r="Z354" s="1053"/>
      <c r="AA354" s="1053"/>
      <c r="AB354" s="1053"/>
      <c r="AC354" s="1053"/>
      <c r="AD354" s="1053"/>
      <c r="AE354" s="1053"/>
      <c r="AF354" s="1053"/>
      <c r="AG354" s="1053"/>
      <c r="AH354" s="1053"/>
      <c r="AI354" s="1053"/>
      <c r="AJ354" s="1053"/>
      <c r="AK354" s="1053"/>
      <c r="AL354" s="1053"/>
      <c r="AM354" s="1053"/>
      <c r="AN354" s="1053"/>
      <c r="AO354" s="1053"/>
      <c r="AP354" s="1053"/>
      <c r="AQ354" s="1053"/>
      <c r="AR354" s="1053"/>
      <c r="AS354" s="1053"/>
      <c r="AT354" s="1053"/>
      <c r="AU354" s="1053"/>
      <c r="AV354" s="1053"/>
      <c r="AW354" s="1053"/>
      <c r="AX354" s="1053"/>
      <c r="AY354" s="1053"/>
      <c r="AZ354" s="1053"/>
    </row>
    <row r="355" spans="1:52">
      <c r="A355" s="1053"/>
      <c r="B355" s="1053"/>
      <c r="C355" s="1053"/>
      <c r="D355" s="1053"/>
      <c r="E355" s="1053"/>
      <c r="F355" s="1053"/>
      <c r="G355" s="1053"/>
      <c r="H355" s="1053"/>
      <c r="I355" s="1053"/>
      <c r="J355" s="1053"/>
      <c r="K355" s="1053"/>
      <c r="L355" s="1053"/>
      <c r="M355" s="1053"/>
      <c r="N355" s="1053"/>
      <c r="O355" s="1053"/>
      <c r="P355" s="1053"/>
      <c r="Q355" s="1053"/>
      <c r="R355" s="1053"/>
      <c r="S355" s="1053"/>
      <c r="T355" s="1053"/>
      <c r="U355" s="1053"/>
      <c r="V355" s="1053"/>
      <c r="W355" s="1053"/>
      <c r="X355" s="1053"/>
      <c r="Y355" s="1053"/>
      <c r="Z355" s="1053"/>
      <c r="AA355" s="1053"/>
      <c r="AB355" s="1053"/>
      <c r="AC355" s="1053"/>
      <c r="AD355" s="1053"/>
      <c r="AE355" s="1053"/>
      <c r="AF355" s="1053"/>
      <c r="AG355" s="1053"/>
      <c r="AH355" s="1053"/>
      <c r="AI355" s="1053"/>
      <c r="AJ355" s="1053"/>
      <c r="AK355" s="1053"/>
      <c r="AL355" s="1053"/>
      <c r="AM355" s="1053"/>
      <c r="AN355" s="1053"/>
      <c r="AO355" s="1053"/>
      <c r="AP355" s="1053"/>
      <c r="AQ355" s="1053"/>
      <c r="AR355" s="1053"/>
      <c r="AS355" s="1053"/>
      <c r="AT355" s="1053"/>
      <c r="AU355" s="1053"/>
      <c r="AV355" s="1053"/>
      <c r="AW355" s="1053"/>
      <c r="AX355" s="1053"/>
      <c r="AY355" s="1053"/>
      <c r="AZ355" s="1053"/>
    </row>
    <row r="356" spans="1:52">
      <c r="A356" s="1053"/>
      <c r="B356" s="1053"/>
      <c r="C356" s="1053"/>
      <c r="D356" s="1053"/>
      <c r="E356" s="1053"/>
      <c r="F356" s="1053"/>
      <c r="G356" s="1053"/>
      <c r="H356" s="1053"/>
      <c r="I356" s="1053"/>
      <c r="J356" s="1053"/>
      <c r="K356" s="1053"/>
      <c r="L356" s="1053"/>
      <c r="M356" s="1053"/>
      <c r="N356" s="1053"/>
      <c r="O356" s="1053"/>
      <c r="P356" s="1053"/>
      <c r="Q356" s="1053"/>
      <c r="R356" s="1053"/>
      <c r="S356" s="1053"/>
      <c r="T356" s="1053"/>
      <c r="U356" s="1053"/>
      <c r="V356" s="1053"/>
      <c r="W356" s="1053"/>
      <c r="X356" s="1053"/>
      <c r="Y356" s="1053"/>
      <c r="Z356" s="1053"/>
      <c r="AA356" s="1053"/>
      <c r="AB356" s="1053"/>
      <c r="AC356" s="1053"/>
      <c r="AD356" s="1053"/>
      <c r="AE356" s="1053"/>
      <c r="AF356" s="1053"/>
      <c r="AG356" s="1053"/>
      <c r="AH356" s="1053"/>
      <c r="AI356" s="1053"/>
      <c r="AJ356" s="1053"/>
      <c r="AK356" s="1053"/>
      <c r="AL356" s="1053"/>
      <c r="AM356" s="1053"/>
      <c r="AN356" s="1053"/>
      <c r="AO356" s="1053"/>
      <c r="AP356" s="1053"/>
      <c r="AQ356" s="1053"/>
      <c r="AR356" s="1053"/>
      <c r="AS356" s="1053"/>
      <c r="AT356" s="1053"/>
      <c r="AU356" s="1053"/>
      <c r="AV356" s="1053"/>
      <c r="AW356" s="1053"/>
      <c r="AX356" s="1053"/>
      <c r="AY356" s="1053"/>
      <c r="AZ356" s="1053"/>
    </row>
    <row r="357" spans="1:52">
      <c r="A357" s="1053"/>
      <c r="B357" s="1053"/>
      <c r="C357" s="1053"/>
      <c r="D357" s="1053"/>
      <c r="E357" s="1053"/>
      <c r="F357" s="1053"/>
      <c r="G357" s="1053"/>
      <c r="H357" s="1053"/>
      <c r="I357" s="1053"/>
      <c r="J357" s="1053"/>
      <c r="K357" s="1053"/>
      <c r="L357" s="1053"/>
      <c r="M357" s="1053"/>
      <c r="N357" s="1053"/>
      <c r="O357" s="1053"/>
      <c r="P357" s="1053"/>
      <c r="Q357" s="1053"/>
      <c r="R357" s="1053"/>
      <c r="S357" s="1053"/>
      <c r="T357" s="1053"/>
      <c r="U357" s="1053"/>
      <c r="V357" s="1053"/>
      <c r="W357" s="1053"/>
      <c r="X357" s="1053"/>
      <c r="Y357" s="1053"/>
      <c r="Z357" s="1053"/>
      <c r="AA357" s="1053"/>
      <c r="AB357" s="1053"/>
      <c r="AC357" s="1053"/>
      <c r="AD357" s="1053"/>
      <c r="AE357" s="1053"/>
      <c r="AF357" s="1053"/>
      <c r="AG357" s="1053"/>
      <c r="AH357" s="1053"/>
      <c r="AI357" s="1053"/>
      <c r="AJ357" s="1053"/>
      <c r="AK357" s="1053"/>
      <c r="AL357" s="1053"/>
      <c r="AM357" s="1053"/>
      <c r="AN357" s="1053"/>
      <c r="AO357" s="1053"/>
      <c r="AP357" s="1053"/>
      <c r="AQ357" s="1053"/>
      <c r="AR357" s="1053"/>
      <c r="AS357" s="1053"/>
      <c r="AT357" s="1053"/>
      <c r="AU357" s="1053"/>
      <c r="AV357" s="1053"/>
      <c r="AW357" s="1053"/>
      <c r="AX357" s="1053"/>
      <c r="AY357" s="1053"/>
      <c r="AZ357" s="1053"/>
    </row>
    <row r="358" spans="1:52">
      <c r="A358" s="1053"/>
      <c r="B358" s="1053"/>
      <c r="C358" s="1053"/>
      <c r="D358" s="1053"/>
      <c r="E358" s="1053"/>
      <c r="F358" s="1053"/>
      <c r="G358" s="1053"/>
      <c r="H358" s="1053"/>
      <c r="I358" s="1053"/>
      <c r="J358" s="1053"/>
      <c r="K358" s="1053"/>
      <c r="L358" s="1053"/>
      <c r="M358" s="1053"/>
      <c r="N358" s="1053"/>
      <c r="O358" s="1053"/>
      <c r="P358" s="1053"/>
      <c r="Q358" s="1053"/>
      <c r="R358" s="1053"/>
      <c r="S358" s="1053"/>
      <c r="T358" s="1053"/>
      <c r="U358" s="1053"/>
      <c r="V358" s="1053"/>
      <c r="W358" s="1053"/>
      <c r="X358" s="1053"/>
      <c r="Y358" s="1053"/>
      <c r="Z358" s="1053"/>
      <c r="AA358" s="1053"/>
      <c r="AB358" s="1053"/>
      <c r="AC358" s="1053"/>
      <c r="AD358" s="1053"/>
      <c r="AE358" s="1053"/>
      <c r="AF358" s="1053"/>
      <c r="AG358" s="1053"/>
      <c r="AH358" s="1053"/>
      <c r="AI358" s="1053"/>
      <c r="AJ358" s="1053"/>
      <c r="AK358" s="1053"/>
      <c r="AL358" s="1053"/>
      <c r="AM358" s="1053"/>
      <c r="AN358" s="1053"/>
      <c r="AO358" s="1053"/>
      <c r="AP358" s="1053"/>
      <c r="AQ358" s="1053"/>
      <c r="AR358" s="1053"/>
      <c r="AS358" s="1053"/>
      <c r="AT358" s="1053"/>
      <c r="AU358" s="1053"/>
      <c r="AV358" s="1053"/>
      <c r="AW358" s="1053"/>
      <c r="AX358" s="1053"/>
      <c r="AY358" s="1053"/>
      <c r="AZ358" s="1053"/>
    </row>
    <row r="359" spans="1:52">
      <c r="A359" s="1053"/>
      <c r="B359" s="1053"/>
      <c r="C359" s="1053"/>
      <c r="D359" s="1053"/>
      <c r="E359" s="1053"/>
      <c r="F359" s="1053"/>
      <c r="G359" s="1053"/>
      <c r="H359" s="1053"/>
      <c r="I359" s="1053"/>
      <c r="J359" s="1053"/>
      <c r="K359" s="1053"/>
      <c r="L359" s="1053"/>
      <c r="M359" s="1053"/>
      <c r="N359" s="1053"/>
      <c r="O359" s="1053"/>
      <c r="P359" s="1053"/>
      <c r="Q359" s="1053"/>
      <c r="R359" s="1053"/>
      <c r="S359" s="1053"/>
      <c r="T359" s="1053"/>
      <c r="U359" s="1053"/>
      <c r="V359" s="1053"/>
      <c r="W359" s="1053"/>
      <c r="X359" s="1053"/>
      <c r="Y359" s="1053"/>
      <c r="Z359" s="1053"/>
      <c r="AA359" s="1053"/>
      <c r="AB359" s="1053"/>
      <c r="AC359" s="1053"/>
      <c r="AD359" s="1053"/>
      <c r="AE359" s="1053"/>
      <c r="AF359" s="1053"/>
      <c r="AG359" s="1053"/>
      <c r="AH359" s="1053"/>
      <c r="AI359" s="1053"/>
      <c r="AJ359" s="1053"/>
      <c r="AK359" s="1053"/>
      <c r="AL359" s="1053"/>
      <c r="AM359" s="1053"/>
      <c r="AN359" s="1053"/>
      <c r="AO359" s="1053"/>
      <c r="AP359" s="1053"/>
      <c r="AQ359" s="1053"/>
      <c r="AR359" s="1053"/>
      <c r="AS359" s="1053"/>
      <c r="AT359" s="1053"/>
      <c r="AU359" s="1053"/>
      <c r="AV359" s="1053"/>
      <c r="AW359" s="1053"/>
      <c r="AX359" s="1053"/>
      <c r="AY359" s="1053"/>
      <c r="AZ359" s="1053"/>
    </row>
    <row r="360" spans="1:52">
      <c r="A360" s="1053"/>
      <c r="B360" s="1053"/>
      <c r="C360" s="1053"/>
      <c r="D360" s="1053"/>
      <c r="E360" s="1053"/>
      <c r="F360" s="1053"/>
      <c r="G360" s="1053"/>
      <c r="H360" s="1053"/>
      <c r="I360" s="1053"/>
      <c r="J360" s="1053"/>
      <c r="K360" s="1053"/>
      <c r="L360" s="1053"/>
      <c r="M360" s="1053"/>
      <c r="N360" s="1053"/>
      <c r="O360" s="1053"/>
      <c r="P360" s="1053"/>
      <c r="Q360" s="1053"/>
      <c r="R360" s="1053"/>
      <c r="S360" s="1053"/>
      <c r="T360" s="1053"/>
      <c r="U360" s="1053"/>
      <c r="V360" s="1053"/>
      <c r="W360" s="1053"/>
      <c r="X360" s="1053"/>
      <c r="Y360" s="1053"/>
      <c r="Z360" s="1053"/>
      <c r="AA360" s="1053"/>
      <c r="AB360" s="1053"/>
      <c r="AC360" s="1053"/>
      <c r="AD360" s="1053"/>
      <c r="AE360" s="1053"/>
      <c r="AF360" s="1053"/>
      <c r="AG360" s="1053"/>
      <c r="AH360" s="1053"/>
      <c r="AI360" s="1053"/>
      <c r="AJ360" s="1053"/>
      <c r="AK360" s="1053"/>
      <c r="AL360" s="1053"/>
      <c r="AM360" s="1053"/>
      <c r="AN360" s="1053"/>
      <c r="AO360" s="1053"/>
      <c r="AP360" s="1053"/>
      <c r="AQ360" s="1053"/>
      <c r="AR360" s="1053"/>
      <c r="AS360" s="1053"/>
      <c r="AT360" s="1053"/>
      <c r="AU360" s="1053"/>
      <c r="AV360" s="1053"/>
      <c r="AW360" s="1053"/>
      <c r="AX360" s="1053"/>
      <c r="AY360" s="1053"/>
      <c r="AZ360" s="1053"/>
    </row>
    <row r="361" spans="1:52">
      <c r="A361" s="1053"/>
      <c r="B361" s="1053"/>
      <c r="C361" s="1053"/>
      <c r="D361" s="1053"/>
      <c r="E361" s="1053"/>
      <c r="F361" s="1053"/>
      <c r="G361" s="1053"/>
      <c r="H361" s="1053"/>
      <c r="I361" s="1053"/>
      <c r="J361" s="1053"/>
      <c r="K361" s="1053"/>
      <c r="L361" s="1053"/>
      <c r="M361" s="1053"/>
      <c r="N361" s="1053"/>
      <c r="O361" s="1053"/>
      <c r="P361" s="1053"/>
      <c r="Q361" s="1053"/>
      <c r="R361" s="1053"/>
      <c r="S361" s="1053"/>
      <c r="T361" s="1053"/>
      <c r="U361" s="1053"/>
      <c r="V361" s="1053"/>
      <c r="W361" s="1053"/>
      <c r="X361" s="1053"/>
      <c r="Y361" s="1053"/>
      <c r="Z361" s="1053"/>
      <c r="AA361" s="1053"/>
      <c r="AB361" s="1053"/>
      <c r="AC361" s="1053"/>
      <c r="AD361" s="1053"/>
      <c r="AE361" s="1053"/>
      <c r="AF361" s="1053"/>
      <c r="AG361" s="1053"/>
      <c r="AH361" s="1053"/>
      <c r="AI361" s="1053"/>
      <c r="AJ361" s="1053"/>
      <c r="AK361" s="1053"/>
      <c r="AL361" s="1053"/>
      <c r="AM361" s="1053"/>
      <c r="AN361" s="1053"/>
      <c r="AO361" s="1053"/>
      <c r="AP361" s="1053"/>
      <c r="AQ361" s="1053"/>
      <c r="AR361" s="1053"/>
      <c r="AS361" s="1053"/>
      <c r="AT361" s="1053"/>
      <c r="AU361" s="1053"/>
      <c r="AV361" s="1053"/>
      <c r="AW361" s="1053"/>
      <c r="AX361" s="1053"/>
      <c r="AY361" s="1053"/>
      <c r="AZ361" s="1053"/>
    </row>
    <row r="362" spans="1:52">
      <c r="A362" s="1053"/>
      <c r="B362" s="1053"/>
      <c r="C362" s="1053"/>
      <c r="D362" s="1053"/>
      <c r="E362" s="1053"/>
      <c r="F362" s="1053"/>
      <c r="G362" s="1053"/>
      <c r="H362" s="1053"/>
      <c r="I362" s="1053"/>
      <c r="J362" s="1053"/>
      <c r="K362" s="1053"/>
      <c r="L362" s="1053"/>
      <c r="M362" s="1053"/>
      <c r="N362" s="1053"/>
      <c r="O362" s="1053"/>
      <c r="P362" s="1053"/>
      <c r="Q362" s="1053"/>
      <c r="R362" s="1053"/>
      <c r="S362" s="1053"/>
      <c r="T362" s="1053"/>
      <c r="U362" s="1053"/>
      <c r="V362" s="1053"/>
      <c r="W362" s="1053"/>
      <c r="X362" s="1053"/>
      <c r="Y362" s="1053"/>
      <c r="Z362" s="1053"/>
      <c r="AA362" s="1053"/>
      <c r="AB362" s="1053"/>
      <c r="AC362" s="1053"/>
      <c r="AD362" s="1053"/>
      <c r="AE362" s="1053"/>
      <c r="AF362" s="1053"/>
      <c r="AG362" s="1053"/>
      <c r="AH362" s="1053"/>
      <c r="AI362" s="1053"/>
      <c r="AJ362" s="1053"/>
      <c r="AK362" s="1053"/>
      <c r="AL362" s="1053"/>
      <c r="AM362" s="1053"/>
      <c r="AN362" s="1053"/>
      <c r="AO362" s="1053"/>
      <c r="AP362" s="1053"/>
      <c r="AQ362" s="1053"/>
      <c r="AR362" s="1053"/>
      <c r="AS362" s="1053"/>
      <c r="AT362" s="1053"/>
      <c r="AU362" s="1053"/>
      <c r="AV362" s="1053"/>
      <c r="AW362" s="1053"/>
      <c r="AX362" s="1053"/>
      <c r="AY362" s="1053"/>
      <c r="AZ362" s="1053"/>
    </row>
    <row r="363" spans="1:52">
      <c r="A363" s="1053"/>
      <c r="B363" s="1053"/>
      <c r="C363" s="1053"/>
      <c r="D363" s="1053"/>
      <c r="E363" s="1053"/>
      <c r="F363" s="1053"/>
      <c r="G363" s="1053"/>
      <c r="H363" s="1053"/>
      <c r="I363" s="1053"/>
      <c r="J363" s="1053"/>
      <c r="K363" s="1053"/>
      <c r="L363" s="1053"/>
      <c r="M363" s="1053"/>
      <c r="N363" s="1053"/>
      <c r="O363" s="1053"/>
      <c r="P363" s="1053"/>
      <c r="Q363" s="1053"/>
      <c r="R363" s="1053"/>
      <c r="S363" s="1053"/>
      <c r="T363" s="1053"/>
      <c r="U363" s="1053"/>
      <c r="V363" s="1053"/>
      <c r="W363" s="1053"/>
      <c r="X363" s="1053"/>
      <c r="Y363" s="1053"/>
      <c r="Z363" s="1053"/>
      <c r="AA363" s="1053"/>
      <c r="AB363" s="1053"/>
      <c r="AC363" s="1053"/>
      <c r="AD363" s="1053"/>
      <c r="AE363" s="1053"/>
      <c r="AF363" s="1053"/>
      <c r="AG363" s="1053"/>
      <c r="AH363" s="1053"/>
      <c r="AI363" s="1053"/>
      <c r="AJ363" s="1053"/>
      <c r="AK363" s="1053"/>
      <c r="AL363" s="1053"/>
      <c r="AM363" s="1053"/>
      <c r="AN363" s="1053"/>
      <c r="AO363" s="1053"/>
      <c r="AP363" s="1053"/>
      <c r="AQ363" s="1053"/>
      <c r="AR363" s="1053"/>
      <c r="AS363" s="1053"/>
      <c r="AT363" s="1053"/>
      <c r="AU363" s="1053"/>
      <c r="AV363" s="1053"/>
      <c r="AW363" s="1053"/>
      <c r="AX363" s="1053"/>
      <c r="AY363" s="1053"/>
      <c r="AZ363" s="1053"/>
    </row>
    <row r="364" spans="1:52">
      <c r="A364" s="1053"/>
      <c r="B364" s="1053"/>
      <c r="C364" s="1053"/>
      <c r="D364" s="1053"/>
      <c r="E364" s="1053"/>
      <c r="F364" s="1053"/>
      <c r="G364" s="1053"/>
      <c r="H364" s="1053"/>
      <c r="I364" s="1053"/>
      <c r="J364" s="1053"/>
      <c r="K364" s="1053"/>
      <c r="L364" s="1053"/>
      <c r="M364" s="1053"/>
      <c r="N364" s="1053"/>
      <c r="O364" s="1053"/>
      <c r="P364" s="1053"/>
      <c r="Q364" s="1053"/>
      <c r="R364" s="1053"/>
      <c r="S364" s="1053"/>
      <c r="T364" s="1053"/>
      <c r="U364" s="1053"/>
      <c r="V364" s="1053"/>
      <c r="W364" s="1053"/>
      <c r="X364" s="1053"/>
      <c r="Y364" s="1053"/>
      <c r="Z364" s="1053"/>
      <c r="AA364" s="1053"/>
      <c r="AB364" s="1053"/>
      <c r="AC364" s="1053"/>
      <c r="AD364" s="1053"/>
      <c r="AE364" s="1053"/>
      <c r="AF364" s="1053"/>
      <c r="AG364" s="1053"/>
      <c r="AH364" s="1053"/>
      <c r="AI364" s="1053"/>
      <c r="AJ364" s="1053"/>
      <c r="AK364" s="1053"/>
      <c r="AL364" s="1053"/>
      <c r="AM364" s="1053"/>
      <c r="AN364" s="1053"/>
      <c r="AO364" s="1053"/>
      <c r="AP364" s="1053"/>
      <c r="AQ364" s="1053"/>
      <c r="AR364" s="1053"/>
      <c r="AS364" s="1053"/>
      <c r="AT364" s="1053"/>
      <c r="AU364" s="1053"/>
      <c r="AV364" s="1053"/>
      <c r="AW364" s="1053"/>
      <c r="AX364" s="1053"/>
      <c r="AY364" s="1053"/>
      <c r="AZ364" s="1053"/>
    </row>
    <row r="365" spans="1:52">
      <c r="A365" s="1053"/>
      <c r="B365" s="1053"/>
      <c r="C365" s="1053"/>
      <c r="D365" s="1053"/>
      <c r="E365" s="1053"/>
      <c r="F365" s="1053"/>
      <c r="G365" s="1053"/>
      <c r="H365" s="1053"/>
      <c r="I365" s="1053"/>
      <c r="J365" s="1053"/>
      <c r="K365" s="1053"/>
      <c r="L365" s="1053"/>
      <c r="M365" s="1053"/>
      <c r="N365" s="1053"/>
      <c r="O365" s="1053"/>
      <c r="P365" s="1053"/>
      <c r="Q365" s="1053"/>
      <c r="R365" s="1053"/>
      <c r="S365" s="1053"/>
      <c r="T365" s="1053"/>
      <c r="U365" s="1053"/>
      <c r="V365" s="1053"/>
      <c r="W365" s="1053"/>
      <c r="X365" s="1053"/>
      <c r="Y365" s="1053"/>
      <c r="Z365" s="1053"/>
      <c r="AA365" s="1053"/>
      <c r="AB365" s="1053"/>
      <c r="AC365" s="1053"/>
      <c r="AD365" s="1053"/>
      <c r="AE365" s="1053"/>
      <c r="AF365" s="1053"/>
      <c r="AG365" s="1053"/>
      <c r="AH365" s="1053"/>
      <c r="AI365" s="1053"/>
      <c r="AJ365" s="1053"/>
      <c r="AK365" s="1053"/>
      <c r="AL365" s="1053"/>
      <c r="AM365" s="1053"/>
      <c r="AN365" s="1053"/>
      <c r="AO365" s="1053"/>
      <c r="AP365" s="1053"/>
      <c r="AQ365" s="1053"/>
      <c r="AR365" s="1053"/>
      <c r="AS365" s="1053"/>
      <c r="AT365" s="1053"/>
      <c r="AU365" s="1053"/>
      <c r="AV365" s="1053"/>
      <c r="AW365" s="1053"/>
      <c r="AX365" s="1053"/>
      <c r="AY365" s="1053"/>
      <c r="AZ365" s="1053"/>
    </row>
    <row r="366" spans="1:52">
      <c r="A366" s="1053"/>
      <c r="B366" s="1053"/>
      <c r="C366" s="1053"/>
      <c r="D366" s="1053"/>
      <c r="E366" s="1053"/>
      <c r="F366" s="1053"/>
      <c r="G366" s="1053"/>
      <c r="H366" s="1053"/>
      <c r="I366" s="1053"/>
      <c r="J366" s="1053"/>
      <c r="K366" s="1053"/>
      <c r="L366" s="1053"/>
      <c r="M366" s="1053"/>
      <c r="N366" s="1053"/>
      <c r="O366" s="1053"/>
      <c r="P366" s="1053"/>
      <c r="Q366" s="1053"/>
      <c r="R366" s="1053"/>
      <c r="S366" s="1053"/>
      <c r="T366" s="1053"/>
      <c r="U366" s="1053"/>
      <c r="V366" s="1053"/>
      <c r="W366" s="1053"/>
      <c r="X366" s="1053"/>
      <c r="Y366" s="1053"/>
      <c r="Z366" s="1053"/>
      <c r="AA366" s="1053"/>
      <c r="AB366" s="1053"/>
      <c r="AC366" s="1053"/>
      <c r="AD366" s="1053"/>
      <c r="AE366" s="1053"/>
      <c r="AF366" s="1053"/>
      <c r="AG366" s="1053"/>
      <c r="AH366" s="1053"/>
      <c r="AI366" s="1053"/>
      <c r="AJ366" s="1053"/>
      <c r="AK366" s="1053"/>
      <c r="AL366" s="1053"/>
      <c r="AM366" s="1053"/>
      <c r="AN366" s="1053"/>
      <c r="AO366" s="1053"/>
      <c r="AP366" s="1053"/>
      <c r="AQ366" s="1053"/>
      <c r="AR366" s="1053"/>
      <c r="AS366" s="1053"/>
      <c r="AT366" s="1053"/>
      <c r="AU366" s="1053"/>
      <c r="AV366" s="1053"/>
      <c r="AW366" s="1053"/>
      <c r="AX366" s="1053"/>
      <c r="AY366" s="1053"/>
      <c r="AZ366" s="1053"/>
    </row>
    <row r="367" spans="1:52">
      <c r="A367" s="1053"/>
      <c r="B367" s="1053"/>
      <c r="C367" s="1053"/>
      <c r="D367" s="1053"/>
      <c r="E367" s="1053"/>
      <c r="F367" s="1053"/>
      <c r="G367" s="1053"/>
      <c r="H367" s="1053"/>
      <c r="I367" s="1053"/>
      <c r="J367" s="1053"/>
      <c r="K367" s="1053"/>
      <c r="L367" s="1053"/>
      <c r="M367" s="1053"/>
      <c r="N367" s="1053"/>
      <c r="O367" s="1053"/>
      <c r="P367" s="1053"/>
      <c r="Q367" s="1053"/>
      <c r="R367" s="1053"/>
      <c r="S367" s="1053"/>
      <c r="T367" s="1053"/>
      <c r="U367" s="1053"/>
      <c r="V367" s="1053"/>
      <c r="W367" s="1053"/>
      <c r="X367" s="1053"/>
      <c r="Y367" s="1053"/>
      <c r="Z367" s="1053"/>
      <c r="AA367" s="1053"/>
      <c r="AB367" s="1053"/>
      <c r="AC367" s="1053"/>
      <c r="AD367" s="1053"/>
      <c r="AE367" s="1053"/>
      <c r="AF367" s="1053"/>
      <c r="AG367" s="1053"/>
      <c r="AH367" s="1053"/>
      <c r="AI367" s="1053"/>
      <c r="AJ367" s="1053"/>
      <c r="AK367" s="1053"/>
      <c r="AL367" s="1053"/>
      <c r="AM367" s="1053"/>
      <c r="AN367" s="1053"/>
      <c r="AO367" s="1053"/>
      <c r="AP367" s="1053"/>
      <c r="AQ367" s="1053"/>
      <c r="AR367" s="1053"/>
      <c r="AS367" s="1053"/>
      <c r="AT367" s="1053"/>
      <c r="AU367" s="1053"/>
      <c r="AV367" s="1053"/>
      <c r="AW367" s="1053"/>
      <c r="AX367" s="1053"/>
      <c r="AY367" s="1053"/>
      <c r="AZ367" s="1053"/>
    </row>
    <row r="368" spans="1:52">
      <c r="A368" s="1053"/>
      <c r="B368" s="1053"/>
      <c r="C368" s="1053"/>
      <c r="D368" s="1053"/>
      <c r="E368" s="1053"/>
      <c r="F368" s="1053"/>
      <c r="G368" s="1053"/>
      <c r="H368" s="1053"/>
      <c r="I368" s="1053"/>
      <c r="J368" s="1053"/>
      <c r="K368" s="1053"/>
      <c r="L368" s="1053"/>
      <c r="M368" s="1053"/>
      <c r="N368" s="1053"/>
      <c r="O368" s="1053"/>
      <c r="P368" s="1053"/>
      <c r="Q368" s="1053"/>
      <c r="R368" s="1053"/>
      <c r="S368" s="1053"/>
      <c r="T368" s="1053"/>
      <c r="U368" s="1053"/>
      <c r="V368" s="1053"/>
      <c r="W368" s="1053"/>
      <c r="X368" s="1053"/>
      <c r="Y368" s="1053"/>
      <c r="Z368" s="1053"/>
      <c r="AA368" s="1053"/>
      <c r="AB368" s="1053"/>
      <c r="AC368" s="1053"/>
      <c r="AD368" s="1053"/>
      <c r="AE368" s="1053"/>
      <c r="AF368" s="1053"/>
      <c r="AG368" s="1053"/>
      <c r="AH368" s="1053"/>
      <c r="AI368" s="1053"/>
      <c r="AJ368" s="1053"/>
      <c r="AK368" s="1053"/>
      <c r="AL368" s="1053"/>
      <c r="AM368" s="1053"/>
      <c r="AN368" s="1053"/>
      <c r="AO368" s="1053"/>
      <c r="AP368" s="1053"/>
      <c r="AQ368" s="1053"/>
      <c r="AR368" s="1053"/>
      <c r="AS368" s="1053"/>
      <c r="AT368" s="1053"/>
      <c r="AU368" s="1053"/>
      <c r="AV368" s="1053"/>
      <c r="AW368" s="1053"/>
      <c r="AX368" s="1053"/>
      <c r="AY368" s="1053"/>
      <c r="AZ368" s="1053"/>
    </row>
    <row r="369" spans="1:52">
      <c r="A369" s="1053"/>
      <c r="B369" s="1053"/>
      <c r="C369" s="1053"/>
      <c r="D369" s="1053"/>
      <c r="E369" s="1053"/>
      <c r="F369" s="1053"/>
      <c r="G369" s="1053"/>
      <c r="H369" s="1053"/>
      <c r="I369" s="1053"/>
      <c r="J369" s="1053"/>
      <c r="K369" s="1053"/>
      <c r="L369" s="1053"/>
      <c r="M369" s="1053"/>
      <c r="N369" s="1053"/>
      <c r="O369" s="1053"/>
      <c r="P369" s="1053"/>
      <c r="Q369" s="1053"/>
      <c r="R369" s="1053"/>
      <c r="S369" s="1053"/>
      <c r="T369" s="1053"/>
      <c r="U369" s="1053"/>
      <c r="V369" s="1053"/>
      <c r="W369" s="1053"/>
      <c r="X369" s="1053"/>
      <c r="Y369" s="1053"/>
      <c r="Z369" s="1053"/>
      <c r="AA369" s="1053"/>
      <c r="AB369" s="1053"/>
      <c r="AC369" s="1053"/>
      <c r="AD369" s="1053"/>
      <c r="AE369" s="1053"/>
      <c r="AF369" s="1053"/>
      <c r="AG369" s="1053"/>
      <c r="AH369" s="1053"/>
      <c r="AI369" s="1053"/>
      <c r="AJ369" s="1053"/>
      <c r="AK369" s="1053"/>
      <c r="AL369" s="1053"/>
      <c r="AM369" s="1053"/>
      <c r="AN369" s="1053"/>
      <c r="AO369" s="1053"/>
      <c r="AP369" s="1053"/>
      <c r="AQ369" s="1053"/>
      <c r="AR369" s="1053"/>
      <c r="AS369" s="1053"/>
      <c r="AT369" s="1053"/>
      <c r="AU369" s="1053"/>
      <c r="AV369" s="1053"/>
      <c r="AW369" s="1053"/>
      <c r="AX369" s="1053"/>
      <c r="AY369" s="1053"/>
      <c r="AZ369" s="1053"/>
    </row>
    <row r="370" spans="1:52">
      <c r="A370" s="1053"/>
      <c r="B370" s="1053"/>
      <c r="C370" s="1053"/>
      <c r="D370" s="1053"/>
      <c r="E370" s="1053"/>
      <c r="F370" s="1053"/>
      <c r="G370" s="1053"/>
      <c r="H370" s="1053"/>
      <c r="I370" s="1053"/>
      <c r="J370" s="1053"/>
      <c r="K370" s="1053"/>
      <c r="L370" s="1053"/>
      <c r="M370" s="1053"/>
      <c r="N370" s="1053"/>
      <c r="O370" s="1053"/>
      <c r="P370" s="1053"/>
      <c r="Q370" s="1053"/>
      <c r="R370" s="1053"/>
      <c r="S370" s="1053"/>
      <c r="T370" s="1053"/>
      <c r="U370" s="1053"/>
      <c r="V370" s="1053"/>
      <c r="W370" s="1053"/>
      <c r="X370" s="1053"/>
      <c r="Y370" s="1053"/>
      <c r="Z370" s="1053"/>
      <c r="AA370" s="1053"/>
      <c r="AB370" s="1053"/>
      <c r="AC370" s="1053"/>
      <c r="AD370" s="1053"/>
      <c r="AE370" s="1053"/>
      <c r="AF370" s="1053"/>
      <c r="AG370" s="1053"/>
      <c r="AH370" s="1053"/>
      <c r="AI370" s="1053"/>
      <c r="AJ370" s="1053"/>
      <c r="AK370" s="1053"/>
      <c r="AL370" s="1053"/>
      <c r="AM370" s="1053"/>
      <c r="AN370" s="1053"/>
      <c r="AO370" s="1053"/>
      <c r="AP370" s="1053"/>
      <c r="AQ370" s="1053"/>
      <c r="AR370" s="1053"/>
      <c r="AS370" s="1053"/>
      <c r="AT370" s="1053"/>
      <c r="AU370" s="1053"/>
      <c r="AV370" s="1053"/>
      <c r="AW370" s="1053"/>
      <c r="AX370" s="1053"/>
      <c r="AY370" s="1053"/>
      <c r="AZ370" s="1053"/>
    </row>
    <row r="371" spans="1:52">
      <c r="A371" s="1053"/>
      <c r="B371" s="1053"/>
      <c r="C371" s="1053"/>
      <c r="D371" s="1053"/>
      <c r="E371" s="1053"/>
      <c r="F371" s="1053"/>
      <c r="G371" s="1053"/>
      <c r="H371" s="1053"/>
      <c r="I371" s="1053"/>
      <c r="J371" s="1053"/>
      <c r="K371" s="1053"/>
      <c r="L371" s="1053"/>
      <c r="M371" s="1053"/>
      <c r="N371" s="1053"/>
      <c r="O371" s="1053"/>
      <c r="P371" s="1053"/>
      <c r="Q371" s="1053"/>
      <c r="R371" s="1053"/>
      <c r="S371" s="1053"/>
      <c r="T371" s="1053"/>
      <c r="U371" s="1053"/>
      <c r="V371" s="1053"/>
      <c r="W371" s="1053"/>
      <c r="X371" s="1053"/>
      <c r="Y371" s="1053"/>
      <c r="Z371" s="1053"/>
      <c r="AA371" s="1053"/>
      <c r="AB371" s="1053"/>
      <c r="AC371" s="1053"/>
      <c r="AD371" s="1053"/>
      <c r="AE371" s="1053"/>
      <c r="AF371" s="1053"/>
      <c r="AG371" s="1053"/>
      <c r="AH371" s="1053"/>
      <c r="AI371" s="1053"/>
      <c r="AJ371" s="1053"/>
      <c r="AK371" s="1053"/>
      <c r="AL371" s="1053"/>
      <c r="AM371" s="1053"/>
      <c r="AN371" s="1053"/>
      <c r="AO371" s="1053"/>
      <c r="AP371" s="1053"/>
      <c r="AQ371" s="1053"/>
      <c r="AR371" s="1053"/>
      <c r="AS371" s="1053"/>
      <c r="AT371" s="1053"/>
      <c r="AU371" s="1053"/>
      <c r="AV371" s="1053"/>
      <c r="AW371" s="1053"/>
      <c r="AX371" s="1053"/>
      <c r="AY371" s="1053"/>
      <c r="AZ371" s="1053"/>
    </row>
    <row r="372" spans="1:52">
      <c r="A372" s="1053"/>
      <c r="B372" s="1053"/>
      <c r="C372" s="1053"/>
      <c r="D372" s="1053"/>
      <c r="E372" s="1053"/>
      <c r="F372" s="1053"/>
      <c r="G372" s="1053"/>
      <c r="H372" s="1053"/>
      <c r="I372" s="1053"/>
      <c r="J372" s="1053"/>
      <c r="K372" s="1053"/>
      <c r="L372" s="1053"/>
      <c r="M372" s="1053"/>
      <c r="N372" s="1053"/>
      <c r="O372" s="1053"/>
      <c r="P372" s="1053"/>
      <c r="Q372" s="1053"/>
      <c r="R372" s="1053"/>
      <c r="S372" s="1053"/>
      <c r="T372" s="1053"/>
      <c r="U372" s="1053"/>
      <c r="V372" s="1053"/>
      <c r="W372" s="1053"/>
      <c r="X372" s="1053"/>
      <c r="Y372" s="1053"/>
      <c r="Z372" s="1053"/>
      <c r="AA372" s="1053"/>
      <c r="AB372" s="1053"/>
      <c r="AC372" s="1053"/>
      <c r="AD372" s="1053"/>
      <c r="AE372" s="1053"/>
      <c r="AF372" s="1053"/>
      <c r="AG372" s="1053"/>
      <c r="AH372" s="1053"/>
      <c r="AI372" s="1053"/>
      <c r="AJ372" s="1053"/>
      <c r="AK372" s="1053"/>
      <c r="AL372" s="1053"/>
      <c r="AM372" s="1053"/>
      <c r="AN372" s="1053"/>
      <c r="AO372" s="1053"/>
      <c r="AP372" s="1053"/>
      <c r="AQ372" s="1053"/>
      <c r="AR372" s="1053"/>
      <c r="AS372" s="1053"/>
      <c r="AT372" s="1053"/>
      <c r="AU372" s="1053"/>
      <c r="AV372" s="1053"/>
      <c r="AW372" s="1053"/>
      <c r="AX372" s="1053"/>
      <c r="AY372" s="1053"/>
      <c r="AZ372" s="1053"/>
    </row>
    <row r="373" spans="1:52">
      <c r="A373" s="1053"/>
      <c r="B373" s="1053"/>
      <c r="C373" s="1053"/>
      <c r="D373" s="1053"/>
      <c r="E373" s="1053"/>
      <c r="F373" s="1053"/>
      <c r="G373" s="1053"/>
      <c r="H373" s="1053"/>
      <c r="I373" s="1053"/>
      <c r="J373" s="1053"/>
      <c r="K373" s="1053"/>
      <c r="L373" s="1053"/>
      <c r="M373" s="1053"/>
      <c r="N373" s="1053"/>
      <c r="O373" s="1053"/>
      <c r="P373" s="1053"/>
      <c r="Q373" s="1053"/>
      <c r="R373" s="1053"/>
      <c r="S373" s="1053"/>
      <c r="T373" s="1053"/>
      <c r="U373" s="1053"/>
      <c r="V373" s="1053"/>
      <c r="W373" s="1053"/>
      <c r="X373" s="1053"/>
      <c r="Y373" s="1053"/>
      <c r="Z373" s="1053"/>
      <c r="AA373" s="1053"/>
      <c r="AB373" s="1053"/>
      <c r="AC373" s="1053"/>
      <c r="AD373" s="1053"/>
      <c r="AE373" s="1053"/>
      <c r="AF373" s="1053"/>
      <c r="AG373" s="1053"/>
      <c r="AH373" s="1053"/>
      <c r="AI373" s="1053"/>
      <c r="AJ373" s="1053"/>
      <c r="AK373" s="1053"/>
      <c r="AL373" s="1053"/>
      <c r="AM373" s="1053"/>
      <c r="AN373" s="1053"/>
      <c r="AO373" s="1053"/>
      <c r="AP373" s="1053"/>
      <c r="AQ373" s="1053"/>
      <c r="AR373" s="1053"/>
      <c r="AS373" s="1053"/>
      <c r="AT373" s="1053"/>
      <c r="AU373" s="1053"/>
      <c r="AV373" s="1053"/>
      <c r="AW373" s="1053"/>
      <c r="AX373" s="1053"/>
      <c r="AY373" s="1053"/>
      <c r="AZ373" s="1053"/>
    </row>
    <row r="374" spans="1:52">
      <c r="A374" s="1053"/>
      <c r="B374" s="1053"/>
      <c r="C374" s="1053"/>
      <c r="D374" s="1053"/>
      <c r="E374" s="1053"/>
      <c r="F374" s="1053"/>
      <c r="G374" s="1053"/>
      <c r="H374" s="1053"/>
      <c r="I374" s="1053"/>
      <c r="J374" s="1053"/>
      <c r="K374" s="1053"/>
      <c r="L374" s="1053"/>
      <c r="M374" s="1053"/>
      <c r="N374" s="1053"/>
      <c r="O374" s="1053"/>
      <c r="P374" s="1053"/>
      <c r="Q374" s="1053"/>
      <c r="R374" s="1053"/>
      <c r="S374" s="1053"/>
      <c r="T374" s="1053"/>
      <c r="U374" s="1053"/>
      <c r="V374" s="1053"/>
      <c r="W374" s="1053"/>
      <c r="X374" s="1053"/>
      <c r="Y374" s="1053"/>
      <c r="Z374" s="1053"/>
      <c r="AA374" s="1053"/>
      <c r="AB374" s="1053"/>
      <c r="AC374" s="1053"/>
      <c r="AD374" s="1053"/>
      <c r="AE374" s="1053"/>
      <c r="AF374" s="1053"/>
      <c r="AG374" s="1053"/>
      <c r="AH374" s="1053"/>
      <c r="AI374" s="1053"/>
      <c r="AJ374" s="1053"/>
      <c r="AK374" s="1053"/>
      <c r="AL374" s="1053"/>
      <c r="AM374" s="1053"/>
      <c r="AN374" s="1053"/>
      <c r="AO374" s="1053"/>
      <c r="AP374" s="1053"/>
      <c r="AQ374" s="1053"/>
      <c r="AR374" s="1053"/>
      <c r="AS374" s="1053"/>
      <c r="AT374" s="1053"/>
      <c r="AU374" s="1053"/>
      <c r="AV374" s="1053"/>
      <c r="AW374" s="1053"/>
      <c r="AX374" s="1053"/>
      <c r="AY374" s="1053"/>
      <c r="AZ374" s="1053"/>
    </row>
    <row r="375" spans="1:52">
      <c r="A375" s="1053"/>
      <c r="B375" s="1053"/>
      <c r="C375" s="1053"/>
      <c r="D375" s="1053"/>
      <c r="E375" s="1053"/>
      <c r="F375" s="1053"/>
      <c r="G375" s="1053"/>
      <c r="H375" s="1053"/>
      <c r="I375" s="1053"/>
      <c r="J375" s="1053"/>
      <c r="K375" s="1053"/>
      <c r="L375" s="1053"/>
      <c r="M375" s="1053"/>
      <c r="N375" s="1053"/>
      <c r="O375" s="1053"/>
      <c r="P375" s="1053"/>
      <c r="Q375" s="1053"/>
      <c r="R375" s="1053"/>
      <c r="S375" s="1053"/>
      <c r="T375" s="1053"/>
      <c r="U375" s="1053"/>
      <c r="V375" s="1053"/>
      <c r="W375" s="1053"/>
      <c r="X375" s="1053"/>
      <c r="Y375" s="1053"/>
      <c r="Z375" s="1053"/>
      <c r="AA375" s="1053"/>
      <c r="AB375" s="1053"/>
      <c r="AC375" s="1053"/>
      <c r="AD375" s="1053"/>
      <c r="AE375" s="1053"/>
      <c r="AF375" s="1053"/>
      <c r="AG375" s="1053"/>
      <c r="AH375" s="1053"/>
      <c r="AI375" s="1053"/>
      <c r="AJ375" s="1053"/>
      <c r="AK375" s="1053"/>
      <c r="AL375" s="1053"/>
      <c r="AM375" s="1053"/>
      <c r="AN375" s="1053"/>
      <c r="AO375" s="1053"/>
      <c r="AP375" s="1053"/>
      <c r="AQ375" s="1053"/>
      <c r="AR375" s="1053"/>
      <c r="AS375" s="1053"/>
      <c r="AT375" s="1053"/>
      <c r="AU375" s="1053"/>
      <c r="AV375" s="1053"/>
      <c r="AW375" s="1053"/>
      <c r="AX375" s="1053"/>
      <c r="AY375" s="1053"/>
      <c r="AZ375" s="1053"/>
    </row>
    <row r="376" spans="1:52">
      <c r="A376" s="1053"/>
      <c r="B376" s="1053"/>
      <c r="C376" s="1053"/>
      <c r="D376" s="1053"/>
      <c r="E376" s="1053"/>
      <c r="F376" s="1053"/>
      <c r="G376" s="1053"/>
      <c r="H376" s="1053"/>
      <c r="I376" s="1053"/>
      <c r="J376" s="1053"/>
      <c r="K376" s="1053"/>
      <c r="L376" s="1053"/>
      <c r="M376" s="1053"/>
      <c r="N376" s="1053"/>
      <c r="O376" s="1053"/>
      <c r="P376" s="1053"/>
      <c r="Q376" s="1053"/>
      <c r="R376" s="1053"/>
      <c r="S376" s="1053"/>
      <c r="T376" s="1053"/>
      <c r="U376" s="1053"/>
      <c r="V376" s="1053"/>
      <c r="W376" s="1053"/>
      <c r="X376" s="1053"/>
      <c r="Y376" s="1053"/>
      <c r="Z376" s="1053"/>
      <c r="AA376" s="1053"/>
      <c r="AB376" s="1053"/>
      <c r="AC376" s="1053"/>
      <c r="AD376" s="1053"/>
      <c r="AE376" s="1053"/>
      <c r="AF376" s="1053"/>
      <c r="AG376" s="1053"/>
      <c r="AH376" s="1053"/>
      <c r="AI376" s="1053"/>
      <c r="AJ376" s="1053"/>
      <c r="AK376" s="1053"/>
      <c r="AL376" s="1053"/>
      <c r="AM376" s="1053"/>
      <c r="AN376" s="1053"/>
      <c r="AO376" s="1053"/>
      <c r="AP376" s="1053"/>
      <c r="AQ376" s="1053"/>
      <c r="AR376" s="1053"/>
      <c r="AS376" s="1053"/>
      <c r="AT376" s="1053"/>
      <c r="AU376" s="1053"/>
      <c r="AV376" s="1053"/>
      <c r="AW376" s="1053"/>
      <c r="AX376" s="1053"/>
      <c r="AY376" s="1053"/>
      <c r="AZ376" s="1053"/>
    </row>
    <row r="377" spans="1:52">
      <c r="A377" s="1053"/>
      <c r="B377" s="1053"/>
      <c r="C377" s="1053"/>
      <c r="D377" s="1053"/>
      <c r="E377" s="1053"/>
      <c r="F377" s="1053"/>
      <c r="G377" s="1053"/>
      <c r="H377" s="1053"/>
      <c r="I377" s="1053"/>
      <c r="J377" s="1053"/>
      <c r="K377" s="1053"/>
      <c r="L377" s="1053"/>
      <c r="M377" s="1053"/>
      <c r="N377" s="1053"/>
      <c r="O377" s="1053"/>
      <c r="P377" s="1053"/>
      <c r="Q377" s="1053"/>
      <c r="R377" s="1053"/>
      <c r="S377" s="1053"/>
      <c r="T377" s="1053"/>
      <c r="U377" s="1053"/>
      <c r="V377" s="1053"/>
      <c r="W377" s="1053"/>
      <c r="X377" s="1053"/>
      <c r="Y377" s="1053"/>
      <c r="Z377" s="1053"/>
      <c r="AA377" s="1053"/>
      <c r="AB377" s="1053"/>
      <c r="AC377" s="1053"/>
      <c r="AD377" s="1053"/>
      <c r="AE377" s="1053"/>
      <c r="AF377" s="1053"/>
      <c r="AG377" s="1053"/>
      <c r="AH377" s="1053"/>
      <c r="AI377" s="1053"/>
      <c r="AJ377" s="1053"/>
      <c r="AK377" s="1053"/>
      <c r="AL377" s="1053"/>
      <c r="AM377" s="1053"/>
      <c r="AN377" s="1053"/>
      <c r="AO377" s="1053"/>
      <c r="AP377" s="1053"/>
      <c r="AQ377" s="1053"/>
      <c r="AR377" s="1053"/>
      <c r="AS377" s="1053"/>
      <c r="AT377" s="1053"/>
      <c r="AU377" s="1053"/>
      <c r="AV377" s="1053"/>
      <c r="AW377" s="1053"/>
      <c r="AX377" s="1053"/>
      <c r="AY377" s="1053"/>
      <c r="AZ377" s="1053"/>
    </row>
    <row r="378" spans="1:52">
      <c r="A378" s="1053"/>
      <c r="B378" s="1053"/>
      <c r="C378" s="1053"/>
      <c r="D378" s="1053"/>
      <c r="E378" s="1053"/>
      <c r="F378" s="1053"/>
      <c r="G378" s="1053"/>
      <c r="H378" s="1053"/>
      <c r="I378" s="1053"/>
      <c r="J378" s="1053"/>
      <c r="K378" s="1053"/>
      <c r="L378" s="1053"/>
      <c r="M378" s="1053"/>
      <c r="N378" s="1053"/>
      <c r="O378" s="1053"/>
      <c r="P378" s="1053"/>
      <c r="Q378" s="1053"/>
      <c r="R378" s="1053"/>
      <c r="S378" s="1053"/>
      <c r="T378" s="1053"/>
      <c r="U378" s="1053"/>
      <c r="V378" s="1053"/>
      <c r="W378" s="1053"/>
      <c r="X378" s="1053"/>
      <c r="Y378" s="1053"/>
      <c r="Z378" s="1053"/>
      <c r="AA378" s="1053"/>
      <c r="AB378" s="1053"/>
      <c r="AC378" s="1053"/>
      <c r="AD378" s="1053"/>
      <c r="AE378" s="1053"/>
      <c r="AF378" s="1053"/>
      <c r="AG378" s="1053"/>
      <c r="AH378" s="1053"/>
      <c r="AI378" s="1053"/>
      <c r="AJ378" s="1053"/>
      <c r="AK378" s="1053"/>
      <c r="AL378" s="1053"/>
      <c r="AM378" s="1053"/>
      <c r="AN378" s="1053"/>
      <c r="AO378" s="1053"/>
      <c r="AP378" s="1053"/>
      <c r="AQ378" s="1053"/>
      <c r="AR378" s="1053"/>
      <c r="AS378" s="1053"/>
      <c r="AT378" s="1053"/>
      <c r="AU378" s="1053"/>
      <c r="AV378" s="1053"/>
      <c r="AW378" s="1053"/>
      <c r="AX378" s="1053"/>
      <c r="AY378" s="1053"/>
      <c r="AZ378" s="1053"/>
    </row>
    <row r="379" spans="1:52">
      <c r="A379" s="1053"/>
      <c r="B379" s="1053"/>
      <c r="C379" s="1053"/>
      <c r="D379" s="1053"/>
      <c r="E379" s="1053"/>
      <c r="F379" s="1053"/>
      <c r="G379" s="1053"/>
      <c r="H379" s="1053"/>
      <c r="I379" s="1053"/>
      <c r="J379" s="1053"/>
      <c r="K379" s="1053"/>
      <c r="L379" s="1053"/>
      <c r="M379" s="1053"/>
      <c r="N379" s="1053"/>
      <c r="O379" s="1053"/>
      <c r="P379" s="1053"/>
      <c r="Q379" s="1053"/>
      <c r="R379" s="1053"/>
      <c r="S379" s="1053"/>
      <c r="T379" s="1053"/>
      <c r="U379" s="1053"/>
      <c r="V379" s="1053"/>
      <c r="W379" s="1053"/>
      <c r="X379" s="1053"/>
      <c r="Y379" s="1053"/>
      <c r="Z379" s="1053"/>
      <c r="AA379" s="1053"/>
      <c r="AB379" s="1053"/>
      <c r="AC379" s="1053"/>
      <c r="AD379" s="1053"/>
      <c r="AE379" s="1053"/>
      <c r="AF379" s="1053"/>
      <c r="AG379" s="1053"/>
      <c r="AH379" s="1053"/>
      <c r="AI379" s="1053"/>
      <c r="AJ379" s="1053"/>
      <c r="AK379" s="1053"/>
      <c r="AL379" s="1053"/>
      <c r="AM379" s="1053"/>
      <c r="AN379" s="1053"/>
      <c r="AO379" s="1053"/>
      <c r="AP379" s="1053"/>
      <c r="AQ379" s="1053"/>
      <c r="AR379" s="1053"/>
      <c r="AS379" s="1053"/>
      <c r="AT379" s="1053"/>
      <c r="AU379" s="1053"/>
      <c r="AV379" s="1053"/>
      <c r="AW379" s="1053"/>
      <c r="AX379" s="1053"/>
      <c r="AY379" s="1053"/>
      <c r="AZ379" s="1053"/>
    </row>
    <row r="380" spans="1:52">
      <c r="A380" s="1053"/>
      <c r="B380" s="1053"/>
      <c r="C380" s="1053"/>
      <c r="D380" s="1053"/>
      <c r="E380" s="1053"/>
      <c r="F380" s="1053"/>
      <c r="G380" s="1053"/>
      <c r="H380" s="1053"/>
      <c r="I380" s="1053"/>
      <c r="J380" s="1053"/>
      <c r="K380" s="1053"/>
      <c r="L380" s="1053"/>
      <c r="M380" s="1053"/>
      <c r="N380" s="1053"/>
      <c r="O380" s="1053"/>
      <c r="P380" s="1053"/>
      <c r="Q380" s="1053"/>
      <c r="R380" s="1053"/>
      <c r="S380" s="1053"/>
      <c r="T380" s="1053"/>
      <c r="U380" s="1053"/>
      <c r="V380" s="1053"/>
      <c r="W380" s="1053"/>
      <c r="X380" s="1053"/>
      <c r="Y380" s="1053"/>
      <c r="Z380" s="1053"/>
      <c r="AA380" s="1053"/>
      <c r="AB380" s="1053"/>
      <c r="AC380" s="1053"/>
      <c r="AD380" s="1053"/>
      <c r="AE380" s="1053"/>
      <c r="AF380" s="1053"/>
      <c r="AG380" s="1053"/>
      <c r="AH380" s="1053"/>
      <c r="AI380" s="1053"/>
      <c r="AJ380" s="1053"/>
      <c r="AK380" s="1053"/>
      <c r="AL380" s="1053"/>
      <c r="AM380" s="1053"/>
      <c r="AN380" s="1053"/>
      <c r="AO380" s="1053"/>
      <c r="AP380" s="1053"/>
      <c r="AQ380" s="1053"/>
      <c r="AR380" s="1053"/>
      <c r="AS380" s="1053"/>
      <c r="AT380" s="1053"/>
      <c r="AU380" s="1053"/>
      <c r="AV380" s="1053"/>
      <c r="AW380" s="1053"/>
      <c r="AX380" s="1053"/>
      <c r="AY380" s="1053"/>
      <c r="AZ380" s="1053"/>
    </row>
    <row r="381" spans="1:52">
      <c r="A381" s="1053"/>
      <c r="B381" s="1053"/>
      <c r="C381" s="1053"/>
      <c r="D381" s="1053"/>
      <c r="E381" s="1053"/>
      <c r="F381" s="1053"/>
      <c r="G381" s="1053"/>
      <c r="H381" s="1053"/>
      <c r="I381" s="1053"/>
      <c r="J381" s="1053"/>
      <c r="K381" s="1053"/>
      <c r="L381" s="1053"/>
      <c r="M381" s="1053"/>
      <c r="N381" s="1053"/>
      <c r="O381" s="1053"/>
      <c r="P381" s="1053"/>
      <c r="Q381" s="1053"/>
      <c r="R381" s="1053"/>
      <c r="S381" s="1053"/>
      <c r="T381" s="1053"/>
      <c r="U381" s="1053"/>
      <c r="V381" s="1053"/>
      <c r="W381" s="1053"/>
      <c r="X381" s="1053"/>
      <c r="Y381" s="1053"/>
      <c r="Z381" s="1053"/>
      <c r="AA381" s="1053"/>
      <c r="AB381" s="1053"/>
      <c r="AC381" s="1053"/>
      <c r="AD381" s="1053"/>
      <c r="AE381" s="1053"/>
      <c r="AF381" s="1053"/>
      <c r="AG381" s="1053"/>
      <c r="AH381" s="1053"/>
      <c r="AI381" s="1053"/>
      <c r="AJ381" s="1053"/>
      <c r="AK381" s="1053"/>
      <c r="AL381" s="1053"/>
      <c r="AM381" s="1053"/>
      <c r="AN381" s="1053"/>
      <c r="AO381" s="1053"/>
      <c r="AP381" s="1053"/>
      <c r="AQ381" s="1053"/>
      <c r="AR381" s="1053"/>
      <c r="AS381" s="1053"/>
      <c r="AT381" s="1053"/>
      <c r="AU381" s="1053"/>
      <c r="AV381" s="1053"/>
      <c r="AW381" s="1053"/>
      <c r="AX381" s="1053"/>
      <c r="AY381" s="1053"/>
      <c r="AZ381" s="1053"/>
    </row>
    <row r="382" spans="1:52">
      <c r="A382" s="1053"/>
      <c r="B382" s="1053"/>
      <c r="C382" s="1053"/>
      <c r="D382" s="1053"/>
      <c r="E382" s="1053"/>
      <c r="F382" s="1053"/>
      <c r="G382" s="1053"/>
      <c r="H382" s="1053"/>
      <c r="I382" s="1053"/>
      <c r="J382" s="1053"/>
      <c r="K382" s="1053"/>
      <c r="L382" s="1053"/>
      <c r="M382" s="1053"/>
      <c r="N382" s="1053"/>
      <c r="O382" s="1053"/>
      <c r="P382" s="1053"/>
      <c r="Q382" s="1053"/>
      <c r="R382" s="1053"/>
      <c r="S382" s="1053"/>
      <c r="T382" s="1053"/>
      <c r="U382" s="1053"/>
      <c r="V382" s="1053"/>
      <c r="W382" s="1053"/>
      <c r="X382" s="1053"/>
      <c r="Y382" s="1053"/>
      <c r="Z382" s="1053"/>
      <c r="AA382" s="1053"/>
      <c r="AB382" s="1053"/>
      <c r="AC382" s="1053"/>
      <c r="AD382" s="1053"/>
      <c r="AE382" s="1053"/>
      <c r="AF382" s="1053"/>
      <c r="AG382" s="1053"/>
      <c r="AH382" s="1053"/>
      <c r="AI382" s="1053"/>
      <c r="AJ382" s="1053"/>
      <c r="AK382" s="1053"/>
      <c r="AL382" s="1053"/>
      <c r="AM382" s="1053"/>
      <c r="AN382" s="1053"/>
      <c r="AO382" s="1053"/>
      <c r="AP382" s="1053"/>
      <c r="AQ382" s="1053"/>
      <c r="AR382" s="1053"/>
      <c r="AS382" s="1053"/>
      <c r="AT382" s="1053"/>
      <c r="AU382" s="1053"/>
      <c r="AV382" s="1053"/>
      <c r="AW382" s="1053"/>
      <c r="AX382" s="1053"/>
      <c r="AY382" s="1053"/>
      <c r="AZ382" s="1053"/>
    </row>
    <row r="383" spans="1:52">
      <c r="A383" s="1053"/>
      <c r="B383" s="1053"/>
      <c r="C383" s="1053"/>
      <c r="D383" s="1053"/>
      <c r="E383" s="1053"/>
      <c r="F383" s="1053"/>
      <c r="G383" s="1053"/>
      <c r="H383" s="1053"/>
      <c r="I383" s="1053"/>
      <c r="J383" s="1053"/>
      <c r="K383" s="1053"/>
      <c r="L383" s="1053"/>
      <c r="M383" s="1053"/>
      <c r="N383" s="1053"/>
      <c r="O383" s="1053"/>
      <c r="P383" s="1053"/>
      <c r="Q383" s="1053"/>
      <c r="R383" s="1053"/>
      <c r="S383" s="1053"/>
      <c r="T383" s="1053"/>
      <c r="U383" s="1053"/>
      <c r="V383" s="1053"/>
      <c r="W383" s="1053"/>
      <c r="X383" s="1053"/>
      <c r="Y383" s="1053"/>
      <c r="Z383" s="1053"/>
      <c r="AA383" s="1053"/>
      <c r="AB383" s="1053"/>
      <c r="AC383" s="1053"/>
      <c r="AD383" s="1053"/>
      <c r="AE383" s="1053"/>
      <c r="AF383" s="1053"/>
      <c r="AG383" s="1053"/>
      <c r="AH383" s="1053"/>
      <c r="AI383" s="1053"/>
      <c r="AJ383" s="1053"/>
      <c r="AK383" s="1053"/>
      <c r="AL383" s="1053"/>
      <c r="AM383" s="1053"/>
      <c r="AN383" s="1053"/>
      <c r="AO383" s="1053"/>
      <c r="AP383" s="1053"/>
      <c r="AQ383" s="1053"/>
      <c r="AR383" s="1053"/>
      <c r="AS383" s="1053"/>
      <c r="AT383" s="1053"/>
      <c r="AU383" s="1053"/>
      <c r="AV383" s="1053"/>
      <c r="AW383" s="1053"/>
      <c r="AX383" s="1053"/>
      <c r="AY383" s="1053"/>
      <c r="AZ383" s="1053"/>
    </row>
    <row r="384" spans="1:52">
      <c r="A384" s="1053"/>
      <c r="B384" s="1053"/>
      <c r="C384" s="1053"/>
      <c r="D384" s="1053"/>
      <c r="E384" s="1053"/>
      <c r="F384" s="1053"/>
      <c r="G384" s="1053"/>
      <c r="H384" s="1053"/>
      <c r="I384" s="1053"/>
      <c r="J384" s="1053"/>
      <c r="K384" s="1053"/>
      <c r="L384" s="1053"/>
      <c r="M384" s="1053"/>
      <c r="N384" s="1053"/>
      <c r="O384" s="1053"/>
      <c r="P384" s="1053"/>
      <c r="Q384" s="1053"/>
      <c r="R384" s="1053"/>
      <c r="S384" s="1053"/>
      <c r="T384" s="1053"/>
      <c r="U384" s="1053"/>
      <c r="V384" s="1053"/>
      <c r="W384" s="1053"/>
      <c r="X384" s="1053"/>
      <c r="Y384" s="1053"/>
      <c r="Z384" s="1053"/>
      <c r="AA384" s="1053"/>
      <c r="AB384" s="1053"/>
      <c r="AC384" s="1053"/>
      <c r="AD384" s="1053"/>
      <c r="AE384" s="1053"/>
      <c r="AF384" s="1053"/>
      <c r="AG384" s="1053"/>
      <c r="AH384" s="1053"/>
      <c r="AI384" s="1053"/>
      <c r="AJ384" s="1053"/>
      <c r="AK384" s="1053"/>
      <c r="AL384" s="1053"/>
      <c r="AM384" s="1053"/>
      <c r="AN384" s="1053"/>
      <c r="AO384" s="1053"/>
      <c r="AP384" s="1053"/>
      <c r="AQ384" s="1053"/>
      <c r="AR384" s="1053"/>
      <c r="AS384" s="1053"/>
      <c r="AT384" s="1053"/>
      <c r="AU384" s="1053"/>
      <c r="AV384" s="1053"/>
      <c r="AW384" s="1053"/>
      <c r="AX384" s="1053"/>
      <c r="AY384" s="1053"/>
      <c r="AZ384" s="1053"/>
    </row>
    <row r="385" spans="1:52">
      <c r="A385" s="1053"/>
      <c r="B385" s="1053"/>
      <c r="C385" s="1053"/>
      <c r="D385" s="1053"/>
      <c r="E385" s="1053"/>
      <c r="F385" s="1053"/>
      <c r="G385" s="1053"/>
      <c r="H385" s="1053"/>
      <c r="I385" s="1053"/>
      <c r="J385" s="1053"/>
      <c r="K385" s="1053"/>
      <c r="L385" s="1053"/>
      <c r="M385" s="1053"/>
      <c r="N385" s="1053"/>
      <c r="O385" s="1053"/>
      <c r="P385" s="1053"/>
      <c r="Q385" s="1053"/>
      <c r="R385" s="1053"/>
      <c r="S385" s="1053"/>
      <c r="T385" s="1053"/>
      <c r="U385" s="1053"/>
      <c r="V385" s="1053"/>
      <c r="W385" s="1053"/>
      <c r="X385" s="1053"/>
      <c r="Y385" s="1053"/>
      <c r="Z385" s="1053"/>
      <c r="AA385" s="1053"/>
      <c r="AB385" s="1053"/>
      <c r="AC385" s="1053"/>
      <c r="AD385" s="1053"/>
      <c r="AE385" s="1053"/>
      <c r="AF385" s="1053"/>
      <c r="AG385" s="1053"/>
      <c r="AH385" s="1053"/>
      <c r="AI385" s="1053"/>
      <c r="AJ385" s="1053"/>
      <c r="AK385" s="1053"/>
      <c r="AL385" s="1053"/>
      <c r="AM385" s="1053"/>
      <c r="AN385" s="1053"/>
      <c r="AO385" s="1053"/>
      <c r="AP385" s="1053"/>
      <c r="AQ385" s="1053"/>
      <c r="AR385" s="1053"/>
      <c r="AS385" s="1053"/>
      <c r="AT385" s="1053"/>
      <c r="AU385" s="1053"/>
      <c r="AV385" s="1053"/>
      <c r="AW385" s="1053"/>
      <c r="AX385" s="1053"/>
      <c r="AY385" s="1053"/>
      <c r="AZ385" s="1053"/>
    </row>
    <row r="386" spans="1:52">
      <c r="A386" s="1053"/>
      <c r="B386" s="1053"/>
      <c r="C386" s="1053"/>
      <c r="D386" s="1053"/>
      <c r="E386" s="1053"/>
      <c r="F386" s="1053"/>
      <c r="G386" s="1053"/>
      <c r="H386" s="1053"/>
      <c r="I386" s="1053"/>
      <c r="J386" s="1053"/>
      <c r="K386" s="1053"/>
      <c r="L386" s="1053"/>
      <c r="M386" s="1053"/>
      <c r="N386" s="1053"/>
      <c r="O386" s="1053"/>
      <c r="P386" s="1053"/>
      <c r="Q386" s="1053"/>
      <c r="R386" s="1053"/>
      <c r="S386" s="1053"/>
      <c r="T386" s="1053"/>
      <c r="U386" s="1053"/>
      <c r="V386" s="1053"/>
      <c r="W386" s="1053"/>
      <c r="X386" s="1053"/>
      <c r="Y386" s="1053"/>
      <c r="Z386" s="1053"/>
      <c r="AA386" s="1053"/>
      <c r="AB386" s="1053"/>
      <c r="AC386" s="1053"/>
      <c r="AD386" s="1053"/>
      <c r="AE386" s="1053"/>
      <c r="AF386" s="1053"/>
      <c r="AG386" s="1053"/>
      <c r="AH386" s="1053"/>
      <c r="AI386" s="1053"/>
      <c r="AJ386" s="1053"/>
      <c r="AK386" s="1053"/>
      <c r="AL386" s="1053"/>
      <c r="AM386" s="1053"/>
      <c r="AN386" s="1053"/>
      <c r="AO386" s="1053"/>
      <c r="AP386" s="1053"/>
      <c r="AQ386" s="1053"/>
      <c r="AR386" s="1053"/>
      <c r="AS386" s="1053"/>
      <c r="AT386" s="1053"/>
      <c r="AU386" s="1053"/>
      <c r="AV386" s="1053"/>
      <c r="AW386" s="1053"/>
      <c r="AX386" s="1053"/>
      <c r="AY386" s="1053"/>
      <c r="AZ386" s="1053"/>
    </row>
    <row r="387" spans="1:52">
      <c r="A387" s="1053"/>
      <c r="B387" s="1053"/>
      <c r="C387" s="1053"/>
      <c r="D387" s="1053"/>
      <c r="E387" s="1053"/>
      <c r="F387" s="1053"/>
      <c r="G387" s="1053"/>
      <c r="H387" s="1053"/>
      <c r="I387" s="1053"/>
      <c r="J387" s="1053"/>
      <c r="K387" s="1053"/>
      <c r="L387" s="1053"/>
      <c r="M387" s="1053"/>
      <c r="N387" s="1053"/>
      <c r="O387" s="1053"/>
      <c r="P387" s="1053"/>
      <c r="Q387" s="1053"/>
      <c r="R387" s="1053"/>
      <c r="S387" s="1053"/>
      <c r="T387" s="1053"/>
      <c r="U387" s="1053"/>
      <c r="V387" s="1053"/>
      <c r="W387" s="1053"/>
      <c r="X387" s="1053"/>
      <c r="Y387" s="1053"/>
      <c r="Z387" s="1053"/>
      <c r="AA387" s="1053"/>
      <c r="AB387" s="1053"/>
      <c r="AC387" s="1053"/>
      <c r="AD387" s="1053"/>
      <c r="AE387" s="1053"/>
      <c r="AF387" s="1053"/>
      <c r="AG387" s="1053"/>
      <c r="AH387" s="1053"/>
      <c r="AI387" s="1053"/>
      <c r="AJ387" s="1053"/>
      <c r="AK387" s="1053"/>
      <c r="AL387" s="1053"/>
      <c r="AM387" s="1053"/>
      <c r="AN387" s="1053"/>
      <c r="AO387" s="1053"/>
      <c r="AP387" s="1053"/>
      <c r="AQ387" s="1053"/>
      <c r="AR387" s="1053"/>
      <c r="AS387" s="1053"/>
      <c r="AT387" s="1053"/>
      <c r="AU387" s="1053"/>
      <c r="AV387" s="1053"/>
      <c r="AW387" s="1053"/>
      <c r="AX387" s="1053"/>
      <c r="AY387" s="1053"/>
      <c r="AZ387" s="1053"/>
    </row>
    <row r="388" spans="1:52">
      <c r="A388" s="1053"/>
      <c r="B388" s="1053"/>
      <c r="C388" s="1053"/>
      <c r="D388" s="1053"/>
      <c r="E388" s="1053"/>
      <c r="F388" s="1053"/>
      <c r="G388" s="1053"/>
      <c r="H388" s="1053"/>
      <c r="I388" s="1053"/>
      <c r="J388" s="1053"/>
      <c r="K388" s="1053"/>
      <c r="L388" s="1053"/>
      <c r="M388" s="1053"/>
      <c r="N388" s="1053"/>
      <c r="O388" s="1053"/>
      <c r="P388" s="1053"/>
      <c r="Q388" s="1053"/>
      <c r="R388" s="1053"/>
      <c r="S388" s="1053"/>
      <c r="T388" s="1053"/>
      <c r="U388" s="1053"/>
      <c r="V388" s="1053"/>
      <c r="W388" s="1053"/>
      <c r="X388" s="1053"/>
      <c r="Y388" s="1053"/>
      <c r="Z388" s="1053"/>
      <c r="AA388" s="1053"/>
      <c r="AB388" s="1053"/>
      <c r="AC388" s="1053"/>
      <c r="AD388" s="1053"/>
      <c r="AE388" s="1053"/>
      <c r="AF388" s="1053"/>
      <c r="AG388" s="1053"/>
      <c r="AH388" s="1053"/>
      <c r="AI388" s="1053"/>
      <c r="AJ388" s="1053"/>
      <c r="AK388" s="1053"/>
      <c r="AL388" s="1053"/>
      <c r="AM388" s="1053"/>
      <c r="AN388" s="1053"/>
      <c r="AO388" s="1053"/>
      <c r="AP388" s="1053"/>
      <c r="AQ388" s="1053"/>
      <c r="AR388" s="1053"/>
      <c r="AS388" s="1053"/>
      <c r="AT388" s="1053"/>
      <c r="AU388" s="1053"/>
      <c r="AV388" s="1053"/>
      <c r="AW388" s="1053"/>
      <c r="AX388" s="1053"/>
      <c r="AY388" s="1053"/>
      <c r="AZ388" s="1053"/>
    </row>
    <row r="389" spans="1:52">
      <c r="A389" s="1053"/>
      <c r="B389" s="1053"/>
      <c r="C389" s="1053"/>
      <c r="D389" s="1053"/>
      <c r="E389" s="1053"/>
      <c r="F389" s="1053"/>
      <c r="G389" s="1053"/>
      <c r="H389" s="1053"/>
      <c r="I389" s="1053"/>
      <c r="J389" s="1053"/>
      <c r="K389" s="1053"/>
      <c r="L389" s="1053"/>
      <c r="M389" s="1053"/>
      <c r="N389" s="1053"/>
      <c r="O389" s="1053"/>
      <c r="P389" s="1053"/>
      <c r="Q389" s="1053"/>
      <c r="R389" s="1053"/>
      <c r="S389" s="1053"/>
      <c r="T389" s="1053"/>
      <c r="U389" s="1053"/>
      <c r="V389" s="1053"/>
      <c r="W389" s="1053"/>
      <c r="X389" s="1053"/>
      <c r="Y389" s="1053"/>
      <c r="Z389" s="1053"/>
      <c r="AA389" s="1053"/>
      <c r="AB389" s="1053"/>
      <c r="AC389" s="1053"/>
      <c r="AD389" s="1053"/>
      <c r="AE389" s="1053"/>
      <c r="AF389" s="1053"/>
      <c r="AG389" s="1053"/>
      <c r="AH389" s="1053"/>
      <c r="AI389" s="1053"/>
      <c r="AJ389" s="1053"/>
      <c r="AK389" s="1053"/>
      <c r="AL389" s="1053"/>
      <c r="AM389" s="1053"/>
      <c r="AN389" s="1053"/>
      <c r="AO389" s="1053"/>
      <c r="AP389" s="1053"/>
      <c r="AQ389" s="1053"/>
      <c r="AR389" s="1053"/>
      <c r="AS389" s="1053"/>
      <c r="AT389" s="1053"/>
      <c r="AU389" s="1053"/>
      <c r="AV389" s="1053"/>
      <c r="AW389" s="1053"/>
      <c r="AX389" s="1053"/>
      <c r="AY389" s="1053"/>
      <c r="AZ389" s="1053"/>
    </row>
    <row r="390" spans="1:52">
      <c r="A390" s="1053"/>
      <c r="B390" s="1053"/>
      <c r="C390" s="1053"/>
      <c r="D390" s="1053"/>
      <c r="E390" s="1053"/>
      <c r="F390" s="1053"/>
      <c r="G390" s="1053"/>
      <c r="H390" s="1053"/>
      <c r="I390" s="1053"/>
      <c r="J390" s="1053"/>
      <c r="K390" s="1053"/>
      <c r="L390" s="1053"/>
      <c r="M390" s="1053"/>
      <c r="N390" s="1053"/>
      <c r="O390" s="1053"/>
      <c r="P390" s="1053"/>
      <c r="Q390" s="1053"/>
      <c r="R390" s="1053"/>
      <c r="S390" s="1053"/>
      <c r="T390" s="1053"/>
      <c r="U390" s="1053"/>
      <c r="V390" s="1053"/>
      <c r="W390" s="1053"/>
      <c r="X390" s="1053"/>
      <c r="Y390" s="1053"/>
      <c r="Z390" s="1053"/>
      <c r="AA390" s="1053"/>
      <c r="AB390" s="1053"/>
      <c r="AC390" s="1053"/>
      <c r="AD390" s="1053"/>
      <c r="AE390" s="1053"/>
      <c r="AF390" s="1053"/>
      <c r="AG390" s="1053"/>
      <c r="AH390" s="1053"/>
      <c r="AI390" s="1053"/>
      <c r="AJ390" s="1053"/>
      <c r="AK390" s="1053"/>
      <c r="AL390" s="1053"/>
      <c r="AM390" s="1053"/>
      <c r="AN390" s="1053"/>
      <c r="AO390" s="1053"/>
      <c r="AP390" s="1053"/>
      <c r="AQ390" s="1053"/>
      <c r="AR390" s="1053"/>
      <c r="AS390" s="1053"/>
      <c r="AT390" s="1053"/>
      <c r="AU390" s="1053"/>
      <c r="AV390" s="1053"/>
      <c r="AW390" s="1053"/>
      <c r="AX390" s="1053"/>
      <c r="AY390" s="1053"/>
      <c r="AZ390" s="1053"/>
    </row>
    <row r="391" spans="1:52">
      <c r="A391" s="1053"/>
      <c r="B391" s="1053"/>
      <c r="C391" s="1053"/>
      <c r="D391" s="1053"/>
      <c r="E391" s="1053"/>
      <c r="F391" s="1053"/>
      <c r="G391" s="1053"/>
      <c r="H391" s="1053"/>
      <c r="I391" s="1053"/>
      <c r="J391" s="1053"/>
      <c r="K391" s="1053"/>
      <c r="L391" s="1053"/>
      <c r="M391" s="1053"/>
      <c r="N391" s="1053"/>
      <c r="O391" s="1053"/>
      <c r="P391" s="1053"/>
      <c r="Q391" s="1053"/>
      <c r="R391" s="1053"/>
      <c r="S391" s="1053"/>
      <c r="T391" s="1053"/>
      <c r="U391" s="1053"/>
      <c r="V391" s="1053"/>
      <c r="W391" s="1053"/>
      <c r="X391" s="1053"/>
      <c r="Y391" s="1053"/>
      <c r="Z391" s="1053"/>
      <c r="AA391" s="1053"/>
      <c r="AB391" s="1053"/>
      <c r="AC391" s="1053"/>
      <c r="AD391" s="1053"/>
      <c r="AE391" s="1053"/>
      <c r="AF391" s="1053"/>
      <c r="AG391" s="1053"/>
      <c r="AH391" s="1053"/>
      <c r="AI391" s="1053"/>
      <c r="AJ391" s="1053"/>
      <c r="AK391" s="1053"/>
      <c r="AL391" s="1053"/>
      <c r="AM391" s="1053"/>
      <c r="AN391" s="1053"/>
      <c r="AO391" s="1053"/>
      <c r="AP391" s="1053"/>
      <c r="AQ391" s="1053"/>
      <c r="AR391" s="1053"/>
      <c r="AS391" s="1053"/>
      <c r="AT391" s="1053"/>
      <c r="AU391" s="1053"/>
      <c r="AV391" s="1053"/>
      <c r="AW391" s="1053"/>
      <c r="AX391" s="1053"/>
      <c r="AY391" s="1053"/>
      <c r="AZ391" s="1053"/>
    </row>
    <row r="392" spans="1:52">
      <c r="A392" s="1053"/>
      <c r="B392" s="1053"/>
      <c r="C392" s="1053"/>
      <c r="D392" s="1053"/>
      <c r="E392" s="1053"/>
      <c r="F392" s="1053"/>
      <c r="G392" s="1053"/>
      <c r="H392" s="1053"/>
      <c r="I392" s="1053"/>
      <c r="J392" s="1053"/>
      <c r="K392" s="1053"/>
      <c r="L392" s="1053"/>
      <c r="M392" s="1053"/>
      <c r="N392" s="1053"/>
      <c r="O392" s="1053"/>
      <c r="P392" s="1053"/>
      <c r="Q392" s="1053"/>
      <c r="R392" s="1053"/>
      <c r="S392" s="1053"/>
      <c r="T392" s="1053"/>
      <c r="U392" s="1053"/>
      <c r="V392" s="1053"/>
      <c r="W392" s="1053"/>
      <c r="X392" s="1053"/>
      <c r="Y392" s="1053"/>
      <c r="Z392" s="1053"/>
      <c r="AA392" s="1053"/>
      <c r="AB392" s="1053"/>
      <c r="AC392" s="1053"/>
      <c r="AD392" s="1053"/>
      <c r="AE392" s="1053"/>
      <c r="AF392" s="1053"/>
      <c r="AG392" s="1053"/>
      <c r="AH392" s="1053"/>
      <c r="AI392" s="1053"/>
      <c r="AJ392" s="1053"/>
      <c r="AK392" s="1053"/>
      <c r="AL392" s="1053"/>
      <c r="AM392" s="1053"/>
      <c r="AN392" s="1053"/>
      <c r="AO392" s="1053"/>
      <c r="AP392" s="1053"/>
      <c r="AQ392" s="1053"/>
      <c r="AR392" s="1053"/>
      <c r="AS392" s="1053"/>
      <c r="AT392" s="1053"/>
      <c r="AU392" s="1053"/>
      <c r="AV392" s="1053"/>
      <c r="AW392" s="1053"/>
      <c r="AX392" s="1053"/>
      <c r="AY392" s="1053"/>
      <c r="AZ392" s="1053"/>
    </row>
    <row r="393" spans="1:52">
      <c r="A393" s="1053"/>
      <c r="B393" s="1053"/>
      <c r="C393" s="1053"/>
      <c r="D393" s="1053"/>
      <c r="E393" s="1053"/>
      <c r="F393" s="1053"/>
      <c r="G393" s="1053"/>
      <c r="H393" s="1053"/>
      <c r="I393" s="1053"/>
      <c r="J393" s="1053"/>
      <c r="K393" s="1053"/>
      <c r="L393" s="1053"/>
      <c r="M393" s="1053"/>
      <c r="N393" s="1053"/>
      <c r="O393" s="1053"/>
      <c r="P393" s="1053"/>
      <c r="Q393" s="1053"/>
      <c r="R393" s="1053"/>
      <c r="S393" s="1053"/>
      <c r="T393" s="1053"/>
      <c r="U393" s="1053"/>
      <c r="V393" s="1053"/>
      <c r="W393" s="1053"/>
      <c r="X393" s="1053"/>
      <c r="Y393" s="1053"/>
      <c r="Z393" s="1053"/>
      <c r="AA393" s="1053"/>
      <c r="AB393" s="1053"/>
      <c r="AC393" s="1053"/>
      <c r="AD393" s="1053"/>
      <c r="AE393" s="1053"/>
      <c r="AF393" s="1053"/>
      <c r="AG393" s="1053"/>
      <c r="AH393" s="1053"/>
      <c r="AI393" s="1053"/>
      <c r="AJ393" s="1053"/>
      <c r="AK393" s="1053"/>
      <c r="AL393" s="1053"/>
      <c r="AM393" s="1053"/>
      <c r="AN393" s="1053"/>
      <c r="AO393" s="1053"/>
      <c r="AP393" s="1053"/>
      <c r="AQ393" s="1053"/>
      <c r="AR393" s="1053"/>
      <c r="AS393" s="1053"/>
      <c r="AT393" s="1053"/>
      <c r="AU393" s="1053"/>
      <c r="AV393" s="1053"/>
      <c r="AW393" s="1053"/>
      <c r="AX393" s="1053"/>
      <c r="AY393" s="1053"/>
      <c r="AZ393" s="1053"/>
    </row>
    <row r="394" spans="1:52">
      <c r="A394" s="1053"/>
      <c r="B394" s="1053"/>
      <c r="C394" s="1053"/>
      <c r="D394" s="1053"/>
      <c r="E394" s="1053"/>
      <c r="F394" s="1053"/>
      <c r="G394" s="1053"/>
      <c r="H394" s="1053"/>
      <c r="I394" s="1053"/>
      <c r="J394" s="1053"/>
      <c r="K394" s="1053"/>
      <c r="L394" s="1053"/>
      <c r="M394" s="1053"/>
      <c r="N394" s="1053"/>
      <c r="O394" s="1053"/>
      <c r="P394" s="1053"/>
      <c r="Q394" s="1053"/>
      <c r="R394" s="1053"/>
      <c r="S394" s="1053"/>
      <c r="T394" s="1053"/>
      <c r="U394" s="1053"/>
      <c r="V394" s="1053"/>
      <c r="W394" s="1053"/>
      <c r="X394" s="1053"/>
      <c r="Y394" s="1053"/>
      <c r="Z394" s="1053"/>
      <c r="AA394" s="1053"/>
      <c r="AB394" s="1053"/>
      <c r="AC394" s="1053"/>
      <c r="AD394" s="1053"/>
      <c r="AE394" s="1053"/>
      <c r="AF394" s="1053"/>
      <c r="AG394" s="1053"/>
      <c r="AH394" s="1053"/>
      <c r="AI394" s="1053"/>
      <c r="AJ394" s="1053"/>
      <c r="AK394" s="1053"/>
      <c r="AL394" s="1053"/>
      <c r="AM394" s="1053"/>
      <c r="AN394" s="1053"/>
      <c r="AO394" s="1053"/>
      <c r="AP394" s="1053"/>
      <c r="AQ394" s="1053"/>
      <c r="AR394" s="1053"/>
      <c r="AS394" s="1053"/>
      <c r="AT394" s="1053"/>
      <c r="AU394" s="1053"/>
      <c r="AV394" s="1053"/>
      <c r="AW394" s="1053"/>
      <c r="AX394" s="1053"/>
      <c r="AY394" s="1053"/>
      <c r="AZ394" s="1053"/>
    </row>
    <row r="395" spans="1:52">
      <c r="A395" s="1053"/>
      <c r="B395" s="1053"/>
      <c r="C395" s="1053"/>
      <c r="D395" s="1053"/>
      <c r="E395" s="1053"/>
      <c r="F395" s="1053"/>
      <c r="G395" s="1053"/>
      <c r="H395" s="1053"/>
      <c r="I395" s="1053"/>
      <c r="J395" s="1053"/>
      <c r="K395" s="1053"/>
      <c r="L395" s="1053"/>
      <c r="M395" s="1053"/>
      <c r="N395" s="1053"/>
      <c r="O395" s="1053"/>
      <c r="P395" s="1053"/>
      <c r="Q395" s="1053"/>
      <c r="R395" s="1053"/>
      <c r="S395" s="1053"/>
      <c r="T395" s="1053"/>
      <c r="U395" s="1053"/>
      <c r="V395" s="1053"/>
      <c r="W395" s="1053"/>
      <c r="X395" s="1053"/>
      <c r="Y395" s="1053"/>
      <c r="Z395" s="1053"/>
      <c r="AA395" s="1053"/>
      <c r="AB395" s="1053"/>
      <c r="AC395" s="1053"/>
      <c r="AD395" s="1053"/>
      <c r="AE395" s="1053"/>
      <c r="AF395" s="1053"/>
      <c r="AG395" s="1053"/>
      <c r="AH395" s="1053"/>
      <c r="AI395" s="1053"/>
      <c r="AJ395" s="1053"/>
      <c r="AK395" s="1053"/>
      <c r="AL395" s="1053"/>
      <c r="AM395" s="1053"/>
      <c r="AN395" s="1053"/>
      <c r="AO395" s="1053"/>
      <c r="AP395" s="1053"/>
      <c r="AQ395" s="1053"/>
      <c r="AR395" s="1053"/>
      <c r="AS395" s="1053"/>
      <c r="AT395" s="1053"/>
      <c r="AU395" s="1053"/>
      <c r="AV395" s="1053"/>
      <c r="AW395" s="1053"/>
      <c r="AX395" s="1053"/>
      <c r="AY395" s="1053"/>
      <c r="AZ395" s="1053"/>
    </row>
    <row r="396" spans="1:52">
      <c r="A396" s="1053"/>
      <c r="B396" s="1053"/>
      <c r="C396" s="1053"/>
      <c r="D396" s="1053"/>
      <c r="E396" s="1053"/>
      <c r="F396" s="1053"/>
      <c r="G396" s="1053"/>
      <c r="H396" s="1053"/>
      <c r="I396" s="1053"/>
      <c r="J396" s="1053"/>
      <c r="K396" s="1053"/>
      <c r="L396" s="1053"/>
      <c r="M396" s="1053"/>
      <c r="N396" s="1053"/>
      <c r="O396" s="1053"/>
      <c r="P396" s="1053"/>
      <c r="Q396" s="1053"/>
      <c r="R396" s="1053"/>
      <c r="S396" s="1053"/>
      <c r="T396" s="1053"/>
      <c r="U396" s="1053"/>
      <c r="V396" s="1053"/>
      <c r="W396" s="1053"/>
      <c r="X396" s="1053"/>
      <c r="Y396" s="1053"/>
      <c r="Z396" s="1053"/>
      <c r="AA396" s="1053"/>
      <c r="AB396" s="1053"/>
      <c r="AC396" s="1053"/>
      <c r="AD396" s="1053"/>
      <c r="AE396" s="1053"/>
      <c r="AF396" s="1053"/>
      <c r="AG396" s="1053"/>
      <c r="AH396" s="1053"/>
      <c r="AI396" s="1053"/>
      <c r="AJ396" s="1053"/>
      <c r="AK396" s="1053"/>
      <c r="AL396" s="1053"/>
      <c r="AM396" s="1053"/>
      <c r="AN396" s="1053"/>
      <c r="AO396" s="1053"/>
      <c r="AP396" s="1053"/>
      <c r="AQ396" s="1053"/>
      <c r="AR396" s="1053"/>
      <c r="AS396" s="1053"/>
      <c r="AT396" s="1053"/>
      <c r="AU396" s="1053"/>
      <c r="AV396" s="1053"/>
      <c r="AW396" s="1053"/>
      <c r="AX396" s="1053"/>
      <c r="AY396" s="1053"/>
      <c r="AZ396" s="1053"/>
    </row>
    <row r="397" spans="1:52">
      <c r="A397" s="1053"/>
      <c r="B397" s="1053"/>
      <c r="C397" s="1053"/>
      <c r="D397" s="1053"/>
      <c r="E397" s="1053"/>
      <c r="F397" s="1053"/>
      <c r="G397" s="1053"/>
      <c r="H397" s="1053"/>
      <c r="I397" s="1053"/>
      <c r="J397" s="1053"/>
      <c r="K397" s="1053"/>
      <c r="L397" s="1053"/>
      <c r="M397" s="1053"/>
      <c r="N397" s="1053"/>
      <c r="O397" s="1053"/>
      <c r="P397" s="1053"/>
      <c r="Q397" s="1053"/>
      <c r="R397" s="1053"/>
      <c r="S397" s="1053"/>
      <c r="T397" s="1053"/>
      <c r="U397" s="1053"/>
      <c r="V397" s="1053"/>
      <c r="W397" s="1053"/>
      <c r="X397" s="1053"/>
      <c r="Y397" s="1053"/>
      <c r="Z397" s="1053"/>
      <c r="AA397" s="1053"/>
      <c r="AB397" s="1053"/>
      <c r="AC397" s="1053"/>
      <c r="AD397" s="1053"/>
      <c r="AE397" s="1053"/>
      <c r="AF397" s="1053"/>
      <c r="AG397" s="1053"/>
      <c r="AH397" s="1053"/>
      <c r="AI397" s="1053"/>
      <c r="AJ397" s="1053"/>
      <c r="AK397" s="1053"/>
      <c r="AL397" s="1053"/>
      <c r="AM397" s="1053"/>
      <c r="AN397" s="1053"/>
      <c r="AO397" s="1053"/>
      <c r="AP397" s="1053"/>
      <c r="AQ397" s="1053"/>
      <c r="AR397" s="1053"/>
      <c r="AS397" s="1053"/>
      <c r="AT397" s="1053"/>
      <c r="AU397" s="1053"/>
      <c r="AV397" s="1053"/>
      <c r="AW397" s="1053"/>
      <c r="AX397" s="1053"/>
      <c r="AY397" s="1053"/>
      <c r="AZ397" s="1053"/>
    </row>
    <row r="398" spans="1:52">
      <c r="A398" s="1053"/>
      <c r="B398" s="1053"/>
      <c r="C398" s="1053"/>
      <c r="D398" s="1053"/>
      <c r="E398" s="1053"/>
      <c r="F398" s="1053"/>
      <c r="G398" s="1053"/>
      <c r="H398" s="1053"/>
      <c r="I398" s="1053"/>
      <c r="J398" s="1053"/>
      <c r="K398" s="1053"/>
      <c r="L398" s="1053"/>
      <c r="M398" s="1053"/>
      <c r="N398" s="1053"/>
      <c r="O398" s="1053"/>
      <c r="P398" s="1053"/>
      <c r="Q398" s="1053"/>
      <c r="R398" s="1053"/>
      <c r="S398" s="1053"/>
      <c r="T398" s="1053"/>
      <c r="U398" s="1053"/>
      <c r="V398" s="1053"/>
      <c r="W398" s="1053"/>
      <c r="X398" s="1053"/>
      <c r="Y398" s="1053"/>
      <c r="Z398" s="1053"/>
      <c r="AA398" s="1053"/>
      <c r="AB398" s="1053"/>
      <c r="AC398" s="1053"/>
      <c r="AD398" s="1053"/>
      <c r="AE398" s="1053"/>
      <c r="AF398" s="1053"/>
      <c r="AG398" s="1053"/>
      <c r="AH398" s="1053"/>
      <c r="AI398" s="1053"/>
      <c r="AJ398" s="1053"/>
      <c r="AK398" s="1053"/>
      <c r="AL398" s="1053"/>
      <c r="AM398" s="1053"/>
      <c r="AN398" s="1053"/>
      <c r="AO398" s="1053"/>
      <c r="AP398" s="1053"/>
      <c r="AQ398" s="1053"/>
      <c r="AR398" s="1053"/>
      <c r="AS398" s="1053"/>
      <c r="AT398" s="1053"/>
      <c r="AU398" s="1053"/>
      <c r="AV398" s="1053"/>
      <c r="AW398" s="1053"/>
      <c r="AX398" s="1053"/>
      <c r="AY398" s="1053"/>
      <c r="AZ398" s="1053"/>
    </row>
    <row r="399" spans="1:52">
      <c r="A399" s="1053"/>
      <c r="B399" s="1053"/>
      <c r="C399" s="1053"/>
      <c r="D399" s="1053"/>
      <c r="E399" s="1053"/>
      <c r="F399" s="1053"/>
      <c r="G399" s="1053"/>
      <c r="H399" s="1053"/>
      <c r="I399" s="1053"/>
      <c r="J399" s="1053"/>
      <c r="K399" s="1053"/>
      <c r="L399" s="1053"/>
      <c r="M399" s="1053"/>
      <c r="N399" s="1053"/>
      <c r="O399" s="1053"/>
      <c r="P399" s="1053"/>
      <c r="Q399" s="1053"/>
      <c r="R399" s="1053"/>
      <c r="S399" s="1053"/>
      <c r="T399" s="1053"/>
      <c r="U399" s="1053"/>
      <c r="V399" s="1053"/>
      <c r="W399" s="1053"/>
      <c r="X399" s="1053"/>
      <c r="Y399" s="1053"/>
      <c r="Z399" s="1053"/>
      <c r="AA399" s="1053"/>
      <c r="AB399" s="1053"/>
      <c r="AC399" s="1053"/>
      <c r="AD399" s="1053"/>
      <c r="AE399" s="1053"/>
      <c r="AF399" s="1053"/>
      <c r="AG399" s="1053"/>
      <c r="AH399" s="1053"/>
      <c r="AI399" s="1053"/>
      <c r="AJ399" s="1053"/>
      <c r="AK399" s="1053"/>
      <c r="AL399" s="1053"/>
      <c r="AM399" s="1053"/>
      <c r="AN399" s="1053"/>
      <c r="AO399" s="1053"/>
      <c r="AP399" s="1053"/>
      <c r="AQ399" s="1053"/>
      <c r="AR399" s="1053"/>
      <c r="AS399" s="1053"/>
      <c r="AT399" s="1053"/>
      <c r="AU399" s="1053"/>
      <c r="AV399" s="1053"/>
      <c r="AW399" s="1053"/>
      <c r="AX399" s="1053"/>
      <c r="AY399" s="1053"/>
      <c r="AZ399" s="1053"/>
    </row>
    <row r="400" spans="1:52">
      <c r="A400" s="1053"/>
      <c r="B400" s="1053"/>
      <c r="C400" s="1053"/>
      <c r="D400" s="1053"/>
      <c r="E400" s="1053"/>
      <c r="F400" s="1053"/>
      <c r="G400" s="1053"/>
      <c r="H400" s="1053"/>
      <c r="I400" s="1053"/>
      <c r="J400" s="1053"/>
      <c r="K400" s="1053"/>
      <c r="L400" s="1053"/>
      <c r="M400" s="1053"/>
      <c r="N400" s="1053"/>
      <c r="O400" s="1053"/>
      <c r="P400" s="1053"/>
      <c r="Q400" s="1053"/>
      <c r="R400" s="1053"/>
      <c r="S400" s="1053"/>
      <c r="T400" s="1053"/>
      <c r="U400" s="1053"/>
      <c r="V400" s="1053"/>
      <c r="W400" s="1053"/>
      <c r="X400" s="1053"/>
      <c r="Y400" s="1053"/>
      <c r="Z400" s="1053"/>
      <c r="AA400" s="1053"/>
      <c r="AB400" s="1053"/>
      <c r="AC400" s="1053"/>
      <c r="AD400" s="1053"/>
      <c r="AE400" s="1053"/>
      <c r="AF400" s="1053"/>
      <c r="AG400" s="1053"/>
      <c r="AH400" s="1053"/>
      <c r="AI400" s="1053"/>
      <c r="AJ400" s="1053"/>
      <c r="AK400" s="1053"/>
      <c r="AL400" s="1053"/>
      <c r="AM400" s="1053"/>
      <c r="AN400" s="1053"/>
      <c r="AO400" s="1053"/>
      <c r="AP400" s="1053"/>
      <c r="AQ400" s="1053"/>
      <c r="AR400" s="1053"/>
      <c r="AS400" s="1053"/>
      <c r="AT400" s="1053"/>
      <c r="AU400" s="1053"/>
      <c r="AV400" s="1053"/>
      <c r="AW400" s="1053"/>
      <c r="AX400" s="1053"/>
      <c r="AY400" s="1053"/>
      <c r="AZ400" s="1053"/>
    </row>
    <row r="401" spans="1:52">
      <c r="A401" s="1053"/>
      <c r="B401" s="1053"/>
      <c r="C401" s="1053"/>
      <c r="D401" s="1053"/>
      <c r="E401" s="1053"/>
      <c r="F401" s="1053"/>
      <c r="G401" s="1053"/>
      <c r="H401" s="1053"/>
      <c r="I401" s="1053"/>
      <c r="J401" s="1053"/>
      <c r="K401" s="1053"/>
      <c r="L401" s="1053"/>
      <c r="M401" s="1053"/>
      <c r="N401" s="1053"/>
      <c r="O401" s="1053"/>
      <c r="P401" s="1053"/>
      <c r="Q401" s="1053"/>
      <c r="R401" s="1053"/>
      <c r="S401" s="1053"/>
      <c r="T401" s="1053"/>
      <c r="U401" s="1053"/>
      <c r="V401" s="1053"/>
      <c r="W401" s="1053"/>
      <c r="X401" s="1053"/>
      <c r="Y401" s="1053"/>
      <c r="Z401" s="1053"/>
      <c r="AA401" s="1053"/>
      <c r="AB401" s="1053"/>
      <c r="AC401" s="1053"/>
      <c r="AD401" s="1053"/>
      <c r="AE401" s="1053"/>
      <c r="AF401" s="1053"/>
      <c r="AG401" s="1053"/>
      <c r="AH401" s="1053"/>
      <c r="AI401" s="1053"/>
      <c r="AJ401" s="1053"/>
      <c r="AK401" s="1053"/>
      <c r="AL401" s="1053"/>
      <c r="AM401" s="1053"/>
      <c r="AN401" s="1053"/>
      <c r="AO401" s="1053"/>
      <c r="AP401" s="1053"/>
      <c r="AQ401" s="1053"/>
      <c r="AR401" s="1053"/>
      <c r="AS401" s="1053"/>
      <c r="AT401" s="1053"/>
      <c r="AU401" s="1053"/>
      <c r="AV401" s="1053"/>
      <c r="AW401" s="1053"/>
      <c r="AX401" s="1053"/>
      <c r="AY401" s="1053"/>
      <c r="AZ401" s="1053"/>
    </row>
    <row r="402" spans="1:52">
      <c r="A402" s="1053"/>
      <c r="B402" s="1053"/>
      <c r="C402" s="1053"/>
      <c r="D402" s="1053"/>
      <c r="E402" s="1053"/>
      <c r="F402" s="1053"/>
      <c r="G402" s="1053"/>
      <c r="H402" s="1053"/>
      <c r="I402" s="1053"/>
      <c r="J402" s="1053"/>
      <c r="K402" s="1053"/>
      <c r="L402" s="1053"/>
      <c r="M402" s="1053"/>
      <c r="N402" s="1053"/>
      <c r="O402" s="1053"/>
      <c r="P402" s="1053"/>
      <c r="Q402" s="1053"/>
      <c r="R402" s="1053"/>
      <c r="S402" s="1053"/>
      <c r="T402" s="1053"/>
      <c r="U402" s="1053"/>
      <c r="V402" s="1053"/>
      <c r="W402" s="1053"/>
      <c r="X402" s="1053"/>
      <c r="Y402" s="1053"/>
      <c r="Z402" s="1053"/>
      <c r="AA402" s="1053"/>
      <c r="AB402" s="1053"/>
      <c r="AC402" s="1053"/>
      <c r="AD402" s="1053"/>
      <c r="AE402" s="1053"/>
      <c r="AF402" s="1053"/>
      <c r="AG402" s="1053"/>
      <c r="AH402" s="1053"/>
      <c r="AI402" s="1053"/>
      <c r="AJ402" s="1053"/>
      <c r="AK402" s="1053"/>
      <c r="AL402" s="1053"/>
      <c r="AM402" s="1053"/>
      <c r="AN402" s="1053"/>
      <c r="AO402" s="1053"/>
      <c r="AP402" s="1053"/>
      <c r="AQ402" s="1053"/>
      <c r="AR402" s="1053"/>
      <c r="AS402" s="1053"/>
      <c r="AT402" s="1053"/>
      <c r="AU402" s="1053"/>
      <c r="AV402" s="1053"/>
      <c r="AW402" s="1053"/>
      <c r="AX402" s="1053"/>
      <c r="AY402" s="1053"/>
      <c r="AZ402" s="1053"/>
    </row>
    <row r="403" spans="1:52">
      <c r="A403" s="1053"/>
      <c r="B403" s="1053"/>
      <c r="C403" s="1053"/>
      <c r="D403" s="1053"/>
      <c r="E403" s="1053"/>
      <c r="F403" s="1053"/>
      <c r="G403" s="1053"/>
      <c r="H403" s="1053"/>
      <c r="I403" s="1053"/>
      <c r="J403" s="1053"/>
      <c r="K403" s="1053"/>
      <c r="L403" s="1053"/>
      <c r="M403" s="1053"/>
      <c r="N403" s="1053"/>
      <c r="O403" s="1053"/>
      <c r="P403" s="1053"/>
      <c r="Q403" s="1053"/>
      <c r="R403" s="1053"/>
      <c r="S403" s="1053"/>
      <c r="T403" s="1053"/>
      <c r="U403" s="1053"/>
      <c r="V403" s="1053"/>
      <c r="W403" s="1053"/>
      <c r="X403" s="1053"/>
      <c r="Y403" s="1053"/>
      <c r="Z403" s="1053"/>
      <c r="AA403" s="1053"/>
      <c r="AB403" s="1053"/>
      <c r="AC403" s="1053"/>
      <c r="AD403" s="1053"/>
      <c r="AE403" s="1053"/>
      <c r="AF403" s="1053"/>
      <c r="AG403" s="1053"/>
      <c r="AH403" s="1053"/>
      <c r="AI403" s="1053"/>
      <c r="AJ403" s="1053"/>
      <c r="AK403" s="1053"/>
      <c r="AL403" s="1053"/>
      <c r="AM403" s="1053"/>
      <c r="AN403" s="1053"/>
      <c r="AO403" s="1053"/>
      <c r="AP403" s="1053"/>
      <c r="AQ403" s="1053"/>
      <c r="AR403" s="1053"/>
      <c r="AS403" s="1053"/>
      <c r="AT403" s="1053"/>
      <c r="AU403" s="1053"/>
      <c r="AV403" s="1053"/>
      <c r="AW403" s="1053"/>
      <c r="AX403" s="1053"/>
      <c r="AY403" s="1053"/>
      <c r="AZ403" s="1053"/>
    </row>
    <row r="404" spans="1:52">
      <c r="A404" s="1053"/>
      <c r="B404" s="1053"/>
      <c r="C404" s="1053"/>
      <c r="D404" s="1053"/>
      <c r="E404" s="1053"/>
      <c r="F404" s="1053"/>
      <c r="G404" s="1053"/>
      <c r="H404" s="1053"/>
      <c r="I404" s="1053"/>
      <c r="J404" s="1053"/>
      <c r="K404" s="1053"/>
      <c r="L404" s="1053"/>
      <c r="M404" s="1053"/>
      <c r="N404" s="1053"/>
      <c r="O404" s="1053"/>
      <c r="P404" s="1053"/>
      <c r="Q404" s="1053"/>
      <c r="R404" s="1053"/>
      <c r="S404" s="1053"/>
      <c r="T404" s="1053"/>
      <c r="U404" s="1053"/>
      <c r="V404" s="1053"/>
      <c r="W404" s="1053"/>
      <c r="X404" s="1053"/>
      <c r="Y404" s="1053"/>
      <c r="Z404" s="1053"/>
      <c r="AA404" s="1053"/>
      <c r="AB404" s="1053"/>
      <c r="AC404" s="1053"/>
      <c r="AD404" s="1053"/>
      <c r="AE404" s="1053"/>
      <c r="AF404" s="1053"/>
      <c r="AG404" s="1053"/>
      <c r="AH404" s="1053"/>
      <c r="AI404" s="1053"/>
      <c r="AJ404" s="1053"/>
      <c r="AK404" s="1053"/>
      <c r="AL404" s="1053"/>
      <c r="AM404" s="1053"/>
      <c r="AN404" s="1053"/>
      <c r="AO404" s="1053"/>
      <c r="AP404" s="1053"/>
      <c r="AQ404" s="1053"/>
      <c r="AR404" s="1053"/>
      <c r="AS404" s="1053"/>
      <c r="AT404" s="1053"/>
      <c r="AU404" s="1053"/>
      <c r="AV404" s="1053"/>
      <c r="AW404" s="1053"/>
      <c r="AX404" s="1053"/>
      <c r="AY404" s="1053"/>
      <c r="AZ404" s="1053"/>
    </row>
    <row r="405" spans="1:52">
      <c r="A405" s="1053"/>
      <c r="B405" s="1053"/>
      <c r="C405" s="1053"/>
      <c r="D405" s="1053"/>
      <c r="E405" s="1053"/>
      <c r="F405" s="1053"/>
      <c r="G405" s="1053"/>
      <c r="H405" s="1053"/>
      <c r="I405" s="1053"/>
      <c r="J405" s="1053"/>
      <c r="K405" s="1053"/>
      <c r="L405" s="1053"/>
      <c r="M405" s="1053"/>
      <c r="N405" s="1053"/>
      <c r="O405" s="1053"/>
      <c r="P405" s="1053"/>
      <c r="Q405" s="1053"/>
      <c r="R405" s="1053"/>
      <c r="S405" s="1053"/>
      <c r="T405" s="1053"/>
      <c r="U405" s="1053"/>
      <c r="V405" s="1053"/>
      <c r="W405" s="1053"/>
      <c r="X405" s="1053"/>
      <c r="Y405" s="1053"/>
      <c r="Z405" s="1053"/>
      <c r="AA405" s="1053"/>
      <c r="AB405" s="1053"/>
      <c r="AC405" s="1053"/>
      <c r="AD405" s="1053"/>
      <c r="AE405" s="1053"/>
      <c r="AF405" s="1053"/>
      <c r="AG405" s="1053"/>
      <c r="AH405" s="1053"/>
      <c r="AI405" s="1053"/>
      <c r="AJ405" s="1053"/>
      <c r="AK405" s="1053"/>
      <c r="AL405" s="1053"/>
      <c r="AM405" s="1053"/>
      <c r="AN405" s="1053"/>
      <c r="AO405" s="1053"/>
      <c r="AP405" s="1053"/>
      <c r="AQ405" s="1053"/>
      <c r="AR405" s="1053"/>
      <c r="AS405" s="1053"/>
      <c r="AT405" s="1053"/>
      <c r="AU405" s="1053"/>
      <c r="AV405" s="1053"/>
      <c r="AW405" s="1053"/>
      <c r="AX405" s="1053"/>
      <c r="AY405" s="1053"/>
      <c r="AZ405" s="1053"/>
    </row>
    <row r="406" spans="1:52">
      <c r="A406" s="1053"/>
      <c r="B406" s="1053"/>
      <c r="C406" s="1053"/>
      <c r="D406" s="1053"/>
      <c r="E406" s="1053"/>
      <c r="F406" s="1053"/>
      <c r="G406" s="1053"/>
      <c r="H406" s="1053"/>
      <c r="I406" s="1053"/>
      <c r="J406" s="1053"/>
      <c r="K406" s="1053"/>
      <c r="L406" s="1053"/>
      <c r="M406" s="1053"/>
      <c r="N406" s="1053"/>
      <c r="O406" s="1053"/>
      <c r="P406" s="1053"/>
      <c r="Q406" s="1053"/>
      <c r="R406" s="1053"/>
      <c r="S406" s="1053"/>
      <c r="T406" s="1053"/>
      <c r="U406" s="1053"/>
      <c r="V406" s="1053"/>
      <c r="W406" s="1053"/>
      <c r="X406" s="1053"/>
      <c r="Y406" s="1053"/>
      <c r="Z406" s="1053"/>
      <c r="AA406" s="1053"/>
      <c r="AB406" s="1053"/>
      <c r="AC406" s="1053"/>
      <c r="AD406" s="1053"/>
      <c r="AE406" s="1053"/>
      <c r="AF406" s="1053"/>
      <c r="AG406" s="1053"/>
      <c r="AH406" s="1053"/>
      <c r="AI406" s="1053"/>
      <c r="AJ406" s="1053"/>
      <c r="AK406" s="1053"/>
      <c r="AL406" s="1053"/>
      <c r="AM406" s="1053"/>
      <c r="AN406" s="1053"/>
      <c r="AO406" s="1053"/>
      <c r="AP406" s="1053"/>
      <c r="AQ406" s="1053"/>
      <c r="AR406" s="1053"/>
      <c r="AS406" s="1053"/>
      <c r="AT406" s="1053"/>
      <c r="AU406" s="1053"/>
      <c r="AV406" s="1053"/>
      <c r="AW406" s="1053"/>
      <c r="AX406" s="1053"/>
      <c r="AY406" s="1053"/>
      <c r="AZ406" s="1053"/>
    </row>
    <row r="407" spans="1:52">
      <c r="A407" s="1053"/>
      <c r="B407" s="1053"/>
      <c r="C407" s="1053"/>
      <c r="D407" s="1053"/>
      <c r="E407" s="1053"/>
      <c r="F407" s="1053"/>
      <c r="G407" s="1053"/>
      <c r="H407" s="1053"/>
      <c r="I407" s="1053"/>
      <c r="J407" s="1053"/>
      <c r="K407" s="1053"/>
      <c r="L407" s="1053"/>
      <c r="M407" s="1053"/>
      <c r="N407" s="1053"/>
      <c r="O407" s="1053"/>
      <c r="P407" s="1053"/>
      <c r="Q407" s="1053"/>
      <c r="R407" s="1053"/>
      <c r="S407" s="1053"/>
      <c r="T407" s="1053"/>
      <c r="U407" s="1053"/>
      <c r="V407" s="1053"/>
      <c r="W407" s="1053"/>
      <c r="X407" s="1053"/>
      <c r="Y407" s="1053"/>
      <c r="Z407" s="1053"/>
      <c r="AA407" s="1053"/>
      <c r="AB407" s="1053"/>
      <c r="AC407" s="1053"/>
      <c r="AD407" s="1053"/>
      <c r="AE407" s="1053"/>
      <c r="AF407" s="1053"/>
      <c r="AG407" s="1053"/>
      <c r="AH407" s="1053"/>
      <c r="AI407" s="1053"/>
      <c r="AJ407" s="1053"/>
      <c r="AK407" s="1053"/>
      <c r="AL407" s="1053"/>
      <c r="AM407" s="1053"/>
      <c r="AN407" s="1053"/>
      <c r="AO407" s="1053"/>
      <c r="AP407" s="1053"/>
      <c r="AQ407" s="1053"/>
      <c r="AR407" s="1053"/>
      <c r="AS407" s="1053"/>
      <c r="AT407" s="1053"/>
      <c r="AU407" s="1053"/>
      <c r="AV407" s="1053"/>
      <c r="AW407" s="1053"/>
      <c r="AX407" s="1053"/>
      <c r="AY407" s="1053"/>
      <c r="AZ407" s="1053"/>
    </row>
    <row r="408" spans="1:52">
      <c r="A408" s="1053"/>
      <c r="B408" s="1053"/>
      <c r="C408" s="1053"/>
      <c r="D408" s="1053"/>
      <c r="E408" s="1053"/>
      <c r="F408" s="1053"/>
      <c r="G408" s="1053"/>
      <c r="H408" s="1053"/>
      <c r="I408" s="1053"/>
      <c r="J408" s="1053"/>
      <c r="K408" s="1053"/>
      <c r="L408" s="1053"/>
      <c r="M408" s="1053"/>
      <c r="N408" s="1053"/>
      <c r="O408" s="1053"/>
      <c r="P408" s="1053"/>
      <c r="Q408" s="1053"/>
      <c r="R408" s="1053"/>
      <c r="S408" s="1053"/>
      <c r="T408" s="1053"/>
      <c r="U408" s="1053"/>
      <c r="V408" s="1053"/>
      <c r="W408" s="1053"/>
      <c r="X408" s="1053"/>
      <c r="Y408" s="1053"/>
      <c r="Z408" s="1053"/>
      <c r="AA408" s="1053"/>
      <c r="AB408" s="1053"/>
      <c r="AC408" s="1053"/>
      <c r="AD408" s="1053"/>
      <c r="AE408" s="1053"/>
      <c r="AF408" s="1053"/>
      <c r="AG408" s="1053"/>
      <c r="AH408" s="1053"/>
      <c r="AI408" s="1053"/>
      <c r="AJ408" s="1053"/>
      <c r="AK408" s="1053"/>
      <c r="AL408" s="1053"/>
      <c r="AM408" s="1053"/>
      <c r="AN408" s="1053"/>
      <c r="AO408" s="1053"/>
      <c r="AP408" s="1053"/>
      <c r="AQ408" s="1053"/>
      <c r="AR408" s="1053"/>
      <c r="AS408" s="1053"/>
      <c r="AT408" s="1053"/>
      <c r="AU408" s="1053"/>
      <c r="AV408" s="1053"/>
      <c r="AW408" s="1053"/>
      <c r="AX408" s="1053"/>
      <c r="AY408" s="1053"/>
      <c r="AZ408" s="1053"/>
    </row>
    <row r="409" spans="1:52">
      <c r="A409" s="1053"/>
      <c r="B409" s="1053"/>
      <c r="C409" s="1053"/>
      <c r="D409" s="1053"/>
      <c r="E409" s="1053"/>
      <c r="F409" s="1053"/>
      <c r="G409" s="1053"/>
      <c r="H409" s="1053"/>
      <c r="I409" s="1053"/>
      <c r="J409" s="1053"/>
      <c r="K409" s="1053"/>
      <c r="L409" s="1053"/>
      <c r="M409" s="1053"/>
      <c r="N409" s="1053"/>
      <c r="O409" s="1053"/>
      <c r="P409" s="1053"/>
      <c r="Q409" s="1053"/>
      <c r="R409" s="1053"/>
      <c r="S409" s="1053"/>
      <c r="T409" s="1053"/>
      <c r="U409" s="1053"/>
      <c r="V409" s="1053"/>
      <c r="W409" s="1053"/>
      <c r="X409" s="1053"/>
      <c r="Y409" s="1053"/>
      <c r="Z409" s="1053"/>
      <c r="AA409" s="1053"/>
      <c r="AB409" s="1053"/>
      <c r="AC409" s="1053"/>
      <c r="AD409" s="1053"/>
      <c r="AE409" s="1053"/>
      <c r="AF409" s="1053"/>
      <c r="AG409" s="1053"/>
      <c r="AH409" s="1053"/>
      <c r="AI409" s="1053"/>
      <c r="AJ409" s="1053"/>
      <c r="AK409" s="1053"/>
      <c r="AL409" s="1053"/>
      <c r="AM409" s="1053"/>
      <c r="AN409" s="1053"/>
      <c r="AO409" s="1053"/>
      <c r="AP409" s="1053"/>
      <c r="AQ409" s="1053"/>
      <c r="AR409" s="1053"/>
      <c r="AS409" s="1053"/>
      <c r="AT409" s="1053"/>
      <c r="AU409" s="1053"/>
      <c r="AV409" s="1053"/>
      <c r="AW409" s="1053"/>
      <c r="AX409" s="1053"/>
      <c r="AY409" s="1053"/>
      <c r="AZ409" s="1053"/>
    </row>
    <row r="410" spans="1:52">
      <c r="A410" s="1053"/>
      <c r="B410" s="1053"/>
      <c r="C410" s="1053"/>
      <c r="D410" s="1053"/>
      <c r="E410" s="1053"/>
      <c r="F410" s="1053"/>
      <c r="G410" s="1053"/>
      <c r="H410" s="1053"/>
      <c r="I410" s="1053"/>
      <c r="J410" s="1053"/>
      <c r="K410" s="1053"/>
      <c r="L410" s="1053"/>
      <c r="M410" s="1053"/>
      <c r="N410" s="1053"/>
      <c r="O410" s="1053"/>
      <c r="P410" s="1053"/>
      <c r="Q410" s="1053"/>
      <c r="R410" s="1053"/>
      <c r="S410" s="1053"/>
      <c r="T410" s="1053"/>
      <c r="U410" s="1053"/>
      <c r="V410" s="1053"/>
      <c r="W410" s="1053"/>
      <c r="X410" s="1053"/>
      <c r="Y410" s="1053"/>
      <c r="Z410" s="1053"/>
      <c r="AA410" s="1053"/>
      <c r="AB410" s="1053"/>
      <c r="AC410" s="1053"/>
      <c r="AD410" s="1053"/>
      <c r="AE410" s="1053"/>
      <c r="AF410" s="1053"/>
      <c r="AG410" s="1053"/>
      <c r="AH410" s="1053"/>
      <c r="AI410" s="1053"/>
      <c r="AJ410" s="1053"/>
      <c r="AK410" s="1053"/>
      <c r="AL410" s="1053"/>
      <c r="AM410" s="1053"/>
      <c r="AN410" s="1053"/>
      <c r="AO410" s="1053"/>
      <c r="AP410" s="1053"/>
      <c r="AQ410" s="1053"/>
      <c r="AR410" s="1053"/>
      <c r="AS410" s="1053"/>
      <c r="AT410" s="1053"/>
      <c r="AU410" s="1053"/>
      <c r="AV410" s="1053"/>
      <c r="AW410" s="1053"/>
      <c r="AX410" s="1053"/>
      <c r="AY410" s="1053"/>
      <c r="AZ410" s="1053"/>
    </row>
    <row r="411" spans="1:52">
      <c r="A411" s="1053"/>
      <c r="B411" s="1053"/>
      <c r="C411" s="1053"/>
      <c r="D411" s="1053"/>
      <c r="E411" s="1053"/>
      <c r="F411" s="1053"/>
      <c r="G411" s="1053"/>
      <c r="H411" s="1053"/>
      <c r="I411" s="1053"/>
      <c r="J411" s="1053"/>
      <c r="K411" s="1053"/>
      <c r="L411" s="1053"/>
      <c r="M411" s="1053"/>
      <c r="N411" s="1053"/>
      <c r="O411" s="1053"/>
      <c r="P411" s="1053"/>
      <c r="Q411" s="1053"/>
      <c r="R411" s="1053"/>
      <c r="S411" s="1053"/>
      <c r="T411" s="1053"/>
      <c r="U411" s="1053"/>
      <c r="V411" s="1053"/>
      <c r="W411" s="1053"/>
      <c r="X411" s="1053"/>
      <c r="Y411" s="1053"/>
      <c r="Z411" s="1053"/>
      <c r="AA411" s="1053"/>
      <c r="AB411" s="1053"/>
      <c r="AC411" s="1053"/>
      <c r="AD411" s="1053"/>
      <c r="AE411" s="1053"/>
      <c r="AF411" s="1053"/>
      <c r="AG411" s="1053"/>
      <c r="AH411" s="1053"/>
      <c r="AI411" s="1053"/>
      <c r="AJ411" s="1053"/>
      <c r="AK411" s="1053"/>
      <c r="AL411" s="1053"/>
      <c r="AM411" s="1053"/>
      <c r="AN411" s="1053"/>
      <c r="AO411" s="1053"/>
      <c r="AP411" s="1053"/>
      <c r="AQ411" s="1053"/>
      <c r="AR411" s="1053"/>
      <c r="AS411" s="1053"/>
      <c r="AT411" s="1053"/>
      <c r="AU411" s="1053"/>
      <c r="AV411" s="1053"/>
      <c r="AW411" s="1053"/>
      <c r="AX411" s="1053"/>
      <c r="AY411" s="1053"/>
      <c r="AZ411" s="1053"/>
    </row>
    <row r="412" spans="1:52">
      <c r="A412" s="1053"/>
      <c r="B412" s="1053"/>
      <c r="C412" s="1053"/>
      <c r="D412" s="1053"/>
      <c r="E412" s="1053"/>
      <c r="F412" s="1053"/>
      <c r="G412" s="1053"/>
      <c r="H412" s="1053"/>
      <c r="I412" s="1053"/>
      <c r="J412" s="1053"/>
      <c r="K412" s="1053"/>
      <c r="L412" s="1053"/>
      <c r="M412" s="1053"/>
      <c r="N412" s="1053"/>
      <c r="O412" s="1053"/>
      <c r="P412" s="1053"/>
      <c r="Q412" s="1053"/>
      <c r="R412" s="1053"/>
      <c r="S412" s="1053"/>
      <c r="T412" s="1053"/>
      <c r="U412" s="1053"/>
      <c r="V412" s="1053"/>
      <c r="W412" s="1053"/>
      <c r="X412" s="1053"/>
      <c r="Y412" s="1053"/>
      <c r="Z412" s="1053"/>
      <c r="AA412" s="1053"/>
      <c r="AB412" s="1053"/>
      <c r="AC412" s="1053"/>
      <c r="AD412" s="1053"/>
      <c r="AE412" s="1053"/>
      <c r="AF412" s="1053"/>
      <c r="AG412" s="1053"/>
      <c r="AH412" s="1053"/>
      <c r="AI412" s="1053"/>
      <c r="AJ412" s="1053"/>
      <c r="AK412" s="1053"/>
      <c r="AL412" s="1053"/>
      <c r="AM412" s="1053"/>
      <c r="AN412" s="1053"/>
      <c r="AO412" s="1053"/>
      <c r="AP412" s="1053"/>
      <c r="AQ412" s="1053"/>
      <c r="AR412" s="1053"/>
      <c r="AS412" s="1053"/>
      <c r="AT412" s="1053"/>
      <c r="AU412" s="1053"/>
      <c r="AV412" s="1053"/>
      <c r="AW412" s="1053"/>
      <c r="AX412" s="1053"/>
      <c r="AY412" s="1053"/>
      <c r="AZ412" s="1053"/>
    </row>
    <row r="413" spans="1:52">
      <c r="A413" s="1053"/>
      <c r="B413" s="1053"/>
      <c r="C413" s="1053"/>
      <c r="D413" s="1053"/>
      <c r="E413" s="1053"/>
      <c r="F413" s="1053"/>
      <c r="G413" s="1053"/>
      <c r="H413" s="1053"/>
      <c r="I413" s="1053"/>
      <c r="J413" s="1053"/>
      <c r="K413" s="1053"/>
      <c r="L413" s="1053"/>
      <c r="M413" s="1053"/>
      <c r="N413" s="1053"/>
      <c r="O413" s="1053"/>
      <c r="P413" s="1053"/>
      <c r="Q413" s="1053"/>
      <c r="R413" s="1053"/>
      <c r="S413" s="1053"/>
      <c r="T413" s="1053"/>
      <c r="U413" s="1053"/>
      <c r="V413" s="1053"/>
      <c r="W413" s="1053"/>
      <c r="X413" s="1053"/>
      <c r="Y413" s="1053"/>
      <c r="Z413" s="1053"/>
      <c r="AA413" s="1053"/>
      <c r="AB413" s="1053"/>
      <c r="AC413" s="1053"/>
      <c r="AD413" s="1053"/>
      <c r="AE413" s="1053"/>
      <c r="AF413" s="1053"/>
      <c r="AG413" s="1053"/>
      <c r="AH413" s="1053"/>
      <c r="AI413" s="1053"/>
      <c r="AJ413" s="1053"/>
      <c r="AK413" s="1053"/>
      <c r="AL413" s="1053"/>
      <c r="AM413" s="1053"/>
      <c r="AN413" s="1053"/>
      <c r="AO413" s="1053"/>
      <c r="AP413" s="1053"/>
      <c r="AQ413" s="1053"/>
      <c r="AR413" s="1053"/>
      <c r="AS413" s="1053"/>
      <c r="AT413" s="1053"/>
      <c r="AU413" s="1053"/>
      <c r="AV413" s="1053"/>
      <c r="AW413" s="1053"/>
      <c r="AX413" s="1053"/>
      <c r="AY413" s="1053"/>
      <c r="AZ413" s="1053"/>
    </row>
    <row r="414" spans="1:52">
      <c r="A414" s="1053"/>
      <c r="B414" s="1053"/>
      <c r="C414" s="1053"/>
      <c r="D414" s="1053"/>
      <c r="E414" s="1053"/>
      <c r="F414" s="1053"/>
      <c r="G414" s="1053"/>
      <c r="H414" s="1053"/>
      <c r="I414" s="1053"/>
      <c r="J414" s="1053"/>
      <c r="K414" s="1053"/>
      <c r="L414" s="1053"/>
      <c r="M414" s="1053"/>
      <c r="N414" s="1053"/>
      <c r="O414" s="1053"/>
      <c r="P414" s="1053"/>
      <c r="Q414" s="1053"/>
      <c r="R414" s="1053"/>
      <c r="S414" s="1053"/>
      <c r="T414" s="1053"/>
      <c r="U414" s="1053"/>
      <c r="V414" s="1053"/>
      <c r="W414" s="1053"/>
      <c r="X414" s="1053"/>
      <c r="Y414" s="1053"/>
      <c r="Z414" s="1053"/>
      <c r="AA414" s="1053"/>
      <c r="AB414" s="1053"/>
      <c r="AC414" s="1053"/>
      <c r="AD414" s="1053"/>
      <c r="AE414" s="1053"/>
      <c r="AF414" s="1053"/>
      <c r="AG414" s="1053"/>
      <c r="AH414" s="1053"/>
      <c r="AI414" s="1053"/>
      <c r="AJ414" s="1053"/>
      <c r="AK414" s="1053"/>
      <c r="AL414" s="1053"/>
      <c r="AM414" s="1053"/>
      <c r="AN414" s="1053"/>
      <c r="AO414" s="1053"/>
      <c r="AP414" s="1053"/>
      <c r="AQ414" s="1053"/>
      <c r="AR414" s="1053"/>
      <c r="AS414" s="1053"/>
      <c r="AT414" s="1053"/>
      <c r="AU414" s="1053"/>
      <c r="AV414" s="1053"/>
      <c r="AW414" s="1053"/>
      <c r="AX414" s="1053"/>
      <c r="AY414" s="1053"/>
      <c r="AZ414" s="1053"/>
    </row>
    <row r="415" spans="1:52">
      <c r="A415" s="1053"/>
      <c r="B415" s="1053"/>
      <c r="C415" s="1053"/>
      <c r="D415" s="1053"/>
      <c r="E415" s="1053"/>
      <c r="F415" s="1053"/>
      <c r="G415" s="1053"/>
      <c r="H415" s="1053"/>
      <c r="I415" s="1053"/>
      <c r="J415" s="1053"/>
      <c r="K415" s="1053"/>
      <c r="L415" s="1053"/>
      <c r="M415" s="1053"/>
      <c r="N415" s="1053"/>
      <c r="O415" s="1053"/>
      <c r="P415" s="1053"/>
      <c r="Q415" s="1053"/>
      <c r="R415" s="1053"/>
      <c r="S415" s="1053"/>
      <c r="T415" s="1053"/>
      <c r="U415" s="1053"/>
      <c r="V415" s="1053"/>
      <c r="W415" s="1053"/>
      <c r="X415" s="1053"/>
      <c r="Y415" s="1053"/>
      <c r="Z415" s="1053"/>
      <c r="AA415" s="1053"/>
      <c r="AB415" s="1053"/>
      <c r="AC415" s="1053"/>
      <c r="AD415" s="1053"/>
      <c r="AE415" s="1053"/>
      <c r="AF415" s="1053"/>
      <c r="AG415" s="1053"/>
      <c r="AH415" s="1053"/>
      <c r="AI415" s="1053"/>
      <c r="AJ415" s="1053"/>
      <c r="AK415" s="1053"/>
      <c r="AL415" s="1053"/>
      <c r="AM415" s="1053"/>
      <c r="AN415" s="1053"/>
      <c r="AO415" s="1053"/>
      <c r="AP415" s="1053"/>
      <c r="AQ415" s="1053"/>
      <c r="AR415" s="1053"/>
      <c r="AS415" s="1053"/>
      <c r="AT415" s="1053"/>
      <c r="AU415" s="1053"/>
      <c r="AV415" s="1053"/>
      <c r="AW415" s="1053"/>
      <c r="AX415" s="1053"/>
      <c r="AY415" s="1053"/>
      <c r="AZ415" s="1053"/>
    </row>
    <row r="416" spans="1:52">
      <c r="A416" s="1053"/>
      <c r="B416" s="1053"/>
      <c r="C416" s="1053"/>
      <c r="D416" s="1053"/>
      <c r="E416" s="1053"/>
      <c r="F416" s="1053"/>
      <c r="G416" s="1053"/>
      <c r="H416" s="1053"/>
      <c r="I416" s="1053"/>
      <c r="J416" s="1053"/>
      <c r="K416" s="1053"/>
      <c r="L416" s="1053"/>
      <c r="M416" s="1053"/>
      <c r="N416" s="1053"/>
      <c r="O416" s="1053"/>
      <c r="P416" s="1053"/>
      <c r="Q416" s="1053"/>
      <c r="R416" s="1053"/>
      <c r="S416" s="1053"/>
      <c r="T416" s="1053"/>
      <c r="U416" s="1053"/>
      <c r="V416" s="1053"/>
      <c r="W416" s="1053"/>
      <c r="X416" s="1053"/>
      <c r="Y416" s="1053"/>
      <c r="Z416" s="1053"/>
      <c r="AA416" s="1053"/>
      <c r="AB416" s="1053"/>
      <c r="AC416" s="1053"/>
      <c r="AD416" s="1053"/>
      <c r="AE416" s="1053"/>
      <c r="AF416" s="1053"/>
      <c r="AG416" s="1053"/>
      <c r="AH416" s="1053"/>
      <c r="AI416" s="1053"/>
      <c r="AJ416" s="1053"/>
      <c r="AK416" s="1053"/>
      <c r="AL416" s="1053"/>
      <c r="AM416" s="1053"/>
      <c r="AN416" s="1053"/>
      <c r="AO416" s="1053"/>
      <c r="AP416" s="1053"/>
      <c r="AQ416" s="1053"/>
      <c r="AR416" s="1053"/>
      <c r="AS416" s="1053"/>
      <c r="AT416" s="1053"/>
      <c r="AU416" s="1053"/>
      <c r="AV416" s="1053"/>
      <c r="AW416" s="1053"/>
      <c r="AX416" s="1053"/>
      <c r="AY416" s="1053"/>
      <c r="AZ416" s="1053"/>
    </row>
    <row r="417" spans="1:52">
      <c r="A417" s="1053"/>
      <c r="B417" s="1053"/>
      <c r="C417" s="1053"/>
      <c r="D417" s="1053"/>
      <c r="E417" s="1053"/>
      <c r="F417" s="1053"/>
      <c r="G417" s="1053"/>
      <c r="H417" s="1053"/>
      <c r="I417" s="1053"/>
      <c r="J417" s="1053"/>
      <c r="K417" s="1053"/>
      <c r="L417" s="1053"/>
      <c r="M417" s="1053"/>
      <c r="N417" s="1053"/>
      <c r="O417" s="1053"/>
      <c r="P417" s="1053"/>
      <c r="Q417" s="1053"/>
      <c r="R417" s="1053"/>
      <c r="S417" s="1053"/>
      <c r="T417" s="1053"/>
      <c r="U417" s="1053"/>
      <c r="V417" s="1053"/>
      <c r="W417" s="1053"/>
      <c r="X417" s="1053"/>
      <c r="Y417" s="1053"/>
      <c r="Z417" s="1053"/>
      <c r="AA417" s="1053"/>
      <c r="AB417" s="1053"/>
      <c r="AC417" s="1053"/>
      <c r="AD417" s="1053"/>
      <c r="AE417" s="1053"/>
      <c r="AF417" s="1053"/>
      <c r="AG417" s="1053"/>
      <c r="AH417" s="1053"/>
      <c r="AI417" s="1053"/>
      <c r="AJ417" s="1053"/>
      <c r="AK417" s="1053"/>
      <c r="AL417" s="1053"/>
      <c r="AM417" s="1053"/>
      <c r="AN417" s="1053"/>
      <c r="AO417" s="1053"/>
      <c r="AP417" s="1053"/>
      <c r="AQ417" s="1053"/>
      <c r="AR417" s="1053"/>
      <c r="AS417" s="1053"/>
      <c r="AT417" s="1053"/>
      <c r="AU417" s="1053"/>
      <c r="AV417" s="1053"/>
      <c r="AW417" s="1053"/>
      <c r="AX417" s="1053"/>
      <c r="AY417" s="1053"/>
      <c r="AZ417" s="1053"/>
    </row>
    <row r="418" spans="1:52">
      <c r="A418" s="1053"/>
      <c r="B418" s="1053"/>
      <c r="C418" s="1053"/>
      <c r="D418" s="1053"/>
      <c r="E418" s="1053"/>
      <c r="F418" s="1053"/>
      <c r="G418" s="1053"/>
      <c r="H418" s="1053"/>
      <c r="I418" s="1053"/>
      <c r="J418" s="1053"/>
      <c r="K418" s="1053"/>
      <c r="L418" s="1053"/>
      <c r="M418" s="1053"/>
      <c r="N418" s="1053"/>
      <c r="O418" s="1053"/>
      <c r="P418" s="1053"/>
      <c r="Q418" s="1053"/>
      <c r="R418" s="1053"/>
      <c r="S418" s="1053"/>
      <c r="T418" s="1053"/>
      <c r="U418" s="1053"/>
      <c r="V418" s="1053"/>
      <c r="W418" s="1053"/>
      <c r="X418" s="1053"/>
      <c r="Y418" s="1053"/>
      <c r="Z418" s="1053"/>
      <c r="AA418" s="1053"/>
      <c r="AB418" s="1053"/>
      <c r="AC418" s="1053"/>
      <c r="AD418" s="1053"/>
      <c r="AE418" s="1053"/>
      <c r="AF418" s="1053"/>
      <c r="AG418" s="1053"/>
      <c r="AH418" s="1053"/>
      <c r="AI418" s="1053"/>
      <c r="AJ418" s="1053"/>
      <c r="AK418" s="1053"/>
      <c r="AL418" s="1053"/>
      <c r="AM418" s="1053"/>
      <c r="AN418" s="1053"/>
      <c r="AO418" s="1053"/>
      <c r="AP418" s="1053"/>
      <c r="AQ418" s="1053"/>
      <c r="AR418" s="1053"/>
      <c r="AS418" s="1053"/>
      <c r="AT418" s="1053"/>
      <c r="AU418" s="1053"/>
      <c r="AV418" s="1053"/>
      <c r="AW418" s="1053"/>
      <c r="AX418" s="1053"/>
      <c r="AY418" s="1053"/>
      <c r="AZ418" s="1053"/>
    </row>
    <row r="419" spans="1:52">
      <c r="A419" s="1053"/>
      <c r="B419" s="1053"/>
      <c r="C419" s="1053"/>
      <c r="D419" s="1053"/>
      <c r="E419" s="1053"/>
      <c r="F419" s="1053"/>
      <c r="G419" s="1053"/>
      <c r="H419" s="1053"/>
      <c r="I419" s="1053"/>
      <c r="J419" s="1053"/>
      <c r="K419" s="1053"/>
      <c r="L419" s="1053"/>
      <c r="M419" s="1053"/>
      <c r="N419" s="1053"/>
      <c r="O419" s="1053"/>
      <c r="P419" s="1053"/>
      <c r="Q419" s="1053"/>
      <c r="R419" s="1053"/>
      <c r="S419" s="1053"/>
      <c r="T419" s="1053"/>
      <c r="U419" s="1053"/>
      <c r="V419" s="1053"/>
      <c r="W419" s="1053"/>
      <c r="X419" s="1053"/>
      <c r="Y419" s="1053"/>
      <c r="Z419" s="1053"/>
      <c r="AA419" s="1053"/>
      <c r="AB419" s="1053"/>
      <c r="AC419" s="1053"/>
      <c r="AD419" s="1053"/>
      <c r="AE419" s="1053"/>
      <c r="AF419" s="1053"/>
      <c r="AG419" s="1053"/>
      <c r="AH419" s="1053"/>
      <c r="AI419" s="1053"/>
      <c r="AJ419" s="1053"/>
      <c r="AK419" s="1053"/>
      <c r="AL419" s="1053"/>
      <c r="AM419" s="1053"/>
      <c r="AN419" s="1053"/>
      <c r="AO419" s="1053"/>
      <c r="AP419" s="1053"/>
      <c r="AQ419" s="1053"/>
      <c r="AR419" s="1053"/>
      <c r="AS419" s="1053"/>
      <c r="AT419" s="1053"/>
      <c r="AU419" s="1053"/>
      <c r="AV419" s="1053"/>
      <c r="AW419" s="1053"/>
      <c r="AX419" s="1053"/>
      <c r="AY419" s="1053"/>
      <c r="AZ419" s="1053"/>
    </row>
    <row r="420" spans="1:52">
      <c r="A420" s="1053"/>
      <c r="B420" s="1053"/>
      <c r="C420" s="1053"/>
      <c r="D420" s="1053"/>
      <c r="E420" s="1053"/>
      <c r="F420" s="1053"/>
      <c r="G420" s="1053"/>
      <c r="H420" s="1053"/>
      <c r="I420" s="1053"/>
      <c r="J420" s="1053"/>
      <c r="K420" s="1053"/>
      <c r="L420" s="1053"/>
      <c r="M420" s="1053"/>
      <c r="N420" s="1053"/>
      <c r="O420" s="1053"/>
      <c r="P420" s="1053"/>
      <c r="Q420" s="1053"/>
      <c r="R420" s="1053"/>
      <c r="S420" s="1053"/>
      <c r="T420" s="1053"/>
      <c r="U420" s="1053"/>
      <c r="V420" s="1053"/>
      <c r="W420" s="1053"/>
      <c r="X420" s="1053"/>
      <c r="Y420" s="1053"/>
      <c r="Z420" s="1053"/>
      <c r="AA420" s="1053"/>
      <c r="AB420" s="1053"/>
      <c r="AC420" s="1053"/>
      <c r="AD420" s="1053"/>
      <c r="AE420" s="1053"/>
      <c r="AF420" s="1053"/>
      <c r="AG420" s="1053"/>
      <c r="AH420" s="1053"/>
      <c r="AI420" s="1053"/>
      <c r="AJ420" s="1053"/>
      <c r="AK420" s="1053"/>
      <c r="AL420" s="1053"/>
      <c r="AM420" s="1053"/>
      <c r="AN420" s="1053"/>
      <c r="AO420" s="1053"/>
      <c r="AP420" s="1053"/>
      <c r="AQ420" s="1053"/>
      <c r="AR420" s="1053"/>
      <c r="AS420" s="1053"/>
      <c r="AT420" s="1053"/>
      <c r="AU420" s="1053"/>
      <c r="AV420" s="1053"/>
      <c r="AW420" s="1053"/>
      <c r="AX420" s="1053"/>
      <c r="AY420" s="1053"/>
      <c r="AZ420" s="1053"/>
    </row>
    <row r="421" spans="1:52">
      <c r="A421" s="1053"/>
      <c r="B421" s="1053"/>
      <c r="C421" s="1053"/>
      <c r="D421" s="1053"/>
      <c r="E421" s="1053"/>
      <c r="F421" s="1053"/>
      <c r="G421" s="1053"/>
      <c r="H421" s="1053"/>
      <c r="I421" s="1053"/>
      <c r="J421" s="1053"/>
      <c r="K421" s="1053"/>
      <c r="L421" s="1053"/>
      <c r="M421" s="1053"/>
      <c r="N421" s="1053"/>
      <c r="O421" s="1053"/>
      <c r="P421" s="1053"/>
      <c r="Q421" s="1053"/>
      <c r="R421" s="1053"/>
      <c r="S421" s="1053"/>
      <c r="T421" s="1053"/>
      <c r="U421" s="1053"/>
      <c r="V421" s="1053"/>
      <c r="W421" s="1053"/>
      <c r="X421" s="1053"/>
      <c r="Y421" s="1053"/>
      <c r="Z421" s="1053"/>
      <c r="AA421" s="1053"/>
      <c r="AB421" s="1053"/>
      <c r="AC421" s="1053"/>
      <c r="AD421" s="1053"/>
      <c r="AE421" s="1053"/>
      <c r="AF421" s="1053"/>
      <c r="AG421" s="1053"/>
      <c r="AH421" s="1053"/>
      <c r="AI421" s="1053"/>
      <c r="AJ421" s="1053"/>
      <c r="AK421" s="1053"/>
      <c r="AL421" s="1053"/>
      <c r="AM421" s="1053"/>
      <c r="AN421" s="1053"/>
      <c r="AO421" s="1053"/>
      <c r="AP421" s="1053"/>
      <c r="AQ421" s="1053"/>
      <c r="AR421" s="1053"/>
      <c r="AS421" s="1053"/>
      <c r="AT421" s="1053"/>
      <c r="AU421" s="1053"/>
      <c r="AV421" s="1053"/>
      <c r="AW421" s="1053"/>
      <c r="AX421" s="1053"/>
      <c r="AY421" s="1053"/>
      <c r="AZ421" s="1053"/>
    </row>
    <row r="422" spans="1:52">
      <c r="A422" s="1053"/>
      <c r="B422" s="1053"/>
      <c r="C422" s="1053"/>
      <c r="D422" s="1053"/>
      <c r="E422" s="1053"/>
      <c r="F422" s="1053"/>
      <c r="G422" s="1053"/>
      <c r="H422" s="1053"/>
      <c r="I422" s="1053"/>
      <c r="J422" s="1053"/>
      <c r="K422" s="1053"/>
      <c r="L422" s="1053"/>
      <c r="M422" s="1053"/>
      <c r="N422" s="1053"/>
      <c r="O422" s="1053"/>
      <c r="P422" s="1053"/>
      <c r="Q422" s="1053"/>
      <c r="R422" s="1053"/>
      <c r="S422" s="1053"/>
      <c r="T422" s="1053"/>
      <c r="U422" s="1053"/>
      <c r="V422" s="1053"/>
      <c r="W422" s="1053"/>
      <c r="X422" s="1053"/>
      <c r="Y422" s="1053"/>
      <c r="Z422" s="1053"/>
      <c r="AA422" s="1053"/>
      <c r="AB422" s="1053"/>
      <c r="AC422" s="1053"/>
      <c r="AD422" s="1053"/>
      <c r="AE422" s="1053"/>
      <c r="AF422" s="1053"/>
      <c r="AG422" s="1053"/>
      <c r="AH422" s="1053"/>
      <c r="AI422" s="1053"/>
      <c r="AJ422" s="1053"/>
      <c r="AK422" s="1053"/>
      <c r="AL422" s="1053"/>
      <c r="AM422" s="1053"/>
      <c r="AN422" s="1053"/>
      <c r="AO422" s="1053"/>
      <c r="AP422" s="1053"/>
      <c r="AQ422" s="1053"/>
      <c r="AR422" s="1053"/>
      <c r="AS422" s="1053"/>
      <c r="AT422" s="1053"/>
      <c r="AU422" s="1053"/>
      <c r="AV422" s="1053"/>
      <c r="AW422" s="1053"/>
      <c r="AX422" s="1053"/>
      <c r="AY422" s="1053"/>
      <c r="AZ422" s="1053"/>
    </row>
    <row r="423" spans="1:52">
      <c r="A423" s="1053"/>
      <c r="B423" s="1053"/>
      <c r="C423" s="1053"/>
      <c r="D423" s="1053"/>
      <c r="E423" s="1053"/>
      <c r="F423" s="1053"/>
      <c r="G423" s="1053"/>
      <c r="H423" s="1053"/>
      <c r="I423" s="1053"/>
      <c r="J423" s="1053"/>
      <c r="K423" s="1053"/>
      <c r="L423" s="1053"/>
      <c r="M423" s="1053"/>
      <c r="N423" s="1053"/>
      <c r="O423" s="1053"/>
      <c r="P423" s="1053"/>
      <c r="Q423" s="1053"/>
      <c r="R423" s="1053"/>
      <c r="S423" s="1053"/>
      <c r="T423" s="1053"/>
      <c r="U423" s="1053"/>
      <c r="V423" s="1053"/>
      <c r="W423" s="1053"/>
      <c r="X423" s="1053"/>
      <c r="Y423" s="1053"/>
      <c r="Z423" s="1053"/>
      <c r="AA423" s="1053"/>
      <c r="AB423" s="1053"/>
      <c r="AC423" s="1053"/>
      <c r="AD423" s="1053"/>
      <c r="AE423" s="1053"/>
      <c r="AF423" s="1053"/>
      <c r="AG423" s="1053"/>
      <c r="AH423" s="1053"/>
      <c r="AI423" s="1053"/>
      <c r="AJ423" s="1053"/>
      <c r="AK423" s="1053"/>
      <c r="AL423" s="1053"/>
      <c r="AM423" s="1053"/>
      <c r="AN423" s="1053"/>
      <c r="AO423" s="1053"/>
      <c r="AP423" s="1053"/>
      <c r="AQ423" s="1053"/>
      <c r="AR423" s="1053"/>
      <c r="AS423" s="1053"/>
      <c r="AT423" s="1053"/>
      <c r="AU423" s="1053"/>
      <c r="AV423" s="1053"/>
      <c r="AW423" s="1053"/>
      <c r="AX423" s="1053"/>
      <c r="AY423" s="1053"/>
      <c r="AZ423" s="1053"/>
    </row>
    <row r="424" spans="1:52">
      <c r="A424" s="1053"/>
      <c r="B424" s="1053"/>
      <c r="C424" s="1053"/>
      <c r="D424" s="1053"/>
      <c r="E424" s="1053"/>
      <c r="F424" s="1053"/>
      <c r="G424" s="1053"/>
      <c r="H424" s="1053"/>
      <c r="I424" s="1053"/>
      <c r="J424" s="1053"/>
      <c r="K424" s="1053"/>
      <c r="L424" s="1053"/>
      <c r="M424" s="1053"/>
      <c r="N424" s="1053"/>
      <c r="O424" s="1053"/>
      <c r="P424" s="1053"/>
      <c r="Q424" s="1053"/>
      <c r="R424" s="1053"/>
      <c r="S424" s="1053"/>
      <c r="T424" s="1053"/>
      <c r="U424" s="1053"/>
      <c r="V424" s="1053"/>
      <c r="W424" s="1053"/>
      <c r="X424" s="1053"/>
      <c r="Y424" s="1053"/>
      <c r="Z424" s="1053"/>
      <c r="AA424" s="1053"/>
      <c r="AB424" s="1053"/>
      <c r="AC424" s="1053"/>
      <c r="AD424" s="1053"/>
      <c r="AE424" s="1053"/>
      <c r="AF424" s="1053"/>
      <c r="AG424" s="1053"/>
      <c r="AH424" s="1053"/>
      <c r="AI424" s="1053"/>
      <c r="AJ424" s="1053"/>
      <c r="AK424" s="1053"/>
      <c r="AL424" s="1053"/>
      <c r="AM424" s="1053"/>
      <c r="AN424" s="1053"/>
      <c r="AO424" s="1053"/>
      <c r="AP424" s="1053"/>
      <c r="AQ424" s="1053"/>
      <c r="AR424" s="1053"/>
      <c r="AS424" s="1053"/>
      <c r="AT424" s="1053"/>
      <c r="AU424" s="1053"/>
      <c r="AV424" s="1053"/>
      <c r="AW424" s="1053"/>
      <c r="AX424" s="1053"/>
      <c r="AY424" s="1053"/>
      <c r="AZ424" s="1053"/>
    </row>
    <row r="425" spans="1:52">
      <c r="A425" s="1053"/>
      <c r="B425" s="1053"/>
      <c r="C425" s="1053"/>
      <c r="D425" s="1053"/>
      <c r="E425" s="1053"/>
      <c r="F425" s="1053"/>
      <c r="G425" s="1053"/>
      <c r="H425" s="1053"/>
      <c r="I425" s="1053"/>
      <c r="J425" s="1053"/>
      <c r="K425" s="1053"/>
      <c r="L425" s="1053"/>
      <c r="M425" s="1053"/>
      <c r="N425" s="1053"/>
      <c r="O425" s="1053"/>
      <c r="P425" s="1053"/>
      <c r="Q425" s="1053"/>
      <c r="R425" s="1053"/>
      <c r="S425" s="1053"/>
      <c r="T425" s="1053"/>
      <c r="U425" s="1053"/>
      <c r="V425" s="1053"/>
      <c r="W425" s="1053"/>
      <c r="X425" s="1053"/>
      <c r="Y425" s="1053"/>
      <c r="Z425" s="1053"/>
      <c r="AA425" s="1053"/>
      <c r="AB425" s="1053"/>
      <c r="AC425" s="1053"/>
      <c r="AD425" s="1053"/>
      <c r="AE425" s="1053"/>
      <c r="AF425" s="1053"/>
      <c r="AG425" s="1053"/>
      <c r="AH425" s="1053"/>
      <c r="AI425" s="1053"/>
      <c r="AJ425" s="1053"/>
      <c r="AK425" s="1053"/>
      <c r="AL425" s="1053"/>
      <c r="AM425" s="1053"/>
      <c r="AN425" s="1053"/>
      <c r="AO425" s="1053"/>
      <c r="AP425" s="1053"/>
      <c r="AQ425" s="1053"/>
      <c r="AR425" s="1053"/>
      <c r="AS425" s="1053"/>
      <c r="AT425" s="1053"/>
      <c r="AU425" s="1053"/>
      <c r="AV425" s="1053"/>
      <c r="AW425" s="1053"/>
      <c r="AX425" s="1053"/>
      <c r="AY425" s="1053"/>
      <c r="AZ425" s="1053"/>
    </row>
    <row r="426" spans="1:52">
      <c r="A426" s="1053"/>
      <c r="B426" s="1053"/>
      <c r="C426" s="1053"/>
      <c r="D426" s="1053"/>
      <c r="E426" s="1053"/>
      <c r="F426" s="1053"/>
      <c r="G426" s="1053"/>
      <c r="H426" s="1053"/>
      <c r="I426" s="1053"/>
      <c r="J426" s="1053"/>
      <c r="K426" s="1053"/>
      <c r="L426" s="1053"/>
      <c r="M426" s="1053"/>
      <c r="N426" s="1053"/>
      <c r="O426" s="1053"/>
      <c r="P426" s="1053"/>
      <c r="Q426" s="1053"/>
      <c r="R426" s="1053"/>
      <c r="S426" s="1053"/>
      <c r="T426" s="1053"/>
      <c r="U426" s="1053"/>
      <c r="V426" s="1053"/>
      <c r="W426" s="1053"/>
      <c r="X426" s="1053"/>
      <c r="Y426" s="1053"/>
      <c r="Z426" s="1053"/>
      <c r="AA426" s="1053"/>
      <c r="AB426" s="1053"/>
      <c r="AC426" s="1053"/>
      <c r="AD426" s="1053"/>
      <c r="AE426" s="1053"/>
      <c r="AF426" s="1053"/>
      <c r="AG426" s="1053"/>
      <c r="AH426" s="1053"/>
      <c r="AI426" s="1053"/>
      <c r="AJ426" s="1053"/>
      <c r="AK426" s="1053"/>
      <c r="AL426" s="1053"/>
      <c r="AM426" s="1053"/>
      <c r="AN426" s="1053"/>
      <c r="AO426" s="1053"/>
      <c r="AP426" s="1053"/>
      <c r="AQ426" s="1053"/>
      <c r="AR426" s="1053"/>
      <c r="AS426" s="1053"/>
      <c r="AT426" s="1053"/>
      <c r="AU426" s="1053"/>
      <c r="AV426" s="1053"/>
      <c r="AW426" s="1053"/>
      <c r="AX426" s="1053"/>
      <c r="AY426" s="1053"/>
      <c r="AZ426" s="1053"/>
    </row>
    <row r="427" spans="1:52">
      <c r="A427" s="1053"/>
      <c r="B427" s="1053"/>
      <c r="C427" s="1053"/>
      <c r="D427" s="1053"/>
      <c r="E427" s="1053"/>
      <c r="F427" s="1053"/>
      <c r="G427" s="1053"/>
      <c r="H427" s="1053"/>
      <c r="I427" s="1053"/>
      <c r="J427" s="1053"/>
      <c r="K427" s="1053"/>
      <c r="L427" s="1053"/>
      <c r="M427" s="1053"/>
      <c r="N427" s="1053"/>
      <c r="O427" s="1053"/>
      <c r="P427" s="1053"/>
      <c r="Q427" s="1053"/>
      <c r="R427" s="1053"/>
      <c r="S427" s="1053"/>
      <c r="T427" s="1053"/>
      <c r="U427" s="1053"/>
      <c r="V427" s="1053"/>
      <c r="W427" s="1053"/>
      <c r="X427" s="1053"/>
      <c r="Y427" s="1053"/>
      <c r="Z427" s="1053"/>
      <c r="AA427" s="1053"/>
      <c r="AB427" s="1053"/>
      <c r="AC427" s="1053"/>
      <c r="AD427" s="1053"/>
      <c r="AE427" s="1053"/>
      <c r="AF427" s="1053"/>
      <c r="AG427" s="1053"/>
      <c r="AH427" s="1053"/>
      <c r="AI427" s="1053"/>
      <c r="AJ427" s="1053"/>
      <c r="AK427" s="1053"/>
      <c r="AL427" s="1053"/>
      <c r="AM427" s="1053"/>
      <c r="AN427" s="1053"/>
      <c r="AO427" s="1053"/>
      <c r="AP427" s="1053"/>
      <c r="AQ427" s="1053"/>
      <c r="AR427" s="1053"/>
      <c r="AS427" s="1053"/>
      <c r="AT427" s="1053"/>
      <c r="AU427" s="1053"/>
      <c r="AV427" s="1053"/>
      <c r="AW427" s="1053"/>
      <c r="AX427" s="1053"/>
      <c r="AY427" s="1053"/>
      <c r="AZ427" s="1053"/>
    </row>
    <row r="428" spans="1:52">
      <c r="A428" s="1053"/>
      <c r="B428" s="1053"/>
      <c r="C428" s="1053"/>
      <c r="D428" s="1053"/>
      <c r="E428" s="1053"/>
      <c r="F428" s="1053"/>
      <c r="G428" s="1053"/>
      <c r="H428" s="1053"/>
      <c r="I428" s="1053"/>
      <c r="J428" s="1053"/>
      <c r="K428" s="1053"/>
      <c r="L428" s="1053"/>
      <c r="M428" s="1053"/>
      <c r="N428" s="1053"/>
      <c r="O428" s="1053"/>
      <c r="P428" s="1053"/>
      <c r="Q428" s="1053"/>
      <c r="R428" s="1053"/>
      <c r="S428" s="1053"/>
      <c r="T428" s="1053"/>
      <c r="U428" s="1053"/>
      <c r="V428" s="1053"/>
      <c r="W428" s="1053"/>
      <c r="X428" s="1053"/>
      <c r="Y428" s="1053"/>
      <c r="Z428" s="1053"/>
      <c r="AA428" s="1053"/>
      <c r="AB428" s="1053"/>
      <c r="AC428" s="1053"/>
      <c r="AD428" s="1053"/>
      <c r="AE428" s="1053"/>
      <c r="AF428" s="1053"/>
      <c r="AG428" s="1053"/>
      <c r="AH428" s="1053"/>
      <c r="AI428" s="1053"/>
      <c r="AJ428" s="1053"/>
      <c r="AK428" s="1053"/>
      <c r="AL428" s="1053"/>
      <c r="AM428" s="1053"/>
      <c r="AN428" s="1053"/>
      <c r="AO428" s="1053"/>
      <c r="AP428" s="1053"/>
      <c r="AQ428" s="1053"/>
      <c r="AR428" s="1053"/>
      <c r="AS428" s="1053"/>
      <c r="AT428" s="1053"/>
      <c r="AU428" s="1053"/>
      <c r="AV428" s="1053"/>
      <c r="AW428" s="1053"/>
      <c r="AX428" s="1053"/>
      <c r="AY428" s="1053"/>
      <c r="AZ428" s="1053"/>
    </row>
    <row r="429" spans="1:52">
      <c r="A429" s="1053"/>
      <c r="B429" s="1053"/>
      <c r="C429" s="1053"/>
      <c r="D429" s="1053"/>
      <c r="E429" s="1053"/>
      <c r="F429" s="1053"/>
      <c r="G429" s="1053"/>
      <c r="H429" s="1053"/>
      <c r="I429" s="1053"/>
      <c r="J429" s="1053"/>
      <c r="K429" s="1053"/>
      <c r="L429" s="1053"/>
      <c r="M429" s="1053"/>
      <c r="N429" s="1053"/>
      <c r="O429" s="1053"/>
      <c r="P429" s="1053"/>
      <c r="Q429" s="1053"/>
      <c r="R429" s="1053"/>
      <c r="S429" s="1053"/>
      <c r="T429" s="1053"/>
      <c r="U429" s="1053"/>
      <c r="V429" s="1053"/>
      <c r="W429" s="1053"/>
      <c r="X429" s="1053"/>
      <c r="Y429" s="1053"/>
      <c r="Z429" s="1053"/>
      <c r="AA429" s="1053"/>
      <c r="AB429" s="1053"/>
      <c r="AC429" s="1053"/>
      <c r="AD429" s="1053"/>
      <c r="AE429" s="1053"/>
      <c r="AF429" s="1053"/>
      <c r="AG429" s="1053"/>
      <c r="AH429" s="1053"/>
      <c r="AI429" s="1053"/>
      <c r="AJ429" s="1053"/>
      <c r="AK429" s="1053"/>
      <c r="AL429" s="1053"/>
      <c r="AM429" s="1053"/>
      <c r="AN429" s="1053"/>
      <c r="AO429" s="1053"/>
      <c r="AP429" s="1053"/>
      <c r="AQ429" s="1053"/>
      <c r="AR429" s="1053"/>
      <c r="AS429" s="1053"/>
      <c r="AT429" s="1053"/>
      <c r="AU429" s="1053"/>
      <c r="AV429" s="1053"/>
      <c r="AW429" s="1053"/>
      <c r="AX429" s="1053"/>
      <c r="AY429" s="1053"/>
      <c r="AZ429" s="1053"/>
    </row>
    <row r="430" spans="1:52">
      <c r="A430" s="1053"/>
      <c r="B430" s="1053"/>
      <c r="C430" s="1053"/>
      <c r="D430" s="1053"/>
      <c r="E430" s="1053"/>
      <c r="F430" s="1053"/>
      <c r="G430" s="1053"/>
      <c r="H430" s="1053"/>
      <c r="I430" s="1053"/>
      <c r="J430" s="1053"/>
      <c r="K430" s="1053"/>
      <c r="L430" s="1053"/>
      <c r="M430" s="1053"/>
      <c r="N430" s="1053"/>
      <c r="O430" s="1053"/>
      <c r="P430" s="1053"/>
      <c r="Q430" s="1053"/>
      <c r="R430" s="1053"/>
      <c r="S430" s="1053"/>
      <c r="T430" s="1053"/>
      <c r="U430" s="1053"/>
      <c r="V430" s="1053"/>
      <c r="W430" s="1053"/>
      <c r="X430" s="1053"/>
      <c r="Y430" s="1053"/>
      <c r="Z430" s="1053"/>
      <c r="AA430" s="1053"/>
      <c r="AB430" s="1053"/>
      <c r="AC430" s="1053"/>
      <c r="AD430" s="1053"/>
      <c r="AE430" s="1053"/>
      <c r="AF430" s="1053"/>
      <c r="AG430" s="1053"/>
      <c r="AH430" s="1053"/>
      <c r="AI430" s="1053"/>
      <c r="AJ430" s="1053"/>
      <c r="AK430" s="1053"/>
      <c r="AL430" s="1053"/>
      <c r="AM430" s="1053"/>
      <c r="AN430" s="1053"/>
      <c r="AO430" s="1053"/>
      <c r="AP430" s="1053"/>
      <c r="AQ430" s="1053"/>
      <c r="AR430" s="1053"/>
      <c r="AS430" s="1053"/>
      <c r="AT430" s="1053"/>
      <c r="AU430" s="1053"/>
      <c r="AV430" s="1053"/>
      <c r="AW430" s="1053"/>
      <c r="AX430" s="1053"/>
      <c r="AY430" s="1053"/>
      <c r="AZ430" s="1053"/>
    </row>
    <row r="431" spans="1:52">
      <c r="A431" s="1053"/>
      <c r="B431" s="1053"/>
      <c r="C431" s="1053"/>
      <c r="D431" s="1053"/>
      <c r="E431" s="1053"/>
      <c r="F431" s="1053"/>
      <c r="G431" s="1053"/>
      <c r="H431" s="1053"/>
      <c r="I431" s="1053"/>
      <c r="J431" s="1053"/>
      <c r="K431" s="1053"/>
      <c r="L431" s="1053"/>
      <c r="M431" s="1053"/>
      <c r="N431" s="1053"/>
      <c r="O431" s="1053"/>
      <c r="P431" s="1053"/>
      <c r="Q431" s="1053"/>
      <c r="R431" s="1053"/>
      <c r="S431" s="1053"/>
      <c r="T431" s="1053"/>
      <c r="U431" s="1053"/>
      <c r="V431" s="1053"/>
      <c r="W431" s="1053"/>
      <c r="X431" s="1053"/>
      <c r="Y431" s="1053"/>
      <c r="Z431" s="1053"/>
      <c r="AA431" s="1053"/>
      <c r="AB431" s="1053"/>
      <c r="AC431" s="1053"/>
      <c r="AD431" s="1053"/>
      <c r="AE431" s="1053"/>
      <c r="AF431" s="1053"/>
      <c r="AG431" s="1053"/>
      <c r="AH431" s="1053"/>
      <c r="AI431" s="1053"/>
      <c r="AJ431" s="1053"/>
      <c r="AK431" s="1053"/>
      <c r="AL431" s="1053"/>
      <c r="AM431" s="1053"/>
      <c r="AN431" s="1053"/>
      <c r="AO431" s="1053"/>
      <c r="AP431" s="1053"/>
      <c r="AQ431" s="1053"/>
      <c r="AR431" s="1053"/>
      <c r="AS431" s="1053"/>
      <c r="AT431" s="1053"/>
      <c r="AU431" s="1053"/>
      <c r="AV431" s="1053"/>
      <c r="AW431" s="1053"/>
      <c r="AX431" s="1053"/>
      <c r="AY431" s="1053"/>
      <c r="AZ431" s="1053"/>
    </row>
    <row r="432" spans="1:52">
      <c r="A432" s="1053"/>
      <c r="B432" s="1053"/>
      <c r="C432" s="1053"/>
      <c r="D432" s="1053"/>
      <c r="E432" s="1053"/>
      <c r="F432" s="1053"/>
      <c r="G432" s="1053"/>
      <c r="H432" s="1053"/>
      <c r="I432" s="1053"/>
      <c r="J432" s="1053"/>
      <c r="K432" s="1053"/>
      <c r="L432" s="1053"/>
      <c r="M432" s="1053"/>
      <c r="N432" s="1053"/>
      <c r="O432" s="1053"/>
      <c r="P432" s="1053"/>
      <c r="Q432" s="1053"/>
      <c r="R432" s="1053"/>
      <c r="S432" s="1053"/>
      <c r="T432" s="1053"/>
      <c r="U432" s="1053"/>
      <c r="V432" s="1053"/>
      <c r="W432" s="1053"/>
      <c r="X432" s="1053"/>
      <c r="Y432" s="1053"/>
      <c r="Z432" s="1053"/>
      <c r="AA432" s="1053"/>
      <c r="AB432" s="1053"/>
      <c r="AC432" s="1053"/>
      <c r="AD432" s="1053"/>
      <c r="AE432" s="1053"/>
      <c r="AF432" s="1053"/>
      <c r="AG432" s="1053"/>
      <c r="AH432" s="1053"/>
      <c r="AI432" s="1053"/>
      <c r="AJ432" s="1053"/>
      <c r="AK432" s="1053"/>
      <c r="AL432" s="1053"/>
      <c r="AM432" s="1053"/>
      <c r="AN432" s="1053"/>
      <c r="AO432" s="1053"/>
      <c r="AP432" s="1053"/>
      <c r="AQ432" s="1053"/>
      <c r="AR432" s="1053"/>
      <c r="AS432" s="1053"/>
      <c r="AT432" s="1053"/>
      <c r="AU432" s="1053"/>
      <c r="AV432" s="1053"/>
      <c r="AW432" s="1053"/>
      <c r="AX432" s="1053"/>
      <c r="AY432" s="1053"/>
      <c r="AZ432" s="1053"/>
    </row>
  </sheetData>
  <phoneticPr fontId="14" type="noConversion"/>
  <conditionalFormatting sqref="F33:F45 F18:F26">
    <cfRule type="duplicateValues" dxfId="60" priority="1"/>
  </conditionalFormatting>
  <dataValidations count="1">
    <dataValidation type="whole" allowBlank="1" showInputMessage="1" showErrorMessage="1" sqref="AU11" xr:uid="{E0948F26-9078-4DCB-8E5C-F16BDC1DBCBB}">
      <formula1>460</formula1>
      <formula2>540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Drop Down 1">
              <controlPr defaultSize="0" print="0" autoLine="0" autoPict="0">
                <anchor moveWithCells="1">
                  <from>
                    <xdr:col>1</xdr:col>
                    <xdr:colOff>1238250</xdr:colOff>
                    <xdr:row>0</xdr:row>
                    <xdr:rowOff>85725</xdr:rowOff>
                  </from>
                  <to>
                    <xdr:col>5</xdr:col>
                    <xdr:colOff>1781175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D8BA6-AEA5-4662-86C2-47DA5BCDDF35}">
  <sheetPr codeName="Planilha7">
    <tabColor rgb="FF00B050"/>
  </sheetPr>
  <dimension ref="A1:CZ312"/>
  <sheetViews>
    <sheetView showGridLines="0" showRowColHeaders="0" showZeros="0" zoomScaleNormal="100" workbookViewId="0">
      <pane xSplit="5" ySplit="4" topLeftCell="AS5" activePane="bottomRight" state="frozen"/>
      <selection activeCell="H18" sqref="H18"/>
      <selection pane="topRight" activeCell="H18" sqref="H18"/>
      <selection pane="bottomLeft" activeCell="H18" sqref="H18"/>
      <selection pane="bottomRight" activeCell="A4" sqref="A4"/>
    </sheetView>
  </sheetViews>
  <sheetFormatPr defaultColWidth="0" defaultRowHeight="14.25" zeroHeight="1"/>
  <cols>
    <col min="1" max="1" width="2.875" style="64" customWidth="1"/>
    <col min="2" max="2" width="10.625" style="64" bestFit="1" customWidth="1"/>
    <col min="3" max="3" width="20.875" style="64" customWidth="1"/>
    <col min="4" max="4" width="10.75" style="64" customWidth="1"/>
    <col min="5" max="5" width="39.875" style="4" customWidth="1"/>
    <col min="6" max="6" width="9" style="4" customWidth="1"/>
    <col min="7" max="7" width="9.75" style="4" customWidth="1"/>
    <col min="8" max="8" width="10" style="4" customWidth="1"/>
    <col min="9" max="9" width="13.625" style="4" customWidth="1"/>
    <col min="10" max="10" width="13" style="4" customWidth="1"/>
    <col min="11" max="11" width="12.875" style="4" customWidth="1"/>
    <col min="12" max="12" width="11.375" style="4" customWidth="1"/>
    <col min="13" max="13" width="11.875" style="4" customWidth="1"/>
    <col min="14" max="14" width="13.875" style="4" customWidth="1"/>
    <col min="15" max="15" width="10.75" style="4" customWidth="1"/>
    <col min="16" max="16" width="9.875" style="4" customWidth="1"/>
    <col min="17" max="17" width="9.75" style="4" bestFit="1" customWidth="1"/>
    <col min="18" max="18" width="13.125" style="281" customWidth="1"/>
    <col min="19" max="19" width="14.375" style="281" customWidth="1"/>
    <col min="20" max="20" width="13" style="281" bestFit="1" customWidth="1"/>
    <col min="21" max="21" width="13.625" style="4" bestFit="1" customWidth="1"/>
    <col min="22" max="22" width="8.5" style="4" bestFit="1" customWidth="1"/>
    <col min="23" max="23" width="9.625" style="4" bestFit="1" customWidth="1"/>
    <col min="24" max="24" width="10.625" style="4" bestFit="1" customWidth="1"/>
    <col min="25" max="25" width="8.25" style="4" bestFit="1" customWidth="1"/>
    <col min="26" max="26" width="10" style="4" bestFit="1" customWidth="1"/>
    <col min="27" max="27" width="9.625" style="4" bestFit="1" customWidth="1"/>
    <col min="28" max="30" width="10.625" style="4" bestFit="1" customWidth="1"/>
    <col min="31" max="31" width="11.125" style="4" bestFit="1" customWidth="1"/>
    <col min="32" max="34" width="10.625" style="4" bestFit="1" customWidth="1"/>
    <col min="35" max="35" width="8.375" style="4" bestFit="1" customWidth="1"/>
    <col min="36" max="36" width="10.5" style="4" bestFit="1" customWidth="1"/>
    <col min="37" max="37" width="11.375" style="4" bestFit="1" customWidth="1"/>
    <col min="38" max="38" width="12" style="4" bestFit="1" customWidth="1"/>
    <col min="39" max="39" width="11.5" style="4" bestFit="1" customWidth="1"/>
    <col min="40" max="40" width="11.25" style="4" bestFit="1" customWidth="1"/>
    <col min="41" max="41" width="11.125" style="4" bestFit="1" customWidth="1"/>
    <col min="42" max="44" width="10.25" style="4" bestFit="1" customWidth="1"/>
    <col min="45" max="45" width="10.625" style="4" bestFit="1" customWidth="1"/>
    <col min="46" max="46" width="10.25" style="4" bestFit="1" customWidth="1"/>
    <col min="47" max="48" width="10.625" style="4" bestFit="1" customWidth="1"/>
    <col min="49" max="52" width="10.25" style="4" bestFit="1" customWidth="1"/>
    <col min="53" max="53" width="3.625" style="63" hidden="1" customWidth="1"/>
    <col min="54" max="54" width="3.5" style="63" hidden="1" customWidth="1"/>
    <col min="55" max="55" width="35.625" style="4" hidden="1" customWidth="1"/>
    <col min="56" max="56" width="21.75" style="4" hidden="1" customWidth="1"/>
    <col min="57" max="57" width="9" style="4" hidden="1" customWidth="1"/>
    <col min="58" max="58" width="38.125" style="4" hidden="1" customWidth="1"/>
    <col min="59" max="16384" width="9" style="4" hidden="1"/>
  </cols>
  <sheetData>
    <row r="1" spans="1:104" ht="24" customHeight="1">
      <c r="A1" s="1532"/>
      <c r="B1" s="1532"/>
      <c r="C1" s="1532"/>
      <c r="D1" s="1532"/>
      <c r="E1" s="1533"/>
      <c r="F1" s="1533"/>
      <c r="G1" s="1533"/>
      <c r="H1" s="1533"/>
      <c r="I1" s="1533"/>
      <c r="J1" s="1533"/>
      <c r="K1" s="1533"/>
      <c r="L1" s="1533"/>
      <c r="M1" s="1533"/>
      <c r="N1" s="1533"/>
      <c r="O1" s="1533"/>
      <c r="P1" s="1533"/>
      <c r="Q1" s="1533"/>
      <c r="R1" s="1534"/>
      <c r="S1" s="1534"/>
      <c r="T1" s="1534"/>
      <c r="U1" s="1533"/>
      <c r="V1" s="1533"/>
      <c r="W1" s="1533"/>
      <c r="X1" s="1533"/>
      <c r="Y1" s="1533"/>
      <c r="Z1" s="1533"/>
      <c r="AA1" s="1533"/>
      <c r="AB1" s="1533"/>
      <c r="AC1" s="1533"/>
      <c r="AD1" s="1533"/>
      <c r="AE1" s="1533"/>
      <c r="AF1" s="1533"/>
      <c r="AG1" s="1533"/>
      <c r="AH1" s="1533"/>
      <c r="AI1" s="1533"/>
      <c r="AJ1" s="1533"/>
      <c r="AK1" s="1533"/>
      <c r="AL1" s="1533"/>
      <c r="AM1" s="1533"/>
      <c r="AN1" s="1533"/>
      <c r="AO1" s="1533"/>
      <c r="AP1" s="1533"/>
      <c r="AQ1" s="1533"/>
      <c r="AR1" s="1533"/>
      <c r="AS1" s="1533"/>
      <c r="AT1" s="1533"/>
      <c r="AU1" s="1533"/>
      <c r="AV1" s="1533"/>
      <c r="AW1" s="1533"/>
      <c r="AX1" s="1533"/>
      <c r="AY1" s="1533"/>
      <c r="AZ1" s="1533"/>
    </row>
    <row r="2" spans="1:104" ht="14.25" customHeight="1">
      <c r="A2" s="2120" t="s">
        <v>1461</v>
      </c>
      <c r="B2" s="2120"/>
      <c r="C2" s="2120"/>
      <c r="D2" s="2120"/>
      <c r="E2" s="2121"/>
      <c r="F2" s="1552" t="s">
        <v>785</v>
      </c>
      <c r="G2" s="1553" t="s">
        <v>318</v>
      </c>
      <c r="H2" s="1554" t="s">
        <v>259</v>
      </c>
      <c r="I2" s="1554" t="s">
        <v>262</v>
      </c>
      <c r="J2" s="1554" t="s">
        <v>263</v>
      </c>
      <c r="K2" s="1555" t="s">
        <v>261</v>
      </c>
      <c r="L2" s="1556" t="s">
        <v>83</v>
      </c>
      <c r="M2" s="1554" t="s">
        <v>306</v>
      </c>
      <c r="N2" s="1554" t="s">
        <v>267</v>
      </c>
      <c r="O2" s="1554" t="s">
        <v>268</v>
      </c>
      <c r="P2" s="1555" t="s">
        <v>264</v>
      </c>
      <c r="Q2" s="1556" t="s">
        <v>270</v>
      </c>
      <c r="R2" s="1554" t="s">
        <v>274</v>
      </c>
      <c r="S2" s="1554" t="s">
        <v>276</v>
      </c>
      <c r="T2" s="1554" t="s">
        <v>272</v>
      </c>
      <c r="U2" s="1555" t="s">
        <v>673</v>
      </c>
      <c r="V2" s="1556" t="s">
        <v>278</v>
      </c>
      <c r="W2" s="1554" t="s">
        <v>280</v>
      </c>
      <c r="X2" s="1554" t="s">
        <v>282</v>
      </c>
      <c r="Y2" s="1554" t="s">
        <v>286</v>
      </c>
      <c r="Z2" s="1554" t="s">
        <v>284</v>
      </c>
      <c r="AA2" s="1554" t="s">
        <v>288</v>
      </c>
      <c r="AB2" s="1554" t="s">
        <v>294</v>
      </c>
      <c r="AC2" s="1554" t="s">
        <v>302</v>
      </c>
      <c r="AD2" s="1554" t="s">
        <v>308</v>
      </c>
      <c r="AE2" s="1554" t="s">
        <v>298</v>
      </c>
      <c r="AF2" s="1554" t="s">
        <v>296</v>
      </c>
      <c r="AG2" s="1554" t="s">
        <v>292</v>
      </c>
      <c r="AH2" s="1555" t="s">
        <v>300</v>
      </c>
      <c r="AI2" s="1556" t="s">
        <v>289</v>
      </c>
      <c r="AJ2" s="1554" t="s">
        <v>290</v>
      </c>
      <c r="AK2" s="1554" t="s">
        <v>304</v>
      </c>
      <c r="AL2" s="1554" t="s">
        <v>315</v>
      </c>
      <c r="AM2" s="1554" t="s">
        <v>341</v>
      </c>
      <c r="AN2" s="1554" t="s">
        <v>440</v>
      </c>
      <c r="AO2" s="1554" t="s">
        <v>441</v>
      </c>
      <c r="AP2" s="1557" t="s">
        <v>1230</v>
      </c>
      <c r="AQ2" s="1557" t="s">
        <v>338</v>
      </c>
      <c r="AR2" s="1557" t="s">
        <v>339</v>
      </c>
      <c r="AS2" s="1557" t="s">
        <v>1431</v>
      </c>
      <c r="AT2" s="1557" t="s">
        <v>1432</v>
      </c>
      <c r="AU2" s="1557" t="s">
        <v>1433</v>
      </c>
      <c r="AV2" s="1557" t="s">
        <v>1434</v>
      </c>
      <c r="AW2" s="1557" t="s">
        <v>1435</v>
      </c>
      <c r="AX2" s="1557" t="s">
        <v>340</v>
      </c>
      <c r="AY2" s="1554" t="s">
        <v>1229</v>
      </c>
      <c r="AZ2" s="1554" t="s">
        <v>1186</v>
      </c>
      <c r="BE2" s="79"/>
      <c r="BF2" s="79"/>
      <c r="BG2" s="743" t="str">
        <f t="shared" ref="BG2:CN4" si="0">I2</f>
        <v>FDN</v>
      </c>
      <c r="BH2" s="743" t="str">
        <f t="shared" si="0"/>
        <v>FDA</v>
      </c>
      <c r="BI2" s="743" t="str">
        <f t="shared" si="0"/>
        <v>CNF</v>
      </c>
      <c r="BJ2" s="743" t="str">
        <f t="shared" si="0"/>
        <v>NDT</v>
      </c>
      <c r="BK2" s="743" t="str">
        <f t="shared" si="0"/>
        <v>ED</v>
      </c>
      <c r="BL2" s="743" t="str">
        <f t="shared" si="0"/>
        <v>EM</v>
      </c>
      <c r="BM2" s="743" t="str">
        <f t="shared" si="0"/>
        <v>EL</v>
      </c>
      <c r="BN2" s="743" t="str">
        <f t="shared" si="0"/>
        <v>EE</v>
      </c>
      <c r="BO2" s="743" t="str">
        <f t="shared" si="0"/>
        <v>PB</v>
      </c>
      <c r="BP2" s="743" t="str">
        <f t="shared" si="0"/>
        <v>PDR</v>
      </c>
      <c r="BQ2" s="743" t="str">
        <f t="shared" si="0"/>
        <v>PNDR</v>
      </c>
      <c r="BR2" s="743" t="str">
        <f t="shared" si="0"/>
        <v>PM</v>
      </c>
      <c r="BS2" s="743" t="str">
        <f t="shared" si="0"/>
        <v>PBNNP</v>
      </c>
      <c r="BT2" s="743" t="str">
        <f t="shared" si="0"/>
        <v>Ca</v>
      </c>
      <c r="BU2" s="743" t="str">
        <f t="shared" si="0"/>
        <v>P</v>
      </c>
      <c r="BV2" s="743" t="str">
        <f t="shared" si="0"/>
        <v>Mg</v>
      </c>
      <c r="BW2" s="743" t="str">
        <f t="shared" si="0"/>
        <v>Na</v>
      </c>
      <c r="BX2" s="743" t="str">
        <f t="shared" si="0"/>
        <v>K</v>
      </c>
      <c r="BY2" s="743" t="str">
        <f t="shared" si="0"/>
        <v>S</v>
      </c>
      <c r="BZ2" s="743" t="str">
        <f t="shared" si="0"/>
        <v>Cu</v>
      </c>
      <c r="CA2" s="743" t="str">
        <f t="shared" si="0"/>
        <v>Zn</v>
      </c>
      <c r="CB2" s="743" t="str">
        <f t="shared" si="0"/>
        <v>Fe</v>
      </c>
      <c r="CC2" s="743" t="str">
        <f t="shared" si="0"/>
        <v>Mn</v>
      </c>
      <c r="CD2" s="743" t="str">
        <f t="shared" si="0"/>
        <v>I</v>
      </c>
      <c r="CE2" s="743" t="str">
        <f t="shared" si="0"/>
        <v>Co</v>
      </c>
      <c r="CF2" s="743" t="str">
        <f t="shared" si="0"/>
        <v>Se</v>
      </c>
      <c r="CG2" s="743" t="str">
        <f t="shared" si="0"/>
        <v>Lis</v>
      </c>
      <c r="CH2" s="743" t="str">
        <f t="shared" si="0"/>
        <v>Met</v>
      </c>
      <c r="CI2" s="743" t="str">
        <f t="shared" si="0"/>
        <v>Mon</v>
      </c>
      <c r="CJ2" s="743" t="str">
        <f t="shared" si="0"/>
        <v>Vit A</v>
      </c>
      <c r="CK2" s="743" t="str">
        <f t="shared" si="0"/>
        <v>Vit B (UI)</v>
      </c>
      <c r="CL2" s="743" t="str">
        <f t="shared" si="0"/>
        <v>Vit D (UI)</v>
      </c>
      <c r="CM2" s="743" t="str">
        <f t="shared" si="0"/>
        <v>Vit E (UI)</v>
      </c>
      <c r="CN2" s="743" t="str">
        <f t="shared" si="0"/>
        <v>Novo 01</v>
      </c>
      <c r="CO2" s="743" t="str">
        <f>AQ2</f>
        <v>Novo 02</v>
      </c>
      <c r="CP2" s="743" t="str">
        <f t="shared" ref="CP2:CP4" si="1">AR2</f>
        <v>Novo 03</v>
      </c>
      <c r="CQ2" s="743" t="str">
        <f t="shared" ref="CQ2:CQ4" si="2">AS2</f>
        <v>Novo 04</v>
      </c>
      <c r="CR2" s="743" t="str">
        <f t="shared" ref="CR2:CR4" si="3">AT2</f>
        <v>Novo 05</v>
      </c>
      <c r="CS2" s="743" t="str">
        <f t="shared" ref="CS2:CS4" si="4">AU2</f>
        <v>Novo 06</v>
      </c>
      <c r="CT2" s="743" t="str">
        <f t="shared" ref="CT2:CT4" si="5">AV2</f>
        <v>Novo 07</v>
      </c>
      <c r="CU2" s="743" t="str">
        <f t="shared" ref="CU2:CU4" si="6">AW2</f>
        <v>Novo 08</v>
      </c>
      <c r="CV2" s="743" t="str">
        <f t="shared" ref="CV2:CV4" si="7">AX2</f>
        <v>Novo 09</v>
      </c>
      <c r="CW2" s="743" t="str">
        <f t="shared" ref="CW2:CX4" si="8">AY2</f>
        <v>VOL</v>
      </c>
      <c r="CX2" s="743" t="str">
        <f>AZ2</f>
        <v>CONC</v>
      </c>
      <c r="CY2" s="743"/>
      <c r="CZ2" s="743"/>
    </row>
    <row r="3" spans="1:104" ht="14.25" customHeight="1" thickBot="1">
      <c r="A3" s="2122"/>
      <c r="B3" s="2122"/>
      <c r="C3" s="2122"/>
      <c r="D3" s="2122"/>
      <c r="E3" s="2123"/>
      <c r="F3" s="1558" t="s">
        <v>786</v>
      </c>
      <c r="G3" s="1559" t="s">
        <v>7</v>
      </c>
      <c r="H3" s="1560" t="s">
        <v>7</v>
      </c>
      <c r="I3" s="1560" t="s">
        <v>7</v>
      </c>
      <c r="J3" s="1560" t="s">
        <v>7</v>
      </c>
      <c r="K3" s="1561" t="s">
        <v>7</v>
      </c>
      <c r="L3" s="1562" t="s">
        <v>7</v>
      </c>
      <c r="M3" s="1560" t="s">
        <v>33</v>
      </c>
      <c r="N3" s="1560" t="s">
        <v>33</v>
      </c>
      <c r="O3" s="1560" t="s">
        <v>33</v>
      </c>
      <c r="P3" s="1561" t="s">
        <v>10</v>
      </c>
      <c r="Q3" s="1562" t="s">
        <v>10</v>
      </c>
      <c r="R3" s="1560" t="s">
        <v>10</v>
      </c>
      <c r="S3" s="1560" t="s">
        <v>10</v>
      </c>
      <c r="T3" s="1560" t="s">
        <v>10</v>
      </c>
      <c r="U3" s="1561" t="s">
        <v>10</v>
      </c>
      <c r="V3" s="1562" t="s">
        <v>10</v>
      </c>
      <c r="W3" s="1560" t="s">
        <v>10</v>
      </c>
      <c r="X3" s="1560" t="s">
        <v>10</v>
      </c>
      <c r="Y3" s="1560" t="s">
        <v>10</v>
      </c>
      <c r="Z3" s="1560" t="s">
        <v>10</v>
      </c>
      <c r="AA3" s="1560" t="s">
        <v>10</v>
      </c>
      <c r="AB3" s="1560" t="s">
        <v>21</v>
      </c>
      <c r="AC3" s="1560" t="s">
        <v>21</v>
      </c>
      <c r="AD3" s="1560" t="s">
        <v>21</v>
      </c>
      <c r="AE3" s="1560" t="s">
        <v>21</v>
      </c>
      <c r="AF3" s="1560" t="s">
        <v>21</v>
      </c>
      <c r="AG3" s="1560" t="s">
        <v>21</v>
      </c>
      <c r="AH3" s="1561" t="s">
        <v>21</v>
      </c>
      <c r="AI3" s="1562" t="s">
        <v>10</v>
      </c>
      <c r="AJ3" s="1560" t="s">
        <v>10</v>
      </c>
      <c r="AK3" s="1560" t="s">
        <v>39</v>
      </c>
      <c r="AL3" s="1560" t="s">
        <v>41</v>
      </c>
      <c r="AM3" s="1560" t="s">
        <v>41</v>
      </c>
      <c r="AN3" s="1560" t="s">
        <v>41</v>
      </c>
      <c r="AO3" s="1560" t="s">
        <v>41</v>
      </c>
      <c r="AP3" s="1563" t="s">
        <v>42</v>
      </c>
      <c r="AQ3" s="1563" t="s">
        <v>42</v>
      </c>
      <c r="AR3" s="1563" t="s">
        <v>42</v>
      </c>
      <c r="AS3" s="1563" t="s">
        <v>42</v>
      </c>
      <c r="AT3" s="1563" t="s">
        <v>42</v>
      </c>
      <c r="AU3" s="1563" t="s">
        <v>42</v>
      </c>
      <c r="AV3" s="1563" t="s">
        <v>42</v>
      </c>
      <c r="AW3" s="1563" t="s">
        <v>42</v>
      </c>
      <c r="AX3" s="1563" t="s">
        <v>42</v>
      </c>
      <c r="AY3" s="1560" t="s">
        <v>78</v>
      </c>
      <c r="AZ3" s="1560" t="s">
        <v>78</v>
      </c>
      <c r="BE3" s="79"/>
      <c r="BF3" s="79"/>
      <c r="BG3" s="743" t="str">
        <f t="shared" si="0"/>
        <v>kg</v>
      </c>
      <c r="BH3" s="743" t="str">
        <f t="shared" si="0"/>
        <v>kg</v>
      </c>
      <c r="BI3" s="743" t="str">
        <f t="shared" si="0"/>
        <v>kg</v>
      </c>
      <c r="BJ3" s="743" t="str">
        <f t="shared" si="0"/>
        <v>kg</v>
      </c>
      <c r="BK3" s="743" t="str">
        <f t="shared" si="0"/>
        <v>Mcal</v>
      </c>
      <c r="BL3" s="743" t="str">
        <f t="shared" si="0"/>
        <v>Mcal</v>
      </c>
      <c r="BM3" s="743" t="str">
        <f t="shared" si="0"/>
        <v>Mcal</v>
      </c>
      <c r="BN3" s="743" t="str">
        <f t="shared" si="0"/>
        <v>g</v>
      </c>
      <c r="BO3" s="743" t="str">
        <f t="shared" si="0"/>
        <v>g</v>
      </c>
      <c r="BP3" s="743" t="str">
        <f t="shared" si="0"/>
        <v>g</v>
      </c>
      <c r="BQ3" s="743" t="str">
        <f t="shared" si="0"/>
        <v>g</v>
      </c>
      <c r="BR3" s="743" t="str">
        <f t="shared" si="0"/>
        <v>g</v>
      </c>
      <c r="BS3" s="743" t="str">
        <f t="shared" si="0"/>
        <v>g</v>
      </c>
      <c r="BT3" s="743" t="str">
        <f t="shared" si="0"/>
        <v>g</v>
      </c>
      <c r="BU3" s="743" t="str">
        <f t="shared" si="0"/>
        <v>g</v>
      </c>
      <c r="BV3" s="743" t="str">
        <f t="shared" si="0"/>
        <v>g</v>
      </c>
      <c r="BW3" s="743" t="str">
        <f t="shared" si="0"/>
        <v>g</v>
      </c>
      <c r="BX3" s="743" t="str">
        <f t="shared" si="0"/>
        <v>g</v>
      </c>
      <c r="BY3" s="743" t="str">
        <f t="shared" si="0"/>
        <v>g</v>
      </c>
      <c r="BZ3" s="743" t="str">
        <f t="shared" si="0"/>
        <v>mg</v>
      </c>
      <c r="CA3" s="743" t="str">
        <f t="shared" si="0"/>
        <v>mg</v>
      </c>
      <c r="CB3" s="743" t="str">
        <f t="shared" si="0"/>
        <v>mg</v>
      </c>
      <c r="CC3" s="743" t="str">
        <f t="shared" si="0"/>
        <v>mg</v>
      </c>
      <c r="CD3" s="743" t="str">
        <f t="shared" si="0"/>
        <v>mg</v>
      </c>
      <c r="CE3" s="743" t="str">
        <f t="shared" si="0"/>
        <v>mg</v>
      </c>
      <c r="CF3" s="743" t="str">
        <f t="shared" si="0"/>
        <v>mg</v>
      </c>
      <c r="CG3" s="743" t="str">
        <f t="shared" si="0"/>
        <v>g</v>
      </c>
      <c r="CH3" s="743" t="str">
        <f t="shared" si="0"/>
        <v>g</v>
      </c>
      <c r="CI3" s="743" t="str">
        <f t="shared" si="0"/>
        <v>ppm</v>
      </c>
      <c r="CJ3" s="743" t="str">
        <f t="shared" si="0"/>
        <v>UI</v>
      </c>
      <c r="CK3" s="743" t="str">
        <f t="shared" si="0"/>
        <v>UI</v>
      </c>
      <c r="CL3" s="743" t="str">
        <f t="shared" si="0"/>
        <v>UI</v>
      </c>
      <c r="CM3" s="743" t="str">
        <f t="shared" si="0"/>
        <v>UI</v>
      </c>
      <c r="CN3" s="743" t="str">
        <f t="shared" si="0"/>
        <v>-</v>
      </c>
      <c r="CO3" s="743" t="str">
        <f t="shared" ref="CO3:CO4" si="9">AQ3</f>
        <v>-</v>
      </c>
      <c r="CP3" s="743" t="str">
        <f t="shared" si="1"/>
        <v>-</v>
      </c>
      <c r="CQ3" s="743" t="str">
        <f t="shared" si="2"/>
        <v>-</v>
      </c>
      <c r="CR3" s="743" t="str">
        <f t="shared" si="3"/>
        <v>-</v>
      </c>
      <c r="CS3" s="743" t="str">
        <f t="shared" si="4"/>
        <v>-</v>
      </c>
      <c r="CT3" s="743" t="str">
        <f t="shared" si="5"/>
        <v>-</v>
      </c>
      <c r="CU3" s="743" t="str">
        <f t="shared" si="6"/>
        <v>-</v>
      </c>
      <c r="CV3" s="743" t="str">
        <f t="shared" si="7"/>
        <v>-</v>
      </c>
      <c r="CW3" s="743" t="str">
        <f t="shared" si="8"/>
        <v>Kg</v>
      </c>
      <c r="CX3" s="743" t="str">
        <f t="shared" si="8"/>
        <v>Kg</v>
      </c>
      <c r="CY3" s="743"/>
      <c r="CZ3" s="743"/>
    </row>
    <row r="4" spans="1:104" s="619" customFormat="1" ht="29.25" customHeight="1" thickTop="1" thickBot="1">
      <c r="A4" s="1270" t="s">
        <v>68</v>
      </c>
      <c r="B4" s="1271" t="s">
        <v>778</v>
      </c>
      <c r="C4" s="1271" t="s">
        <v>789</v>
      </c>
      <c r="D4" s="1272" t="s">
        <v>67</v>
      </c>
      <c r="E4" s="1273" t="s">
        <v>790</v>
      </c>
      <c r="F4" s="1274" t="s">
        <v>785</v>
      </c>
      <c r="G4" s="1275" t="s">
        <v>653</v>
      </c>
      <c r="H4" s="1271" t="s">
        <v>258</v>
      </c>
      <c r="I4" s="1271" t="s">
        <v>787</v>
      </c>
      <c r="J4" s="1271" t="s">
        <v>788</v>
      </c>
      <c r="K4" s="1272" t="s">
        <v>260</v>
      </c>
      <c r="L4" s="1276" t="s">
        <v>265</v>
      </c>
      <c r="M4" s="1271" t="s">
        <v>342</v>
      </c>
      <c r="N4" s="1271" t="s">
        <v>343</v>
      </c>
      <c r="O4" s="1271" t="s">
        <v>344</v>
      </c>
      <c r="P4" s="1272" t="s">
        <v>345</v>
      </c>
      <c r="Q4" s="1276" t="s">
        <v>269</v>
      </c>
      <c r="R4" s="1271" t="s">
        <v>346</v>
      </c>
      <c r="S4" s="1271" t="s">
        <v>326</v>
      </c>
      <c r="T4" s="1271" t="s">
        <v>271</v>
      </c>
      <c r="U4" s="1272" t="s">
        <v>309</v>
      </c>
      <c r="V4" s="1276" t="s">
        <v>277</v>
      </c>
      <c r="W4" s="1271" t="s">
        <v>279</v>
      </c>
      <c r="X4" s="1271" t="s">
        <v>281</v>
      </c>
      <c r="Y4" s="1271" t="s">
        <v>285</v>
      </c>
      <c r="Z4" s="1277" t="s">
        <v>283</v>
      </c>
      <c r="AA4" s="1271" t="s">
        <v>287</v>
      </c>
      <c r="AB4" s="1271" t="s">
        <v>293</v>
      </c>
      <c r="AC4" s="1271" t="s">
        <v>301</v>
      </c>
      <c r="AD4" s="1277" t="s">
        <v>307</v>
      </c>
      <c r="AE4" s="1277" t="s">
        <v>297</v>
      </c>
      <c r="AF4" s="1271" t="s">
        <v>295</v>
      </c>
      <c r="AG4" s="1271" t="s">
        <v>291</v>
      </c>
      <c r="AH4" s="1272" t="s">
        <v>299</v>
      </c>
      <c r="AI4" s="1276" t="s">
        <v>350</v>
      </c>
      <c r="AJ4" s="1271" t="s">
        <v>349</v>
      </c>
      <c r="AK4" s="1271" t="s">
        <v>347</v>
      </c>
      <c r="AL4" s="1271" t="s">
        <v>303</v>
      </c>
      <c r="AM4" s="1271" t="s">
        <v>348</v>
      </c>
      <c r="AN4" s="1271" t="s">
        <v>438</v>
      </c>
      <c r="AO4" s="1271" t="s">
        <v>439</v>
      </c>
      <c r="AP4" s="1271" t="s">
        <v>1231</v>
      </c>
      <c r="AQ4" s="1271" t="s">
        <v>330</v>
      </c>
      <c r="AR4" s="1271" t="s">
        <v>331</v>
      </c>
      <c r="AS4" s="1271" t="s">
        <v>332</v>
      </c>
      <c r="AT4" s="1271" t="s">
        <v>333</v>
      </c>
      <c r="AU4" s="1271" t="s">
        <v>334</v>
      </c>
      <c r="AV4" s="1271" t="s">
        <v>335</v>
      </c>
      <c r="AW4" s="1271" t="s">
        <v>336</v>
      </c>
      <c r="AX4" s="1271" t="s">
        <v>337</v>
      </c>
      <c r="AY4" s="1271" t="s">
        <v>3</v>
      </c>
      <c r="AZ4" s="1278" t="s">
        <v>4</v>
      </c>
      <c r="BA4" s="617" t="s">
        <v>86</v>
      </c>
      <c r="BB4" s="617" t="s">
        <v>85</v>
      </c>
      <c r="BC4" s="370" t="s">
        <v>87</v>
      </c>
      <c r="BD4" s="618" t="s">
        <v>84</v>
      </c>
      <c r="BE4" s="740"/>
      <c r="BF4" s="740"/>
      <c r="BG4" s="743" t="str">
        <f t="shared" si="0"/>
        <v>Fibra em 
Detergente Neutro</v>
      </c>
      <c r="BH4" s="743" t="str">
        <f t="shared" si="0"/>
        <v>Fibra em 
Detergente Ácido</v>
      </c>
      <c r="BI4" s="743" t="str">
        <f t="shared" si="0"/>
        <v>Carboidratos Não Fibrosos</v>
      </c>
      <c r="BJ4" s="743" t="str">
        <f t="shared" si="0"/>
        <v>Nutrientes Digestíveis Totais</v>
      </c>
      <c r="BK4" s="743" t="str">
        <f t="shared" si="0"/>
        <v>Energia Digestível (Bovinos)</v>
      </c>
      <c r="BL4" s="743" t="str">
        <f t="shared" si="0"/>
        <v>Energia Metabolizável (Bovinos)</v>
      </c>
      <c r="BM4" s="743" t="str">
        <f t="shared" si="0"/>
        <v>Energia Líquida (Bovinos)</v>
      </c>
      <c r="BN4" s="743" t="str">
        <f t="shared" si="0"/>
        <v>Gordura</v>
      </c>
      <c r="BO4" s="743" t="str">
        <f t="shared" si="0"/>
        <v>Proteína Bruta</v>
      </c>
      <c r="BP4" s="743" t="str">
        <f t="shared" si="0"/>
        <v>Proteína Degradável no Rúmen</v>
      </c>
      <c r="BQ4" s="743" t="str">
        <f t="shared" si="0"/>
        <v>Proteína Não Degradável no Rúmen</v>
      </c>
      <c r="BR4" s="743" t="str">
        <f t="shared" si="0"/>
        <v>Proteína Metabolizável</v>
      </c>
      <c r="BS4" s="743" t="str">
        <f t="shared" si="0"/>
        <v>Proteína (NNP)</v>
      </c>
      <c r="BT4" s="743" t="str">
        <f t="shared" si="0"/>
        <v>Cálcio</v>
      </c>
      <c r="BU4" s="743" t="str">
        <f t="shared" si="0"/>
        <v>Fósforo</v>
      </c>
      <c r="BV4" s="743" t="str">
        <f t="shared" si="0"/>
        <v>Magnésio</v>
      </c>
      <c r="BW4" s="743" t="str">
        <f t="shared" si="0"/>
        <v>Sódio</v>
      </c>
      <c r="BX4" s="743" t="str">
        <f t="shared" si="0"/>
        <v>Potássio</v>
      </c>
      <c r="BY4" s="743" t="str">
        <f t="shared" si="0"/>
        <v>Enxofre</v>
      </c>
      <c r="BZ4" s="743" t="str">
        <f t="shared" si="0"/>
        <v>Cobre</v>
      </c>
      <c r="CA4" s="743" t="str">
        <f t="shared" si="0"/>
        <v>Zinco</v>
      </c>
      <c r="CB4" s="743" t="str">
        <f t="shared" si="0"/>
        <v>Ferro</v>
      </c>
      <c r="CC4" s="743" t="str">
        <f t="shared" si="0"/>
        <v>Manganês</v>
      </c>
      <c r="CD4" s="743" t="str">
        <f t="shared" si="0"/>
        <v>Iodo</v>
      </c>
      <c r="CE4" s="743" t="str">
        <f t="shared" si="0"/>
        <v>Cobalto</v>
      </c>
      <c r="CF4" s="743" t="str">
        <f t="shared" si="0"/>
        <v>Selênio</v>
      </c>
      <c r="CG4" s="743" t="str">
        <f t="shared" si="0"/>
        <v>Lisina</v>
      </c>
      <c r="CH4" s="743" t="str">
        <f t="shared" si="0"/>
        <v>Metionina</v>
      </c>
      <c r="CI4" s="743" t="str">
        <f t="shared" si="0"/>
        <v>Monensina</v>
      </c>
      <c r="CJ4" s="743" t="str">
        <f t="shared" si="0"/>
        <v>Vitamina A</v>
      </c>
      <c r="CK4" s="743" t="str">
        <f t="shared" si="0"/>
        <v>Vitamina B</v>
      </c>
      <c r="CL4" s="743" t="str">
        <f t="shared" si="0"/>
        <v>Vitamina D</v>
      </c>
      <c r="CM4" s="743" t="str">
        <f t="shared" si="0"/>
        <v>Vitamina E</v>
      </c>
      <c r="CN4" s="743" t="str">
        <f t="shared" si="0"/>
        <v>Nutriente Novo 01</v>
      </c>
      <c r="CO4" s="743" t="str">
        <f t="shared" si="9"/>
        <v>Nutriente Novo 02</v>
      </c>
      <c r="CP4" s="743" t="str">
        <f t="shared" si="1"/>
        <v>Nutriente Novo 03</v>
      </c>
      <c r="CQ4" s="743" t="str">
        <f t="shared" si="2"/>
        <v>Nutriente Novo 04</v>
      </c>
      <c r="CR4" s="743" t="str">
        <f t="shared" si="3"/>
        <v>Nutriente Novo 05</v>
      </c>
      <c r="CS4" s="743" t="str">
        <f t="shared" si="4"/>
        <v>Nutriente Novo 06</v>
      </c>
      <c r="CT4" s="743" t="str">
        <f t="shared" si="5"/>
        <v>Nutriente Novo 07</v>
      </c>
      <c r="CU4" s="743" t="str">
        <f t="shared" si="6"/>
        <v>Nutriente Novo 08</v>
      </c>
      <c r="CV4" s="743" t="str">
        <f t="shared" si="7"/>
        <v>Nutriente Novo 09</v>
      </c>
      <c r="CW4" s="743" t="str">
        <f t="shared" si="8"/>
        <v>Volumoso</v>
      </c>
      <c r="CX4" s="743" t="str">
        <f t="shared" si="8"/>
        <v>Concentrado</v>
      </c>
      <c r="CY4" s="743"/>
      <c r="CZ4" s="743"/>
    </row>
    <row r="5" spans="1:104" ht="15" thickTop="1">
      <c r="A5" s="633">
        <v>1</v>
      </c>
      <c r="B5" s="633" t="s">
        <v>4</v>
      </c>
      <c r="C5" s="631" t="s">
        <v>750</v>
      </c>
      <c r="D5" s="633" t="s">
        <v>1390</v>
      </c>
      <c r="E5" s="1261" t="s">
        <v>1386</v>
      </c>
      <c r="F5" s="1067">
        <v>1</v>
      </c>
      <c r="G5" s="1262">
        <v>1</v>
      </c>
      <c r="H5" s="1263">
        <v>0.87109999999999999</v>
      </c>
      <c r="I5" s="1263">
        <v>0.57570999</v>
      </c>
      <c r="J5" s="1264">
        <v>0.28210000000000002</v>
      </c>
      <c r="K5" s="1264">
        <v>0.14625769</v>
      </c>
      <c r="L5" s="1265">
        <v>0.51177125000000001</v>
      </c>
      <c r="M5" s="1264"/>
      <c r="N5" s="1264">
        <v>2.11</v>
      </c>
      <c r="O5" s="1264"/>
      <c r="P5" s="1266">
        <v>12.97939</v>
      </c>
      <c r="Q5" s="1264">
        <v>77.005239999999986</v>
      </c>
      <c r="R5" s="1264">
        <v>14.111820000000002</v>
      </c>
      <c r="S5" s="1264">
        <v>61.064109999999999</v>
      </c>
      <c r="T5" s="1264">
        <v>61.848099999999995</v>
      </c>
      <c r="U5" s="1264"/>
      <c r="V5" s="1267">
        <v>3.5715099999999995</v>
      </c>
      <c r="W5" s="1264">
        <v>1.5679799999999999</v>
      </c>
      <c r="X5" s="1264"/>
      <c r="Y5" s="1264"/>
      <c r="Z5" s="1264"/>
      <c r="AA5" s="1264"/>
      <c r="AB5" s="1264"/>
      <c r="AC5" s="1264"/>
      <c r="AD5" s="1264"/>
      <c r="AE5" s="1264"/>
      <c r="AF5" s="1264"/>
      <c r="AG5" s="1264"/>
      <c r="AH5" s="1266"/>
      <c r="AI5" s="1264"/>
      <c r="AJ5" s="1264"/>
      <c r="AK5" s="1264"/>
      <c r="AL5" s="1268"/>
      <c r="AM5" s="1264"/>
      <c r="AN5" s="1264"/>
      <c r="AO5" s="1264"/>
      <c r="AP5" s="1264"/>
      <c r="AQ5" s="1264"/>
      <c r="AR5" s="1069"/>
      <c r="AS5" s="1282"/>
      <c r="AT5" s="1282"/>
      <c r="AU5" s="1069"/>
      <c r="AV5" s="1069"/>
      <c r="AW5" s="1264"/>
      <c r="AX5" s="1264"/>
      <c r="AY5" s="1264"/>
      <c r="AZ5" s="1269">
        <f t="shared" ref="AZ5:AZ68" si="10">(1-AY5)*H5</f>
        <v>0.87109999999999999</v>
      </c>
      <c r="BA5" s="59">
        <v>1</v>
      </c>
      <c r="BB5" s="59">
        <f>IF(E5="","",COUNTIF($E$5:$E$310,"&lt;"&amp;E5)+1)</f>
        <v>1</v>
      </c>
      <c r="BC5" s="60" t="str">
        <f>IFERROR(INDEX($E$5:$E$310,MATCH(BA5,$BB$5:$BB$310,0)),"-")</f>
        <v>Abacaxi, Coproduto Desidratado</v>
      </c>
      <c r="BD5" s="61" t="str">
        <f ca="1">IFERROR(IF(SEARCH('Calcular Dieta'!A$3,$BC$5:$BC$310)&gt;=1,BC5,"Não encontrado"),"Não encontrado")</f>
        <v>Abacaxi, Coproduto Desidratado</v>
      </c>
      <c r="BE5" s="741">
        <f ca="1">COUNTIF(BD$5:BD5,"&lt;&gt;"&amp;"Não encontrado")</f>
        <v>1</v>
      </c>
      <c r="BF5" s="742" t="str">
        <f ca="1">IFERROR(UPPER(INDEX($BD$5:$BD$310,MATCH(BA5,$BE$5:$BE$310,0))),"-")</f>
        <v>ABACAXI, COPRODUTO DESIDRATADO</v>
      </c>
      <c r="BG5" s="744">
        <f t="shared" ref="BG5:CX5" si="11">IF(OR(I5="",I5=0),"",I5+(ROW()/1000000))</f>
        <v>0.57571499000000004</v>
      </c>
      <c r="BH5" s="744">
        <f t="shared" si="11"/>
        <v>0.28210499999999999</v>
      </c>
      <c r="BI5" s="744">
        <f t="shared" si="11"/>
        <v>0.14626269</v>
      </c>
      <c r="BJ5" s="744">
        <f t="shared" si="11"/>
        <v>0.51177625000000004</v>
      </c>
      <c r="BK5" s="744" t="str">
        <f t="shared" si="11"/>
        <v/>
      </c>
      <c r="BL5" s="744">
        <f t="shared" si="11"/>
        <v>2.1100049999999997</v>
      </c>
      <c r="BM5" s="744" t="str">
        <f t="shared" si="11"/>
        <v/>
      </c>
      <c r="BN5" s="744">
        <f t="shared" si="11"/>
        <v>12.979395</v>
      </c>
      <c r="BO5" s="744">
        <f t="shared" si="11"/>
        <v>77.005244999999988</v>
      </c>
      <c r="BP5" s="744">
        <f t="shared" si="11"/>
        <v>14.111825000000001</v>
      </c>
      <c r="BQ5" s="744">
        <f t="shared" si="11"/>
        <v>61.064115000000001</v>
      </c>
      <c r="BR5" s="744">
        <f t="shared" si="11"/>
        <v>61.848104999999997</v>
      </c>
      <c r="BS5" s="744" t="str">
        <f t="shared" si="11"/>
        <v/>
      </c>
      <c r="BT5" s="744">
        <f t="shared" si="11"/>
        <v>3.5715149999999993</v>
      </c>
      <c r="BU5" s="744">
        <f t="shared" si="11"/>
        <v>1.567985</v>
      </c>
      <c r="BV5" s="744" t="str">
        <f t="shared" si="11"/>
        <v/>
      </c>
      <c r="BW5" s="744" t="str">
        <f t="shared" si="11"/>
        <v/>
      </c>
      <c r="BX5" s="744" t="str">
        <f t="shared" si="11"/>
        <v/>
      </c>
      <c r="BY5" s="744" t="str">
        <f t="shared" si="11"/>
        <v/>
      </c>
      <c r="BZ5" s="744" t="str">
        <f t="shared" si="11"/>
        <v/>
      </c>
      <c r="CA5" s="744" t="str">
        <f t="shared" si="11"/>
        <v/>
      </c>
      <c r="CB5" s="744" t="str">
        <f t="shared" si="11"/>
        <v/>
      </c>
      <c r="CC5" s="744" t="str">
        <f t="shared" si="11"/>
        <v/>
      </c>
      <c r="CD5" s="744" t="str">
        <f t="shared" si="11"/>
        <v/>
      </c>
      <c r="CE5" s="744" t="str">
        <f t="shared" si="11"/>
        <v/>
      </c>
      <c r="CF5" s="744" t="str">
        <f t="shared" si="11"/>
        <v/>
      </c>
      <c r="CG5" s="744" t="str">
        <f t="shared" si="11"/>
        <v/>
      </c>
      <c r="CH5" s="744" t="str">
        <f t="shared" si="11"/>
        <v/>
      </c>
      <c r="CI5" s="744" t="str">
        <f t="shared" si="11"/>
        <v/>
      </c>
      <c r="CJ5" s="744" t="str">
        <f t="shared" si="11"/>
        <v/>
      </c>
      <c r="CK5" s="744" t="str">
        <f t="shared" si="11"/>
        <v/>
      </c>
      <c r="CL5" s="744" t="str">
        <f t="shared" si="11"/>
        <v/>
      </c>
      <c r="CM5" s="744" t="str">
        <f t="shared" si="11"/>
        <v/>
      </c>
      <c r="CN5" s="744" t="str">
        <f t="shared" si="11"/>
        <v/>
      </c>
      <c r="CO5" s="744" t="str">
        <f t="shared" si="11"/>
        <v/>
      </c>
      <c r="CP5" s="744" t="str">
        <f t="shared" si="11"/>
        <v/>
      </c>
      <c r="CQ5" s="744" t="str">
        <f t="shared" si="11"/>
        <v/>
      </c>
      <c r="CR5" s="744" t="str">
        <f t="shared" si="11"/>
        <v/>
      </c>
      <c r="CS5" s="744" t="str">
        <f t="shared" si="11"/>
        <v/>
      </c>
      <c r="CT5" s="744" t="str">
        <f t="shared" si="11"/>
        <v/>
      </c>
      <c r="CU5" s="744" t="str">
        <f t="shared" si="11"/>
        <v/>
      </c>
      <c r="CV5" s="744" t="str">
        <f t="shared" si="11"/>
        <v/>
      </c>
      <c r="CW5" s="744" t="str">
        <f t="shared" si="11"/>
        <v/>
      </c>
      <c r="CX5" s="744">
        <f t="shared" si="11"/>
        <v>0.87110500000000002</v>
      </c>
    </row>
    <row r="6" spans="1:104">
      <c r="A6" s="630">
        <v>2</v>
      </c>
      <c r="B6" s="630" t="s">
        <v>4</v>
      </c>
      <c r="C6" s="631" t="s">
        <v>750</v>
      </c>
      <c r="D6" s="630" t="s">
        <v>1390</v>
      </c>
      <c r="E6" s="632" t="s">
        <v>1387</v>
      </c>
      <c r="F6" s="1067">
        <v>1</v>
      </c>
      <c r="G6" s="1066">
        <v>1</v>
      </c>
      <c r="H6" s="1068">
        <v>0.84209999999999996</v>
      </c>
      <c r="I6" s="1068">
        <v>0.61178564999999996</v>
      </c>
      <c r="J6" s="1069">
        <v>0.48</v>
      </c>
      <c r="K6" s="1069">
        <v>0.23199855</v>
      </c>
      <c r="L6" s="1074">
        <v>0.43073414999999993</v>
      </c>
      <c r="M6" s="1069"/>
      <c r="N6" s="1069">
        <v>1.85</v>
      </c>
      <c r="O6" s="1069"/>
      <c r="P6" s="1076">
        <v>20.294609999999999</v>
      </c>
      <c r="Q6" s="1069">
        <v>98.778329999999997</v>
      </c>
      <c r="R6" s="1069">
        <v>16.673579999999998</v>
      </c>
      <c r="S6" s="1069">
        <v>80.588970000000003</v>
      </c>
      <c r="T6" s="1069">
        <v>80.50475999999999</v>
      </c>
      <c r="U6" s="1069"/>
      <c r="V6" s="1079">
        <v>3.4526099999999991</v>
      </c>
      <c r="W6" s="1069">
        <v>1.5157799999999999</v>
      </c>
      <c r="X6" s="1069">
        <v>0</v>
      </c>
      <c r="Y6" s="1069"/>
      <c r="Z6" s="1069"/>
      <c r="AA6" s="1069"/>
      <c r="AB6" s="1069"/>
      <c r="AC6" s="1069"/>
      <c r="AD6" s="1069"/>
      <c r="AE6" s="1069"/>
      <c r="AF6" s="1069"/>
      <c r="AG6" s="1069"/>
      <c r="AH6" s="1076"/>
      <c r="AI6" s="1069"/>
      <c r="AJ6" s="1069"/>
      <c r="AK6" s="1069"/>
      <c r="AL6" s="1081"/>
      <c r="AM6" s="1069"/>
      <c r="AN6" s="1069"/>
      <c r="AO6" s="1069"/>
      <c r="AP6" s="1069"/>
      <c r="AQ6" s="1069"/>
      <c r="AR6" s="1069"/>
      <c r="AS6" s="1282"/>
      <c r="AT6" s="1282"/>
      <c r="AU6" s="1069"/>
      <c r="AV6" s="1069"/>
      <c r="AW6" s="1069"/>
      <c r="AX6" s="1069"/>
      <c r="AY6" s="1069"/>
      <c r="AZ6" s="1078">
        <f t="shared" si="10"/>
        <v>0.84209999999999996</v>
      </c>
      <c r="BA6" s="59">
        <v>2</v>
      </c>
      <c r="BB6" s="59">
        <f t="shared" ref="BB6:BB69" si="12">IF(E6="","",COUNTIF($E$5:$E$310,"&lt;"&amp;E6)+1)</f>
        <v>2</v>
      </c>
      <c r="BC6" s="60" t="str">
        <f t="shared" ref="BC6:BC69" si="13">IFERROR(INDEX($E$5:$E$310,MATCH(BA6,$BB$5:$BB$310,0)),"-")</f>
        <v>Acerola, Coproduto</v>
      </c>
      <c r="BD6" s="61" t="str">
        <f ca="1">IFERROR(IF(SEARCH('Calcular Dieta'!A$3,$BC$5:$BC$310)&gt;=1,BC6,"Não encontrado"),"Não encontrado")</f>
        <v>Acerola, Coproduto</v>
      </c>
      <c r="BE6" s="741">
        <f ca="1">COUNTIF(BD$5:BD6,"&lt;&gt;"&amp;"Não encontrado")</f>
        <v>2</v>
      </c>
      <c r="BF6" s="742" t="str">
        <f ca="1">IFERROR(UPPER(INDEX($BD$5:$BD$310,MATCH(BA6,$BE$5:$BE$310,0))),"-")</f>
        <v>ACEROLA, COPRODUTO</v>
      </c>
      <c r="BG6" s="744">
        <f t="shared" ref="BG6:BG69" si="14">IF(OR(I6="",I6=0),"",I6+(ROW()/1000000))</f>
        <v>0.61179164999999991</v>
      </c>
      <c r="BH6" s="744">
        <f t="shared" ref="BH6:BH69" si="15">IF(OR(J6="",J6=0),"",J6+(ROW()/1000000))</f>
        <v>0.48000599999999999</v>
      </c>
      <c r="BI6" s="744">
        <f t="shared" ref="BI6:BI69" si="16">IF(OR(K6="",K6=0),"",K6+(ROW()/1000000))</f>
        <v>0.23200455</v>
      </c>
      <c r="BJ6" s="744">
        <f t="shared" ref="BJ6:BJ69" si="17">IF(OR(L6="",L6=0),"",L6+(ROW()/1000000))</f>
        <v>0.43074014999999993</v>
      </c>
      <c r="BK6" s="744" t="str">
        <f t="shared" ref="BK6:BK69" si="18">IF(OR(M6="",M6=0),"",M6+(ROW()/1000000))</f>
        <v/>
      </c>
      <c r="BL6" s="744">
        <f t="shared" ref="BL6:BL69" si="19">IF(OR(N6="",N6=0),"",N6+(ROW()/1000000))</f>
        <v>1.850006</v>
      </c>
      <c r="BM6" s="744" t="str">
        <f t="shared" ref="BM6:BM69" si="20">IF(OR(O6="",O6=0),"",O6+(ROW()/1000000))</f>
        <v/>
      </c>
      <c r="BN6" s="744">
        <f t="shared" ref="BN6:BN69" si="21">IF(OR(P6="",P6=0),"",P6+(ROW()/1000000))</f>
        <v>20.294615999999998</v>
      </c>
      <c r="BO6" s="744">
        <f t="shared" ref="BO6:BO69" si="22">IF(OR(Q6="",Q6=0),"",Q6+(ROW()/1000000))</f>
        <v>98.778335999999996</v>
      </c>
      <c r="BP6" s="744">
        <f t="shared" ref="BP6:BP69" si="23">IF(OR(R6="",R6=0),"",R6+(ROW()/1000000))</f>
        <v>16.673585999999997</v>
      </c>
      <c r="BQ6" s="744">
        <f t="shared" ref="BQ6:BQ69" si="24">IF(OR(S6="",S6=0),"",S6+(ROW()/1000000))</f>
        <v>80.588976000000002</v>
      </c>
      <c r="BR6" s="744">
        <f t="shared" ref="BR6:BR69" si="25">IF(OR(T6="",T6=0),"",T6+(ROW()/1000000))</f>
        <v>80.504765999999989</v>
      </c>
      <c r="BS6" s="744" t="str">
        <f t="shared" ref="BS6:BS69" si="26">IF(OR(U6="",U6=0),"",U6+(ROW()/1000000))</f>
        <v/>
      </c>
      <c r="BT6" s="744">
        <f t="shared" ref="BT6:BT69" si="27">IF(OR(V6="",V6=0),"",V6+(ROW()/1000000))</f>
        <v>3.452615999999999</v>
      </c>
      <c r="BU6" s="744">
        <f t="shared" ref="BU6:BU69" si="28">IF(OR(W6="",W6=0),"",W6+(ROW()/1000000))</f>
        <v>1.5157859999999999</v>
      </c>
      <c r="BV6" s="744" t="str">
        <f t="shared" ref="BV6:BV69" si="29">IF(OR(X6="",X6=0),"",X6+(ROW()/1000000))</f>
        <v/>
      </c>
      <c r="BW6" s="744" t="str">
        <f t="shared" ref="BW6:BW69" si="30">IF(OR(Y6="",Y6=0),"",Y6+(ROW()/1000000))</f>
        <v/>
      </c>
      <c r="BX6" s="744" t="str">
        <f t="shared" ref="BX6:BX69" si="31">IF(OR(Z6="",Z6=0),"",Z6+(ROW()/1000000))</f>
        <v/>
      </c>
      <c r="BY6" s="744" t="str">
        <f t="shared" ref="BY6:BY69" si="32">IF(OR(AA6="",AA6=0),"",AA6+(ROW()/1000000))</f>
        <v/>
      </c>
      <c r="BZ6" s="744" t="str">
        <f t="shared" ref="BZ6:BZ69" si="33">IF(OR(AB6="",AB6=0),"",AB6+(ROW()/1000000))</f>
        <v/>
      </c>
      <c r="CA6" s="744" t="str">
        <f t="shared" ref="CA6:CA69" si="34">IF(OR(AC6="",AC6=0),"",AC6+(ROW()/1000000))</f>
        <v/>
      </c>
      <c r="CB6" s="744" t="str">
        <f t="shared" ref="CB6:CB69" si="35">IF(OR(AD6="",AD6=0),"",AD6+(ROW()/1000000))</f>
        <v/>
      </c>
      <c r="CC6" s="744" t="str">
        <f t="shared" ref="CC6:CC69" si="36">IF(OR(AE6="",AE6=0),"",AE6+(ROW()/1000000))</f>
        <v/>
      </c>
      <c r="CD6" s="744" t="str">
        <f t="shared" ref="CD6:CD69" si="37">IF(OR(AF6="",AF6=0),"",AF6+(ROW()/1000000))</f>
        <v/>
      </c>
      <c r="CE6" s="744" t="str">
        <f t="shared" ref="CE6:CE69" si="38">IF(OR(AG6="",AG6=0),"",AG6+(ROW()/1000000))</f>
        <v/>
      </c>
      <c r="CF6" s="744" t="str">
        <f t="shared" ref="CF6:CF69" si="39">IF(OR(AH6="",AH6=0),"",AH6+(ROW()/1000000))</f>
        <v/>
      </c>
      <c r="CG6" s="744" t="str">
        <f t="shared" ref="CG6:CG69" si="40">IF(OR(AI6="",AI6=0),"",AI6+(ROW()/1000000))</f>
        <v/>
      </c>
      <c r="CH6" s="744" t="str">
        <f t="shared" ref="CH6:CH69" si="41">IF(OR(AJ6="",AJ6=0),"",AJ6+(ROW()/1000000))</f>
        <v/>
      </c>
      <c r="CI6" s="744" t="str">
        <f t="shared" ref="CI6:CI69" si="42">IF(OR(AK6="",AK6=0),"",AK6+(ROW()/1000000))</f>
        <v/>
      </c>
      <c r="CJ6" s="744" t="str">
        <f t="shared" ref="CJ6:CJ69" si="43">IF(OR(AL6="",AL6=0),"",AL6+(ROW()/1000000))</f>
        <v/>
      </c>
      <c r="CK6" s="744" t="str">
        <f t="shared" ref="CK6:CK69" si="44">IF(OR(AM6="",AM6=0),"",AM6+(ROW()/1000000))</f>
        <v/>
      </c>
      <c r="CL6" s="744" t="str">
        <f t="shared" ref="CL6:CL69" si="45">IF(OR(AN6="",AN6=0),"",AN6+(ROW()/1000000))</f>
        <v/>
      </c>
      <c r="CM6" s="744" t="str">
        <f t="shared" ref="CM6:CM69" si="46">IF(OR(AO6="",AO6=0),"",AO6+(ROW()/1000000))</f>
        <v/>
      </c>
      <c r="CN6" s="744" t="str">
        <f t="shared" ref="CN6:CN69" si="47">IF(OR(AP6="",AP6=0),"",AP6+(ROW()/1000000))</f>
        <v/>
      </c>
      <c r="CO6" s="744" t="str">
        <f t="shared" ref="CO6:CO69" si="48">IF(OR(AQ6="",AQ6=0),"",AQ6+(ROW()/1000000))</f>
        <v/>
      </c>
      <c r="CP6" s="744" t="str">
        <f t="shared" ref="CP6:CP69" si="49">IF(OR(AR6="",AR6=0),"",AR6+(ROW()/1000000))</f>
        <v/>
      </c>
      <c r="CQ6" s="744" t="str">
        <f t="shared" ref="CQ6:CQ69" si="50">IF(OR(AS6="",AS6=0),"",AS6+(ROW()/1000000))</f>
        <v/>
      </c>
      <c r="CR6" s="744" t="str">
        <f t="shared" ref="CR6:CR69" si="51">IF(OR(AT6="",AT6=0),"",AT6+(ROW()/1000000))</f>
        <v/>
      </c>
      <c r="CS6" s="744" t="str">
        <f t="shared" ref="CS6:CS69" si="52">IF(OR(AU6="",AU6=0),"",AU6+(ROW()/1000000))</f>
        <v/>
      </c>
      <c r="CT6" s="744" t="str">
        <f t="shared" ref="CT6:CT69" si="53">IF(OR(AV6="",AV6=0),"",AV6+(ROW()/1000000))</f>
        <v/>
      </c>
      <c r="CU6" s="744" t="str">
        <f t="shared" ref="CU6:CU69" si="54">IF(OR(AW6="",AW6=0),"",AW6+(ROW()/1000000))</f>
        <v/>
      </c>
      <c r="CV6" s="744" t="str">
        <f t="shared" ref="CV6:CV69" si="55">IF(OR(AX6="",AX6=0),"",AX6+(ROW()/1000000))</f>
        <v/>
      </c>
      <c r="CW6" s="744" t="str">
        <f t="shared" ref="CW6:CW69" si="56">IF(OR(AY6="",AY6=0),"",AY6+(ROW()/1000000))</f>
        <v/>
      </c>
      <c r="CX6" s="744">
        <f t="shared" ref="CX6:CX69" si="57">IF(OR(AZ6="",AZ6=0),"",AZ6+(ROW()/1000000))</f>
        <v>0.84210599999999991</v>
      </c>
    </row>
    <row r="7" spans="1:104">
      <c r="A7" s="633">
        <v>3</v>
      </c>
      <c r="B7" s="630" t="s">
        <v>3</v>
      </c>
      <c r="C7" s="631" t="s">
        <v>248</v>
      </c>
      <c r="D7" s="630" t="s">
        <v>1390</v>
      </c>
      <c r="E7" s="634" t="s">
        <v>89</v>
      </c>
      <c r="F7" s="1067">
        <v>0.6</v>
      </c>
      <c r="G7" s="1066">
        <v>1</v>
      </c>
      <c r="H7" s="1068">
        <v>0.89319999999999988</v>
      </c>
      <c r="I7" s="1068">
        <v>0.41917875999999993</v>
      </c>
      <c r="J7" s="1069">
        <v>0.33500000000000002</v>
      </c>
      <c r="K7" s="1069">
        <v>0.18900111999999999</v>
      </c>
      <c r="L7" s="1074">
        <v>0.50072791999999988</v>
      </c>
      <c r="M7" s="1069"/>
      <c r="N7" s="1069">
        <v>2.13</v>
      </c>
      <c r="O7" s="1069"/>
      <c r="P7" s="1076">
        <v>25.456199999999999</v>
      </c>
      <c r="Q7" s="1069">
        <v>167.65364</v>
      </c>
      <c r="R7" s="1069"/>
      <c r="S7" s="1069"/>
      <c r="T7" s="1069"/>
      <c r="U7" s="1069"/>
      <c r="V7" s="1079">
        <v>11.611599999999999</v>
      </c>
      <c r="W7" s="1069">
        <v>2.1436799999999994</v>
      </c>
      <c r="X7" s="1069">
        <v>2.5902799999999995</v>
      </c>
      <c r="Y7" s="1069"/>
      <c r="Z7" s="1069"/>
      <c r="AA7" s="1069"/>
      <c r="AB7" s="1069"/>
      <c r="AC7" s="1069"/>
      <c r="AD7" s="1069">
        <v>213</v>
      </c>
      <c r="AE7" s="1069"/>
      <c r="AF7" s="1069"/>
      <c r="AG7" s="1069"/>
      <c r="AH7" s="1076"/>
      <c r="AI7" s="1069"/>
      <c r="AJ7" s="1069"/>
      <c r="AK7" s="1069"/>
      <c r="AL7" s="1081"/>
      <c r="AM7" s="1069"/>
      <c r="AN7" s="1069"/>
      <c r="AO7" s="1069"/>
      <c r="AP7" s="1069"/>
      <c r="AQ7" s="1069"/>
      <c r="AR7" s="1069"/>
      <c r="AS7" s="1282"/>
      <c r="AT7" s="1282"/>
      <c r="AU7" s="1069"/>
      <c r="AV7" s="1069"/>
      <c r="AW7" s="1069"/>
      <c r="AX7" s="1069"/>
      <c r="AY7" s="1069"/>
      <c r="AZ7" s="1078">
        <f t="shared" si="10"/>
        <v>0.89319999999999988</v>
      </c>
      <c r="BA7" s="59">
        <v>3</v>
      </c>
      <c r="BB7" s="59">
        <f t="shared" si="12"/>
        <v>3</v>
      </c>
      <c r="BC7" s="60" t="str">
        <f t="shared" si="13"/>
        <v>Alfafa, Feno</v>
      </c>
      <c r="BD7" s="61" t="str">
        <f ca="1">IFERROR(IF(SEARCH('Calcular Dieta'!A$3,$BC$5:$BC$310)&gt;=1,BC7,"Não encontrado"),"Não encontrado")</f>
        <v>Alfafa, Feno</v>
      </c>
      <c r="BE7" s="741">
        <f ca="1">COUNTIF(BD$5:BD7,"&lt;&gt;"&amp;"Não encontrado")</f>
        <v>3</v>
      </c>
      <c r="BF7" s="742" t="str">
        <f ca="1">IFERROR(UPPER(INDEX($BD$5:$BD$310,MATCH(BA7,$BE$5:$BE$310,0))),"-")</f>
        <v>ALFAFA, FENO</v>
      </c>
      <c r="BG7" s="744">
        <f t="shared" si="14"/>
        <v>0.41918575999999991</v>
      </c>
      <c r="BH7" s="744">
        <f t="shared" si="15"/>
        <v>0.335007</v>
      </c>
      <c r="BI7" s="744">
        <f t="shared" si="16"/>
        <v>0.18900812</v>
      </c>
      <c r="BJ7" s="744">
        <f t="shared" si="17"/>
        <v>0.50073491999999986</v>
      </c>
      <c r="BK7" s="744" t="str">
        <f t="shared" si="18"/>
        <v/>
      </c>
      <c r="BL7" s="744">
        <f t="shared" si="19"/>
        <v>2.130007</v>
      </c>
      <c r="BM7" s="744" t="str">
        <f t="shared" si="20"/>
        <v/>
      </c>
      <c r="BN7" s="744">
        <f t="shared" si="21"/>
        <v>25.456206999999999</v>
      </c>
      <c r="BO7" s="744">
        <f t="shared" si="22"/>
        <v>167.65364700000001</v>
      </c>
      <c r="BP7" s="744" t="str">
        <f t="shared" si="23"/>
        <v/>
      </c>
      <c r="BQ7" s="744" t="str">
        <f t="shared" si="24"/>
        <v/>
      </c>
      <c r="BR7" s="744" t="str">
        <f t="shared" si="25"/>
        <v/>
      </c>
      <c r="BS7" s="744" t="str">
        <f t="shared" si="26"/>
        <v/>
      </c>
      <c r="BT7" s="744">
        <f t="shared" si="27"/>
        <v>11.611606999999999</v>
      </c>
      <c r="BU7" s="744">
        <f t="shared" si="28"/>
        <v>2.1436869999999995</v>
      </c>
      <c r="BV7" s="744">
        <f t="shared" si="29"/>
        <v>2.5902869999999996</v>
      </c>
      <c r="BW7" s="744" t="str">
        <f t="shared" si="30"/>
        <v/>
      </c>
      <c r="BX7" s="744" t="str">
        <f t="shared" si="31"/>
        <v/>
      </c>
      <c r="BY7" s="744" t="str">
        <f t="shared" si="32"/>
        <v/>
      </c>
      <c r="BZ7" s="744" t="str">
        <f t="shared" si="33"/>
        <v/>
      </c>
      <c r="CA7" s="744" t="str">
        <f t="shared" si="34"/>
        <v/>
      </c>
      <c r="CB7" s="744">
        <f t="shared" si="35"/>
        <v>213.00000700000001</v>
      </c>
      <c r="CC7" s="744" t="str">
        <f t="shared" si="36"/>
        <v/>
      </c>
      <c r="CD7" s="744" t="str">
        <f t="shared" si="37"/>
        <v/>
      </c>
      <c r="CE7" s="744" t="str">
        <f t="shared" si="38"/>
        <v/>
      </c>
      <c r="CF7" s="744" t="str">
        <f t="shared" si="39"/>
        <v/>
      </c>
      <c r="CG7" s="744" t="str">
        <f t="shared" si="40"/>
        <v/>
      </c>
      <c r="CH7" s="744" t="str">
        <f t="shared" si="41"/>
        <v/>
      </c>
      <c r="CI7" s="744" t="str">
        <f t="shared" si="42"/>
        <v/>
      </c>
      <c r="CJ7" s="744" t="str">
        <f t="shared" si="43"/>
        <v/>
      </c>
      <c r="CK7" s="744" t="str">
        <f t="shared" si="44"/>
        <v/>
      </c>
      <c r="CL7" s="744" t="str">
        <f t="shared" si="45"/>
        <v/>
      </c>
      <c r="CM7" s="744" t="str">
        <f t="shared" si="46"/>
        <v/>
      </c>
      <c r="CN7" s="744" t="str">
        <f t="shared" si="47"/>
        <v/>
      </c>
      <c r="CO7" s="744" t="str">
        <f t="shared" si="48"/>
        <v/>
      </c>
      <c r="CP7" s="744" t="str">
        <f t="shared" si="49"/>
        <v/>
      </c>
      <c r="CQ7" s="744" t="str">
        <f t="shared" si="50"/>
        <v/>
      </c>
      <c r="CR7" s="744" t="str">
        <f t="shared" si="51"/>
        <v/>
      </c>
      <c r="CS7" s="744" t="str">
        <f t="shared" si="52"/>
        <v/>
      </c>
      <c r="CT7" s="744" t="str">
        <f t="shared" si="53"/>
        <v/>
      </c>
      <c r="CU7" s="744" t="str">
        <f t="shared" si="54"/>
        <v/>
      </c>
      <c r="CV7" s="744" t="str">
        <f t="shared" si="55"/>
        <v/>
      </c>
      <c r="CW7" s="744" t="str">
        <f t="shared" si="56"/>
        <v/>
      </c>
      <c r="CX7" s="744">
        <f t="shared" si="57"/>
        <v>0.89320699999999986</v>
      </c>
    </row>
    <row r="8" spans="1:104">
      <c r="A8" s="630">
        <v>4</v>
      </c>
      <c r="B8" s="630" t="s">
        <v>3</v>
      </c>
      <c r="C8" s="631" t="s">
        <v>249</v>
      </c>
      <c r="D8" s="630" t="s">
        <v>1392</v>
      </c>
      <c r="E8" s="632" t="s">
        <v>685</v>
      </c>
      <c r="F8" s="1067">
        <v>1</v>
      </c>
      <c r="G8" s="1066">
        <v>1</v>
      </c>
      <c r="H8" s="1068">
        <v>0.25</v>
      </c>
      <c r="I8" s="1068">
        <v>0.115</v>
      </c>
      <c r="J8" s="1069">
        <v>7.7499999999999999E-2</v>
      </c>
      <c r="K8" s="1069"/>
      <c r="L8" s="1074">
        <v>0.14499999999999999</v>
      </c>
      <c r="M8" s="1069">
        <v>0.6393049999999999</v>
      </c>
      <c r="N8" s="1069"/>
      <c r="O8" s="1069"/>
      <c r="P8" s="1076">
        <v>4</v>
      </c>
      <c r="Q8" s="1069">
        <v>42.5</v>
      </c>
      <c r="R8" s="1069">
        <v>31.45</v>
      </c>
      <c r="S8" s="1069"/>
      <c r="T8" s="1069"/>
      <c r="U8" s="1069"/>
      <c r="V8" s="1079">
        <v>3.2749999999999999</v>
      </c>
      <c r="W8" s="1069">
        <v>0.6</v>
      </c>
      <c r="X8" s="1069">
        <v>0.77500000000000002</v>
      </c>
      <c r="Y8" s="1069">
        <v>0.3</v>
      </c>
      <c r="Z8" s="1069">
        <v>4.2750000000000004</v>
      </c>
      <c r="AA8" s="1069">
        <v>0.7</v>
      </c>
      <c r="AB8" s="1069">
        <v>3.5</v>
      </c>
      <c r="AC8" s="1069">
        <v>10.75</v>
      </c>
      <c r="AD8" s="1069">
        <v>33.5</v>
      </c>
      <c r="AE8" s="1069">
        <v>15</v>
      </c>
      <c r="AF8" s="1069">
        <v>0.04</v>
      </c>
      <c r="AG8" s="1069">
        <v>0.09</v>
      </c>
      <c r="AH8" s="1076">
        <v>0.08</v>
      </c>
      <c r="AI8" s="1069"/>
      <c r="AJ8" s="1069"/>
      <c r="AK8" s="1069"/>
      <c r="AL8" s="1081">
        <v>11500</v>
      </c>
      <c r="AM8" s="1069"/>
      <c r="AN8" s="1069"/>
      <c r="AO8" s="1069"/>
      <c r="AP8" s="1069"/>
      <c r="AQ8" s="1069"/>
      <c r="AR8" s="1069"/>
      <c r="AS8" s="1282"/>
      <c r="AT8" s="1282"/>
      <c r="AU8" s="1069"/>
      <c r="AV8" s="1069"/>
      <c r="AW8" s="1069"/>
      <c r="AX8" s="1069"/>
      <c r="AY8" s="1069"/>
      <c r="AZ8" s="1078">
        <f t="shared" si="10"/>
        <v>0.25</v>
      </c>
      <c r="BA8" s="59">
        <v>4</v>
      </c>
      <c r="BB8" s="59">
        <f t="shared" si="12"/>
        <v>4</v>
      </c>
      <c r="BC8" s="60" t="str">
        <f t="shared" si="13"/>
        <v>Alfafa, Floração</v>
      </c>
      <c r="BD8" s="61" t="str">
        <f ca="1">IFERROR(IF(SEARCH('Calcular Dieta'!A$3,$BC$5:$BC$310)&gt;=1,BC8,"Não encontrado"),"Não encontrado")</f>
        <v>Alfafa, Floração</v>
      </c>
      <c r="BE8" s="741">
        <f ca="1">COUNTIF(BD$5:BD8,"&lt;&gt;"&amp;"Não encontrado")</f>
        <v>4</v>
      </c>
      <c r="BF8" s="742" t="str">
        <f t="shared" ref="BF8:BF69" ca="1" si="58">IFERROR(UPPER(INDEX($BD$5:$BD$310,MATCH(BA8,$BE$5:$BE$310,0))),"-")</f>
        <v>ALFAFA, FLORAÇÃO</v>
      </c>
      <c r="BG8" s="744">
        <f t="shared" si="14"/>
        <v>0.115008</v>
      </c>
      <c r="BH8" s="744">
        <f t="shared" si="15"/>
        <v>7.7507999999999994E-2</v>
      </c>
      <c r="BI8" s="744" t="str">
        <f t="shared" si="16"/>
        <v/>
      </c>
      <c r="BJ8" s="744">
        <f t="shared" si="17"/>
        <v>0.145008</v>
      </c>
      <c r="BK8" s="744">
        <f t="shared" si="18"/>
        <v>0.63931299999999991</v>
      </c>
      <c r="BL8" s="744" t="str">
        <f t="shared" si="19"/>
        <v/>
      </c>
      <c r="BM8" s="744" t="str">
        <f t="shared" si="20"/>
        <v/>
      </c>
      <c r="BN8" s="744">
        <f t="shared" si="21"/>
        <v>4.0000080000000002</v>
      </c>
      <c r="BO8" s="744">
        <f t="shared" si="22"/>
        <v>42.500008000000001</v>
      </c>
      <c r="BP8" s="744">
        <f t="shared" si="23"/>
        <v>31.450008</v>
      </c>
      <c r="BQ8" s="744" t="str">
        <f t="shared" si="24"/>
        <v/>
      </c>
      <c r="BR8" s="744" t="str">
        <f t="shared" si="25"/>
        <v/>
      </c>
      <c r="BS8" s="744" t="str">
        <f t="shared" si="26"/>
        <v/>
      </c>
      <c r="BT8" s="744">
        <f t="shared" si="27"/>
        <v>3.2750079999999997</v>
      </c>
      <c r="BU8" s="744">
        <f t="shared" si="28"/>
        <v>0.60000799999999999</v>
      </c>
      <c r="BV8" s="744">
        <f t="shared" si="29"/>
        <v>0.77500800000000003</v>
      </c>
      <c r="BW8" s="744">
        <f t="shared" si="30"/>
        <v>0.300008</v>
      </c>
      <c r="BX8" s="744">
        <f t="shared" si="31"/>
        <v>4.2750080000000006</v>
      </c>
      <c r="BY8" s="744">
        <f t="shared" si="32"/>
        <v>0.70000799999999996</v>
      </c>
      <c r="BZ8" s="744">
        <f t="shared" si="33"/>
        <v>3.5000079999999998</v>
      </c>
      <c r="CA8" s="744">
        <f t="shared" si="34"/>
        <v>10.750007999999999</v>
      </c>
      <c r="CB8" s="744">
        <f t="shared" si="35"/>
        <v>33.500008000000001</v>
      </c>
      <c r="CC8" s="744">
        <f t="shared" si="36"/>
        <v>15.000007999999999</v>
      </c>
      <c r="CD8" s="744">
        <f t="shared" si="37"/>
        <v>4.0008000000000002E-2</v>
      </c>
      <c r="CE8" s="744">
        <f t="shared" si="38"/>
        <v>9.0007999999999991E-2</v>
      </c>
      <c r="CF8" s="744">
        <f t="shared" si="39"/>
        <v>8.0007999999999996E-2</v>
      </c>
      <c r="CG8" s="744" t="str">
        <f t="shared" si="40"/>
        <v/>
      </c>
      <c r="CH8" s="744" t="str">
        <f t="shared" si="41"/>
        <v/>
      </c>
      <c r="CI8" s="744" t="str">
        <f t="shared" si="42"/>
        <v/>
      </c>
      <c r="CJ8" s="744">
        <f t="shared" si="43"/>
        <v>11500.000008000001</v>
      </c>
      <c r="CK8" s="744" t="str">
        <f t="shared" si="44"/>
        <v/>
      </c>
      <c r="CL8" s="744" t="str">
        <f t="shared" si="45"/>
        <v/>
      </c>
      <c r="CM8" s="744" t="str">
        <f t="shared" si="46"/>
        <v/>
      </c>
      <c r="CN8" s="744" t="str">
        <f t="shared" si="47"/>
        <v/>
      </c>
      <c r="CO8" s="744" t="str">
        <f t="shared" si="48"/>
        <v/>
      </c>
      <c r="CP8" s="744" t="str">
        <f t="shared" si="49"/>
        <v/>
      </c>
      <c r="CQ8" s="744" t="str">
        <f t="shared" si="50"/>
        <v/>
      </c>
      <c r="CR8" s="744" t="str">
        <f t="shared" si="51"/>
        <v/>
      </c>
      <c r="CS8" s="744" t="str">
        <f t="shared" si="52"/>
        <v/>
      </c>
      <c r="CT8" s="744" t="str">
        <f t="shared" si="53"/>
        <v/>
      </c>
      <c r="CU8" s="744" t="str">
        <f t="shared" si="54"/>
        <v/>
      </c>
      <c r="CV8" s="744" t="str">
        <f t="shared" si="55"/>
        <v/>
      </c>
      <c r="CW8" s="744" t="str">
        <f t="shared" si="56"/>
        <v/>
      </c>
      <c r="CX8" s="744">
        <f t="shared" si="57"/>
        <v>0.25000800000000001</v>
      </c>
    </row>
    <row r="9" spans="1:104">
      <c r="A9" s="633">
        <v>5</v>
      </c>
      <c r="B9" s="630" t="s">
        <v>4</v>
      </c>
      <c r="C9" s="631" t="s">
        <v>250</v>
      </c>
      <c r="D9" s="630" t="s">
        <v>1392</v>
      </c>
      <c r="E9" s="632" t="s">
        <v>90</v>
      </c>
      <c r="F9" s="1067">
        <v>1</v>
      </c>
      <c r="G9" s="1066">
        <v>1</v>
      </c>
      <c r="H9" s="1068">
        <v>0.9</v>
      </c>
      <c r="I9" s="1068">
        <v>0.33300000000000002</v>
      </c>
      <c r="J9" s="1069">
        <v>0.32400000000000001</v>
      </c>
      <c r="K9" s="1069"/>
      <c r="L9" s="1074">
        <v>0.81</v>
      </c>
      <c r="M9" s="1069">
        <v>3.5712900000000003</v>
      </c>
      <c r="N9" s="1069"/>
      <c r="O9" s="1069"/>
      <c r="P9" s="1076">
        <v>214.2</v>
      </c>
      <c r="Q9" s="1069">
        <v>225</v>
      </c>
      <c r="R9" s="1069">
        <v>76.500000000000014</v>
      </c>
      <c r="S9" s="1069"/>
      <c r="T9" s="1069"/>
      <c r="U9" s="1069"/>
      <c r="V9" s="1079">
        <v>1.08</v>
      </c>
      <c r="W9" s="1069">
        <v>4.8600000000000003</v>
      </c>
      <c r="X9" s="1069">
        <v>3.69</v>
      </c>
      <c r="Y9" s="1069">
        <v>0.09</v>
      </c>
      <c r="Z9" s="1069">
        <v>10.62</v>
      </c>
      <c r="AA9" s="1069">
        <v>1.8</v>
      </c>
      <c r="AB9" s="1069">
        <v>9.9</v>
      </c>
      <c r="AC9" s="1069">
        <v>32.4</v>
      </c>
      <c r="AD9" s="1069">
        <v>97.2</v>
      </c>
      <c r="AE9" s="1069">
        <v>12.6</v>
      </c>
      <c r="AF9" s="1069">
        <v>5.3999999999999999E-2</v>
      </c>
      <c r="AG9" s="1069">
        <v>0.09</v>
      </c>
      <c r="AH9" s="1076">
        <v>0.126</v>
      </c>
      <c r="AI9" s="1069"/>
      <c r="AJ9" s="1069"/>
      <c r="AK9" s="1069"/>
      <c r="AL9" s="1081"/>
      <c r="AM9" s="1069"/>
      <c r="AN9" s="1069"/>
      <c r="AO9" s="1069"/>
      <c r="AP9" s="1069"/>
      <c r="AQ9" s="1069"/>
      <c r="AR9" s="1069"/>
      <c r="AS9" s="1282"/>
      <c r="AT9" s="1282"/>
      <c r="AU9" s="1069"/>
      <c r="AV9" s="1069"/>
      <c r="AW9" s="1069"/>
      <c r="AX9" s="1069"/>
      <c r="AY9" s="1069"/>
      <c r="AZ9" s="1078">
        <f t="shared" si="10"/>
        <v>0.9</v>
      </c>
      <c r="BA9" s="59">
        <v>5</v>
      </c>
      <c r="BB9" s="59">
        <f t="shared" si="12"/>
        <v>5</v>
      </c>
      <c r="BC9" s="60" t="str">
        <f t="shared" si="13"/>
        <v>Algodão, Caroço</v>
      </c>
      <c r="BD9" s="61" t="str">
        <f ca="1">IFERROR(IF(SEARCH('Calcular Dieta'!A$3,$BC$5:$BC$310)&gt;=1,BC9,"Não encontrado"),"Não encontrado")</f>
        <v>Algodão, Caroço</v>
      </c>
      <c r="BE9" s="741">
        <f ca="1">COUNTIF(BD$5:BD9,"&lt;&gt;"&amp;"Não encontrado")</f>
        <v>5</v>
      </c>
      <c r="BF9" s="742" t="str">
        <f t="shared" ca="1" si="58"/>
        <v>ALGODÃO, CAROÇO</v>
      </c>
      <c r="BG9" s="744">
        <f t="shared" si="14"/>
        <v>0.333009</v>
      </c>
      <c r="BH9" s="744">
        <f t="shared" si="15"/>
        <v>0.32400899999999999</v>
      </c>
      <c r="BI9" s="744" t="str">
        <f t="shared" si="16"/>
        <v/>
      </c>
      <c r="BJ9" s="744">
        <f t="shared" si="17"/>
        <v>0.81000900000000009</v>
      </c>
      <c r="BK9" s="744">
        <f t="shared" si="18"/>
        <v>3.5712990000000002</v>
      </c>
      <c r="BL9" s="744" t="str">
        <f t="shared" si="19"/>
        <v/>
      </c>
      <c r="BM9" s="744" t="str">
        <f t="shared" si="20"/>
        <v/>
      </c>
      <c r="BN9" s="744">
        <f t="shared" si="21"/>
        <v>214.20000899999999</v>
      </c>
      <c r="BO9" s="744">
        <f t="shared" si="22"/>
        <v>225.00000900000001</v>
      </c>
      <c r="BP9" s="744">
        <f t="shared" si="23"/>
        <v>76.50000900000002</v>
      </c>
      <c r="BQ9" s="744" t="str">
        <f t="shared" si="24"/>
        <v/>
      </c>
      <c r="BR9" s="744" t="str">
        <f t="shared" si="25"/>
        <v/>
      </c>
      <c r="BS9" s="744" t="str">
        <f t="shared" si="26"/>
        <v/>
      </c>
      <c r="BT9" s="744">
        <f t="shared" si="27"/>
        <v>1.080009</v>
      </c>
      <c r="BU9" s="744">
        <f t="shared" si="28"/>
        <v>4.8600090000000007</v>
      </c>
      <c r="BV9" s="744">
        <f t="shared" si="29"/>
        <v>3.6900089999999999</v>
      </c>
      <c r="BW9" s="744">
        <f t="shared" si="30"/>
        <v>9.0008999999999992E-2</v>
      </c>
      <c r="BX9" s="744">
        <f t="shared" si="31"/>
        <v>10.620009</v>
      </c>
      <c r="BY9" s="744">
        <f t="shared" si="32"/>
        <v>1.800009</v>
      </c>
      <c r="BZ9" s="744">
        <f t="shared" si="33"/>
        <v>9.9000090000000007</v>
      </c>
      <c r="CA9" s="744">
        <f t="shared" si="34"/>
        <v>32.400008999999997</v>
      </c>
      <c r="CB9" s="744">
        <f t="shared" si="35"/>
        <v>97.200009000000009</v>
      </c>
      <c r="CC9" s="744">
        <f t="shared" si="36"/>
        <v>12.600009</v>
      </c>
      <c r="CD9" s="744">
        <f t="shared" si="37"/>
        <v>5.4009000000000001E-2</v>
      </c>
      <c r="CE9" s="744">
        <f t="shared" si="38"/>
        <v>9.0008999999999992E-2</v>
      </c>
      <c r="CF9" s="744">
        <f t="shared" si="39"/>
        <v>0.12600900000000001</v>
      </c>
      <c r="CG9" s="744" t="str">
        <f t="shared" si="40"/>
        <v/>
      </c>
      <c r="CH9" s="744" t="str">
        <f t="shared" si="41"/>
        <v/>
      </c>
      <c r="CI9" s="744" t="str">
        <f t="shared" si="42"/>
        <v/>
      </c>
      <c r="CJ9" s="744" t="str">
        <f t="shared" si="43"/>
        <v/>
      </c>
      <c r="CK9" s="744" t="str">
        <f t="shared" si="44"/>
        <v/>
      </c>
      <c r="CL9" s="744" t="str">
        <f t="shared" si="45"/>
        <v/>
      </c>
      <c r="CM9" s="744" t="str">
        <f t="shared" si="46"/>
        <v/>
      </c>
      <c r="CN9" s="744" t="str">
        <f t="shared" si="47"/>
        <v/>
      </c>
      <c r="CO9" s="744" t="str">
        <f t="shared" si="48"/>
        <v/>
      </c>
      <c r="CP9" s="744" t="str">
        <f t="shared" si="49"/>
        <v/>
      </c>
      <c r="CQ9" s="744" t="str">
        <f t="shared" si="50"/>
        <v/>
      </c>
      <c r="CR9" s="744" t="str">
        <f t="shared" si="51"/>
        <v/>
      </c>
      <c r="CS9" s="744" t="str">
        <f t="shared" si="52"/>
        <v/>
      </c>
      <c r="CT9" s="744" t="str">
        <f t="shared" si="53"/>
        <v/>
      </c>
      <c r="CU9" s="744" t="str">
        <f t="shared" si="54"/>
        <v/>
      </c>
      <c r="CV9" s="744" t="str">
        <f t="shared" si="55"/>
        <v/>
      </c>
      <c r="CW9" s="744" t="str">
        <f t="shared" si="56"/>
        <v/>
      </c>
      <c r="CX9" s="744">
        <f t="shared" si="57"/>
        <v>0.90000900000000006</v>
      </c>
    </row>
    <row r="10" spans="1:104">
      <c r="A10" s="630">
        <v>8</v>
      </c>
      <c r="B10" s="630" t="s">
        <v>4</v>
      </c>
      <c r="C10" s="631" t="s">
        <v>250</v>
      </c>
      <c r="D10" s="630" t="s">
        <v>1390</v>
      </c>
      <c r="E10" s="632" t="s">
        <v>316</v>
      </c>
      <c r="F10" s="1067">
        <v>1</v>
      </c>
      <c r="G10" s="1066">
        <v>1</v>
      </c>
      <c r="H10" s="1068">
        <v>0.89760000000000006</v>
      </c>
      <c r="I10" s="1068">
        <v>0.35904000000000003</v>
      </c>
      <c r="J10" s="1069">
        <v>0.28100000000000003</v>
      </c>
      <c r="K10" s="1069">
        <v>0.22619520000000001</v>
      </c>
      <c r="L10" s="1074">
        <v>0.61144512000000006</v>
      </c>
      <c r="M10" s="1069"/>
      <c r="N10" s="1069">
        <v>2.77</v>
      </c>
      <c r="O10" s="1069"/>
      <c r="P10" s="1076">
        <v>17.68272</v>
      </c>
      <c r="Q10" s="1069">
        <v>282.74399999999997</v>
      </c>
      <c r="R10" s="1069"/>
      <c r="S10" s="1069"/>
      <c r="T10" s="1069"/>
      <c r="U10" s="1069"/>
      <c r="V10" s="1079">
        <v>2.3337600000000003</v>
      </c>
      <c r="W10" s="1069">
        <v>6.9115200000000012</v>
      </c>
      <c r="X10" s="1069">
        <v>4.6675200000000006</v>
      </c>
      <c r="Y10" s="1069">
        <v>0.35904000000000003</v>
      </c>
      <c r="Z10" s="1069">
        <v>11.758560000000001</v>
      </c>
      <c r="AA10" s="1069">
        <v>3.0518400000000003</v>
      </c>
      <c r="AB10" s="1069">
        <v>16.36</v>
      </c>
      <c r="AC10" s="1069">
        <v>62.28</v>
      </c>
      <c r="AD10" s="1069">
        <v>161.87</v>
      </c>
      <c r="AE10" s="1069">
        <v>26.88</v>
      </c>
      <c r="AF10" s="1069"/>
      <c r="AG10" s="1069">
        <v>0.82</v>
      </c>
      <c r="AH10" s="1076"/>
      <c r="AI10" s="1069"/>
      <c r="AJ10" s="1069"/>
      <c r="AK10" s="1069"/>
      <c r="AL10" s="1081"/>
      <c r="AM10" s="1069"/>
      <c r="AN10" s="1069"/>
      <c r="AO10" s="1069"/>
      <c r="AP10" s="1069"/>
      <c r="AQ10" s="1069"/>
      <c r="AR10" s="1069"/>
      <c r="AS10" s="1282"/>
      <c r="AT10" s="1282"/>
      <c r="AU10" s="1069"/>
      <c r="AV10" s="1069"/>
      <c r="AW10" s="1069"/>
      <c r="AX10" s="1069"/>
      <c r="AY10" s="1069"/>
      <c r="AZ10" s="1078">
        <f t="shared" si="10"/>
        <v>0.89760000000000006</v>
      </c>
      <c r="BA10" s="59">
        <v>6</v>
      </c>
      <c r="BB10" s="59">
        <f t="shared" si="12"/>
        <v>6</v>
      </c>
      <c r="BC10" s="60" t="str">
        <f t="shared" si="13"/>
        <v>Algodão, Farelo 28%PB</v>
      </c>
      <c r="BD10" s="61" t="str">
        <f ca="1">IFERROR(IF(SEARCH('Calcular Dieta'!A$3,$BC$5:$BC$310)&gt;=1,BC10,"Não encontrado"),"Não encontrado")</f>
        <v>Algodão, Farelo 28%PB</v>
      </c>
      <c r="BE10" s="741">
        <f ca="1">COUNTIF(BD$5:BD10,"&lt;&gt;"&amp;"Não encontrado")</f>
        <v>6</v>
      </c>
      <c r="BF10" s="742" t="str">
        <f t="shared" ca="1" si="58"/>
        <v>ALGODÃO, FARELO 28%PB</v>
      </c>
      <c r="BG10" s="744">
        <f t="shared" si="14"/>
        <v>0.35905000000000004</v>
      </c>
      <c r="BH10" s="744">
        <f t="shared" si="15"/>
        <v>0.28101000000000004</v>
      </c>
      <c r="BI10" s="744">
        <f t="shared" si="16"/>
        <v>0.22620520000000002</v>
      </c>
      <c r="BJ10" s="744">
        <f t="shared" si="17"/>
        <v>0.61145512000000002</v>
      </c>
      <c r="BK10" s="744" t="str">
        <f t="shared" si="18"/>
        <v/>
      </c>
      <c r="BL10" s="744">
        <f t="shared" si="19"/>
        <v>2.7700100000000001</v>
      </c>
      <c r="BM10" s="744" t="str">
        <f t="shared" si="20"/>
        <v/>
      </c>
      <c r="BN10" s="744">
        <f t="shared" si="21"/>
        <v>17.682729999999999</v>
      </c>
      <c r="BO10" s="744">
        <f t="shared" si="22"/>
        <v>282.74400999999995</v>
      </c>
      <c r="BP10" s="744" t="str">
        <f t="shared" si="23"/>
        <v/>
      </c>
      <c r="BQ10" s="744" t="str">
        <f t="shared" si="24"/>
        <v/>
      </c>
      <c r="BR10" s="744" t="str">
        <f t="shared" si="25"/>
        <v/>
      </c>
      <c r="BS10" s="744" t="str">
        <f t="shared" si="26"/>
        <v/>
      </c>
      <c r="BT10" s="744">
        <f t="shared" si="27"/>
        <v>2.3337700000000003</v>
      </c>
      <c r="BU10" s="744">
        <f t="shared" si="28"/>
        <v>6.9115300000000008</v>
      </c>
      <c r="BV10" s="744">
        <f t="shared" si="29"/>
        <v>4.6675300000000002</v>
      </c>
      <c r="BW10" s="744">
        <f t="shared" si="30"/>
        <v>0.35905000000000004</v>
      </c>
      <c r="BX10" s="744">
        <f t="shared" si="31"/>
        <v>11.758570000000001</v>
      </c>
      <c r="BY10" s="744">
        <f t="shared" si="32"/>
        <v>3.0518500000000004</v>
      </c>
      <c r="BZ10" s="744">
        <f t="shared" si="33"/>
        <v>16.360009999999999</v>
      </c>
      <c r="CA10" s="744">
        <f t="shared" si="34"/>
        <v>62.280010000000004</v>
      </c>
      <c r="CB10" s="744">
        <f t="shared" si="35"/>
        <v>161.87001000000001</v>
      </c>
      <c r="CC10" s="744">
        <f t="shared" si="36"/>
        <v>26.880009999999999</v>
      </c>
      <c r="CD10" s="744" t="str">
        <f t="shared" si="37"/>
        <v/>
      </c>
      <c r="CE10" s="744">
        <f t="shared" si="38"/>
        <v>0.82000999999999991</v>
      </c>
      <c r="CF10" s="744" t="str">
        <f t="shared" si="39"/>
        <v/>
      </c>
      <c r="CG10" s="744" t="str">
        <f t="shared" si="40"/>
        <v/>
      </c>
      <c r="CH10" s="744" t="str">
        <f t="shared" si="41"/>
        <v/>
      </c>
      <c r="CI10" s="744" t="str">
        <f t="shared" si="42"/>
        <v/>
      </c>
      <c r="CJ10" s="744" t="str">
        <f t="shared" si="43"/>
        <v/>
      </c>
      <c r="CK10" s="744" t="str">
        <f t="shared" si="44"/>
        <v/>
      </c>
      <c r="CL10" s="744" t="str">
        <f t="shared" si="45"/>
        <v/>
      </c>
      <c r="CM10" s="744" t="str">
        <f t="shared" si="46"/>
        <v/>
      </c>
      <c r="CN10" s="744" t="str">
        <f t="shared" si="47"/>
        <v/>
      </c>
      <c r="CO10" s="744" t="str">
        <f t="shared" si="48"/>
        <v/>
      </c>
      <c r="CP10" s="744" t="str">
        <f t="shared" si="49"/>
        <v/>
      </c>
      <c r="CQ10" s="744" t="str">
        <f t="shared" si="50"/>
        <v/>
      </c>
      <c r="CR10" s="744" t="str">
        <f t="shared" si="51"/>
        <v/>
      </c>
      <c r="CS10" s="744" t="str">
        <f t="shared" si="52"/>
        <v/>
      </c>
      <c r="CT10" s="744" t="str">
        <f t="shared" si="53"/>
        <v/>
      </c>
      <c r="CU10" s="744" t="str">
        <f t="shared" si="54"/>
        <v/>
      </c>
      <c r="CV10" s="744" t="str">
        <f t="shared" si="55"/>
        <v/>
      </c>
      <c r="CW10" s="744" t="str">
        <f t="shared" si="56"/>
        <v/>
      </c>
      <c r="CX10" s="744">
        <f t="shared" si="57"/>
        <v>0.89761000000000002</v>
      </c>
    </row>
    <row r="11" spans="1:104">
      <c r="A11" s="633">
        <v>6</v>
      </c>
      <c r="B11" s="630" t="s">
        <v>4</v>
      </c>
      <c r="C11" s="631" t="s">
        <v>250</v>
      </c>
      <c r="D11" s="630" t="s">
        <v>1392</v>
      </c>
      <c r="E11" s="632" t="s">
        <v>1385</v>
      </c>
      <c r="F11" s="1067">
        <v>1</v>
      </c>
      <c r="G11" s="1066">
        <v>1</v>
      </c>
      <c r="H11" s="1068">
        <v>0.89</v>
      </c>
      <c r="I11" s="1068">
        <v>0.45924000000000004</v>
      </c>
      <c r="J11" s="1069">
        <v>0.27589999999999998</v>
      </c>
      <c r="K11" s="1069"/>
      <c r="L11" s="1074">
        <v>0.50285000000000002</v>
      </c>
      <c r="M11" s="1069">
        <v>2.2170656499999999</v>
      </c>
      <c r="N11" s="1069"/>
      <c r="O11" s="1069"/>
      <c r="P11" s="1076">
        <v>10.590999999999999</v>
      </c>
      <c r="Q11" s="1069">
        <v>323.95999999999998</v>
      </c>
      <c r="R11" s="1069">
        <v>129.90796</v>
      </c>
      <c r="S11" s="1069"/>
      <c r="T11" s="1069"/>
      <c r="U11" s="1069"/>
      <c r="V11" s="1079">
        <v>3.2039999999999997</v>
      </c>
      <c r="W11" s="1069">
        <v>10.501999999999999</v>
      </c>
      <c r="X11" s="1069">
        <v>3.1150000000000002</v>
      </c>
      <c r="Y11" s="1069">
        <v>0.35600000000000004</v>
      </c>
      <c r="Z11" s="1069">
        <v>5.8739999999999997</v>
      </c>
      <c r="AA11" s="1069">
        <v>2.403</v>
      </c>
      <c r="AB11" s="1069">
        <v>8.01</v>
      </c>
      <c r="AC11" s="1069">
        <v>6.23</v>
      </c>
      <c r="AD11" s="1069">
        <v>24.92</v>
      </c>
      <c r="AE11" s="1069">
        <v>8.01</v>
      </c>
      <c r="AF11" s="1069">
        <v>9.7900000000000001E-2</v>
      </c>
      <c r="AG11" s="1069">
        <v>0.14685000000000001</v>
      </c>
      <c r="AH11" s="1076">
        <v>0.2</v>
      </c>
      <c r="AI11" s="1069"/>
      <c r="AJ11" s="1069"/>
      <c r="AK11" s="1069"/>
      <c r="AL11" s="1081"/>
      <c r="AM11" s="1069"/>
      <c r="AN11" s="1069"/>
      <c r="AO11" s="1069"/>
      <c r="AP11" s="1069"/>
      <c r="AQ11" s="1069"/>
      <c r="AR11" s="1069"/>
      <c r="AS11" s="1282"/>
      <c r="AT11" s="1282"/>
      <c r="AU11" s="1069"/>
      <c r="AV11" s="1069"/>
      <c r="AW11" s="1069"/>
      <c r="AX11" s="1069"/>
      <c r="AY11" s="1069"/>
      <c r="AZ11" s="1078">
        <f t="shared" si="10"/>
        <v>0.89</v>
      </c>
      <c r="BA11" s="59">
        <v>7</v>
      </c>
      <c r="BB11" s="59">
        <f>IF(E11="","",COUNTIF($E$5:$E$310,"&lt;"&amp;E11)+1)</f>
        <v>7</v>
      </c>
      <c r="BC11" s="60" t="str">
        <f t="shared" si="13"/>
        <v>Algodão, Farelo 30%PB</v>
      </c>
      <c r="BD11" s="61" t="str">
        <f ca="1">IFERROR(IF(SEARCH('Calcular Dieta'!A$3,$BC$5:$BC$310)&gt;=1,BC11,"Não encontrado"),"Não encontrado")</f>
        <v>Algodão, Farelo 30%PB</v>
      </c>
      <c r="BE11" s="741">
        <f ca="1">COUNTIF(BD$5:BD11,"&lt;&gt;"&amp;"Não encontrado")</f>
        <v>7</v>
      </c>
      <c r="BF11" s="742" t="str">
        <f t="shared" ca="1" si="58"/>
        <v>ALGODÃO, FARELO 30%PB</v>
      </c>
      <c r="BG11" s="744">
        <f t="shared" si="14"/>
        <v>0.45925100000000002</v>
      </c>
      <c r="BH11" s="744">
        <f t="shared" si="15"/>
        <v>0.27591099999999996</v>
      </c>
      <c r="BI11" s="744" t="str">
        <f t="shared" si="16"/>
        <v/>
      </c>
      <c r="BJ11" s="744">
        <f t="shared" si="17"/>
        <v>0.502861</v>
      </c>
      <c r="BK11" s="744">
        <f t="shared" si="18"/>
        <v>2.2170766500000001</v>
      </c>
      <c r="BL11" s="744" t="str">
        <f t="shared" si="19"/>
        <v/>
      </c>
      <c r="BM11" s="744" t="str">
        <f t="shared" si="20"/>
        <v/>
      </c>
      <c r="BN11" s="744">
        <f t="shared" si="21"/>
        <v>10.591011</v>
      </c>
      <c r="BO11" s="744">
        <f t="shared" si="22"/>
        <v>323.96001099999995</v>
      </c>
      <c r="BP11" s="744">
        <f t="shared" si="23"/>
        <v>129.907971</v>
      </c>
      <c r="BQ11" s="744" t="str">
        <f t="shared" si="24"/>
        <v/>
      </c>
      <c r="BR11" s="744" t="str">
        <f t="shared" si="25"/>
        <v/>
      </c>
      <c r="BS11" s="744" t="str">
        <f t="shared" si="26"/>
        <v/>
      </c>
      <c r="BT11" s="744">
        <f t="shared" si="27"/>
        <v>3.2040109999999999</v>
      </c>
      <c r="BU11" s="744">
        <f t="shared" si="28"/>
        <v>10.502011</v>
      </c>
      <c r="BV11" s="744">
        <f t="shared" si="29"/>
        <v>3.1150110000000004</v>
      </c>
      <c r="BW11" s="744">
        <f t="shared" si="30"/>
        <v>0.35601100000000002</v>
      </c>
      <c r="BX11" s="744">
        <f t="shared" si="31"/>
        <v>5.8740109999999994</v>
      </c>
      <c r="BY11" s="744">
        <f t="shared" si="32"/>
        <v>2.4030110000000002</v>
      </c>
      <c r="BZ11" s="744">
        <f t="shared" si="33"/>
        <v>8.0100110000000004</v>
      </c>
      <c r="CA11" s="744">
        <f t="shared" si="34"/>
        <v>6.2300110000000002</v>
      </c>
      <c r="CB11" s="744">
        <f t="shared" si="35"/>
        <v>24.920011000000002</v>
      </c>
      <c r="CC11" s="744">
        <f t="shared" si="36"/>
        <v>8.0100110000000004</v>
      </c>
      <c r="CD11" s="744">
        <f t="shared" si="37"/>
        <v>9.7910999999999998E-2</v>
      </c>
      <c r="CE11" s="744">
        <f t="shared" si="38"/>
        <v>0.14686100000000002</v>
      </c>
      <c r="CF11" s="744">
        <f t="shared" si="39"/>
        <v>0.20001100000000002</v>
      </c>
      <c r="CG11" s="744" t="str">
        <f t="shared" si="40"/>
        <v/>
      </c>
      <c r="CH11" s="744" t="str">
        <f t="shared" si="41"/>
        <v/>
      </c>
      <c r="CI11" s="744" t="str">
        <f t="shared" si="42"/>
        <v/>
      </c>
      <c r="CJ11" s="744" t="str">
        <f t="shared" si="43"/>
        <v/>
      </c>
      <c r="CK11" s="744" t="str">
        <f t="shared" si="44"/>
        <v/>
      </c>
      <c r="CL11" s="744" t="str">
        <f t="shared" si="45"/>
        <v/>
      </c>
      <c r="CM11" s="744" t="str">
        <f t="shared" si="46"/>
        <v/>
      </c>
      <c r="CN11" s="744" t="str">
        <f t="shared" si="47"/>
        <v/>
      </c>
      <c r="CO11" s="744" t="str">
        <f t="shared" si="48"/>
        <v/>
      </c>
      <c r="CP11" s="744" t="str">
        <f t="shared" si="49"/>
        <v/>
      </c>
      <c r="CQ11" s="744" t="str">
        <f t="shared" si="50"/>
        <v/>
      </c>
      <c r="CR11" s="744" t="str">
        <f t="shared" si="51"/>
        <v/>
      </c>
      <c r="CS11" s="744" t="str">
        <f t="shared" si="52"/>
        <v/>
      </c>
      <c r="CT11" s="744" t="str">
        <f t="shared" si="53"/>
        <v/>
      </c>
      <c r="CU11" s="744" t="str">
        <f t="shared" si="54"/>
        <v/>
      </c>
      <c r="CV11" s="744" t="str">
        <f t="shared" si="55"/>
        <v/>
      </c>
      <c r="CW11" s="744" t="str">
        <f t="shared" si="56"/>
        <v/>
      </c>
      <c r="CX11" s="744">
        <f t="shared" si="57"/>
        <v>0.890011</v>
      </c>
    </row>
    <row r="12" spans="1:104">
      <c r="A12" s="630">
        <v>9</v>
      </c>
      <c r="B12" s="630" t="s">
        <v>4</v>
      </c>
      <c r="C12" s="631" t="s">
        <v>250</v>
      </c>
      <c r="D12" s="630" t="s">
        <v>1390</v>
      </c>
      <c r="E12" s="632" t="s">
        <v>317</v>
      </c>
      <c r="F12" s="1067">
        <v>1</v>
      </c>
      <c r="G12" s="1066">
        <v>1</v>
      </c>
      <c r="H12" s="1068">
        <v>0.89739999999999998</v>
      </c>
      <c r="I12" s="1068">
        <v>0.29327031999999997</v>
      </c>
      <c r="J12" s="1069">
        <v>0.2175</v>
      </c>
      <c r="K12" s="1069">
        <v>0.16655743999999997</v>
      </c>
      <c r="L12" s="1074">
        <v>0.57927169999999994</v>
      </c>
      <c r="M12" s="1069"/>
      <c r="N12" s="1069">
        <v>2.72</v>
      </c>
      <c r="O12" s="1069"/>
      <c r="P12" s="1076">
        <v>13.102040000000001</v>
      </c>
      <c r="Q12" s="1069">
        <v>355.63962000000004</v>
      </c>
      <c r="R12" s="1069">
        <v>233.77269999999999</v>
      </c>
      <c r="S12" s="1279">
        <v>121.86692000000005</v>
      </c>
      <c r="T12" s="1069">
        <v>259.16911999999996</v>
      </c>
      <c r="U12" s="1069"/>
      <c r="V12" s="1079">
        <v>2.1537599999999997</v>
      </c>
      <c r="W12" s="1069">
        <v>8.7047800000000013</v>
      </c>
      <c r="X12" s="1069"/>
      <c r="Y12" s="1069"/>
      <c r="Z12" s="1069"/>
      <c r="AA12" s="1069"/>
      <c r="AB12" s="1069">
        <v>11.19</v>
      </c>
      <c r="AC12" s="1069">
        <v>11.8</v>
      </c>
      <c r="AD12" s="1069">
        <v>62.37</v>
      </c>
      <c r="AE12" s="1069">
        <v>33.93</v>
      </c>
      <c r="AF12" s="1069"/>
      <c r="AG12" s="1069"/>
      <c r="AH12" s="1076"/>
      <c r="AI12" s="1069"/>
      <c r="AJ12" s="1069"/>
      <c r="AK12" s="1069"/>
      <c r="AL12" s="1081"/>
      <c r="AM12" s="1069"/>
      <c r="AN12" s="1069"/>
      <c r="AO12" s="1069"/>
      <c r="AP12" s="1069"/>
      <c r="AQ12" s="1069"/>
      <c r="AR12" s="1069"/>
      <c r="AS12" s="1282"/>
      <c r="AT12" s="1282"/>
      <c r="AU12" s="1069"/>
      <c r="AV12" s="1069"/>
      <c r="AW12" s="1069"/>
      <c r="AX12" s="1069"/>
      <c r="AY12" s="1069"/>
      <c r="AZ12" s="1078">
        <f t="shared" si="10"/>
        <v>0.89739999999999998</v>
      </c>
      <c r="BA12" s="59">
        <v>8</v>
      </c>
      <c r="BB12" s="59">
        <f t="shared" si="12"/>
        <v>8</v>
      </c>
      <c r="BC12" s="60" t="str">
        <f t="shared" si="13"/>
        <v>Algodão, Farelo 38%PB</v>
      </c>
      <c r="BD12" s="61" t="str">
        <f ca="1">IFERROR(IF(SEARCH('Calcular Dieta'!A$3,$BC$5:$BC$310)&gt;=1,BC12,"Não encontrado"),"Não encontrado")</f>
        <v>Algodão, Farelo 38%PB</v>
      </c>
      <c r="BE12" s="741">
        <f ca="1">COUNTIF(BD$5:BD12,"&lt;&gt;"&amp;"Não encontrado")</f>
        <v>8</v>
      </c>
      <c r="BF12" s="742" t="str">
        <f t="shared" ca="1" si="58"/>
        <v>ALGODÃO, FARELO 38%PB</v>
      </c>
      <c r="BG12" s="744">
        <f t="shared" si="14"/>
        <v>0.29328231999999999</v>
      </c>
      <c r="BH12" s="744">
        <f t="shared" si="15"/>
        <v>0.21751200000000001</v>
      </c>
      <c r="BI12" s="744">
        <f t="shared" si="16"/>
        <v>0.16656943999999999</v>
      </c>
      <c r="BJ12" s="744">
        <f t="shared" si="17"/>
        <v>0.57928369999999996</v>
      </c>
      <c r="BK12" s="744" t="str">
        <f t="shared" si="18"/>
        <v/>
      </c>
      <c r="BL12" s="744">
        <f t="shared" si="19"/>
        <v>2.7200120000000001</v>
      </c>
      <c r="BM12" s="744" t="str">
        <f t="shared" si="20"/>
        <v/>
      </c>
      <c r="BN12" s="744">
        <f t="shared" si="21"/>
        <v>13.102052</v>
      </c>
      <c r="BO12" s="744">
        <f t="shared" si="22"/>
        <v>355.63963200000006</v>
      </c>
      <c r="BP12" s="744">
        <f t="shared" si="23"/>
        <v>233.77271199999998</v>
      </c>
      <c r="BQ12" s="744">
        <f t="shared" si="24"/>
        <v>121.86693200000005</v>
      </c>
      <c r="BR12" s="744">
        <f t="shared" si="25"/>
        <v>259.16913199999999</v>
      </c>
      <c r="BS12" s="744" t="str">
        <f t="shared" si="26"/>
        <v/>
      </c>
      <c r="BT12" s="744">
        <f t="shared" si="27"/>
        <v>2.1537719999999996</v>
      </c>
      <c r="BU12" s="744">
        <f t="shared" si="28"/>
        <v>8.7047920000000012</v>
      </c>
      <c r="BV12" s="744" t="str">
        <f t="shared" si="29"/>
        <v/>
      </c>
      <c r="BW12" s="744" t="str">
        <f t="shared" si="30"/>
        <v/>
      </c>
      <c r="BX12" s="744" t="str">
        <f t="shared" si="31"/>
        <v/>
      </c>
      <c r="BY12" s="744" t="str">
        <f t="shared" si="32"/>
        <v/>
      </c>
      <c r="BZ12" s="744">
        <f t="shared" si="33"/>
        <v>11.190011999999999</v>
      </c>
      <c r="CA12" s="744">
        <f t="shared" si="34"/>
        <v>11.800012000000001</v>
      </c>
      <c r="CB12" s="744">
        <f t="shared" si="35"/>
        <v>62.370011999999996</v>
      </c>
      <c r="CC12" s="744">
        <f t="shared" si="36"/>
        <v>33.930011999999998</v>
      </c>
      <c r="CD12" s="744" t="str">
        <f t="shared" si="37"/>
        <v/>
      </c>
      <c r="CE12" s="744" t="str">
        <f t="shared" si="38"/>
        <v/>
      </c>
      <c r="CF12" s="744" t="str">
        <f t="shared" si="39"/>
        <v/>
      </c>
      <c r="CG12" s="744" t="str">
        <f t="shared" si="40"/>
        <v/>
      </c>
      <c r="CH12" s="744" t="str">
        <f t="shared" si="41"/>
        <v/>
      </c>
      <c r="CI12" s="744" t="str">
        <f t="shared" si="42"/>
        <v/>
      </c>
      <c r="CJ12" s="744" t="str">
        <f t="shared" si="43"/>
        <v/>
      </c>
      <c r="CK12" s="744" t="str">
        <f t="shared" si="44"/>
        <v/>
      </c>
      <c r="CL12" s="744" t="str">
        <f t="shared" si="45"/>
        <v/>
      </c>
      <c r="CM12" s="744" t="str">
        <f t="shared" si="46"/>
        <v/>
      </c>
      <c r="CN12" s="744" t="str">
        <f t="shared" si="47"/>
        <v/>
      </c>
      <c r="CO12" s="744" t="str">
        <f t="shared" si="48"/>
        <v/>
      </c>
      <c r="CP12" s="744" t="str">
        <f t="shared" si="49"/>
        <v/>
      </c>
      <c r="CQ12" s="744" t="str">
        <f t="shared" si="50"/>
        <v/>
      </c>
      <c r="CR12" s="744" t="str">
        <f t="shared" si="51"/>
        <v/>
      </c>
      <c r="CS12" s="744" t="str">
        <f t="shared" si="52"/>
        <v/>
      </c>
      <c r="CT12" s="744" t="str">
        <f t="shared" si="53"/>
        <v/>
      </c>
      <c r="CU12" s="744" t="str">
        <f t="shared" si="54"/>
        <v/>
      </c>
      <c r="CV12" s="744" t="str">
        <f t="shared" si="55"/>
        <v/>
      </c>
      <c r="CW12" s="744" t="str">
        <f t="shared" si="56"/>
        <v/>
      </c>
      <c r="CX12" s="744">
        <f t="shared" si="57"/>
        <v>0.89741199999999999</v>
      </c>
    </row>
    <row r="13" spans="1:104">
      <c r="A13" s="633">
        <v>10</v>
      </c>
      <c r="B13" s="630" t="s">
        <v>4</v>
      </c>
      <c r="C13" s="631" t="s">
        <v>250</v>
      </c>
      <c r="D13" s="630" t="s">
        <v>1390</v>
      </c>
      <c r="E13" s="632" t="s">
        <v>443</v>
      </c>
      <c r="F13" s="1067">
        <v>1</v>
      </c>
      <c r="G13" s="1066">
        <v>1</v>
      </c>
      <c r="H13" s="1068">
        <v>0.90480000000000005</v>
      </c>
      <c r="I13" s="1068">
        <v>0.28935504000000006</v>
      </c>
      <c r="J13" s="1069">
        <v>0.18959999999999999</v>
      </c>
      <c r="K13" s="1069">
        <v>0.16376880000000002</v>
      </c>
      <c r="L13" s="1074">
        <v>0.63164088000000007</v>
      </c>
      <c r="M13" s="1069"/>
      <c r="N13" s="1069">
        <v>3.03</v>
      </c>
      <c r="O13" s="1069"/>
      <c r="P13" s="1076">
        <v>14.83872</v>
      </c>
      <c r="Q13" s="1069">
        <v>421.72728000000006</v>
      </c>
      <c r="R13" s="1069">
        <v>308.44632000000007</v>
      </c>
      <c r="S13" s="1069">
        <v>38.54448</v>
      </c>
      <c r="T13" s="1069">
        <v>211.72319999999999</v>
      </c>
      <c r="U13" s="1069"/>
      <c r="V13" s="1079">
        <v>1.9905600000000001</v>
      </c>
      <c r="W13" s="1069">
        <v>8.6860800000000005</v>
      </c>
      <c r="X13" s="1069">
        <v>4.3430400000000002</v>
      </c>
      <c r="Y13" s="1069">
        <v>0.18096000000000004</v>
      </c>
      <c r="Z13" s="1069">
        <v>12.48624</v>
      </c>
      <c r="AA13" s="1069">
        <v>0.90480000000000005</v>
      </c>
      <c r="AB13" s="1069">
        <v>13.83</v>
      </c>
      <c r="AC13" s="1069">
        <v>38.46</v>
      </c>
      <c r="AD13" s="1069">
        <v>68.95</v>
      </c>
      <c r="AE13" s="1069">
        <v>17</v>
      </c>
      <c r="AF13" s="1069"/>
      <c r="AG13" s="1069">
        <v>0.21</v>
      </c>
      <c r="AH13" s="1076"/>
      <c r="AI13" s="1069"/>
      <c r="AJ13" s="1069"/>
      <c r="AK13" s="1069"/>
      <c r="AL13" s="1081"/>
      <c r="AM13" s="1069"/>
      <c r="AN13" s="1069"/>
      <c r="AO13" s="1069"/>
      <c r="AP13" s="1069"/>
      <c r="AQ13" s="1069"/>
      <c r="AR13" s="1069"/>
      <c r="AS13" s="1282"/>
      <c r="AT13" s="1282"/>
      <c r="AU13" s="1069"/>
      <c r="AV13" s="1069"/>
      <c r="AW13" s="1069"/>
      <c r="AX13" s="1069"/>
      <c r="AY13" s="1069"/>
      <c r="AZ13" s="1078">
        <f t="shared" si="10"/>
        <v>0.90480000000000005</v>
      </c>
      <c r="BA13" s="59">
        <v>9</v>
      </c>
      <c r="BB13" s="59">
        <f t="shared" si="12"/>
        <v>9</v>
      </c>
      <c r="BC13" s="60" t="str">
        <f t="shared" si="13"/>
        <v>Algodão, Farelo 42%PB</v>
      </c>
      <c r="BD13" s="61" t="str">
        <f ca="1">IFERROR(IF(SEARCH('Calcular Dieta'!A$3,$BC$5:$BC$310)&gt;=1,BC13,"Não encontrado"),"Não encontrado")</f>
        <v>Algodão, Farelo 42%PB</v>
      </c>
      <c r="BE13" s="741">
        <f ca="1">COUNTIF(BD$5:BD13,"&lt;&gt;"&amp;"Não encontrado")</f>
        <v>9</v>
      </c>
      <c r="BF13" s="742" t="str">
        <f t="shared" ca="1" si="58"/>
        <v>ALGODÃO, FARELO 42%PB</v>
      </c>
      <c r="BG13" s="744">
        <f t="shared" si="14"/>
        <v>0.28936804000000005</v>
      </c>
      <c r="BH13" s="744">
        <f t="shared" si="15"/>
        <v>0.189613</v>
      </c>
      <c r="BI13" s="744">
        <f t="shared" si="16"/>
        <v>0.16378180000000003</v>
      </c>
      <c r="BJ13" s="744">
        <f t="shared" si="17"/>
        <v>0.63165388000000011</v>
      </c>
      <c r="BK13" s="744" t="str">
        <f t="shared" si="18"/>
        <v/>
      </c>
      <c r="BL13" s="744">
        <f t="shared" si="19"/>
        <v>3.0300129999999998</v>
      </c>
      <c r="BM13" s="744" t="str">
        <f t="shared" si="20"/>
        <v/>
      </c>
      <c r="BN13" s="744">
        <f t="shared" si="21"/>
        <v>14.838733</v>
      </c>
      <c r="BO13" s="744">
        <f t="shared" si="22"/>
        <v>421.72729300000009</v>
      </c>
      <c r="BP13" s="744">
        <f t="shared" si="23"/>
        <v>308.4463330000001</v>
      </c>
      <c r="BQ13" s="744">
        <f t="shared" si="24"/>
        <v>38.544493000000003</v>
      </c>
      <c r="BR13" s="744">
        <f t="shared" si="25"/>
        <v>211.72321299999999</v>
      </c>
      <c r="BS13" s="744" t="str">
        <f t="shared" si="26"/>
        <v/>
      </c>
      <c r="BT13" s="744">
        <f t="shared" si="27"/>
        <v>1.9905730000000001</v>
      </c>
      <c r="BU13" s="744">
        <f t="shared" si="28"/>
        <v>8.6860929999999996</v>
      </c>
      <c r="BV13" s="744">
        <f t="shared" si="29"/>
        <v>4.3430530000000003</v>
      </c>
      <c r="BW13" s="744">
        <f t="shared" si="30"/>
        <v>0.18097300000000005</v>
      </c>
      <c r="BX13" s="744">
        <f t="shared" si="31"/>
        <v>12.486253</v>
      </c>
      <c r="BY13" s="744">
        <f t="shared" si="32"/>
        <v>0.90481300000000009</v>
      </c>
      <c r="BZ13" s="744">
        <f t="shared" si="33"/>
        <v>13.830012999999999</v>
      </c>
      <c r="CA13" s="744">
        <f t="shared" si="34"/>
        <v>38.460013000000004</v>
      </c>
      <c r="CB13" s="744">
        <f t="shared" si="35"/>
        <v>68.950012999999998</v>
      </c>
      <c r="CC13" s="744">
        <f t="shared" si="36"/>
        <v>17.000012999999999</v>
      </c>
      <c r="CD13" s="744" t="str">
        <f t="shared" si="37"/>
        <v/>
      </c>
      <c r="CE13" s="744">
        <f t="shared" si="38"/>
        <v>0.21001300000000001</v>
      </c>
      <c r="CF13" s="744" t="str">
        <f t="shared" si="39"/>
        <v/>
      </c>
      <c r="CG13" s="744" t="str">
        <f t="shared" si="40"/>
        <v/>
      </c>
      <c r="CH13" s="744" t="str">
        <f t="shared" si="41"/>
        <v/>
      </c>
      <c r="CI13" s="744" t="str">
        <f t="shared" si="42"/>
        <v/>
      </c>
      <c r="CJ13" s="744" t="str">
        <f t="shared" si="43"/>
        <v/>
      </c>
      <c r="CK13" s="744" t="str">
        <f t="shared" si="44"/>
        <v/>
      </c>
      <c r="CL13" s="744" t="str">
        <f t="shared" si="45"/>
        <v/>
      </c>
      <c r="CM13" s="744" t="str">
        <f t="shared" si="46"/>
        <v/>
      </c>
      <c r="CN13" s="744" t="str">
        <f t="shared" si="47"/>
        <v/>
      </c>
      <c r="CO13" s="744" t="str">
        <f t="shared" si="48"/>
        <v/>
      </c>
      <c r="CP13" s="744" t="str">
        <f t="shared" si="49"/>
        <v/>
      </c>
      <c r="CQ13" s="744" t="str">
        <f t="shared" si="50"/>
        <v/>
      </c>
      <c r="CR13" s="744" t="str">
        <f t="shared" si="51"/>
        <v/>
      </c>
      <c r="CS13" s="744" t="str">
        <f t="shared" si="52"/>
        <v/>
      </c>
      <c r="CT13" s="744" t="str">
        <f t="shared" si="53"/>
        <v/>
      </c>
      <c r="CU13" s="744" t="str">
        <f t="shared" si="54"/>
        <v/>
      </c>
      <c r="CV13" s="744" t="str">
        <f t="shared" si="55"/>
        <v/>
      </c>
      <c r="CW13" s="744" t="str">
        <f t="shared" si="56"/>
        <v/>
      </c>
      <c r="CX13" s="744">
        <f t="shared" si="57"/>
        <v>0.90481300000000009</v>
      </c>
    </row>
    <row r="14" spans="1:104">
      <c r="A14" s="630">
        <v>7</v>
      </c>
      <c r="B14" s="630" t="s">
        <v>4</v>
      </c>
      <c r="C14" s="631" t="s">
        <v>250</v>
      </c>
      <c r="D14" s="630" t="s">
        <v>1392</v>
      </c>
      <c r="E14" s="632" t="s">
        <v>1384</v>
      </c>
      <c r="F14" s="1067">
        <v>1</v>
      </c>
      <c r="G14" s="1066">
        <v>1</v>
      </c>
      <c r="H14" s="1068">
        <v>0.91</v>
      </c>
      <c r="I14" s="1068">
        <v>0.25480000000000003</v>
      </c>
      <c r="J14" s="1069">
        <v>0.19109999999999999</v>
      </c>
      <c r="K14" s="1069"/>
      <c r="L14" s="1074">
        <v>0.6825</v>
      </c>
      <c r="M14" s="1069">
        <v>3.0091424999999998</v>
      </c>
      <c r="N14" s="1069"/>
      <c r="O14" s="1069"/>
      <c r="P14" s="1076">
        <v>8.0990000000000002</v>
      </c>
      <c r="Q14" s="1069">
        <v>391.29999999999995</v>
      </c>
      <c r="R14" s="1069">
        <v>211.30199999999999</v>
      </c>
      <c r="S14" s="1069"/>
      <c r="T14" s="1069"/>
      <c r="U14" s="1069"/>
      <c r="V14" s="1079">
        <v>2.5480000000000005</v>
      </c>
      <c r="W14" s="1069">
        <v>9.4640000000000004</v>
      </c>
      <c r="X14" s="1069">
        <v>3.64</v>
      </c>
      <c r="Y14" s="1069">
        <v>0.36399999999999999</v>
      </c>
      <c r="Z14" s="1069">
        <v>8.0990000000000002</v>
      </c>
      <c r="AA14" s="1069">
        <v>3.0940000000000003</v>
      </c>
      <c r="AB14" s="1069">
        <v>10.92</v>
      </c>
      <c r="AC14" s="1069">
        <v>29.12</v>
      </c>
      <c r="AD14" s="1069">
        <v>52.78</v>
      </c>
      <c r="AE14" s="1069">
        <v>11.83</v>
      </c>
      <c r="AF14" s="1069">
        <v>9.1000000000000011E-2</v>
      </c>
      <c r="AG14" s="1069">
        <v>0.74619999999999997</v>
      </c>
      <c r="AH14" s="1076">
        <v>0.27200000000000002</v>
      </c>
      <c r="AI14" s="1069"/>
      <c r="AJ14" s="1069"/>
      <c r="AK14" s="1069"/>
      <c r="AL14" s="1081"/>
      <c r="AM14" s="1069"/>
      <c r="AN14" s="1069"/>
      <c r="AO14" s="1069"/>
      <c r="AP14" s="1069"/>
      <c r="AQ14" s="1069"/>
      <c r="AR14" s="1069"/>
      <c r="AS14" s="1282"/>
      <c r="AT14" s="1282"/>
      <c r="AU14" s="1069"/>
      <c r="AV14" s="1069"/>
      <c r="AW14" s="1069"/>
      <c r="AX14" s="1069"/>
      <c r="AY14" s="1069"/>
      <c r="AZ14" s="1078">
        <f t="shared" si="10"/>
        <v>0.91</v>
      </c>
      <c r="BA14" s="59">
        <v>10</v>
      </c>
      <c r="BB14" s="59">
        <f t="shared" si="12"/>
        <v>10</v>
      </c>
      <c r="BC14" s="60" t="str">
        <f t="shared" si="13"/>
        <v>Algodão, Farelo 44%PB</v>
      </c>
      <c r="BD14" s="61" t="str">
        <f ca="1">IFERROR(IF(SEARCH('Calcular Dieta'!A$3,$BC$5:$BC$310)&gt;=1,BC14,"Não encontrado"),"Não encontrado")</f>
        <v>Algodão, Farelo 44%PB</v>
      </c>
      <c r="BE14" s="741">
        <f ca="1">COUNTIF(BD$5:BD14,"&lt;&gt;"&amp;"Não encontrado")</f>
        <v>10</v>
      </c>
      <c r="BF14" s="742" t="str">
        <f t="shared" ca="1" si="58"/>
        <v>ALGODÃO, FARELO 44%PB</v>
      </c>
      <c r="BG14" s="744">
        <f t="shared" si="14"/>
        <v>0.25481400000000004</v>
      </c>
      <c r="BH14" s="744">
        <f t="shared" si="15"/>
        <v>0.19111399999999998</v>
      </c>
      <c r="BI14" s="744" t="str">
        <f t="shared" si="16"/>
        <v/>
      </c>
      <c r="BJ14" s="744">
        <f t="shared" si="17"/>
        <v>0.68251399999999995</v>
      </c>
      <c r="BK14" s="744">
        <f t="shared" si="18"/>
        <v>3.0091565</v>
      </c>
      <c r="BL14" s="744" t="str">
        <f t="shared" si="19"/>
        <v/>
      </c>
      <c r="BM14" s="744" t="str">
        <f t="shared" si="20"/>
        <v/>
      </c>
      <c r="BN14" s="744">
        <f t="shared" si="21"/>
        <v>8.0990140000000004</v>
      </c>
      <c r="BO14" s="744">
        <f t="shared" si="22"/>
        <v>391.30001399999998</v>
      </c>
      <c r="BP14" s="744">
        <f t="shared" si="23"/>
        <v>211.30201399999999</v>
      </c>
      <c r="BQ14" s="744" t="str">
        <f t="shared" si="24"/>
        <v/>
      </c>
      <c r="BR14" s="744" t="str">
        <f t="shared" si="25"/>
        <v/>
      </c>
      <c r="BS14" s="744" t="str">
        <f t="shared" si="26"/>
        <v/>
      </c>
      <c r="BT14" s="744">
        <f t="shared" si="27"/>
        <v>2.5480140000000007</v>
      </c>
      <c r="BU14" s="744">
        <f t="shared" si="28"/>
        <v>9.4640140000000006</v>
      </c>
      <c r="BV14" s="744">
        <f t="shared" si="29"/>
        <v>3.6400140000000003</v>
      </c>
      <c r="BW14" s="744">
        <f t="shared" si="30"/>
        <v>0.364014</v>
      </c>
      <c r="BX14" s="744">
        <f t="shared" si="31"/>
        <v>8.0990140000000004</v>
      </c>
      <c r="BY14" s="744">
        <f t="shared" si="32"/>
        <v>3.0940140000000005</v>
      </c>
      <c r="BZ14" s="744">
        <f t="shared" si="33"/>
        <v>10.920014</v>
      </c>
      <c r="CA14" s="744">
        <f t="shared" si="34"/>
        <v>29.120014000000001</v>
      </c>
      <c r="CB14" s="744">
        <f t="shared" si="35"/>
        <v>52.780014000000001</v>
      </c>
      <c r="CC14" s="744">
        <f t="shared" si="36"/>
        <v>11.830014</v>
      </c>
      <c r="CD14" s="744">
        <f t="shared" si="37"/>
        <v>9.1014000000000012E-2</v>
      </c>
      <c r="CE14" s="744">
        <f t="shared" si="38"/>
        <v>0.74621399999999993</v>
      </c>
      <c r="CF14" s="744">
        <f t="shared" si="39"/>
        <v>0.27201400000000003</v>
      </c>
      <c r="CG14" s="744" t="str">
        <f t="shared" si="40"/>
        <v/>
      </c>
      <c r="CH14" s="744" t="str">
        <f t="shared" si="41"/>
        <v/>
      </c>
      <c r="CI14" s="744" t="str">
        <f t="shared" si="42"/>
        <v/>
      </c>
      <c r="CJ14" s="744" t="str">
        <f t="shared" si="43"/>
        <v/>
      </c>
      <c r="CK14" s="744" t="str">
        <f t="shared" si="44"/>
        <v/>
      </c>
      <c r="CL14" s="744" t="str">
        <f t="shared" si="45"/>
        <v/>
      </c>
      <c r="CM14" s="744" t="str">
        <f t="shared" si="46"/>
        <v/>
      </c>
      <c r="CN14" s="744" t="str">
        <f t="shared" si="47"/>
        <v/>
      </c>
      <c r="CO14" s="744" t="str">
        <f t="shared" si="48"/>
        <v/>
      </c>
      <c r="CP14" s="744" t="str">
        <f t="shared" si="49"/>
        <v/>
      </c>
      <c r="CQ14" s="744" t="str">
        <f t="shared" si="50"/>
        <v/>
      </c>
      <c r="CR14" s="744" t="str">
        <f t="shared" si="51"/>
        <v/>
      </c>
      <c r="CS14" s="744" t="str">
        <f t="shared" si="52"/>
        <v/>
      </c>
      <c r="CT14" s="744" t="str">
        <f t="shared" si="53"/>
        <v/>
      </c>
      <c r="CU14" s="744" t="str">
        <f t="shared" si="54"/>
        <v/>
      </c>
      <c r="CV14" s="744" t="str">
        <f t="shared" si="55"/>
        <v/>
      </c>
      <c r="CW14" s="744" t="str">
        <f t="shared" si="56"/>
        <v/>
      </c>
      <c r="CX14" s="744">
        <f t="shared" si="57"/>
        <v>0.91001399999999999</v>
      </c>
    </row>
    <row r="15" spans="1:104">
      <c r="A15" s="633">
        <v>11</v>
      </c>
      <c r="B15" s="630" t="s">
        <v>4</v>
      </c>
      <c r="C15" s="631" t="s">
        <v>250</v>
      </c>
      <c r="D15" s="630" t="s">
        <v>1390</v>
      </c>
      <c r="E15" s="632" t="s">
        <v>91</v>
      </c>
      <c r="F15" s="1067">
        <v>1</v>
      </c>
      <c r="G15" s="1066">
        <v>1</v>
      </c>
      <c r="H15" s="1068">
        <v>0.90410000000000001</v>
      </c>
      <c r="I15" s="1068">
        <v>0.43360636000000002</v>
      </c>
      <c r="J15" s="1069">
        <v>0.29099999999999998</v>
      </c>
      <c r="K15" s="1069">
        <v>8.805934E-2</v>
      </c>
      <c r="L15" s="1074">
        <v>0.68349959999999987</v>
      </c>
      <c r="M15" s="1069"/>
      <c r="N15" s="1069">
        <v>3.03</v>
      </c>
      <c r="O15" s="1069"/>
      <c r="P15" s="1076">
        <v>85.708680000000015</v>
      </c>
      <c r="Q15" s="1069">
        <v>267.97523999999999</v>
      </c>
      <c r="R15" s="1069">
        <v>214.09088</v>
      </c>
      <c r="S15" s="1279">
        <v>53.884359999999987</v>
      </c>
      <c r="T15" s="1069">
        <v>170.87489999999997</v>
      </c>
      <c r="U15" s="1069"/>
      <c r="V15" s="1079">
        <v>2.5314800000000006</v>
      </c>
      <c r="W15" s="1069">
        <v>5.2437800000000001</v>
      </c>
      <c r="X15" s="1069"/>
      <c r="Y15" s="1069"/>
      <c r="Z15" s="1069"/>
      <c r="AA15" s="1069"/>
      <c r="AB15" s="1069"/>
      <c r="AC15" s="1069"/>
      <c r="AD15" s="1069"/>
      <c r="AE15" s="1069"/>
      <c r="AF15" s="1069"/>
      <c r="AG15" s="1069"/>
      <c r="AH15" s="1076"/>
      <c r="AI15" s="1069"/>
      <c r="AJ15" s="1069"/>
      <c r="AK15" s="1069"/>
      <c r="AL15" s="1081"/>
      <c r="AM15" s="1069"/>
      <c r="AN15" s="1069"/>
      <c r="AO15" s="1069"/>
      <c r="AP15" s="1069"/>
      <c r="AQ15" s="1069"/>
      <c r="AR15" s="1069"/>
      <c r="AS15" s="1282"/>
      <c r="AT15" s="1282"/>
      <c r="AU15" s="1069"/>
      <c r="AV15" s="1069"/>
      <c r="AW15" s="1069"/>
      <c r="AX15" s="1069"/>
      <c r="AY15" s="1069"/>
      <c r="AZ15" s="1078">
        <f t="shared" si="10"/>
        <v>0.90410000000000001</v>
      </c>
      <c r="BA15" s="59">
        <v>11</v>
      </c>
      <c r="BB15" s="59">
        <f t="shared" si="12"/>
        <v>11</v>
      </c>
      <c r="BC15" s="60" t="str">
        <f t="shared" si="13"/>
        <v>Algodão, Torta</v>
      </c>
      <c r="BD15" s="61" t="str">
        <f ca="1">IFERROR(IF(SEARCH('Calcular Dieta'!A$3,$BC$5:$BC$310)&gt;=1,BC15,"Não encontrado"),"Não encontrado")</f>
        <v>Algodão, Torta</v>
      </c>
      <c r="BE15" s="741">
        <f ca="1">COUNTIF(BD$5:BD15,"&lt;&gt;"&amp;"Não encontrado")</f>
        <v>11</v>
      </c>
      <c r="BF15" s="742" t="str">
        <f t="shared" ca="1" si="58"/>
        <v>ALGODÃO, TORTA</v>
      </c>
      <c r="BG15" s="744">
        <f t="shared" si="14"/>
        <v>0.43362136000000001</v>
      </c>
      <c r="BH15" s="744">
        <f t="shared" si="15"/>
        <v>0.29101499999999997</v>
      </c>
      <c r="BI15" s="744">
        <f t="shared" si="16"/>
        <v>8.8074340000000001E-2</v>
      </c>
      <c r="BJ15" s="744">
        <f t="shared" si="17"/>
        <v>0.68351459999999986</v>
      </c>
      <c r="BK15" s="744" t="str">
        <f t="shared" si="18"/>
        <v/>
      </c>
      <c r="BL15" s="744">
        <f t="shared" si="19"/>
        <v>3.0300149999999997</v>
      </c>
      <c r="BM15" s="744" t="str">
        <f t="shared" si="20"/>
        <v/>
      </c>
      <c r="BN15" s="744">
        <f t="shared" si="21"/>
        <v>85.70869500000002</v>
      </c>
      <c r="BO15" s="744">
        <f t="shared" si="22"/>
        <v>267.975255</v>
      </c>
      <c r="BP15" s="744">
        <f t="shared" si="23"/>
        <v>214.09089499999999</v>
      </c>
      <c r="BQ15" s="744">
        <f t="shared" si="24"/>
        <v>53.884374999999984</v>
      </c>
      <c r="BR15" s="744">
        <f t="shared" si="25"/>
        <v>170.87491499999996</v>
      </c>
      <c r="BS15" s="744" t="str">
        <f t="shared" si="26"/>
        <v/>
      </c>
      <c r="BT15" s="744">
        <f t="shared" si="27"/>
        <v>2.5314950000000005</v>
      </c>
      <c r="BU15" s="744">
        <f t="shared" si="28"/>
        <v>5.2437950000000004</v>
      </c>
      <c r="BV15" s="744" t="str">
        <f t="shared" si="29"/>
        <v/>
      </c>
      <c r="BW15" s="744" t="str">
        <f t="shared" si="30"/>
        <v/>
      </c>
      <c r="BX15" s="744" t="str">
        <f t="shared" si="31"/>
        <v/>
      </c>
      <c r="BY15" s="744" t="str">
        <f t="shared" si="32"/>
        <v/>
      </c>
      <c r="BZ15" s="744" t="str">
        <f t="shared" si="33"/>
        <v/>
      </c>
      <c r="CA15" s="744" t="str">
        <f t="shared" si="34"/>
        <v/>
      </c>
      <c r="CB15" s="744" t="str">
        <f t="shared" si="35"/>
        <v/>
      </c>
      <c r="CC15" s="744" t="str">
        <f t="shared" si="36"/>
        <v/>
      </c>
      <c r="CD15" s="744" t="str">
        <f t="shared" si="37"/>
        <v/>
      </c>
      <c r="CE15" s="744" t="str">
        <f t="shared" si="38"/>
        <v/>
      </c>
      <c r="CF15" s="744" t="str">
        <f t="shared" si="39"/>
        <v/>
      </c>
      <c r="CG15" s="744" t="str">
        <f t="shared" si="40"/>
        <v/>
      </c>
      <c r="CH15" s="744" t="str">
        <f t="shared" si="41"/>
        <v/>
      </c>
      <c r="CI15" s="744" t="str">
        <f t="shared" si="42"/>
        <v/>
      </c>
      <c r="CJ15" s="744" t="str">
        <f t="shared" si="43"/>
        <v/>
      </c>
      <c r="CK15" s="744" t="str">
        <f t="shared" si="44"/>
        <v/>
      </c>
      <c r="CL15" s="744" t="str">
        <f t="shared" si="45"/>
        <v/>
      </c>
      <c r="CM15" s="744" t="str">
        <f t="shared" si="46"/>
        <v/>
      </c>
      <c r="CN15" s="744" t="str">
        <f t="shared" si="47"/>
        <v/>
      </c>
      <c r="CO15" s="744" t="str">
        <f t="shared" si="48"/>
        <v/>
      </c>
      <c r="CP15" s="744" t="str">
        <f t="shared" si="49"/>
        <v/>
      </c>
      <c r="CQ15" s="744" t="str">
        <f t="shared" si="50"/>
        <v/>
      </c>
      <c r="CR15" s="744" t="str">
        <f t="shared" si="51"/>
        <v/>
      </c>
      <c r="CS15" s="744" t="str">
        <f t="shared" si="52"/>
        <v/>
      </c>
      <c r="CT15" s="744" t="str">
        <f t="shared" si="53"/>
        <v/>
      </c>
      <c r="CU15" s="744" t="str">
        <f t="shared" si="54"/>
        <v/>
      </c>
      <c r="CV15" s="744" t="str">
        <f t="shared" si="55"/>
        <v/>
      </c>
      <c r="CW15" s="744" t="str">
        <f t="shared" si="56"/>
        <v/>
      </c>
      <c r="CX15" s="744">
        <f t="shared" si="57"/>
        <v>0.904115</v>
      </c>
    </row>
    <row r="16" spans="1:104">
      <c r="A16" s="630">
        <v>12</v>
      </c>
      <c r="B16" s="630" t="s">
        <v>4</v>
      </c>
      <c r="C16" s="631" t="s">
        <v>251</v>
      </c>
      <c r="D16" s="630" t="s">
        <v>1390</v>
      </c>
      <c r="E16" s="632" t="s">
        <v>92</v>
      </c>
      <c r="F16" s="1067">
        <v>7.5</v>
      </c>
      <c r="G16" s="1066">
        <v>1</v>
      </c>
      <c r="H16" s="1069">
        <v>0.99</v>
      </c>
      <c r="I16" s="1069"/>
      <c r="J16" s="1069"/>
      <c r="K16" s="1069"/>
      <c r="L16" s="1074"/>
      <c r="M16" s="1069"/>
      <c r="N16" s="1069"/>
      <c r="O16" s="1069"/>
      <c r="P16" s="1076"/>
      <c r="Q16" s="1069"/>
      <c r="R16" s="1069"/>
      <c r="S16" s="1069"/>
      <c r="T16" s="1069"/>
      <c r="U16" s="1069"/>
      <c r="V16" s="1079">
        <v>277.2</v>
      </c>
      <c r="W16" s="1069">
        <v>39.6</v>
      </c>
      <c r="X16" s="1069">
        <v>49.5</v>
      </c>
      <c r="Y16" s="1069">
        <v>39.6</v>
      </c>
      <c r="Z16" s="1069"/>
      <c r="AA16" s="1069"/>
      <c r="AB16" s="1069">
        <v>1500</v>
      </c>
      <c r="AC16" s="1069">
        <v>5000</v>
      </c>
      <c r="AD16" s="1069"/>
      <c r="AE16" s="1069">
        <v>2000</v>
      </c>
      <c r="AF16" s="1069">
        <v>100</v>
      </c>
      <c r="AG16" s="1069">
        <v>200</v>
      </c>
      <c r="AH16" s="1076">
        <v>35</v>
      </c>
      <c r="AI16" s="1069"/>
      <c r="AJ16" s="1069"/>
      <c r="AK16" s="1069"/>
      <c r="AL16" s="1081"/>
      <c r="AM16" s="1069"/>
      <c r="AN16" s="1069"/>
      <c r="AO16" s="1069"/>
      <c r="AP16" s="1069"/>
      <c r="AQ16" s="1069"/>
      <c r="AR16" s="1069"/>
      <c r="AS16" s="1282"/>
      <c r="AT16" s="1282"/>
      <c r="AU16" s="1069"/>
      <c r="AV16" s="1069"/>
      <c r="AW16" s="1069"/>
      <c r="AX16" s="1069"/>
      <c r="AY16" s="1069"/>
      <c r="AZ16" s="1078">
        <f t="shared" si="10"/>
        <v>0.99</v>
      </c>
      <c r="BA16" s="59">
        <v>12</v>
      </c>
      <c r="BB16" s="59">
        <f t="shared" si="12"/>
        <v>12</v>
      </c>
      <c r="BC16" s="60" t="str">
        <f t="shared" si="13"/>
        <v>Alpha Nucleo Bovinos Confinamento</v>
      </c>
      <c r="BD16" s="61" t="str">
        <f ca="1">IFERROR(IF(SEARCH('Calcular Dieta'!A$3,$BC$5:$BC$310)&gt;=1,BC16,"Não encontrado"),"Não encontrado")</f>
        <v>Alpha Nucleo Bovinos Confinamento</v>
      </c>
      <c r="BE16" s="741">
        <f ca="1">COUNTIF(BD$5:BD16,"&lt;&gt;"&amp;"Não encontrado")</f>
        <v>12</v>
      </c>
      <c r="BF16" s="742" t="str">
        <f t="shared" ca="1" si="58"/>
        <v>ALPHA NUCLEO BOVINOS CONFINAMENTO</v>
      </c>
      <c r="BG16" s="744" t="str">
        <f t="shared" si="14"/>
        <v/>
      </c>
      <c r="BH16" s="744" t="str">
        <f t="shared" si="15"/>
        <v/>
      </c>
      <c r="BI16" s="744" t="str">
        <f t="shared" si="16"/>
        <v/>
      </c>
      <c r="BJ16" s="744" t="str">
        <f t="shared" si="17"/>
        <v/>
      </c>
      <c r="BK16" s="744" t="str">
        <f t="shared" si="18"/>
        <v/>
      </c>
      <c r="BL16" s="744" t="str">
        <f t="shared" si="19"/>
        <v/>
      </c>
      <c r="BM16" s="744" t="str">
        <f t="shared" si="20"/>
        <v/>
      </c>
      <c r="BN16" s="744" t="str">
        <f t="shared" si="21"/>
        <v/>
      </c>
      <c r="BO16" s="744" t="str">
        <f t="shared" si="22"/>
        <v/>
      </c>
      <c r="BP16" s="744" t="str">
        <f t="shared" si="23"/>
        <v/>
      </c>
      <c r="BQ16" s="744" t="str">
        <f t="shared" si="24"/>
        <v/>
      </c>
      <c r="BR16" s="744" t="str">
        <f t="shared" si="25"/>
        <v/>
      </c>
      <c r="BS16" s="744" t="str">
        <f t="shared" si="26"/>
        <v/>
      </c>
      <c r="BT16" s="744">
        <f t="shared" si="27"/>
        <v>277.20001600000001</v>
      </c>
      <c r="BU16" s="744">
        <f t="shared" si="28"/>
        <v>39.600016000000004</v>
      </c>
      <c r="BV16" s="744">
        <f t="shared" si="29"/>
        <v>49.500016000000002</v>
      </c>
      <c r="BW16" s="744">
        <f t="shared" si="30"/>
        <v>39.600016000000004</v>
      </c>
      <c r="BX16" s="744" t="str">
        <f t="shared" si="31"/>
        <v/>
      </c>
      <c r="BY16" s="744" t="str">
        <f t="shared" si="32"/>
        <v/>
      </c>
      <c r="BZ16" s="744">
        <f t="shared" si="33"/>
        <v>1500.000016</v>
      </c>
      <c r="CA16" s="744">
        <f t="shared" si="34"/>
        <v>5000.000016</v>
      </c>
      <c r="CB16" s="744" t="str">
        <f t="shared" si="35"/>
        <v/>
      </c>
      <c r="CC16" s="744">
        <f t="shared" si="36"/>
        <v>2000.000016</v>
      </c>
      <c r="CD16" s="744">
        <f t="shared" si="37"/>
        <v>100.000016</v>
      </c>
      <c r="CE16" s="744">
        <f t="shared" si="38"/>
        <v>200.00001599999999</v>
      </c>
      <c r="CF16" s="744">
        <f t="shared" si="39"/>
        <v>35.000016000000002</v>
      </c>
      <c r="CG16" s="744" t="str">
        <f t="shared" si="40"/>
        <v/>
      </c>
      <c r="CH16" s="744" t="str">
        <f t="shared" si="41"/>
        <v/>
      </c>
      <c r="CI16" s="744" t="str">
        <f t="shared" si="42"/>
        <v/>
      </c>
      <c r="CJ16" s="744" t="str">
        <f t="shared" si="43"/>
        <v/>
      </c>
      <c r="CK16" s="744" t="str">
        <f t="shared" si="44"/>
        <v/>
      </c>
      <c r="CL16" s="744" t="str">
        <f t="shared" si="45"/>
        <v/>
      </c>
      <c r="CM16" s="744" t="str">
        <f t="shared" si="46"/>
        <v/>
      </c>
      <c r="CN16" s="744" t="str">
        <f t="shared" si="47"/>
        <v/>
      </c>
      <c r="CO16" s="744" t="str">
        <f t="shared" si="48"/>
        <v/>
      </c>
      <c r="CP16" s="744" t="str">
        <f t="shared" si="49"/>
        <v/>
      </c>
      <c r="CQ16" s="744" t="str">
        <f t="shared" si="50"/>
        <v/>
      </c>
      <c r="CR16" s="744" t="str">
        <f t="shared" si="51"/>
        <v/>
      </c>
      <c r="CS16" s="744" t="str">
        <f t="shared" si="52"/>
        <v/>
      </c>
      <c r="CT16" s="744" t="str">
        <f t="shared" si="53"/>
        <v/>
      </c>
      <c r="CU16" s="744" t="str">
        <f t="shared" si="54"/>
        <v/>
      </c>
      <c r="CV16" s="744" t="str">
        <f t="shared" si="55"/>
        <v/>
      </c>
      <c r="CW16" s="744" t="str">
        <f t="shared" si="56"/>
        <v/>
      </c>
      <c r="CX16" s="744">
        <f t="shared" si="57"/>
        <v>0.99001600000000001</v>
      </c>
    </row>
    <row r="17" spans="1:102">
      <c r="A17" s="633">
        <v>13</v>
      </c>
      <c r="B17" s="630" t="s">
        <v>4</v>
      </c>
      <c r="C17" s="631" t="s">
        <v>251</v>
      </c>
      <c r="D17" s="630" t="s">
        <v>1390</v>
      </c>
      <c r="E17" s="634" t="s">
        <v>93</v>
      </c>
      <c r="F17" s="1067">
        <v>7.5</v>
      </c>
      <c r="G17" s="1066">
        <v>1</v>
      </c>
      <c r="H17" s="1068">
        <v>0.99</v>
      </c>
      <c r="I17" s="1068"/>
      <c r="J17" s="1069"/>
      <c r="K17" s="1069"/>
      <c r="L17" s="1074"/>
      <c r="M17" s="1069"/>
      <c r="N17" s="1069"/>
      <c r="O17" s="1069"/>
      <c r="P17" s="1076"/>
      <c r="Q17" s="1069"/>
      <c r="R17" s="1069"/>
      <c r="S17" s="1069"/>
      <c r="T17" s="1069"/>
      <c r="U17" s="1069"/>
      <c r="V17" s="1079">
        <v>237.59999999999997</v>
      </c>
      <c r="W17" s="1069">
        <v>41.58</v>
      </c>
      <c r="X17" s="1069">
        <v>14.849999999999998</v>
      </c>
      <c r="Y17" s="1069">
        <v>152.45999999999998</v>
      </c>
      <c r="Z17" s="1069"/>
      <c r="AA17" s="1069"/>
      <c r="AB17" s="1069">
        <v>400</v>
      </c>
      <c r="AC17" s="1069">
        <v>1065</v>
      </c>
      <c r="AD17" s="1069"/>
      <c r="AE17" s="1069">
        <v>667</v>
      </c>
      <c r="AF17" s="1069">
        <v>39.65</v>
      </c>
      <c r="AG17" s="1069">
        <v>25</v>
      </c>
      <c r="AH17" s="1076">
        <v>9.9</v>
      </c>
      <c r="AI17" s="1069"/>
      <c r="AJ17" s="1069"/>
      <c r="AK17" s="1069"/>
      <c r="AL17" s="1081"/>
      <c r="AM17" s="1069"/>
      <c r="AN17" s="1069"/>
      <c r="AO17" s="1069"/>
      <c r="AP17" s="1069"/>
      <c r="AQ17" s="1069"/>
      <c r="AR17" s="1069"/>
      <c r="AS17" s="1282"/>
      <c r="AT17" s="1282"/>
      <c r="AU17" s="1069"/>
      <c r="AV17" s="1069"/>
      <c r="AW17" s="1069"/>
      <c r="AX17" s="1069"/>
      <c r="AY17" s="1069"/>
      <c r="AZ17" s="1078">
        <f t="shared" si="10"/>
        <v>0.99</v>
      </c>
      <c r="BA17" s="59">
        <v>13</v>
      </c>
      <c r="BB17" s="59">
        <f t="shared" si="12"/>
        <v>13</v>
      </c>
      <c r="BC17" s="60" t="str">
        <f t="shared" si="13"/>
        <v>Alpha Nucleo Bovinos M</v>
      </c>
      <c r="BD17" s="61" t="str">
        <f ca="1">IFERROR(IF(SEARCH('Calcular Dieta'!A$3,$BC$5:$BC$310)&gt;=1,BC17,"Não encontrado"),"Não encontrado")</f>
        <v>Alpha Nucleo Bovinos M</v>
      </c>
      <c r="BE17" s="741">
        <f ca="1">COUNTIF(BD$5:BD17,"&lt;&gt;"&amp;"Não encontrado")</f>
        <v>13</v>
      </c>
      <c r="BF17" s="742" t="str">
        <f t="shared" ca="1" si="58"/>
        <v>ALPHA NUCLEO BOVINOS M</v>
      </c>
      <c r="BG17" s="744" t="str">
        <f t="shared" si="14"/>
        <v/>
      </c>
      <c r="BH17" s="744" t="str">
        <f t="shared" si="15"/>
        <v/>
      </c>
      <c r="BI17" s="744" t="str">
        <f t="shared" si="16"/>
        <v/>
      </c>
      <c r="BJ17" s="744" t="str">
        <f t="shared" si="17"/>
        <v/>
      </c>
      <c r="BK17" s="744" t="str">
        <f t="shared" si="18"/>
        <v/>
      </c>
      <c r="BL17" s="744" t="str">
        <f t="shared" si="19"/>
        <v/>
      </c>
      <c r="BM17" s="744" t="str">
        <f t="shared" si="20"/>
        <v/>
      </c>
      <c r="BN17" s="744" t="str">
        <f t="shared" si="21"/>
        <v/>
      </c>
      <c r="BO17" s="744" t="str">
        <f t="shared" si="22"/>
        <v/>
      </c>
      <c r="BP17" s="744" t="str">
        <f t="shared" si="23"/>
        <v/>
      </c>
      <c r="BQ17" s="744" t="str">
        <f t="shared" si="24"/>
        <v/>
      </c>
      <c r="BR17" s="744" t="str">
        <f t="shared" si="25"/>
        <v/>
      </c>
      <c r="BS17" s="744" t="str">
        <f t="shared" si="26"/>
        <v/>
      </c>
      <c r="BT17" s="744">
        <f t="shared" si="27"/>
        <v>237.60001699999998</v>
      </c>
      <c r="BU17" s="744">
        <f t="shared" si="28"/>
        <v>41.580016999999998</v>
      </c>
      <c r="BV17" s="744">
        <f t="shared" si="29"/>
        <v>14.850016999999998</v>
      </c>
      <c r="BW17" s="744">
        <f t="shared" si="30"/>
        <v>152.46001699999999</v>
      </c>
      <c r="BX17" s="744" t="str">
        <f t="shared" si="31"/>
        <v/>
      </c>
      <c r="BY17" s="744" t="str">
        <f t="shared" si="32"/>
        <v/>
      </c>
      <c r="BZ17" s="744">
        <f t="shared" si="33"/>
        <v>400.00001700000001</v>
      </c>
      <c r="CA17" s="744">
        <f t="shared" si="34"/>
        <v>1065.0000170000001</v>
      </c>
      <c r="CB17" s="744" t="str">
        <f t="shared" si="35"/>
        <v/>
      </c>
      <c r="CC17" s="744">
        <f t="shared" si="36"/>
        <v>667.00001699999996</v>
      </c>
      <c r="CD17" s="744">
        <f t="shared" si="37"/>
        <v>39.650016999999998</v>
      </c>
      <c r="CE17" s="744">
        <f t="shared" si="38"/>
        <v>25.000017</v>
      </c>
      <c r="CF17" s="744">
        <f t="shared" si="39"/>
        <v>9.9000170000000001</v>
      </c>
      <c r="CG17" s="744" t="str">
        <f t="shared" si="40"/>
        <v/>
      </c>
      <c r="CH17" s="744" t="str">
        <f t="shared" si="41"/>
        <v/>
      </c>
      <c r="CI17" s="744" t="str">
        <f t="shared" si="42"/>
        <v/>
      </c>
      <c r="CJ17" s="744" t="str">
        <f t="shared" si="43"/>
        <v/>
      </c>
      <c r="CK17" s="744" t="str">
        <f t="shared" si="44"/>
        <v/>
      </c>
      <c r="CL17" s="744" t="str">
        <f t="shared" si="45"/>
        <v/>
      </c>
      <c r="CM17" s="744" t="str">
        <f t="shared" si="46"/>
        <v/>
      </c>
      <c r="CN17" s="744" t="str">
        <f t="shared" si="47"/>
        <v/>
      </c>
      <c r="CO17" s="744" t="str">
        <f t="shared" si="48"/>
        <v/>
      </c>
      <c r="CP17" s="744" t="str">
        <f t="shared" si="49"/>
        <v/>
      </c>
      <c r="CQ17" s="744" t="str">
        <f t="shared" si="50"/>
        <v/>
      </c>
      <c r="CR17" s="744" t="str">
        <f t="shared" si="51"/>
        <v/>
      </c>
      <c r="CS17" s="744" t="str">
        <f t="shared" si="52"/>
        <v/>
      </c>
      <c r="CT17" s="744" t="str">
        <f t="shared" si="53"/>
        <v/>
      </c>
      <c r="CU17" s="744" t="str">
        <f t="shared" si="54"/>
        <v/>
      </c>
      <c r="CV17" s="744" t="str">
        <f t="shared" si="55"/>
        <v/>
      </c>
      <c r="CW17" s="744" t="str">
        <f t="shared" si="56"/>
        <v/>
      </c>
      <c r="CX17" s="744">
        <f t="shared" si="57"/>
        <v>0.99001700000000004</v>
      </c>
    </row>
    <row r="18" spans="1:102">
      <c r="A18" s="630">
        <v>14</v>
      </c>
      <c r="B18" s="630" t="s">
        <v>3</v>
      </c>
      <c r="C18" s="631" t="s">
        <v>249</v>
      </c>
      <c r="D18" s="630" t="s">
        <v>1390</v>
      </c>
      <c r="E18" s="632" t="s">
        <v>94</v>
      </c>
      <c r="F18" s="1067">
        <v>1</v>
      </c>
      <c r="G18" s="1066">
        <v>1</v>
      </c>
      <c r="H18" s="1068">
        <v>0.22820000000000001</v>
      </c>
      <c r="I18" s="1068">
        <v>9.9677760000000004E-2</v>
      </c>
      <c r="J18" s="1069">
        <v>6.113478E-2</v>
      </c>
      <c r="K18" s="1069">
        <v>6.2070400000000012E-2</v>
      </c>
      <c r="L18" s="1074">
        <v>0.13794690000000001</v>
      </c>
      <c r="M18" s="1069">
        <v>0</v>
      </c>
      <c r="N18" s="1069">
        <v>0</v>
      </c>
      <c r="O18" s="1069">
        <v>0</v>
      </c>
      <c r="P18" s="1076">
        <v>4.4042599999999998</v>
      </c>
      <c r="Q18" s="1069">
        <v>42.011620000000008</v>
      </c>
      <c r="R18" s="1279">
        <v>24.576797700000004</v>
      </c>
      <c r="S18" s="1279">
        <v>17.434822300000004</v>
      </c>
      <c r="T18" s="1279">
        <v>29.513163050000006</v>
      </c>
      <c r="U18" s="1069">
        <v>0</v>
      </c>
      <c r="V18" s="1079">
        <v>4.70092</v>
      </c>
      <c r="W18" s="1069">
        <v>0.47921999999999998</v>
      </c>
      <c r="X18" s="1069">
        <v>0.63896000000000019</v>
      </c>
      <c r="Y18" s="1069">
        <v>4.564E-2</v>
      </c>
      <c r="Z18" s="1069">
        <v>1.6430400000000001</v>
      </c>
      <c r="AA18" s="1069">
        <v>0.27383999999999997</v>
      </c>
      <c r="AB18" s="1279">
        <v>14</v>
      </c>
      <c r="AC18" s="1279">
        <v>29</v>
      </c>
      <c r="AD18" s="1279"/>
      <c r="AE18" s="1279">
        <v>162</v>
      </c>
      <c r="AF18" s="1279">
        <v>0</v>
      </c>
      <c r="AG18" s="1279"/>
      <c r="AH18" s="1280">
        <v>0</v>
      </c>
      <c r="AI18" s="1069"/>
      <c r="AJ18" s="1069"/>
      <c r="AK18" s="1069"/>
      <c r="AL18" s="1081"/>
      <c r="AM18" s="1069"/>
      <c r="AN18" s="1069"/>
      <c r="AO18" s="1069"/>
      <c r="AP18" s="1069"/>
      <c r="AQ18" s="1069"/>
      <c r="AR18" s="1069"/>
      <c r="AS18" s="1282"/>
      <c r="AT18" s="1282"/>
      <c r="AU18" s="1069"/>
      <c r="AV18" s="1069"/>
      <c r="AW18" s="1069"/>
      <c r="AX18" s="1069"/>
      <c r="AY18" s="1069"/>
      <c r="AZ18" s="1078">
        <f t="shared" si="10"/>
        <v>0.22820000000000001</v>
      </c>
      <c r="BA18" s="59">
        <v>14</v>
      </c>
      <c r="BB18" s="59">
        <f t="shared" si="12"/>
        <v>14</v>
      </c>
      <c r="BC18" s="60" t="str">
        <f t="shared" si="13"/>
        <v>Amendoim Forrageiro</v>
      </c>
      <c r="BD18" s="61" t="str">
        <f ca="1">IFERROR(IF(SEARCH('Calcular Dieta'!A$3,$BC$5:$BC$310)&gt;=1,BC18,"Não encontrado"),"Não encontrado")</f>
        <v>Amendoim Forrageiro</v>
      </c>
      <c r="BE18" s="741">
        <f ca="1">COUNTIF(BD$5:BD18,"&lt;&gt;"&amp;"Não encontrado")</f>
        <v>14</v>
      </c>
      <c r="BF18" s="742" t="str">
        <f t="shared" ca="1" si="58"/>
        <v>AMENDOIM FORRAGEIRO</v>
      </c>
      <c r="BG18" s="744">
        <f t="shared" si="14"/>
        <v>9.9695760000000008E-2</v>
      </c>
      <c r="BH18" s="744">
        <f t="shared" si="15"/>
        <v>6.1152779999999997E-2</v>
      </c>
      <c r="BI18" s="744">
        <f t="shared" si="16"/>
        <v>6.2088400000000009E-2</v>
      </c>
      <c r="BJ18" s="744">
        <f t="shared" si="17"/>
        <v>0.1379649</v>
      </c>
      <c r="BK18" s="744" t="str">
        <f t="shared" si="18"/>
        <v/>
      </c>
      <c r="BL18" s="744" t="str">
        <f t="shared" si="19"/>
        <v/>
      </c>
      <c r="BM18" s="744" t="str">
        <f t="shared" si="20"/>
        <v/>
      </c>
      <c r="BN18" s="744">
        <f t="shared" si="21"/>
        <v>4.4042779999999997</v>
      </c>
      <c r="BO18" s="744">
        <f t="shared" si="22"/>
        <v>42.011638000000005</v>
      </c>
      <c r="BP18" s="744">
        <f t="shared" si="23"/>
        <v>24.576815700000004</v>
      </c>
      <c r="BQ18" s="744">
        <f t="shared" si="24"/>
        <v>17.434840300000005</v>
      </c>
      <c r="BR18" s="744">
        <f t="shared" si="25"/>
        <v>29.513181050000007</v>
      </c>
      <c r="BS18" s="744" t="str">
        <f t="shared" si="26"/>
        <v/>
      </c>
      <c r="BT18" s="744">
        <f t="shared" si="27"/>
        <v>4.7009379999999998</v>
      </c>
      <c r="BU18" s="744">
        <f t="shared" si="28"/>
        <v>0.479238</v>
      </c>
      <c r="BV18" s="744">
        <f t="shared" si="29"/>
        <v>0.63897800000000016</v>
      </c>
      <c r="BW18" s="744">
        <f t="shared" si="30"/>
        <v>4.5657999999999997E-2</v>
      </c>
      <c r="BX18" s="744">
        <f t="shared" si="31"/>
        <v>1.6430580000000001</v>
      </c>
      <c r="BY18" s="744">
        <f t="shared" si="32"/>
        <v>0.27385799999999999</v>
      </c>
      <c r="BZ18" s="744">
        <f t="shared" si="33"/>
        <v>14.000018000000001</v>
      </c>
      <c r="CA18" s="744">
        <f t="shared" si="34"/>
        <v>29.000018000000001</v>
      </c>
      <c r="CB18" s="744" t="str">
        <f t="shared" si="35"/>
        <v/>
      </c>
      <c r="CC18" s="744">
        <f t="shared" si="36"/>
        <v>162.00001800000001</v>
      </c>
      <c r="CD18" s="744" t="str">
        <f t="shared" si="37"/>
        <v/>
      </c>
      <c r="CE18" s="744" t="str">
        <f t="shared" si="38"/>
        <v/>
      </c>
      <c r="CF18" s="744" t="str">
        <f t="shared" si="39"/>
        <v/>
      </c>
      <c r="CG18" s="744" t="str">
        <f t="shared" si="40"/>
        <v/>
      </c>
      <c r="CH18" s="744" t="str">
        <f t="shared" si="41"/>
        <v/>
      </c>
      <c r="CI18" s="744" t="str">
        <f t="shared" si="42"/>
        <v/>
      </c>
      <c r="CJ18" s="744" t="str">
        <f t="shared" si="43"/>
        <v/>
      </c>
      <c r="CK18" s="744" t="str">
        <f t="shared" si="44"/>
        <v/>
      </c>
      <c r="CL18" s="744" t="str">
        <f t="shared" si="45"/>
        <v/>
      </c>
      <c r="CM18" s="744" t="str">
        <f t="shared" si="46"/>
        <v/>
      </c>
      <c r="CN18" s="744" t="str">
        <f t="shared" si="47"/>
        <v/>
      </c>
      <c r="CO18" s="744" t="str">
        <f t="shared" si="48"/>
        <v/>
      </c>
      <c r="CP18" s="744" t="str">
        <f t="shared" si="49"/>
        <v/>
      </c>
      <c r="CQ18" s="744" t="str">
        <f t="shared" si="50"/>
        <v/>
      </c>
      <c r="CR18" s="744" t="str">
        <f t="shared" si="51"/>
        <v/>
      </c>
      <c r="CS18" s="744" t="str">
        <f t="shared" si="52"/>
        <v/>
      </c>
      <c r="CT18" s="744" t="str">
        <f t="shared" si="53"/>
        <v/>
      </c>
      <c r="CU18" s="744" t="str">
        <f t="shared" si="54"/>
        <v/>
      </c>
      <c r="CV18" s="744" t="str">
        <f t="shared" si="55"/>
        <v/>
      </c>
      <c r="CW18" s="744" t="str">
        <f t="shared" si="56"/>
        <v/>
      </c>
      <c r="CX18" s="744">
        <f t="shared" si="57"/>
        <v>0.228218</v>
      </c>
    </row>
    <row r="19" spans="1:102">
      <c r="A19" s="633">
        <v>15</v>
      </c>
      <c r="B19" s="630" t="s">
        <v>4</v>
      </c>
      <c r="C19" s="631" t="s">
        <v>250</v>
      </c>
      <c r="D19" s="630" t="s">
        <v>1390</v>
      </c>
      <c r="E19" s="632" t="s">
        <v>95</v>
      </c>
      <c r="F19" s="1067">
        <v>1</v>
      </c>
      <c r="G19" s="1066">
        <v>1</v>
      </c>
      <c r="H19" s="1068">
        <v>0.89410000000000001</v>
      </c>
      <c r="I19" s="1068">
        <v>0.12758807</v>
      </c>
      <c r="J19" s="1069">
        <v>9.6920439999999997E-2</v>
      </c>
      <c r="K19" s="1069">
        <v>0.20036781000000001</v>
      </c>
      <c r="L19" s="1074">
        <v>0.71206124000000004</v>
      </c>
      <c r="M19" s="1069">
        <v>3.1568439999999995</v>
      </c>
      <c r="N19" s="1069"/>
      <c r="O19" s="1069"/>
      <c r="P19" s="1076">
        <v>11.44448</v>
      </c>
      <c r="Q19" s="1069">
        <v>507.31234000000001</v>
      </c>
      <c r="R19" s="1069">
        <v>416.02473000000003</v>
      </c>
      <c r="S19" s="1279">
        <v>91.287609999999972</v>
      </c>
      <c r="T19" s="1069"/>
      <c r="U19" s="1069"/>
      <c r="V19" s="1079">
        <v>1.6093799999999998</v>
      </c>
      <c r="W19" s="1069">
        <v>5.5434199999999993</v>
      </c>
      <c r="X19" s="1069">
        <v>3.6658099999999996</v>
      </c>
      <c r="Y19" s="1069">
        <v>0.17882000000000001</v>
      </c>
      <c r="Z19" s="1069">
        <v>8.8515899999999998</v>
      </c>
      <c r="AA19" s="1069">
        <v>0.35764000000000001</v>
      </c>
      <c r="AB19" s="1279">
        <v>26.85</v>
      </c>
      <c r="AC19" s="1279">
        <v>52.805</v>
      </c>
      <c r="AD19" s="1279">
        <v>40.274999999999999</v>
      </c>
      <c r="AE19" s="1279">
        <v>31.324999999999999</v>
      </c>
      <c r="AF19" s="1279">
        <v>6.2650000000000011E-2</v>
      </c>
      <c r="AG19" s="1279">
        <v>0.1074</v>
      </c>
      <c r="AH19" s="1280">
        <v>0.27745000000000003</v>
      </c>
      <c r="AI19" s="1069"/>
      <c r="AJ19" s="1069"/>
      <c r="AK19" s="1069"/>
      <c r="AL19" s="1081"/>
      <c r="AM19" s="1069"/>
      <c r="AN19" s="1069"/>
      <c r="AO19" s="1069"/>
      <c r="AP19" s="1069"/>
      <c r="AQ19" s="1069"/>
      <c r="AR19" s="1069"/>
      <c r="AS19" s="1282"/>
      <c r="AT19" s="1282"/>
      <c r="AU19" s="1069"/>
      <c r="AV19" s="1069"/>
      <c r="AW19" s="1069"/>
      <c r="AX19" s="1069"/>
      <c r="AY19" s="1069"/>
      <c r="AZ19" s="1078">
        <f t="shared" si="10"/>
        <v>0.89410000000000001</v>
      </c>
      <c r="BA19" s="59">
        <v>15</v>
      </c>
      <c r="BB19" s="59">
        <f t="shared" si="12"/>
        <v>15</v>
      </c>
      <c r="BC19" s="60" t="str">
        <f t="shared" si="13"/>
        <v>Amendoim, Farelo</v>
      </c>
      <c r="BD19" s="61" t="str">
        <f ca="1">IFERROR(IF(SEARCH('Calcular Dieta'!A$3,$BC$5:$BC$310)&gt;=1,BC19,"Não encontrado"),"Não encontrado")</f>
        <v>Amendoim, Farelo</v>
      </c>
      <c r="BE19" s="741">
        <f ca="1">COUNTIF(BD$5:BD19,"&lt;&gt;"&amp;"Não encontrado")</f>
        <v>15</v>
      </c>
      <c r="BF19" s="742" t="str">
        <f t="shared" ca="1" si="58"/>
        <v>AMENDOIM, FARELO</v>
      </c>
      <c r="BG19" s="744">
        <f t="shared" si="14"/>
        <v>0.12760706999999999</v>
      </c>
      <c r="BH19" s="744">
        <f t="shared" si="15"/>
        <v>9.6939440000000002E-2</v>
      </c>
      <c r="BI19" s="744">
        <f t="shared" si="16"/>
        <v>0.20038681</v>
      </c>
      <c r="BJ19" s="744">
        <f t="shared" si="17"/>
        <v>0.71208024000000003</v>
      </c>
      <c r="BK19" s="744">
        <f t="shared" si="18"/>
        <v>3.1568629999999995</v>
      </c>
      <c r="BL19" s="744" t="str">
        <f t="shared" si="19"/>
        <v/>
      </c>
      <c r="BM19" s="744" t="str">
        <f t="shared" si="20"/>
        <v/>
      </c>
      <c r="BN19" s="744">
        <f t="shared" si="21"/>
        <v>11.444499</v>
      </c>
      <c r="BO19" s="744">
        <f t="shared" si="22"/>
        <v>507.31235900000001</v>
      </c>
      <c r="BP19" s="744">
        <f t="shared" si="23"/>
        <v>416.02474900000004</v>
      </c>
      <c r="BQ19" s="744">
        <f t="shared" si="24"/>
        <v>91.287628999999967</v>
      </c>
      <c r="BR19" s="744" t="str">
        <f t="shared" si="25"/>
        <v/>
      </c>
      <c r="BS19" s="744" t="str">
        <f t="shared" si="26"/>
        <v/>
      </c>
      <c r="BT19" s="744">
        <f t="shared" si="27"/>
        <v>1.6093989999999998</v>
      </c>
      <c r="BU19" s="744">
        <f t="shared" si="28"/>
        <v>5.5434389999999993</v>
      </c>
      <c r="BV19" s="744">
        <f t="shared" si="29"/>
        <v>3.6658289999999996</v>
      </c>
      <c r="BW19" s="744">
        <f t="shared" si="30"/>
        <v>0.178839</v>
      </c>
      <c r="BX19" s="744">
        <f t="shared" si="31"/>
        <v>8.8516089999999998</v>
      </c>
      <c r="BY19" s="744">
        <f t="shared" si="32"/>
        <v>0.357659</v>
      </c>
      <c r="BZ19" s="744">
        <f t="shared" si="33"/>
        <v>26.850019000000003</v>
      </c>
      <c r="CA19" s="744">
        <f t="shared" si="34"/>
        <v>52.805019000000001</v>
      </c>
      <c r="CB19" s="744">
        <f t="shared" si="35"/>
        <v>40.275019</v>
      </c>
      <c r="CC19" s="744">
        <f t="shared" si="36"/>
        <v>31.325019000000001</v>
      </c>
      <c r="CD19" s="744">
        <f t="shared" si="37"/>
        <v>6.2669000000000016E-2</v>
      </c>
      <c r="CE19" s="744">
        <f t="shared" si="38"/>
        <v>0.107419</v>
      </c>
      <c r="CF19" s="744">
        <f t="shared" si="39"/>
        <v>0.27746900000000002</v>
      </c>
      <c r="CG19" s="744" t="str">
        <f t="shared" si="40"/>
        <v/>
      </c>
      <c r="CH19" s="744" t="str">
        <f t="shared" si="41"/>
        <v/>
      </c>
      <c r="CI19" s="744" t="str">
        <f t="shared" si="42"/>
        <v/>
      </c>
      <c r="CJ19" s="744" t="str">
        <f t="shared" si="43"/>
        <v/>
      </c>
      <c r="CK19" s="744" t="str">
        <f t="shared" si="44"/>
        <v/>
      </c>
      <c r="CL19" s="744" t="str">
        <f t="shared" si="45"/>
        <v/>
      </c>
      <c r="CM19" s="744" t="str">
        <f t="shared" si="46"/>
        <v/>
      </c>
      <c r="CN19" s="744" t="str">
        <f t="shared" si="47"/>
        <v/>
      </c>
      <c r="CO19" s="744" t="str">
        <f t="shared" si="48"/>
        <v/>
      </c>
      <c r="CP19" s="744" t="str">
        <f t="shared" si="49"/>
        <v/>
      </c>
      <c r="CQ19" s="744" t="str">
        <f t="shared" si="50"/>
        <v/>
      </c>
      <c r="CR19" s="744" t="str">
        <f t="shared" si="51"/>
        <v/>
      </c>
      <c r="CS19" s="744" t="str">
        <f t="shared" si="52"/>
        <v/>
      </c>
      <c r="CT19" s="744" t="str">
        <f t="shared" si="53"/>
        <v/>
      </c>
      <c r="CU19" s="744" t="str">
        <f t="shared" si="54"/>
        <v/>
      </c>
      <c r="CV19" s="744" t="str">
        <f t="shared" si="55"/>
        <v/>
      </c>
      <c r="CW19" s="744" t="str">
        <f t="shared" si="56"/>
        <v/>
      </c>
      <c r="CX19" s="744">
        <f t="shared" si="57"/>
        <v>0.894119</v>
      </c>
    </row>
    <row r="20" spans="1:102">
      <c r="A20" s="630">
        <v>16</v>
      </c>
      <c r="B20" s="630" t="s">
        <v>4</v>
      </c>
      <c r="C20" s="631" t="s">
        <v>250</v>
      </c>
      <c r="D20" s="630" t="s">
        <v>1390</v>
      </c>
      <c r="E20" s="632" t="s">
        <v>96</v>
      </c>
      <c r="F20" s="1067">
        <v>1</v>
      </c>
      <c r="G20" s="1066">
        <v>1</v>
      </c>
      <c r="H20" s="1068">
        <v>0.90599999999999992</v>
      </c>
      <c r="I20" s="1068">
        <v>0.14495999999999998</v>
      </c>
      <c r="J20" s="1069">
        <v>4.5699999999999998E-2</v>
      </c>
      <c r="K20" s="1069">
        <v>4.2581999999999995E-2</v>
      </c>
      <c r="L20" s="1074">
        <v>0.19931999999999997</v>
      </c>
      <c r="M20" s="1069"/>
      <c r="N20" s="1069"/>
      <c r="O20" s="1069"/>
      <c r="P20" s="1076">
        <v>44.937599999999996</v>
      </c>
      <c r="Q20" s="1069">
        <v>1811.9999999999998</v>
      </c>
      <c r="R20" s="1069"/>
      <c r="S20" s="1069"/>
      <c r="T20" s="1069"/>
      <c r="U20" s="1069">
        <v>1811.9999999999998</v>
      </c>
      <c r="V20" s="1079">
        <v>1.0871999999999997</v>
      </c>
      <c r="W20" s="1069">
        <v>0.7248</v>
      </c>
      <c r="X20" s="1069"/>
      <c r="Y20" s="1069"/>
      <c r="Z20" s="1069"/>
      <c r="AA20" s="1069">
        <v>28.991999999999997</v>
      </c>
      <c r="AB20" s="1069"/>
      <c r="AC20" s="1069"/>
      <c r="AD20" s="1069"/>
      <c r="AE20" s="1069"/>
      <c r="AF20" s="1069"/>
      <c r="AG20" s="1069"/>
      <c r="AH20" s="1076"/>
      <c r="AI20" s="1069"/>
      <c r="AJ20" s="1069"/>
      <c r="AK20" s="1069"/>
      <c r="AL20" s="1081"/>
      <c r="AM20" s="1069"/>
      <c r="AN20" s="1069"/>
      <c r="AO20" s="1069"/>
      <c r="AP20" s="1069"/>
      <c r="AQ20" s="1069"/>
      <c r="AR20" s="1069"/>
      <c r="AS20" s="1282"/>
      <c r="AT20" s="1282"/>
      <c r="AU20" s="1069"/>
      <c r="AV20" s="1069"/>
      <c r="AW20" s="1069"/>
      <c r="AX20" s="1069"/>
      <c r="AY20" s="1069"/>
      <c r="AZ20" s="1078">
        <f t="shared" si="10"/>
        <v>0.90599999999999992</v>
      </c>
      <c r="BA20" s="59">
        <v>16</v>
      </c>
      <c r="BB20" s="59">
        <f t="shared" si="12"/>
        <v>16</v>
      </c>
      <c r="BC20" s="60" t="str">
        <f t="shared" si="13"/>
        <v>Amiréia</v>
      </c>
      <c r="BD20" s="61" t="str">
        <f ca="1">IFERROR(IF(SEARCH('Calcular Dieta'!A$3,$BC$5:$BC$310)&gt;=1,BC20,"Não encontrado"),"Não encontrado")</f>
        <v>Amiréia</v>
      </c>
      <c r="BE20" s="741">
        <f ca="1">COUNTIF(BD$5:BD20,"&lt;&gt;"&amp;"Não encontrado")</f>
        <v>16</v>
      </c>
      <c r="BF20" s="742" t="str">
        <f t="shared" ca="1" si="58"/>
        <v>AMIRÉIA</v>
      </c>
      <c r="BG20" s="744">
        <f t="shared" si="14"/>
        <v>0.14497999999999997</v>
      </c>
      <c r="BH20" s="744">
        <f t="shared" si="15"/>
        <v>4.5719999999999997E-2</v>
      </c>
      <c r="BI20" s="744">
        <f t="shared" si="16"/>
        <v>4.2601999999999994E-2</v>
      </c>
      <c r="BJ20" s="744">
        <f t="shared" si="17"/>
        <v>0.19933999999999996</v>
      </c>
      <c r="BK20" s="744" t="str">
        <f t="shared" si="18"/>
        <v/>
      </c>
      <c r="BL20" s="744" t="str">
        <f t="shared" si="19"/>
        <v/>
      </c>
      <c r="BM20" s="744" t="str">
        <f t="shared" si="20"/>
        <v/>
      </c>
      <c r="BN20" s="744">
        <f t="shared" si="21"/>
        <v>44.937619999999995</v>
      </c>
      <c r="BO20" s="744">
        <f t="shared" si="22"/>
        <v>1812.0000199999997</v>
      </c>
      <c r="BP20" s="744" t="str">
        <f t="shared" si="23"/>
        <v/>
      </c>
      <c r="BQ20" s="744" t="str">
        <f t="shared" si="24"/>
        <v/>
      </c>
      <c r="BR20" s="744" t="str">
        <f t="shared" si="25"/>
        <v/>
      </c>
      <c r="BS20" s="744">
        <f t="shared" si="26"/>
        <v>1812.0000199999997</v>
      </c>
      <c r="BT20" s="744">
        <f t="shared" si="27"/>
        <v>1.0872199999999996</v>
      </c>
      <c r="BU20" s="744">
        <f t="shared" si="28"/>
        <v>0.72482000000000002</v>
      </c>
      <c r="BV20" s="744" t="str">
        <f t="shared" si="29"/>
        <v/>
      </c>
      <c r="BW20" s="744" t="str">
        <f t="shared" si="30"/>
        <v/>
      </c>
      <c r="BX20" s="744" t="str">
        <f t="shared" si="31"/>
        <v/>
      </c>
      <c r="BY20" s="744">
        <f t="shared" si="32"/>
        <v>28.992019999999997</v>
      </c>
      <c r="BZ20" s="744" t="str">
        <f t="shared" si="33"/>
        <v/>
      </c>
      <c r="CA20" s="744" t="str">
        <f t="shared" si="34"/>
        <v/>
      </c>
      <c r="CB20" s="744" t="str">
        <f t="shared" si="35"/>
        <v/>
      </c>
      <c r="CC20" s="744" t="str">
        <f t="shared" si="36"/>
        <v/>
      </c>
      <c r="CD20" s="744" t="str">
        <f t="shared" si="37"/>
        <v/>
      </c>
      <c r="CE20" s="744" t="str">
        <f t="shared" si="38"/>
        <v/>
      </c>
      <c r="CF20" s="744" t="str">
        <f t="shared" si="39"/>
        <v/>
      </c>
      <c r="CG20" s="744" t="str">
        <f t="shared" si="40"/>
        <v/>
      </c>
      <c r="CH20" s="744" t="str">
        <f t="shared" si="41"/>
        <v/>
      </c>
      <c r="CI20" s="744" t="str">
        <f t="shared" si="42"/>
        <v/>
      </c>
      <c r="CJ20" s="744" t="str">
        <f t="shared" si="43"/>
        <v/>
      </c>
      <c r="CK20" s="744" t="str">
        <f t="shared" si="44"/>
        <v/>
      </c>
      <c r="CL20" s="744" t="str">
        <f t="shared" si="45"/>
        <v/>
      </c>
      <c r="CM20" s="744" t="str">
        <f t="shared" si="46"/>
        <v/>
      </c>
      <c r="CN20" s="744" t="str">
        <f t="shared" si="47"/>
        <v/>
      </c>
      <c r="CO20" s="744" t="str">
        <f t="shared" si="48"/>
        <v/>
      </c>
      <c r="CP20" s="744" t="str">
        <f t="shared" si="49"/>
        <v/>
      </c>
      <c r="CQ20" s="744" t="str">
        <f t="shared" si="50"/>
        <v/>
      </c>
      <c r="CR20" s="744" t="str">
        <f t="shared" si="51"/>
        <v/>
      </c>
      <c r="CS20" s="744" t="str">
        <f t="shared" si="52"/>
        <v/>
      </c>
      <c r="CT20" s="744" t="str">
        <f t="shared" si="53"/>
        <v/>
      </c>
      <c r="CU20" s="744" t="str">
        <f t="shared" si="54"/>
        <v/>
      </c>
      <c r="CV20" s="744" t="str">
        <f t="shared" si="55"/>
        <v/>
      </c>
      <c r="CW20" s="744" t="str">
        <f t="shared" si="56"/>
        <v/>
      </c>
      <c r="CX20" s="744">
        <f t="shared" si="57"/>
        <v>0.90601999999999994</v>
      </c>
    </row>
    <row r="21" spans="1:102">
      <c r="A21" s="633">
        <v>17</v>
      </c>
      <c r="B21" s="630" t="s">
        <v>4</v>
      </c>
      <c r="C21" s="631" t="s">
        <v>252</v>
      </c>
      <c r="D21" s="630" t="s">
        <v>1392</v>
      </c>
      <c r="E21" s="632" t="s">
        <v>97</v>
      </c>
      <c r="F21" s="1067">
        <v>1</v>
      </c>
      <c r="G21" s="1066">
        <v>1</v>
      </c>
      <c r="H21" s="1068">
        <v>0.91</v>
      </c>
      <c r="I21" s="1068">
        <v>0.16016000000000002</v>
      </c>
      <c r="J21" s="1069">
        <v>0.12740000000000001</v>
      </c>
      <c r="K21" s="1069"/>
      <c r="L21" s="1074">
        <v>0.60060000000000002</v>
      </c>
      <c r="M21" s="1069">
        <v>2.6480454</v>
      </c>
      <c r="N21" s="1069"/>
      <c r="O21" s="1069"/>
      <c r="P21" s="1076">
        <v>140.13999999999999</v>
      </c>
      <c r="Q21" s="1069">
        <v>134.68000000000004</v>
      </c>
      <c r="R21" s="1069">
        <v>99.663200000000003</v>
      </c>
      <c r="S21" s="1069"/>
      <c r="T21" s="1069"/>
      <c r="U21" s="1069"/>
      <c r="V21" s="1079">
        <v>1.0919999999999999</v>
      </c>
      <c r="W21" s="1069">
        <v>16.198</v>
      </c>
      <c r="X21" s="1069">
        <v>7.5530000000000008</v>
      </c>
      <c r="Y21" s="1069">
        <v>0.36399999999999999</v>
      </c>
      <c r="Z21" s="1069">
        <v>8.2810000000000006</v>
      </c>
      <c r="AA21" s="1069">
        <v>0.45500000000000002</v>
      </c>
      <c r="AB21" s="1069">
        <v>15.47</v>
      </c>
      <c r="AC21" s="1069">
        <v>22.75</v>
      </c>
      <c r="AD21" s="1069">
        <v>74.62</v>
      </c>
      <c r="AE21" s="1069">
        <v>98.28</v>
      </c>
      <c r="AF21" s="1069"/>
      <c r="AG21" s="1069">
        <v>4.5500000000000006E-2</v>
      </c>
      <c r="AH21" s="1076">
        <v>9.1000000000000011E-2</v>
      </c>
      <c r="AI21" s="1069"/>
      <c r="AJ21" s="1069"/>
      <c r="AK21" s="1069"/>
      <c r="AL21" s="1081"/>
      <c r="AM21" s="1069"/>
      <c r="AN21" s="1069"/>
      <c r="AO21" s="1069"/>
      <c r="AP21" s="1069"/>
      <c r="AQ21" s="1069"/>
      <c r="AR21" s="1069"/>
      <c r="AS21" s="1282"/>
      <c r="AT21" s="1282"/>
      <c r="AU21" s="1069"/>
      <c r="AV21" s="1069"/>
      <c r="AW21" s="1069"/>
      <c r="AX21" s="1069"/>
      <c r="AY21" s="1069"/>
      <c r="AZ21" s="1078">
        <f t="shared" si="10"/>
        <v>0.91</v>
      </c>
      <c r="BA21" s="59">
        <v>17</v>
      </c>
      <c r="BB21" s="59">
        <f t="shared" si="12"/>
        <v>17</v>
      </c>
      <c r="BC21" s="60" t="str">
        <f t="shared" si="13"/>
        <v>Arroz, Farelo</v>
      </c>
      <c r="BD21" s="61" t="str">
        <f ca="1">IFERROR(IF(SEARCH('Calcular Dieta'!A$3,$BC$5:$BC$310)&gt;=1,BC21,"Não encontrado"),"Não encontrado")</f>
        <v>Arroz, Farelo</v>
      </c>
      <c r="BE21" s="741">
        <f ca="1">COUNTIF(BD$5:BD21,"&lt;&gt;"&amp;"Não encontrado")</f>
        <v>17</v>
      </c>
      <c r="BF21" s="742" t="str">
        <f t="shared" ca="1" si="58"/>
        <v>ARROZ, FARELO</v>
      </c>
      <c r="BG21" s="744">
        <f t="shared" si="14"/>
        <v>0.16018100000000002</v>
      </c>
      <c r="BH21" s="744">
        <f t="shared" si="15"/>
        <v>0.12742100000000001</v>
      </c>
      <c r="BI21" s="744" t="str">
        <f t="shared" si="16"/>
        <v/>
      </c>
      <c r="BJ21" s="744">
        <f t="shared" si="17"/>
        <v>0.60062100000000007</v>
      </c>
      <c r="BK21" s="744">
        <f t="shared" si="18"/>
        <v>2.6480663999999998</v>
      </c>
      <c r="BL21" s="744" t="str">
        <f t="shared" si="19"/>
        <v/>
      </c>
      <c r="BM21" s="744" t="str">
        <f t="shared" si="20"/>
        <v/>
      </c>
      <c r="BN21" s="744">
        <f t="shared" si="21"/>
        <v>140.14002099999999</v>
      </c>
      <c r="BO21" s="744">
        <f t="shared" si="22"/>
        <v>134.68002100000004</v>
      </c>
      <c r="BP21" s="744">
        <f t="shared" si="23"/>
        <v>99.663221000000007</v>
      </c>
      <c r="BQ21" s="744" t="str">
        <f t="shared" si="24"/>
        <v/>
      </c>
      <c r="BR21" s="744" t="str">
        <f t="shared" si="25"/>
        <v/>
      </c>
      <c r="BS21" s="744" t="str">
        <f t="shared" si="26"/>
        <v/>
      </c>
      <c r="BT21" s="744">
        <f t="shared" si="27"/>
        <v>1.0920209999999999</v>
      </c>
      <c r="BU21" s="744">
        <f t="shared" si="28"/>
        <v>16.198021000000001</v>
      </c>
      <c r="BV21" s="744">
        <f t="shared" si="29"/>
        <v>7.5530210000000011</v>
      </c>
      <c r="BW21" s="744">
        <f t="shared" si="30"/>
        <v>0.36402099999999998</v>
      </c>
      <c r="BX21" s="744">
        <f t="shared" si="31"/>
        <v>8.2810210000000009</v>
      </c>
      <c r="BY21" s="744">
        <f t="shared" si="32"/>
        <v>0.45502100000000001</v>
      </c>
      <c r="BZ21" s="744">
        <f t="shared" si="33"/>
        <v>15.470021000000001</v>
      </c>
      <c r="CA21" s="744">
        <f t="shared" si="34"/>
        <v>22.750021</v>
      </c>
      <c r="CB21" s="744">
        <f t="shared" si="35"/>
        <v>74.620021000000008</v>
      </c>
      <c r="CC21" s="744">
        <f t="shared" si="36"/>
        <v>98.280021000000005</v>
      </c>
      <c r="CD21" s="744" t="str">
        <f t="shared" si="37"/>
        <v/>
      </c>
      <c r="CE21" s="744">
        <f t="shared" si="38"/>
        <v>4.5521000000000006E-2</v>
      </c>
      <c r="CF21" s="744">
        <f t="shared" si="39"/>
        <v>9.1021000000000005E-2</v>
      </c>
      <c r="CG21" s="744" t="str">
        <f t="shared" si="40"/>
        <v/>
      </c>
      <c r="CH21" s="744" t="str">
        <f t="shared" si="41"/>
        <v/>
      </c>
      <c r="CI21" s="744" t="str">
        <f t="shared" si="42"/>
        <v/>
      </c>
      <c r="CJ21" s="744" t="str">
        <f t="shared" si="43"/>
        <v/>
      </c>
      <c r="CK21" s="744" t="str">
        <f t="shared" si="44"/>
        <v/>
      </c>
      <c r="CL21" s="744" t="str">
        <f t="shared" si="45"/>
        <v/>
      </c>
      <c r="CM21" s="744" t="str">
        <f t="shared" si="46"/>
        <v/>
      </c>
      <c r="CN21" s="744" t="str">
        <f t="shared" si="47"/>
        <v/>
      </c>
      <c r="CO21" s="744" t="str">
        <f t="shared" si="48"/>
        <v/>
      </c>
      <c r="CP21" s="744" t="str">
        <f t="shared" si="49"/>
        <v/>
      </c>
      <c r="CQ21" s="744" t="str">
        <f t="shared" si="50"/>
        <v/>
      </c>
      <c r="CR21" s="744" t="str">
        <f t="shared" si="51"/>
        <v/>
      </c>
      <c r="CS21" s="744" t="str">
        <f t="shared" si="52"/>
        <v/>
      </c>
      <c r="CT21" s="744" t="str">
        <f t="shared" si="53"/>
        <v/>
      </c>
      <c r="CU21" s="744" t="str">
        <f t="shared" si="54"/>
        <v/>
      </c>
      <c r="CV21" s="744" t="str">
        <f t="shared" si="55"/>
        <v/>
      </c>
      <c r="CW21" s="744" t="str">
        <f t="shared" si="56"/>
        <v/>
      </c>
      <c r="CX21" s="744">
        <f t="shared" si="57"/>
        <v>0.91002100000000008</v>
      </c>
    </row>
    <row r="22" spans="1:102">
      <c r="A22" s="630">
        <v>18</v>
      </c>
      <c r="B22" s="630" t="s">
        <v>4</v>
      </c>
      <c r="C22" s="631" t="s">
        <v>252</v>
      </c>
      <c r="D22" s="630" t="s">
        <v>1392</v>
      </c>
      <c r="E22" s="632" t="s">
        <v>98</v>
      </c>
      <c r="F22" s="1067">
        <v>1</v>
      </c>
      <c r="G22" s="1066">
        <v>1</v>
      </c>
      <c r="H22" s="1068">
        <v>0.91</v>
      </c>
      <c r="I22" s="1068">
        <v>0.18200000000000002</v>
      </c>
      <c r="J22" s="1069">
        <v>0.12740000000000001</v>
      </c>
      <c r="K22" s="1069"/>
      <c r="L22" s="1074">
        <v>0.60060000000000002</v>
      </c>
      <c r="M22" s="1069">
        <v>2.6480454</v>
      </c>
      <c r="N22" s="1069"/>
      <c r="O22" s="1069"/>
      <c r="P22" s="1076">
        <v>9.1</v>
      </c>
      <c r="Q22" s="1069">
        <v>163.80000000000001</v>
      </c>
      <c r="R22" s="1069">
        <v>121.21200000000002</v>
      </c>
      <c r="S22" s="1069"/>
      <c r="T22" s="1069"/>
      <c r="U22" s="1069"/>
      <c r="V22" s="1079">
        <v>1.0010000000000001</v>
      </c>
      <c r="W22" s="1069">
        <v>11.010999999999999</v>
      </c>
      <c r="X22" s="1069">
        <v>7.5530000000000008</v>
      </c>
      <c r="Y22" s="1069">
        <v>8.6449999999999996</v>
      </c>
      <c r="Z22" s="1069">
        <v>13.468</v>
      </c>
      <c r="AA22" s="1069">
        <v>0.45500000000000002</v>
      </c>
      <c r="AB22" s="1069">
        <v>12.74</v>
      </c>
      <c r="AC22" s="1069">
        <v>30.03</v>
      </c>
      <c r="AD22" s="1069">
        <v>74.62</v>
      </c>
      <c r="AE22" s="1069">
        <v>130.13</v>
      </c>
      <c r="AF22" s="1069"/>
      <c r="AG22" s="1069">
        <v>4.5500000000000006E-2</v>
      </c>
      <c r="AH22" s="1076">
        <v>9.1000000000000011E-2</v>
      </c>
      <c r="AI22" s="1069"/>
      <c r="AJ22" s="1069"/>
      <c r="AK22" s="1069"/>
      <c r="AL22" s="1081"/>
      <c r="AM22" s="1069"/>
      <c r="AN22" s="1069"/>
      <c r="AO22" s="1069"/>
      <c r="AP22" s="1069"/>
      <c r="AQ22" s="1069"/>
      <c r="AR22" s="1069"/>
      <c r="AS22" s="1282"/>
      <c r="AT22" s="1282"/>
      <c r="AU22" s="1069"/>
      <c r="AV22" s="1069"/>
      <c r="AW22" s="1069"/>
      <c r="AX22" s="1069"/>
      <c r="AY22" s="1069"/>
      <c r="AZ22" s="1078">
        <f t="shared" si="10"/>
        <v>0.91</v>
      </c>
      <c r="BA22" s="59">
        <v>18</v>
      </c>
      <c r="BB22" s="59">
        <f t="shared" si="12"/>
        <v>18</v>
      </c>
      <c r="BC22" s="60" t="str">
        <f t="shared" si="13"/>
        <v>Arroz, Farelo Desengordurado</v>
      </c>
      <c r="BD22" s="61" t="str">
        <f ca="1">IFERROR(IF(SEARCH('Calcular Dieta'!A$3,$BC$5:$BC$310)&gt;=1,BC22,"Não encontrado"),"Não encontrado")</f>
        <v>Arroz, Farelo Desengordurado</v>
      </c>
      <c r="BE22" s="741">
        <f ca="1">COUNTIF(BD$5:BD22,"&lt;&gt;"&amp;"Não encontrado")</f>
        <v>18</v>
      </c>
      <c r="BF22" s="742" t="str">
        <f t="shared" ca="1" si="58"/>
        <v>ARROZ, FARELO DESENGORDURADO</v>
      </c>
      <c r="BG22" s="744">
        <f t="shared" si="14"/>
        <v>0.18202200000000002</v>
      </c>
      <c r="BH22" s="744">
        <f t="shared" si="15"/>
        <v>0.12742200000000001</v>
      </c>
      <c r="BI22" s="744" t="str">
        <f t="shared" si="16"/>
        <v/>
      </c>
      <c r="BJ22" s="744">
        <f t="shared" si="17"/>
        <v>0.60062199999999999</v>
      </c>
      <c r="BK22" s="744">
        <f t="shared" si="18"/>
        <v>2.6480674</v>
      </c>
      <c r="BL22" s="744" t="str">
        <f t="shared" si="19"/>
        <v/>
      </c>
      <c r="BM22" s="744" t="str">
        <f t="shared" si="20"/>
        <v/>
      </c>
      <c r="BN22" s="744">
        <f t="shared" si="21"/>
        <v>9.1000219999999992</v>
      </c>
      <c r="BO22" s="744">
        <f t="shared" si="22"/>
        <v>163.80002200000001</v>
      </c>
      <c r="BP22" s="744">
        <f t="shared" si="23"/>
        <v>121.21202200000002</v>
      </c>
      <c r="BQ22" s="744" t="str">
        <f t="shared" si="24"/>
        <v/>
      </c>
      <c r="BR22" s="744" t="str">
        <f t="shared" si="25"/>
        <v/>
      </c>
      <c r="BS22" s="744" t="str">
        <f t="shared" si="26"/>
        <v/>
      </c>
      <c r="BT22" s="744">
        <f t="shared" si="27"/>
        <v>1.0010220000000001</v>
      </c>
      <c r="BU22" s="744">
        <f t="shared" si="28"/>
        <v>11.011021999999999</v>
      </c>
      <c r="BV22" s="744">
        <f t="shared" si="29"/>
        <v>7.5530220000000012</v>
      </c>
      <c r="BW22" s="744">
        <f t="shared" si="30"/>
        <v>8.6450219999999991</v>
      </c>
      <c r="BX22" s="744">
        <f t="shared" si="31"/>
        <v>13.468021999999999</v>
      </c>
      <c r="BY22" s="744">
        <f t="shared" si="32"/>
        <v>0.45502200000000004</v>
      </c>
      <c r="BZ22" s="744">
        <f t="shared" si="33"/>
        <v>12.740022</v>
      </c>
      <c r="CA22" s="744">
        <f t="shared" si="34"/>
        <v>30.030022000000002</v>
      </c>
      <c r="CB22" s="744">
        <f t="shared" si="35"/>
        <v>74.620022000000006</v>
      </c>
      <c r="CC22" s="744">
        <f t="shared" si="36"/>
        <v>130.130022</v>
      </c>
      <c r="CD22" s="744" t="str">
        <f t="shared" si="37"/>
        <v/>
      </c>
      <c r="CE22" s="744">
        <f t="shared" si="38"/>
        <v>4.5522000000000007E-2</v>
      </c>
      <c r="CF22" s="744">
        <f t="shared" si="39"/>
        <v>9.1022000000000006E-2</v>
      </c>
      <c r="CG22" s="744" t="str">
        <f t="shared" si="40"/>
        <v/>
      </c>
      <c r="CH22" s="744" t="str">
        <f t="shared" si="41"/>
        <v/>
      </c>
      <c r="CI22" s="744" t="str">
        <f t="shared" si="42"/>
        <v/>
      </c>
      <c r="CJ22" s="744" t="str">
        <f t="shared" si="43"/>
        <v/>
      </c>
      <c r="CK22" s="744" t="str">
        <f t="shared" si="44"/>
        <v/>
      </c>
      <c r="CL22" s="744" t="str">
        <f t="shared" si="45"/>
        <v/>
      </c>
      <c r="CM22" s="744" t="str">
        <f t="shared" si="46"/>
        <v/>
      </c>
      <c r="CN22" s="744" t="str">
        <f t="shared" si="47"/>
        <v/>
      </c>
      <c r="CO22" s="744" t="str">
        <f t="shared" si="48"/>
        <v/>
      </c>
      <c r="CP22" s="744" t="str">
        <f t="shared" si="49"/>
        <v/>
      </c>
      <c r="CQ22" s="744" t="str">
        <f t="shared" si="50"/>
        <v/>
      </c>
      <c r="CR22" s="744" t="str">
        <f t="shared" si="51"/>
        <v/>
      </c>
      <c r="CS22" s="744" t="str">
        <f t="shared" si="52"/>
        <v/>
      </c>
      <c r="CT22" s="744" t="str">
        <f t="shared" si="53"/>
        <v/>
      </c>
      <c r="CU22" s="744" t="str">
        <f t="shared" si="54"/>
        <v/>
      </c>
      <c r="CV22" s="744" t="str">
        <f t="shared" si="55"/>
        <v/>
      </c>
      <c r="CW22" s="744" t="str">
        <f t="shared" si="56"/>
        <v/>
      </c>
      <c r="CX22" s="744">
        <f t="shared" si="57"/>
        <v>0.910022</v>
      </c>
    </row>
    <row r="23" spans="1:102">
      <c r="A23" s="633">
        <v>19</v>
      </c>
      <c r="B23" s="630" t="s">
        <v>4</v>
      </c>
      <c r="C23" s="631" t="s">
        <v>252</v>
      </c>
      <c r="D23" s="630" t="s">
        <v>1390</v>
      </c>
      <c r="E23" s="632" t="s">
        <v>99</v>
      </c>
      <c r="F23" s="1067">
        <v>1</v>
      </c>
      <c r="G23" s="1066">
        <v>1</v>
      </c>
      <c r="H23" s="1068">
        <v>0.88950000000000007</v>
      </c>
      <c r="I23" s="1068">
        <v>0.20591925</v>
      </c>
      <c r="J23" s="1069">
        <v>0.12470000000000001</v>
      </c>
      <c r="K23" s="1069">
        <v>0.33712050000000005</v>
      </c>
      <c r="L23" s="1074">
        <v>0.77822354999999999</v>
      </c>
      <c r="M23" s="1069"/>
      <c r="N23" s="1069">
        <v>3.3</v>
      </c>
      <c r="O23" s="1069"/>
      <c r="P23" s="1076">
        <v>145.70009999999999</v>
      </c>
      <c r="Q23" s="1069">
        <v>119.37090000000001</v>
      </c>
      <c r="R23" s="1069">
        <v>95.176500000000004</v>
      </c>
      <c r="S23" s="1069">
        <v>18.056850000000001</v>
      </c>
      <c r="T23" s="1069">
        <v>70.804200000000009</v>
      </c>
      <c r="U23" s="1069"/>
      <c r="V23" s="1079">
        <v>0.97845000000000004</v>
      </c>
      <c r="W23" s="1069">
        <v>15.388350000000001</v>
      </c>
      <c r="X23" s="1069">
        <v>8.0055000000000014</v>
      </c>
      <c r="Y23" s="1069">
        <v>0.35580000000000001</v>
      </c>
      <c r="Z23" s="1069">
        <v>11.474550000000001</v>
      </c>
      <c r="AA23" s="1069">
        <v>1.6011</v>
      </c>
      <c r="AB23" s="1069">
        <v>13.14</v>
      </c>
      <c r="AC23" s="1069">
        <v>63.67</v>
      </c>
      <c r="AD23" s="1069">
        <v>82.61</v>
      </c>
      <c r="AE23" s="1069">
        <v>229.89</v>
      </c>
      <c r="AF23" s="1069"/>
      <c r="AG23" s="1069">
        <v>0.04</v>
      </c>
      <c r="AH23" s="1076"/>
      <c r="AI23" s="1069"/>
      <c r="AJ23" s="1069"/>
      <c r="AK23" s="1069"/>
      <c r="AL23" s="1081"/>
      <c r="AM23" s="1069"/>
      <c r="AN23" s="1069"/>
      <c r="AO23" s="1069"/>
      <c r="AP23" s="1069"/>
      <c r="AQ23" s="1069"/>
      <c r="AR23" s="1069"/>
      <c r="AS23" s="1282"/>
      <c r="AT23" s="1282"/>
      <c r="AU23" s="1069"/>
      <c r="AV23" s="1069"/>
      <c r="AW23" s="1069"/>
      <c r="AX23" s="1069"/>
      <c r="AY23" s="1069"/>
      <c r="AZ23" s="1078">
        <f t="shared" si="10"/>
        <v>0.88950000000000007</v>
      </c>
      <c r="BA23" s="59">
        <v>19</v>
      </c>
      <c r="BB23" s="59">
        <f t="shared" si="12"/>
        <v>19</v>
      </c>
      <c r="BC23" s="60" t="str">
        <f t="shared" si="13"/>
        <v>Arroz, Farelo Integral</v>
      </c>
      <c r="BD23" s="61" t="str">
        <f ca="1">IFERROR(IF(SEARCH('Calcular Dieta'!A$3,$BC$5:$BC$310)&gt;=1,BC23,"Não encontrado"),"Não encontrado")</f>
        <v>Arroz, Farelo Integral</v>
      </c>
      <c r="BE23" s="741">
        <f ca="1">COUNTIF(BD$5:BD23,"&lt;&gt;"&amp;"Não encontrado")</f>
        <v>19</v>
      </c>
      <c r="BF23" s="742" t="str">
        <f t="shared" ca="1" si="58"/>
        <v>ARROZ, FARELO INTEGRAL</v>
      </c>
      <c r="BG23" s="744">
        <f t="shared" si="14"/>
        <v>0.20594224999999999</v>
      </c>
      <c r="BH23" s="744">
        <f t="shared" si="15"/>
        <v>0.124723</v>
      </c>
      <c r="BI23" s="744">
        <f t="shared" si="16"/>
        <v>0.33714350000000004</v>
      </c>
      <c r="BJ23" s="744">
        <f t="shared" si="17"/>
        <v>0.77824654999999998</v>
      </c>
      <c r="BK23" s="744" t="str">
        <f t="shared" si="18"/>
        <v/>
      </c>
      <c r="BL23" s="744">
        <f t="shared" si="19"/>
        <v>3.3000229999999999</v>
      </c>
      <c r="BM23" s="744" t="str">
        <f t="shared" si="20"/>
        <v/>
      </c>
      <c r="BN23" s="744">
        <f t="shared" si="21"/>
        <v>145.70012299999999</v>
      </c>
      <c r="BO23" s="744">
        <f t="shared" si="22"/>
        <v>119.370923</v>
      </c>
      <c r="BP23" s="744">
        <f t="shared" si="23"/>
        <v>95.176523000000003</v>
      </c>
      <c r="BQ23" s="744">
        <f t="shared" si="24"/>
        <v>18.056873</v>
      </c>
      <c r="BR23" s="744">
        <f t="shared" si="25"/>
        <v>70.804223000000007</v>
      </c>
      <c r="BS23" s="744" t="str">
        <f t="shared" si="26"/>
        <v/>
      </c>
      <c r="BT23" s="744">
        <f t="shared" si="27"/>
        <v>0.97847300000000004</v>
      </c>
      <c r="BU23" s="744">
        <f t="shared" si="28"/>
        <v>15.388373000000001</v>
      </c>
      <c r="BV23" s="744">
        <f t="shared" si="29"/>
        <v>8.0055230000000019</v>
      </c>
      <c r="BW23" s="744">
        <f t="shared" si="30"/>
        <v>0.355823</v>
      </c>
      <c r="BX23" s="744">
        <f t="shared" si="31"/>
        <v>11.474573000000001</v>
      </c>
      <c r="BY23" s="744">
        <f t="shared" si="32"/>
        <v>1.6011230000000001</v>
      </c>
      <c r="BZ23" s="744">
        <f t="shared" si="33"/>
        <v>13.140023000000001</v>
      </c>
      <c r="CA23" s="744">
        <f t="shared" si="34"/>
        <v>63.670023</v>
      </c>
      <c r="CB23" s="744">
        <f t="shared" si="35"/>
        <v>82.610022999999998</v>
      </c>
      <c r="CC23" s="744">
        <f t="shared" si="36"/>
        <v>229.89002299999999</v>
      </c>
      <c r="CD23" s="744" t="str">
        <f t="shared" si="37"/>
        <v/>
      </c>
      <c r="CE23" s="744">
        <f t="shared" si="38"/>
        <v>4.0023000000000003E-2</v>
      </c>
      <c r="CF23" s="744" t="str">
        <f t="shared" si="39"/>
        <v/>
      </c>
      <c r="CG23" s="744" t="str">
        <f t="shared" si="40"/>
        <v/>
      </c>
      <c r="CH23" s="744" t="str">
        <f t="shared" si="41"/>
        <v/>
      </c>
      <c r="CI23" s="744" t="str">
        <f t="shared" si="42"/>
        <v/>
      </c>
      <c r="CJ23" s="744" t="str">
        <f t="shared" si="43"/>
        <v/>
      </c>
      <c r="CK23" s="744" t="str">
        <f t="shared" si="44"/>
        <v/>
      </c>
      <c r="CL23" s="744" t="str">
        <f t="shared" si="45"/>
        <v/>
      </c>
      <c r="CM23" s="744" t="str">
        <f t="shared" si="46"/>
        <v/>
      </c>
      <c r="CN23" s="744" t="str">
        <f t="shared" si="47"/>
        <v/>
      </c>
      <c r="CO23" s="744" t="str">
        <f t="shared" si="48"/>
        <v/>
      </c>
      <c r="CP23" s="744" t="str">
        <f t="shared" si="49"/>
        <v/>
      </c>
      <c r="CQ23" s="744" t="str">
        <f t="shared" si="50"/>
        <v/>
      </c>
      <c r="CR23" s="744" t="str">
        <f t="shared" si="51"/>
        <v/>
      </c>
      <c r="CS23" s="744" t="str">
        <f t="shared" si="52"/>
        <v/>
      </c>
      <c r="CT23" s="744" t="str">
        <f t="shared" si="53"/>
        <v/>
      </c>
      <c r="CU23" s="744" t="str">
        <f t="shared" si="54"/>
        <v/>
      </c>
      <c r="CV23" s="744" t="str">
        <f t="shared" si="55"/>
        <v/>
      </c>
      <c r="CW23" s="744" t="str">
        <f t="shared" si="56"/>
        <v/>
      </c>
      <c r="CX23" s="744">
        <f t="shared" si="57"/>
        <v>0.88952300000000006</v>
      </c>
    </row>
    <row r="24" spans="1:102">
      <c r="A24" s="630">
        <v>20</v>
      </c>
      <c r="B24" s="630" t="s">
        <v>3</v>
      </c>
      <c r="C24" s="631" t="s">
        <v>248</v>
      </c>
      <c r="D24" s="630" t="s">
        <v>1390</v>
      </c>
      <c r="E24" s="634" t="s">
        <v>100</v>
      </c>
      <c r="F24" s="1067">
        <v>1</v>
      </c>
      <c r="G24" s="1066">
        <v>1</v>
      </c>
      <c r="H24" s="1068">
        <v>0.88400000000000001</v>
      </c>
      <c r="I24" s="1068">
        <v>0.64346360000000014</v>
      </c>
      <c r="J24" s="1069">
        <v>0.4456</v>
      </c>
      <c r="K24" s="1069">
        <v>6.5150800000000009E-2</v>
      </c>
      <c r="L24" s="1074">
        <v>0.430066</v>
      </c>
      <c r="M24" s="1069"/>
      <c r="N24" s="1069">
        <v>1.67</v>
      </c>
      <c r="O24" s="1069"/>
      <c r="P24" s="1076">
        <v>15.293200000000001</v>
      </c>
      <c r="Q24" s="1069">
        <v>49.592400000000005</v>
      </c>
      <c r="R24" s="1069"/>
      <c r="S24" s="1069"/>
      <c r="T24" s="1069"/>
      <c r="U24" s="1069"/>
      <c r="V24" s="1079">
        <v>2.3868</v>
      </c>
      <c r="W24" s="1069">
        <v>0.70720000000000005</v>
      </c>
      <c r="X24" s="1069">
        <v>1.5911999999999999</v>
      </c>
      <c r="Y24" s="1069">
        <v>0.442</v>
      </c>
      <c r="Z24" s="1069">
        <v>5.5691999999999995</v>
      </c>
      <c r="AA24" s="1069"/>
      <c r="AB24" s="1069"/>
      <c r="AC24" s="1069"/>
      <c r="AD24" s="1069"/>
      <c r="AE24" s="1069"/>
      <c r="AF24" s="1069"/>
      <c r="AG24" s="1069"/>
      <c r="AH24" s="1076"/>
      <c r="AI24" s="1069"/>
      <c r="AJ24" s="1069"/>
      <c r="AK24" s="1069"/>
      <c r="AL24" s="1081"/>
      <c r="AM24" s="1069"/>
      <c r="AN24" s="1069"/>
      <c r="AO24" s="1069"/>
      <c r="AP24" s="1069"/>
      <c r="AQ24" s="1069"/>
      <c r="AR24" s="1069"/>
      <c r="AS24" s="1282"/>
      <c r="AT24" s="1282"/>
      <c r="AU24" s="1069"/>
      <c r="AV24" s="1069"/>
      <c r="AW24" s="1069"/>
      <c r="AX24" s="1069"/>
      <c r="AY24" s="1069"/>
      <c r="AZ24" s="1078">
        <f t="shared" si="10"/>
        <v>0.88400000000000001</v>
      </c>
      <c r="BA24" s="59">
        <v>20</v>
      </c>
      <c r="BB24" s="59">
        <f t="shared" si="12"/>
        <v>20</v>
      </c>
      <c r="BC24" s="60" t="str">
        <f t="shared" si="13"/>
        <v>Arroz, Palha</v>
      </c>
      <c r="BD24" s="61" t="str">
        <f ca="1">IFERROR(IF(SEARCH('Calcular Dieta'!A$3,$BC$5:$BC$310)&gt;=1,BC24,"Não encontrado"),"Não encontrado")</f>
        <v>Arroz, Palha</v>
      </c>
      <c r="BE24" s="741">
        <f ca="1">COUNTIF(BD$5:BD24,"&lt;&gt;"&amp;"Não encontrado")</f>
        <v>20</v>
      </c>
      <c r="BF24" s="742" t="str">
        <f t="shared" ca="1" si="58"/>
        <v>ARROZ, PALHA</v>
      </c>
      <c r="BG24" s="744">
        <f t="shared" si="14"/>
        <v>0.64348760000000016</v>
      </c>
      <c r="BH24" s="744">
        <f t="shared" si="15"/>
        <v>0.44562400000000002</v>
      </c>
      <c r="BI24" s="744">
        <f t="shared" si="16"/>
        <v>6.5174800000000005E-2</v>
      </c>
      <c r="BJ24" s="744">
        <f t="shared" si="17"/>
        <v>0.43009000000000003</v>
      </c>
      <c r="BK24" s="744" t="str">
        <f t="shared" si="18"/>
        <v/>
      </c>
      <c r="BL24" s="744">
        <f t="shared" si="19"/>
        <v>1.670024</v>
      </c>
      <c r="BM24" s="744" t="str">
        <f t="shared" si="20"/>
        <v/>
      </c>
      <c r="BN24" s="744">
        <f t="shared" si="21"/>
        <v>15.293224</v>
      </c>
      <c r="BO24" s="744">
        <f t="shared" si="22"/>
        <v>49.592424000000008</v>
      </c>
      <c r="BP24" s="744" t="str">
        <f t="shared" si="23"/>
        <v/>
      </c>
      <c r="BQ24" s="744" t="str">
        <f t="shared" si="24"/>
        <v/>
      </c>
      <c r="BR24" s="744" t="str">
        <f t="shared" si="25"/>
        <v/>
      </c>
      <c r="BS24" s="744" t="str">
        <f t="shared" si="26"/>
        <v/>
      </c>
      <c r="BT24" s="744">
        <f t="shared" si="27"/>
        <v>2.3868239999999998</v>
      </c>
      <c r="BU24" s="744">
        <f t="shared" si="28"/>
        <v>0.70722400000000007</v>
      </c>
      <c r="BV24" s="744">
        <f t="shared" si="29"/>
        <v>1.591224</v>
      </c>
      <c r="BW24" s="744">
        <f t="shared" si="30"/>
        <v>0.44202400000000003</v>
      </c>
      <c r="BX24" s="744">
        <f t="shared" si="31"/>
        <v>5.5692239999999993</v>
      </c>
      <c r="BY24" s="744" t="str">
        <f t="shared" si="32"/>
        <v/>
      </c>
      <c r="BZ24" s="744" t="str">
        <f t="shared" si="33"/>
        <v/>
      </c>
      <c r="CA24" s="744" t="str">
        <f t="shared" si="34"/>
        <v/>
      </c>
      <c r="CB24" s="744" t="str">
        <f t="shared" si="35"/>
        <v/>
      </c>
      <c r="CC24" s="744" t="str">
        <f t="shared" si="36"/>
        <v/>
      </c>
      <c r="CD24" s="744" t="str">
        <f t="shared" si="37"/>
        <v/>
      </c>
      <c r="CE24" s="744" t="str">
        <f t="shared" si="38"/>
        <v/>
      </c>
      <c r="CF24" s="744" t="str">
        <f t="shared" si="39"/>
        <v/>
      </c>
      <c r="CG24" s="744" t="str">
        <f t="shared" si="40"/>
        <v/>
      </c>
      <c r="CH24" s="744" t="str">
        <f t="shared" si="41"/>
        <v/>
      </c>
      <c r="CI24" s="744" t="str">
        <f t="shared" si="42"/>
        <v/>
      </c>
      <c r="CJ24" s="744" t="str">
        <f t="shared" si="43"/>
        <v/>
      </c>
      <c r="CK24" s="744" t="str">
        <f t="shared" si="44"/>
        <v/>
      </c>
      <c r="CL24" s="744" t="str">
        <f t="shared" si="45"/>
        <v/>
      </c>
      <c r="CM24" s="744" t="str">
        <f t="shared" si="46"/>
        <v/>
      </c>
      <c r="CN24" s="744" t="str">
        <f t="shared" si="47"/>
        <v/>
      </c>
      <c r="CO24" s="744" t="str">
        <f t="shared" si="48"/>
        <v/>
      </c>
      <c r="CP24" s="744" t="str">
        <f t="shared" si="49"/>
        <v/>
      </c>
      <c r="CQ24" s="744" t="str">
        <f t="shared" si="50"/>
        <v/>
      </c>
      <c r="CR24" s="744" t="str">
        <f t="shared" si="51"/>
        <v/>
      </c>
      <c r="CS24" s="744" t="str">
        <f t="shared" si="52"/>
        <v/>
      </c>
      <c r="CT24" s="744" t="str">
        <f t="shared" si="53"/>
        <v/>
      </c>
      <c r="CU24" s="744" t="str">
        <f t="shared" si="54"/>
        <v/>
      </c>
      <c r="CV24" s="744" t="str">
        <f t="shared" si="55"/>
        <v/>
      </c>
      <c r="CW24" s="744" t="str">
        <f t="shared" si="56"/>
        <v/>
      </c>
      <c r="CX24" s="744">
        <f t="shared" si="57"/>
        <v>0.88402400000000003</v>
      </c>
    </row>
    <row r="25" spans="1:102">
      <c r="A25" s="633">
        <v>21</v>
      </c>
      <c r="B25" s="630" t="s">
        <v>3</v>
      </c>
      <c r="C25" s="631" t="s">
        <v>249</v>
      </c>
      <c r="D25" s="630" t="s">
        <v>1392</v>
      </c>
      <c r="E25" s="634" t="s">
        <v>51</v>
      </c>
      <c r="F25" s="1067">
        <v>1</v>
      </c>
      <c r="G25" s="1066">
        <v>1</v>
      </c>
      <c r="H25" s="1068">
        <v>0.14000000000000001</v>
      </c>
      <c r="I25" s="1068">
        <v>8.8200000000000014E-2</v>
      </c>
      <c r="J25" s="1069">
        <v>4.760000000000001E-2</v>
      </c>
      <c r="K25" s="1069"/>
      <c r="L25" s="1074">
        <v>9.1000000000000011E-2</v>
      </c>
      <c r="M25" s="1069">
        <v>0.40121900000000005</v>
      </c>
      <c r="N25" s="1069"/>
      <c r="O25" s="1069"/>
      <c r="P25" s="1076">
        <v>6.3</v>
      </c>
      <c r="Q25" s="1069">
        <v>28.000000000000004</v>
      </c>
      <c r="R25" s="1069">
        <v>12.88</v>
      </c>
      <c r="S25" s="1069"/>
      <c r="T25" s="1069"/>
      <c r="U25" s="1069"/>
      <c r="V25" s="1079">
        <v>9.8000000000000018E-2</v>
      </c>
      <c r="W25" s="1069">
        <v>0.60200000000000009</v>
      </c>
      <c r="X25" s="1069">
        <v>0.40600000000000003</v>
      </c>
      <c r="Y25" s="1069">
        <v>0.252</v>
      </c>
      <c r="Z25" s="1069">
        <v>2.0860000000000003</v>
      </c>
      <c r="AA25" s="1069">
        <v>0.32200000000000001</v>
      </c>
      <c r="AB25" s="1069">
        <v>0.98</v>
      </c>
      <c r="AC25" s="1069">
        <v>5.18</v>
      </c>
      <c r="AD25" s="1069">
        <v>20.72</v>
      </c>
      <c r="AE25" s="1069">
        <v>8.82</v>
      </c>
      <c r="AF25" s="1069">
        <v>1.4000000000000002E-2</v>
      </c>
      <c r="AG25" s="1069">
        <v>9.8000000000000014E-3</v>
      </c>
      <c r="AH25" s="1076">
        <v>5.6000000000000008E-3</v>
      </c>
      <c r="AI25" s="1069"/>
      <c r="AJ25" s="1069"/>
      <c r="AK25" s="1069"/>
      <c r="AL25" s="1081">
        <v>6860</v>
      </c>
      <c r="AM25" s="1069"/>
      <c r="AN25" s="1069"/>
      <c r="AO25" s="1069"/>
      <c r="AP25" s="1069"/>
      <c r="AQ25" s="1069"/>
      <c r="AR25" s="1069"/>
      <c r="AS25" s="1282"/>
      <c r="AT25" s="1282"/>
      <c r="AU25" s="1069"/>
      <c r="AV25" s="1069"/>
      <c r="AW25" s="1069"/>
      <c r="AX25" s="1069"/>
      <c r="AY25" s="1069"/>
      <c r="AZ25" s="1078">
        <f t="shared" si="10"/>
        <v>0.14000000000000001</v>
      </c>
      <c r="BA25" s="59">
        <v>21</v>
      </c>
      <c r="BB25" s="59">
        <f t="shared" si="12"/>
        <v>21</v>
      </c>
      <c r="BC25" s="60" t="str">
        <f t="shared" si="13"/>
        <v>Aveia</v>
      </c>
      <c r="BD25" s="61" t="str">
        <f ca="1">IFERROR(IF(SEARCH('Calcular Dieta'!A$3,$BC$5:$BC$310)&gt;=1,BC25,"Não encontrado"),"Não encontrado")</f>
        <v>Aveia</v>
      </c>
      <c r="BE25" s="741">
        <f ca="1">COUNTIF(BD$5:BD25,"&lt;&gt;"&amp;"Não encontrado")</f>
        <v>21</v>
      </c>
      <c r="BF25" s="742" t="str">
        <f t="shared" ca="1" si="58"/>
        <v>AVEIA</v>
      </c>
      <c r="BG25" s="744">
        <f t="shared" si="14"/>
        <v>8.8225000000000012E-2</v>
      </c>
      <c r="BH25" s="744">
        <f t="shared" si="15"/>
        <v>4.7625000000000008E-2</v>
      </c>
      <c r="BI25" s="744" t="str">
        <f t="shared" si="16"/>
        <v/>
      </c>
      <c r="BJ25" s="744">
        <f t="shared" si="17"/>
        <v>9.1025000000000009E-2</v>
      </c>
      <c r="BK25" s="744">
        <f t="shared" si="18"/>
        <v>0.40124400000000005</v>
      </c>
      <c r="BL25" s="744" t="str">
        <f t="shared" si="19"/>
        <v/>
      </c>
      <c r="BM25" s="744" t="str">
        <f t="shared" si="20"/>
        <v/>
      </c>
      <c r="BN25" s="744">
        <f t="shared" si="21"/>
        <v>6.3000249999999998</v>
      </c>
      <c r="BO25" s="744">
        <f t="shared" si="22"/>
        <v>28.000025000000004</v>
      </c>
      <c r="BP25" s="744">
        <f t="shared" si="23"/>
        <v>12.880025000000002</v>
      </c>
      <c r="BQ25" s="744" t="str">
        <f t="shared" si="24"/>
        <v/>
      </c>
      <c r="BR25" s="744" t="str">
        <f t="shared" si="25"/>
        <v/>
      </c>
      <c r="BS25" s="744" t="str">
        <f t="shared" si="26"/>
        <v/>
      </c>
      <c r="BT25" s="744">
        <f t="shared" si="27"/>
        <v>9.8025000000000015E-2</v>
      </c>
      <c r="BU25" s="744">
        <f t="shared" si="28"/>
        <v>0.60202500000000014</v>
      </c>
      <c r="BV25" s="744">
        <f t="shared" si="29"/>
        <v>0.40602500000000002</v>
      </c>
      <c r="BW25" s="744">
        <f t="shared" si="30"/>
        <v>0.252025</v>
      </c>
      <c r="BX25" s="744">
        <f t="shared" si="31"/>
        <v>2.0860250000000002</v>
      </c>
      <c r="BY25" s="744">
        <f t="shared" si="32"/>
        <v>0.32202500000000001</v>
      </c>
      <c r="BZ25" s="744">
        <f t="shared" si="33"/>
        <v>0.98002500000000003</v>
      </c>
      <c r="CA25" s="744">
        <f t="shared" si="34"/>
        <v>5.1800249999999997</v>
      </c>
      <c r="CB25" s="744">
        <f t="shared" si="35"/>
        <v>20.720025</v>
      </c>
      <c r="CC25" s="744">
        <f t="shared" si="36"/>
        <v>8.8200250000000011</v>
      </c>
      <c r="CD25" s="744">
        <f t="shared" si="37"/>
        <v>1.4025000000000003E-2</v>
      </c>
      <c r="CE25" s="744">
        <f t="shared" si="38"/>
        <v>9.8250000000000021E-3</v>
      </c>
      <c r="CF25" s="744">
        <f t="shared" si="39"/>
        <v>5.6250000000000007E-3</v>
      </c>
      <c r="CG25" s="744" t="str">
        <f t="shared" si="40"/>
        <v/>
      </c>
      <c r="CH25" s="744" t="str">
        <f t="shared" si="41"/>
        <v/>
      </c>
      <c r="CI25" s="744" t="str">
        <f t="shared" si="42"/>
        <v/>
      </c>
      <c r="CJ25" s="744">
        <f t="shared" si="43"/>
        <v>6860.0000250000003</v>
      </c>
      <c r="CK25" s="744" t="str">
        <f t="shared" si="44"/>
        <v/>
      </c>
      <c r="CL25" s="744" t="str">
        <f t="shared" si="45"/>
        <v/>
      </c>
      <c r="CM25" s="744" t="str">
        <f t="shared" si="46"/>
        <v/>
      </c>
      <c r="CN25" s="744" t="str">
        <f t="shared" si="47"/>
        <v/>
      </c>
      <c r="CO25" s="744" t="str">
        <f t="shared" si="48"/>
        <v/>
      </c>
      <c r="CP25" s="744" t="str">
        <f t="shared" si="49"/>
        <v/>
      </c>
      <c r="CQ25" s="744" t="str">
        <f t="shared" si="50"/>
        <v/>
      </c>
      <c r="CR25" s="744" t="str">
        <f t="shared" si="51"/>
        <v/>
      </c>
      <c r="CS25" s="744" t="str">
        <f t="shared" si="52"/>
        <v/>
      </c>
      <c r="CT25" s="744" t="str">
        <f t="shared" si="53"/>
        <v/>
      </c>
      <c r="CU25" s="744" t="str">
        <f t="shared" si="54"/>
        <v/>
      </c>
      <c r="CV25" s="744" t="str">
        <f t="shared" si="55"/>
        <v/>
      </c>
      <c r="CW25" s="744" t="str">
        <f t="shared" si="56"/>
        <v/>
      </c>
      <c r="CX25" s="744">
        <f t="shared" si="57"/>
        <v>0.14002500000000001</v>
      </c>
    </row>
    <row r="26" spans="1:102">
      <c r="A26" s="630">
        <v>22</v>
      </c>
      <c r="B26" s="630" t="s">
        <v>4</v>
      </c>
      <c r="C26" s="631" t="s">
        <v>252</v>
      </c>
      <c r="D26" s="630" t="s">
        <v>1390</v>
      </c>
      <c r="E26" s="634" t="s">
        <v>101</v>
      </c>
      <c r="F26" s="1067">
        <v>1</v>
      </c>
      <c r="G26" s="1066">
        <v>1</v>
      </c>
      <c r="H26" s="1068">
        <v>0.90439999999999998</v>
      </c>
      <c r="I26" s="1068">
        <v>0.25042836000000002</v>
      </c>
      <c r="J26" s="1069">
        <v>0.21099999999999999</v>
      </c>
      <c r="K26" s="1069">
        <v>0.45853080000000002</v>
      </c>
      <c r="L26" s="1074">
        <v>0.75327476000000004</v>
      </c>
      <c r="M26" s="1069"/>
      <c r="N26" s="1069">
        <v>3.16</v>
      </c>
      <c r="O26" s="1069"/>
      <c r="P26" s="1076">
        <v>34.548079999999992</v>
      </c>
      <c r="Q26" s="1069">
        <v>132.04239999999999</v>
      </c>
      <c r="R26" s="1069">
        <v>123.63147999999998</v>
      </c>
      <c r="S26" s="1279">
        <v>8.4109200000000044</v>
      </c>
      <c r="T26" s="1069">
        <v>78.6828</v>
      </c>
      <c r="U26" s="1069"/>
      <c r="V26" s="1079">
        <v>1.1757199999999999</v>
      </c>
      <c r="W26" s="1069">
        <v>3.1653999999999995</v>
      </c>
      <c r="X26" s="1069">
        <v>2.1705599999999996</v>
      </c>
      <c r="Y26" s="1069"/>
      <c r="Z26" s="1069">
        <v>24.780560000000001</v>
      </c>
      <c r="AA26" s="1069"/>
      <c r="AB26" s="1069"/>
      <c r="AC26" s="1069"/>
      <c r="AD26" s="1069"/>
      <c r="AE26" s="1069"/>
      <c r="AF26" s="1069"/>
      <c r="AG26" s="1069"/>
      <c r="AH26" s="1076"/>
      <c r="AI26" s="1069"/>
      <c r="AJ26" s="1069"/>
      <c r="AK26" s="1069"/>
      <c r="AL26" s="1081"/>
      <c r="AM26" s="1069"/>
      <c r="AN26" s="1069"/>
      <c r="AO26" s="1069"/>
      <c r="AP26" s="1069"/>
      <c r="AQ26" s="1069"/>
      <c r="AR26" s="1069"/>
      <c r="AS26" s="1282"/>
      <c r="AT26" s="1282"/>
      <c r="AU26" s="1069"/>
      <c r="AV26" s="1069"/>
      <c r="AW26" s="1069"/>
      <c r="AX26" s="1069"/>
      <c r="AY26" s="1069"/>
      <c r="AZ26" s="1078">
        <f t="shared" si="10"/>
        <v>0.90439999999999998</v>
      </c>
      <c r="BA26" s="59">
        <v>22</v>
      </c>
      <c r="BB26" s="59">
        <f t="shared" si="12"/>
        <v>22</v>
      </c>
      <c r="BC26" s="60" t="str">
        <f t="shared" si="13"/>
        <v>Aveia, Grão</v>
      </c>
      <c r="BD26" s="61" t="str">
        <f ca="1">IFERROR(IF(SEARCH('Calcular Dieta'!A$3,$BC$5:$BC$310)&gt;=1,BC26,"Não encontrado"),"Não encontrado")</f>
        <v>Aveia, Grão</v>
      </c>
      <c r="BE26" s="741">
        <f ca="1">COUNTIF(BD$5:BD26,"&lt;&gt;"&amp;"Não encontrado")</f>
        <v>22</v>
      </c>
      <c r="BF26" s="742" t="str">
        <f t="shared" ca="1" si="58"/>
        <v>AVEIA, GRÃO</v>
      </c>
      <c r="BG26" s="744">
        <f t="shared" si="14"/>
        <v>0.25045436000000004</v>
      </c>
      <c r="BH26" s="744">
        <f t="shared" si="15"/>
        <v>0.21102599999999999</v>
      </c>
      <c r="BI26" s="744">
        <f t="shared" si="16"/>
        <v>0.45855680000000004</v>
      </c>
      <c r="BJ26" s="744">
        <f t="shared" si="17"/>
        <v>0.75330076000000001</v>
      </c>
      <c r="BK26" s="744" t="str">
        <f t="shared" si="18"/>
        <v/>
      </c>
      <c r="BL26" s="744">
        <f t="shared" si="19"/>
        <v>3.1600260000000002</v>
      </c>
      <c r="BM26" s="744" t="str">
        <f t="shared" si="20"/>
        <v/>
      </c>
      <c r="BN26" s="744">
        <f t="shared" si="21"/>
        <v>34.54810599999999</v>
      </c>
      <c r="BO26" s="744">
        <f t="shared" si="22"/>
        <v>132.04242599999998</v>
      </c>
      <c r="BP26" s="744">
        <f t="shared" si="23"/>
        <v>123.63150599999999</v>
      </c>
      <c r="BQ26" s="744">
        <f t="shared" si="24"/>
        <v>8.4109460000000045</v>
      </c>
      <c r="BR26" s="744">
        <f t="shared" si="25"/>
        <v>78.682826000000006</v>
      </c>
      <c r="BS26" s="744" t="str">
        <f t="shared" si="26"/>
        <v/>
      </c>
      <c r="BT26" s="744">
        <f t="shared" si="27"/>
        <v>1.175746</v>
      </c>
      <c r="BU26" s="744">
        <f t="shared" si="28"/>
        <v>3.1654259999999996</v>
      </c>
      <c r="BV26" s="744">
        <f t="shared" si="29"/>
        <v>2.1705859999999997</v>
      </c>
      <c r="BW26" s="744" t="str">
        <f t="shared" si="30"/>
        <v/>
      </c>
      <c r="BX26" s="744">
        <f t="shared" si="31"/>
        <v>24.780586</v>
      </c>
      <c r="BY26" s="744" t="str">
        <f t="shared" si="32"/>
        <v/>
      </c>
      <c r="BZ26" s="744" t="str">
        <f t="shared" si="33"/>
        <v/>
      </c>
      <c r="CA26" s="744" t="str">
        <f t="shared" si="34"/>
        <v/>
      </c>
      <c r="CB26" s="744" t="str">
        <f t="shared" si="35"/>
        <v/>
      </c>
      <c r="CC26" s="744" t="str">
        <f t="shared" si="36"/>
        <v/>
      </c>
      <c r="CD26" s="744" t="str">
        <f t="shared" si="37"/>
        <v/>
      </c>
      <c r="CE26" s="744" t="str">
        <f t="shared" si="38"/>
        <v/>
      </c>
      <c r="CF26" s="744" t="str">
        <f t="shared" si="39"/>
        <v/>
      </c>
      <c r="CG26" s="744" t="str">
        <f t="shared" si="40"/>
        <v/>
      </c>
      <c r="CH26" s="744" t="str">
        <f t="shared" si="41"/>
        <v/>
      </c>
      <c r="CI26" s="744" t="str">
        <f t="shared" si="42"/>
        <v/>
      </c>
      <c r="CJ26" s="744" t="str">
        <f t="shared" si="43"/>
        <v/>
      </c>
      <c r="CK26" s="744" t="str">
        <f t="shared" si="44"/>
        <v/>
      </c>
      <c r="CL26" s="744" t="str">
        <f t="shared" si="45"/>
        <v/>
      </c>
      <c r="CM26" s="744" t="str">
        <f t="shared" si="46"/>
        <v/>
      </c>
      <c r="CN26" s="744" t="str">
        <f t="shared" si="47"/>
        <v/>
      </c>
      <c r="CO26" s="744" t="str">
        <f t="shared" si="48"/>
        <v/>
      </c>
      <c r="CP26" s="744" t="str">
        <f t="shared" si="49"/>
        <v/>
      </c>
      <c r="CQ26" s="744" t="str">
        <f t="shared" si="50"/>
        <v/>
      </c>
      <c r="CR26" s="744" t="str">
        <f t="shared" si="51"/>
        <v/>
      </c>
      <c r="CS26" s="744" t="str">
        <f t="shared" si="52"/>
        <v/>
      </c>
      <c r="CT26" s="744" t="str">
        <f t="shared" si="53"/>
        <v/>
      </c>
      <c r="CU26" s="744" t="str">
        <f t="shared" si="54"/>
        <v/>
      </c>
      <c r="CV26" s="744" t="str">
        <f t="shared" si="55"/>
        <v/>
      </c>
      <c r="CW26" s="744" t="str">
        <f t="shared" si="56"/>
        <v/>
      </c>
      <c r="CX26" s="744">
        <f t="shared" si="57"/>
        <v>0.90442599999999995</v>
      </c>
    </row>
    <row r="27" spans="1:102">
      <c r="A27" s="633">
        <v>23</v>
      </c>
      <c r="B27" s="630" t="s">
        <v>4</v>
      </c>
      <c r="C27" s="631" t="s">
        <v>250</v>
      </c>
      <c r="D27" s="630" t="s">
        <v>1392</v>
      </c>
      <c r="E27" s="634" t="s">
        <v>102</v>
      </c>
      <c r="F27" s="1067">
        <v>1</v>
      </c>
      <c r="G27" s="1066">
        <v>1</v>
      </c>
      <c r="H27" s="1068">
        <v>0.9</v>
      </c>
      <c r="I27" s="1068">
        <v>0.42499999999999999</v>
      </c>
      <c r="J27" s="1069">
        <v>0.32200000000000001</v>
      </c>
      <c r="K27" s="1069"/>
      <c r="L27" s="1074">
        <v>0.73799999999999999</v>
      </c>
      <c r="M27" s="1069">
        <v>3.2538419999999997</v>
      </c>
      <c r="N27" s="1069"/>
      <c r="O27" s="1069"/>
      <c r="P27" s="1076">
        <v>39.6</v>
      </c>
      <c r="Q27" s="1069">
        <v>180</v>
      </c>
      <c r="R27" s="1069">
        <v>124.20000000000002</v>
      </c>
      <c r="S27" s="1069"/>
      <c r="T27" s="1069"/>
      <c r="U27" s="1069"/>
      <c r="V27" s="1079">
        <v>0.9</v>
      </c>
      <c r="W27" s="1069">
        <v>6.12</v>
      </c>
      <c r="X27" s="1069">
        <v>3.78</v>
      </c>
      <c r="Y27" s="1069">
        <v>0.63</v>
      </c>
      <c r="Z27" s="1069">
        <v>4.7699999999999996</v>
      </c>
      <c r="AA27" s="1069">
        <v>3.24</v>
      </c>
      <c r="AB27" s="1069">
        <v>17.100000000000001</v>
      </c>
      <c r="AC27" s="1069">
        <v>36</v>
      </c>
      <c r="AD27" s="1069">
        <v>346.5</v>
      </c>
      <c r="AE27" s="1069">
        <v>39.6</v>
      </c>
      <c r="AF27" s="1069">
        <v>6.3000000000000014E-2</v>
      </c>
      <c r="AG27" s="1069">
        <v>0.12600000000000003</v>
      </c>
      <c r="AH27" s="1076"/>
      <c r="AI27" s="1069"/>
      <c r="AJ27" s="1069"/>
      <c r="AK27" s="1069"/>
      <c r="AL27" s="1081"/>
      <c r="AM27" s="1069"/>
      <c r="AN27" s="1069"/>
      <c r="AO27" s="1069"/>
      <c r="AP27" s="1069"/>
      <c r="AQ27" s="1069"/>
      <c r="AR27" s="1069"/>
      <c r="AS27" s="1282"/>
      <c r="AT27" s="1282"/>
      <c r="AU27" s="1069"/>
      <c r="AV27" s="1069"/>
      <c r="AW27" s="1069"/>
      <c r="AX27" s="1069"/>
      <c r="AY27" s="1069"/>
      <c r="AZ27" s="1078">
        <f t="shared" si="10"/>
        <v>0.9</v>
      </c>
      <c r="BA27" s="59">
        <v>23</v>
      </c>
      <c r="BB27" s="59">
        <f t="shared" si="12"/>
        <v>23</v>
      </c>
      <c r="BC27" s="60" t="str">
        <f t="shared" si="13"/>
        <v>Babaçu, Farelo</v>
      </c>
      <c r="BD27" s="61" t="str">
        <f ca="1">IFERROR(IF(SEARCH('Calcular Dieta'!A$3,$BC$5:$BC$310)&gt;=1,BC27,"Não encontrado"),"Não encontrado")</f>
        <v>Babaçu, Farelo</v>
      </c>
      <c r="BE27" s="741">
        <f ca="1">COUNTIF(BD$5:BD27,"&lt;&gt;"&amp;"Não encontrado")</f>
        <v>23</v>
      </c>
      <c r="BF27" s="742" t="str">
        <f t="shared" ca="1" si="58"/>
        <v>BABAÇU, FARELO</v>
      </c>
      <c r="BG27" s="744">
        <f t="shared" si="14"/>
        <v>0.42502699999999999</v>
      </c>
      <c r="BH27" s="744">
        <f t="shared" si="15"/>
        <v>0.32202700000000001</v>
      </c>
      <c r="BI27" s="744" t="str">
        <f t="shared" si="16"/>
        <v/>
      </c>
      <c r="BJ27" s="744">
        <f t="shared" si="17"/>
        <v>0.73802699999999999</v>
      </c>
      <c r="BK27" s="744">
        <f t="shared" si="18"/>
        <v>3.2538689999999999</v>
      </c>
      <c r="BL27" s="744" t="str">
        <f t="shared" si="19"/>
        <v/>
      </c>
      <c r="BM27" s="744" t="str">
        <f t="shared" si="20"/>
        <v/>
      </c>
      <c r="BN27" s="744">
        <f t="shared" si="21"/>
        <v>39.600027000000004</v>
      </c>
      <c r="BO27" s="744">
        <f t="shared" si="22"/>
        <v>180.00002699999999</v>
      </c>
      <c r="BP27" s="744">
        <f t="shared" si="23"/>
        <v>124.20002700000002</v>
      </c>
      <c r="BQ27" s="744" t="str">
        <f t="shared" si="24"/>
        <v/>
      </c>
      <c r="BR27" s="744" t="str">
        <f t="shared" si="25"/>
        <v/>
      </c>
      <c r="BS27" s="744" t="str">
        <f t="shared" si="26"/>
        <v/>
      </c>
      <c r="BT27" s="744">
        <f t="shared" si="27"/>
        <v>0.90002700000000002</v>
      </c>
      <c r="BU27" s="744">
        <f t="shared" si="28"/>
        <v>6.1200270000000003</v>
      </c>
      <c r="BV27" s="744">
        <f t="shared" si="29"/>
        <v>3.780027</v>
      </c>
      <c r="BW27" s="744">
        <f t="shared" si="30"/>
        <v>0.630027</v>
      </c>
      <c r="BX27" s="744">
        <f t="shared" si="31"/>
        <v>4.7700269999999998</v>
      </c>
      <c r="BY27" s="744">
        <f t="shared" si="32"/>
        <v>3.2400270000000004</v>
      </c>
      <c r="BZ27" s="744">
        <f t="shared" si="33"/>
        <v>17.100027000000001</v>
      </c>
      <c r="CA27" s="744">
        <f t="shared" si="34"/>
        <v>36.000027000000003</v>
      </c>
      <c r="CB27" s="744">
        <f t="shared" si="35"/>
        <v>346.50002699999999</v>
      </c>
      <c r="CC27" s="744">
        <f t="shared" si="36"/>
        <v>39.600027000000004</v>
      </c>
      <c r="CD27" s="744">
        <f t="shared" si="37"/>
        <v>6.3027000000000014E-2</v>
      </c>
      <c r="CE27" s="744">
        <f t="shared" si="38"/>
        <v>0.12602700000000003</v>
      </c>
      <c r="CF27" s="744" t="str">
        <f t="shared" si="39"/>
        <v/>
      </c>
      <c r="CG27" s="744" t="str">
        <f t="shared" si="40"/>
        <v/>
      </c>
      <c r="CH27" s="744" t="str">
        <f t="shared" si="41"/>
        <v/>
      </c>
      <c r="CI27" s="744" t="str">
        <f t="shared" si="42"/>
        <v/>
      </c>
      <c r="CJ27" s="744" t="str">
        <f t="shared" si="43"/>
        <v/>
      </c>
      <c r="CK27" s="744" t="str">
        <f t="shared" si="44"/>
        <v/>
      </c>
      <c r="CL27" s="744" t="str">
        <f t="shared" si="45"/>
        <v/>
      </c>
      <c r="CM27" s="744" t="str">
        <f t="shared" si="46"/>
        <v/>
      </c>
      <c r="CN27" s="744" t="str">
        <f t="shared" si="47"/>
        <v/>
      </c>
      <c r="CO27" s="744" t="str">
        <f t="shared" si="48"/>
        <v/>
      </c>
      <c r="CP27" s="744" t="str">
        <f t="shared" si="49"/>
        <v/>
      </c>
      <c r="CQ27" s="744" t="str">
        <f t="shared" si="50"/>
        <v/>
      </c>
      <c r="CR27" s="744" t="str">
        <f t="shared" si="51"/>
        <v/>
      </c>
      <c r="CS27" s="744" t="str">
        <f t="shared" si="52"/>
        <v/>
      </c>
      <c r="CT27" s="744" t="str">
        <f t="shared" si="53"/>
        <v/>
      </c>
      <c r="CU27" s="744" t="str">
        <f t="shared" si="54"/>
        <v/>
      </c>
      <c r="CV27" s="744" t="str">
        <f t="shared" si="55"/>
        <v/>
      </c>
      <c r="CW27" s="744" t="str">
        <f t="shared" si="56"/>
        <v/>
      </c>
      <c r="CX27" s="744">
        <f t="shared" si="57"/>
        <v>0.90002700000000002</v>
      </c>
    </row>
    <row r="28" spans="1:102">
      <c r="A28" s="630">
        <v>24</v>
      </c>
      <c r="B28" s="630" t="s">
        <v>4</v>
      </c>
      <c r="C28" s="631" t="s">
        <v>252</v>
      </c>
      <c r="D28" s="630" t="s">
        <v>1390</v>
      </c>
      <c r="E28" s="632" t="s">
        <v>776</v>
      </c>
      <c r="F28" s="1067">
        <v>1</v>
      </c>
      <c r="G28" s="1066">
        <v>1</v>
      </c>
      <c r="H28" s="1068">
        <v>0.90749999999999997</v>
      </c>
      <c r="I28" s="1068">
        <v>0.64804574999999998</v>
      </c>
      <c r="J28" s="1069">
        <v>0.37480000000000002</v>
      </c>
      <c r="K28" s="1069">
        <v>2.4684000000000001E-2</v>
      </c>
      <c r="L28" s="1074">
        <v>0.7083037499999999</v>
      </c>
      <c r="M28" s="1069"/>
      <c r="N28" s="1069">
        <v>2.99</v>
      </c>
      <c r="O28" s="1069"/>
      <c r="P28" s="1076">
        <v>72.690749999999994</v>
      </c>
      <c r="Q28" s="1069">
        <v>174.87524999999999</v>
      </c>
      <c r="R28" s="1069">
        <v>80.767500000000013</v>
      </c>
      <c r="S28" s="1279">
        <v>94.107749999999982</v>
      </c>
      <c r="T28" s="1069">
        <v>129.40950000000001</v>
      </c>
      <c r="U28" s="1069"/>
      <c r="V28" s="1079">
        <v>1.3612500000000001</v>
      </c>
      <c r="W28" s="1069">
        <v>6.2617500000000001</v>
      </c>
      <c r="X28" s="1069"/>
      <c r="Y28" s="1069"/>
      <c r="Z28" s="1069"/>
      <c r="AA28" s="1069"/>
      <c r="AB28" s="1069"/>
      <c r="AC28" s="1069"/>
      <c r="AD28" s="1069"/>
      <c r="AE28" s="1069"/>
      <c r="AF28" s="1069"/>
      <c r="AG28" s="1069"/>
      <c r="AH28" s="1076"/>
      <c r="AI28" s="1069"/>
      <c r="AJ28" s="1069"/>
      <c r="AK28" s="1069"/>
      <c r="AL28" s="1081"/>
      <c r="AM28" s="1069"/>
      <c r="AN28" s="1069"/>
      <c r="AO28" s="1069"/>
      <c r="AP28" s="1069"/>
      <c r="AQ28" s="1069"/>
      <c r="AR28" s="1069"/>
      <c r="AS28" s="1282"/>
      <c r="AT28" s="1282"/>
      <c r="AU28" s="1069"/>
      <c r="AV28" s="1069"/>
      <c r="AW28" s="1069"/>
      <c r="AX28" s="1069"/>
      <c r="AY28" s="1069"/>
      <c r="AZ28" s="1078">
        <f t="shared" si="10"/>
        <v>0.90749999999999997</v>
      </c>
      <c r="BA28" s="59">
        <v>24</v>
      </c>
      <c r="BB28" s="59">
        <f t="shared" si="12"/>
        <v>24</v>
      </c>
      <c r="BC28" s="60" t="str">
        <f t="shared" si="13"/>
        <v>Babaçu, Torta</v>
      </c>
      <c r="BD28" s="61" t="str">
        <f ca="1">IFERROR(IF(SEARCH('Calcular Dieta'!A$3,$BC$5:$BC$310)&gt;=1,BC28,"Não encontrado"),"Não encontrado")</f>
        <v>Babaçu, Torta</v>
      </c>
      <c r="BE28" s="741">
        <f ca="1">COUNTIF(BD$5:BD28,"&lt;&gt;"&amp;"Não encontrado")</f>
        <v>24</v>
      </c>
      <c r="BF28" s="742" t="str">
        <f t="shared" ca="1" si="58"/>
        <v>BABAÇU, TORTA</v>
      </c>
      <c r="BG28" s="744">
        <f t="shared" si="14"/>
        <v>0.64807375</v>
      </c>
      <c r="BH28" s="744">
        <f t="shared" si="15"/>
        <v>0.37482799999999999</v>
      </c>
      <c r="BI28" s="744">
        <f t="shared" si="16"/>
        <v>2.4712000000000001E-2</v>
      </c>
      <c r="BJ28" s="744">
        <f t="shared" si="17"/>
        <v>0.70833174999999993</v>
      </c>
      <c r="BK28" s="744" t="str">
        <f t="shared" si="18"/>
        <v/>
      </c>
      <c r="BL28" s="744">
        <f t="shared" si="19"/>
        <v>2.9900280000000001</v>
      </c>
      <c r="BM28" s="744" t="str">
        <f t="shared" si="20"/>
        <v/>
      </c>
      <c r="BN28" s="744">
        <f t="shared" si="21"/>
        <v>72.690777999999995</v>
      </c>
      <c r="BO28" s="744">
        <f t="shared" si="22"/>
        <v>174.87527799999998</v>
      </c>
      <c r="BP28" s="744">
        <f t="shared" si="23"/>
        <v>80.767528000000013</v>
      </c>
      <c r="BQ28" s="744">
        <f t="shared" si="24"/>
        <v>94.107777999999982</v>
      </c>
      <c r="BR28" s="744">
        <f t="shared" si="25"/>
        <v>129.40952799999999</v>
      </c>
      <c r="BS28" s="744" t="str">
        <f t="shared" si="26"/>
        <v/>
      </c>
      <c r="BT28" s="744">
        <f t="shared" si="27"/>
        <v>1.361278</v>
      </c>
      <c r="BU28" s="744">
        <f t="shared" si="28"/>
        <v>6.2617780000000005</v>
      </c>
      <c r="BV28" s="744" t="str">
        <f t="shared" si="29"/>
        <v/>
      </c>
      <c r="BW28" s="744" t="str">
        <f t="shared" si="30"/>
        <v/>
      </c>
      <c r="BX28" s="744" t="str">
        <f t="shared" si="31"/>
        <v/>
      </c>
      <c r="BY28" s="744" t="str">
        <f t="shared" si="32"/>
        <v/>
      </c>
      <c r="BZ28" s="744" t="str">
        <f t="shared" si="33"/>
        <v/>
      </c>
      <c r="CA28" s="744" t="str">
        <f t="shared" si="34"/>
        <v/>
      </c>
      <c r="CB28" s="744" t="str">
        <f t="shared" si="35"/>
        <v/>
      </c>
      <c r="CC28" s="744" t="str">
        <f t="shared" si="36"/>
        <v/>
      </c>
      <c r="CD28" s="744" t="str">
        <f t="shared" si="37"/>
        <v/>
      </c>
      <c r="CE28" s="744" t="str">
        <f t="shared" si="38"/>
        <v/>
      </c>
      <c r="CF28" s="744" t="str">
        <f t="shared" si="39"/>
        <v/>
      </c>
      <c r="CG28" s="744" t="str">
        <f t="shared" si="40"/>
        <v/>
      </c>
      <c r="CH28" s="744" t="str">
        <f t="shared" si="41"/>
        <v/>
      </c>
      <c r="CI28" s="744" t="str">
        <f t="shared" si="42"/>
        <v/>
      </c>
      <c r="CJ28" s="744" t="str">
        <f t="shared" si="43"/>
        <v/>
      </c>
      <c r="CK28" s="744" t="str">
        <f t="shared" si="44"/>
        <v/>
      </c>
      <c r="CL28" s="744" t="str">
        <f t="shared" si="45"/>
        <v/>
      </c>
      <c r="CM28" s="744" t="str">
        <f t="shared" si="46"/>
        <v/>
      </c>
      <c r="CN28" s="744" t="str">
        <f t="shared" si="47"/>
        <v/>
      </c>
      <c r="CO28" s="744" t="str">
        <f t="shared" si="48"/>
        <v/>
      </c>
      <c r="CP28" s="744" t="str">
        <f t="shared" si="49"/>
        <v/>
      </c>
      <c r="CQ28" s="744" t="str">
        <f t="shared" si="50"/>
        <v/>
      </c>
      <c r="CR28" s="744" t="str">
        <f t="shared" si="51"/>
        <v/>
      </c>
      <c r="CS28" s="744" t="str">
        <f t="shared" si="52"/>
        <v/>
      </c>
      <c r="CT28" s="744" t="str">
        <f t="shared" si="53"/>
        <v/>
      </c>
      <c r="CU28" s="744" t="str">
        <f t="shared" si="54"/>
        <v/>
      </c>
      <c r="CV28" s="744" t="str">
        <f t="shared" si="55"/>
        <v/>
      </c>
      <c r="CW28" s="744" t="str">
        <f t="shared" si="56"/>
        <v/>
      </c>
      <c r="CX28" s="744">
        <f t="shared" si="57"/>
        <v>0.907528</v>
      </c>
    </row>
    <row r="29" spans="1:102">
      <c r="A29" s="633">
        <v>25</v>
      </c>
      <c r="B29" s="630" t="s">
        <v>4</v>
      </c>
      <c r="C29" s="631" t="s">
        <v>253</v>
      </c>
      <c r="D29" s="630" t="s">
        <v>1392</v>
      </c>
      <c r="E29" s="632" t="s">
        <v>56</v>
      </c>
      <c r="F29" s="1067">
        <v>1</v>
      </c>
      <c r="G29" s="1066">
        <v>1</v>
      </c>
      <c r="H29" s="1068">
        <v>1</v>
      </c>
      <c r="I29" s="1068"/>
      <c r="J29" s="1069"/>
      <c r="K29" s="1069"/>
      <c r="L29" s="1074"/>
      <c r="M29" s="1069"/>
      <c r="N29" s="1069"/>
      <c r="O29" s="1069"/>
      <c r="P29" s="1076"/>
      <c r="Q29" s="1069"/>
      <c r="R29" s="1069"/>
      <c r="S29" s="1069"/>
      <c r="T29" s="1069"/>
      <c r="U29" s="1069"/>
      <c r="V29" s="1079"/>
      <c r="W29" s="1069"/>
      <c r="X29" s="1069"/>
      <c r="Y29" s="1069"/>
      <c r="Z29" s="1069">
        <v>390</v>
      </c>
      <c r="AA29" s="1069"/>
      <c r="AB29" s="1069"/>
      <c r="AC29" s="1069"/>
      <c r="AD29" s="1069"/>
      <c r="AE29" s="1069"/>
      <c r="AF29" s="1069"/>
      <c r="AG29" s="1069"/>
      <c r="AH29" s="1076"/>
      <c r="AI29" s="1069"/>
      <c r="AJ29" s="1069"/>
      <c r="AK29" s="1069"/>
      <c r="AL29" s="1081"/>
      <c r="AM29" s="1069"/>
      <c r="AN29" s="1069"/>
      <c r="AO29" s="1069"/>
      <c r="AP29" s="1069"/>
      <c r="AQ29" s="1069"/>
      <c r="AR29" s="1069"/>
      <c r="AS29" s="1282"/>
      <c r="AT29" s="1282"/>
      <c r="AU29" s="1069"/>
      <c r="AV29" s="1069"/>
      <c r="AW29" s="1069"/>
      <c r="AX29" s="1069"/>
      <c r="AY29" s="1069"/>
      <c r="AZ29" s="1078">
        <f t="shared" si="10"/>
        <v>1</v>
      </c>
      <c r="BA29" s="59">
        <v>25</v>
      </c>
      <c r="BB29" s="59">
        <f t="shared" si="12"/>
        <v>25</v>
      </c>
      <c r="BC29" s="60" t="str">
        <f t="shared" si="13"/>
        <v xml:space="preserve">Bicarbonato de K </v>
      </c>
      <c r="BD29" s="61" t="str">
        <f ca="1">IFERROR(IF(SEARCH('Calcular Dieta'!A$3,$BC$5:$BC$310)&gt;=1,BC29,"Não encontrado"),"Não encontrado")</f>
        <v xml:space="preserve">Bicarbonato de K </v>
      </c>
      <c r="BE29" s="741">
        <f ca="1">COUNTIF(BD$5:BD29,"&lt;&gt;"&amp;"Não encontrado")</f>
        <v>25</v>
      </c>
      <c r="BF29" s="742" t="str">
        <f t="shared" ca="1" si="58"/>
        <v xml:space="preserve">BICARBONATO DE K </v>
      </c>
      <c r="BG29" s="744" t="str">
        <f t="shared" si="14"/>
        <v/>
      </c>
      <c r="BH29" s="744" t="str">
        <f t="shared" si="15"/>
        <v/>
      </c>
      <c r="BI29" s="744" t="str">
        <f t="shared" si="16"/>
        <v/>
      </c>
      <c r="BJ29" s="744" t="str">
        <f t="shared" si="17"/>
        <v/>
      </c>
      <c r="BK29" s="744" t="str">
        <f t="shared" si="18"/>
        <v/>
      </c>
      <c r="BL29" s="744" t="str">
        <f t="shared" si="19"/>
        <v/>
      </c>
      <c r="BM29" s="744" t="str">
        <f t="shared" si="20"/>
        <v/>
      </c>
      <c r="BN29" s="744" t="str">
        <f t="shared" si="21"/>
        <v/>
      </c>
      <c r="BO29" s="744" t="str">
        <f t="shared" si="22"/>
        <v/>
      </c>
      <c r="BP29" s="744" t="str">
        <f t="shared" si="23"/>
        <v/>
      </c>
      <c r="BQ29" s="744" t="str">
        <f t="shared" si="24"/>
        <v/>
      </c>
      <c r="BR29" s="744" t="str">
        <f t="shared" si="25"/>
        <v/>
      </c>
      <c r="BS29" s="744" t="str">
        <f t="shared" si="26"/>
        <v/>
      </c>
      <c r="BT29" s="744" t="str">
        <f t="shared" si="27"/>
        <v/>
      </c>
      <c r="BU29" s="744" t="str">
        <f t="shared" si="28"/>
        <v/>
      </c>
      <c r="BV29" s="744" t="str">
        <f t="shared" si="29"/>
        <v/>
      </c>
      <c r="BW29" s="744" t="str">
        <f t="shared" si="30"/>
        <v/>
      </c>
      <c r="BX29" s="744">
        <f t="shared" si="31"/>
        <v>390.00002899999998</v>
      </c>
      <c r="BY29" s="744" t="str">
        <f t="shared" si="32"/>
        <v/>
      </c>
      <c r="BZ29" s="744" t="str">
        <f t="shared" si="33"/>
        <v/>
      </c>
      <c r="CA29" s="744" t="str">
        <f t="shared" si="34"/>
        <v/>
      </c>
      <c r="CB29" s="744" t="str">
        <f t="shared" si="35"/>
        <v/>
      </c>
      <c r="CC29" s="744" t="str">
        <f t="shared" si="36"/>
        <v/>
      </c>
      <c r="CD29" s="744" t="str">
        <f t="shared" si="37"/>
        <v/>
      </c>
      <c r="CE29" s="744" t="str">
        <f t="shared" si="38"/>
        <v/>
      </c>
      <c r="CF29" s="744" t="str">
        <f t="shared" si="39"/>
        <v/>
      </c>
      <c r="CG29" s="744" t="str">
        <f t="shared" si="40"/>
        <v/>
      </c>
      <c r="CH29" s="744" t="str">
        <f t="shared" si="41"/>
        <v/>
      </c>
      <c r="CI29" s="744" t="str">
        <f t="shared" si="42"/>
        <v/>
      </c>
      <c r="CJ29" s="744" t="str">
        <f t="shared" si="43"/>
        <v/>
      </c>
      <c r="CK29" s="744" t="str">
        <f t="shared" si="44"/>
        <v/>
      </c>
      <c r="CL29" s="744" t="str">
        <f t="shared" si="45"/>
        <v/>
      </c>
      <c r="CM29" s="744" t="str">
        <f t="shared" si="46"/>
        <v/>
      </c>
      <c r="CN29" s="744" t="str">
        <f t="shared" si="47"/>
        <v/>
      </c>
      <c r="CO29" s="744" t="str">
        <f t="shared" si="48"/>
        <v/>
      </c>
      <c r="CP29" s="744" t="str">
        <f t="shared" si="49"/>
        <v/>
      </c>
      <c r="CQ29" s="744" t="str">
        <f t="shared" si="50"/>
        <v/>
      </c>
      <c r="CR29" s="744" t="str">
        <f t="shared" si="51"/>
        <v/>
      </c>
      <c r="CS29" s="744" t="str">
        <f t="shared" si="52"/>
        <v/>
      </c>
      <c r="CT29" s="744" t="str">
        <f t="shared" si="53"/>
        <v/>
      </c>
      <c r="CU29" s="744" t="str">
        <f t="shared" si="54"/>
        <v/>
      </c>
      <c r="CV29" s="744" t="str">
        <f t="shared" si="55"/>
        <v/>
      </c>
      <c r="CW29" s="744" t="str">
        <f t="shared" si="56"/>
        <v/>
      </c>
      <c r="CX29" s="744">
        <f t="shared" si="57"/>
        <v>1.0000290000000001</v>
      </c>
    </row>
    <row r="30" spans="1:102">
      <c r="A30" s="630">
        <v>26</v>
      </c>
      <c r="B30" s="630" t="s">
        <v>4</v>
      </c>
      <c r="C30" s="631" t="s">
        <v>253</v>
      </c>
      <c r="D30" s="630" t="s">
        <v>1392</v>
      </c>
      <c r="E30" s="634" t="s">
        <v>103</v>
      </c>
      <c r="F30" s="1067">
        <v>1</v>
      </c>
      <c r="G30" s="1066">
        <v>1</v>
      </c>
      <c r="H30" s="1068">
        <v>1</v>
      </c>
      <c r="I30" s="1068"/>
      <c r="J30" s="1069"/>
      <c r="K30" s="1069"/>
      <c r="L30" s="1074"/>
      <c r="M30" s="1069"/>
      <c r="N30" s="1069"/>
      <c r="O30" s="1069"/>
      <c r="P30" s="1076"/>
      <c r="Q30" s="1069"/>
      <c r="R30" s="1069"/>
      <c r="S30" s="1069"/>
      <c r="T30" s="1069"/>
      <c r="U30" s="1069"/>
      <c r="V30" s="1079"/>
      <c r="W30" s="1069"/>
      <c r="X30" s="1069"/>
      <c r="Y30" s="1069">
        <v>273.66000000000003</v>
      </c>
      <c r="Z30" s="1069"/>
      <c r="AA30" s="1069"/>
      <c r="AB30" s="1069"/>
      <c r="AC30" s="1069"/>
      <c r="AD30" s="1069"/>
      <c r="AE30" s="1069"/>
      <c r="AF30" s="1069"/>
      <c r="AG30" s="1069"/>
      <c r="AH30" s="1076"/>
      <c r="AI30" s="1069"/>
      <c r="AJ30" s="1069"/>
      <c r="AK30" s="1069"/>
      <c r="AL30" s="1081"/>
      <c r="AM30" s="1069"/>
      <c r="AN30" s="1069"/>
      <c r="AO30" s="1069"/>
      <c r="AP30" s="1069"/>
      <c r="AQ30" s="1069"/>
      <c r="AR30" s="1069"/>
      <c r="AS30" s="1282"/>
      <c r="AT30" s="1282"/>
      <c r="AU30" s="1069"/>
      <c r="AV30" s="1069"/>
      <c r="AW30" s="1069"/>
      <c r="AX30" s="1069"/>
      <c r="AY30" s="1069"/>
      <c r="AZ30" s="1078">
        <f t="shared" si="10"/>
        <v>1</v>
      </c>
      <c r="BA30" s="59">
        <v>26</v>
      </c>
      <c r="BB30" s="59">
        <f t="shared" si="12"/>
        <v>26</v>
      </c>
      <c r="BC30" s="60" t="str">
        <f t="shared" si="13"/>
        <v>Bicarbonato Sódio (Nahco3)</v>
      </c>
      <c r="BD30" s="61" t="str">
        <f ca="1">IFERROR(IF(SEARCH('Calcular Dieta'!A$3,$BC$5:$BC$310)&gt;=1,BC30,"Não encontrado"),"Não encontrado")</f>
        <v>Bicarbonato Sódio (Nahco3)</v>
      </c>
      <c r="BE30" s="741">
        <f ca="1">COUNTIF(BD$5:BD30,"&lt;&gt;"&amp;"Não encontrado")</f>
        <v>26</v>
      </c>
      <c r="BF30" s="742" t="str">
        <f t="shared" ca="1" si="58"/>
        <v>BICARBONATO SÓDIO (NAHCO3)</v>
      </c>
      <c r="BG30" s="744" t="str">
        <f t="shared" si="14"/>
        <v/>
      </c>
      <c r="BH30" s="744" t="str">
        <f t="shared" si="15"/>
        <v/>
      </c>
      <c r="BI30" s="744" t="str">
        <f t="shared" si="16"/>
        <v/>
      </c>
      <c r="BJ30" s="744" t="str">
        <f t="shared" si="17"/>
        <v/>
      </c>
      <c r="BK30" s="744" t="str">
        <f t="shared" si="18"/>
        <v/>
      </c>
      <c r="BL30" s="744" t="str">
        <f t="shared" si="19"/>
        <v/>
      </c>
      <c r="BM30" s="744" t="str">
        <f t="shared" si="20"/>
        <v/>
      </c>
      <c r="BN30" s="744" t="str">
        <f t="shared" si="21"/>
        <v/>
      </c>
      <c r="BO30" s="744" t="str">
        <f t="shared" si="22"/>
        <v/>
      </c>
      <c r="BP30" s="744" t="str">
        <f t="shared" si="23"/>
        <v/>
      </c>
      <c r="BQ30" s="744" t="str">
        <f t="shared" si="24"/>
        <v/>
      </c>
      <c r="BR30" s="744" t="str">
        <f t="shared" si="25"/>
        <v/>
      </c>
      <c r="BS30" s="744" t="str">
        <f t="shared" si="26"/>
        <v/>
      </c>
      <c r="BT30" s="744" t="str">
        <f t="shared" si="27"/>
        <v/>
      </c>
      <c r="BU30" s="744" t="str">
        <f t="shared" si="28"/>
        <v/>
      </c>
      <c r="BV30" s="744" t="str">
        <f t="shared" si="29"/>
        <v/>
      </c>
      <c r="BW30" s="744">
        <f t="shared" si="30"/>
        <v>273.66003000000001</v>
      </c>
      <c r="BX30" s="744" t="str">
        <f t="shared" si="31"/>
        <v/>
      </c>
      <c r="BY30" s="744" t="str">
        <f t="shared" si="32"/>
        <v/>
      </c>
      <c r="BZ30" s="744" t="str">
        <f t="shared" si="33"/>
        <v/>
      </c>
      <c r="CA30" s="744" t="str">
        <f t="shared" si="34"/>
        <v/>
      </c>
      <c r="CB30" s="744" t="str">
        <f t="shared" si="35"/>
        <v/>
      </c>
      <c r="CC30" s="744" t="str">
        <f t="shared" si="36"/>
        <v/>
      </c>
      <c r="CD30" s="744" t="str">
        <f t="shared" si="37"/>
        <v/>
      </c>
      <c r="CE30" s="744" t="str">
        <f t="shared" si="38"/>
        <v/>
      </c>
      <c r="CF30" s="744" t="str">
        <f t="shared" si="39"/>
        <v/>
      </c>
      <c r="CG30" s="744" t="str">
        <f t="shared" si="40"/>
        <v/>
      </c>
      <c r="CH30" s="744" t="str">
        <f t="shared" si="41"/>
        <v/>
      </c>
      <c r="CI30" s="744" t="str">
        <f t="shared" si="42"/>
        <v/>
      </c>
      <c r="CJ30" s="744" t="str">
        <f t="shared" si="43"/>
        <v/>
      </c>
      <c r="CK30" s="744" t="str">
        <f t="shared" si="44"/>
        <v/>
      </c>
      <c r="CL30" s="744" t="str">
        <f t="shared" si="45"/>
        <v/>
      </c>
      <c r="CM30" s="744" t="str">
        <f t="shared" si="46"/>
        <v/>
      </c>
      <c r="CN30" s="744" t="str">
        <f t="shared" si="47"/>
        <v/>
      </c>
      <c r="CO30" s="744" t="str">
        <f t="shared" si="48"/>
        <v/>
      </c>
      <c r="CP30" s="744" t="str">
        <f t="shared" si="49"/>
        <v/>
      </c>
      <c r="CQ30" s="744" t="str">
        <f t="shared" si="50"/>
        <v/>
      </c>
      <c r="CR30" s="744" t="str">
        <f t="shared" si="51"/>
        <v/>
      </c>
      <c r="CS30" s="744" t="str">
        <f t="shared" si="52"/>
        <v/>
      </c>
      <c r="CT30" s="744" t="str">
        <f t="shared" si="53"/>
        <v/>
      </c>
      <c r="CU30" s="744" t="str">
        <f t="shared" si="54"/>
        <v/>
      </c>
      <c r="CV30" s="744" t="str">
        <f t="shared" si="55"/>
        <v/>
      </c>
      <c r="CW30" s="744" t="str">
        <f t="shared" si="56"/>
        <v/>
      </c>
      <c r="CX30" s="744">
        <f t="shared" si="57"/>
        <v>1.00003</v>
      </c>
    </row>
    <row r="31" spans="1:102">
      <c r="A31" s="633">
        <v>27</v>
      </c>
      <c r="B31" s="630" t="s">
        <v>4</v>
      </c>
      <c r="C31" s="631" t="s">
        <v>251</v>
      </c>
      <c r="D31" s="630" t="s">
        <v>1390</v>
      </c>
      <c r="E31" s="632" t="s">
        <v>104</v>
      </c>
      <c r="F31" s="1067">
        <v>7.5</v>
      </c>
      <c r="G31" s="1066">
        <v>1</v>
      </c>
      <c r="H31" s="1068">
        <v>1</v>
      </c>
      <c r="I31" s="1068"/>
      <c r="J31" s="1069"/>
      <c r="K31" s="1069"/>
      <c r="L31" s="1074"/>
      <c r="M31" s="1069"/>
      <c r="N31" s="1069"/>
      <c r="O31" s="1069"/>
      <c r="P31" s="1076"/>
      <c r="Q31" s="1069"/>
      <c r="R31" s="1069"/>
      <c r="S31" s="1069"/>
      <c r="T31" s="1069"/>
      <c r="U31" s="1069"/>
      <c r="V31" s="1079">
        <v>250</v>
      </c>
      <c r="W31" s="1069">
        <v>80</v>
      </c>
      <c r="X31" s="1069">
        <v>15</v>
      </c>
      <c r="Y31" s="1069"/>
      <c r="Z31" s="1069"/>
      <c r="AA31" s="1069">
        <v>750</v>
      </c>
      <c r="AB31" s="1069">
        <v>1300</v>
      </c>
      <c r="AC31" s="1069">
        <v>4300</v>
      </c>
      <c r="AD31" s="1069"/>
      <c r="AE31" s="1069">
        <v>2600</v>
      </c>
      <c r="AF31" s="1069">
        <v>75</v>
      </c>
      <c r="AG31" s="1069">
        <v>75</v>
      </c>
      <c r="AH31" s="1076">
        <v>20</v>
      </c>
      <c r="AI31" s="1069"/>
      <c r="AJ31" s="1069"/>
      <c r="AK31" s="1069"/>
      <c r="AL31" s="1081"/>
      <c r="AM31" s="1069"/>
      <c r="AN31" s="1069"/>
      <c r="AO31" s="1069"/>
      <c r="AP31" s="1069"/>
      <c r="AQ31" s="1069"/>
      <c r="AR31" s="1069"/>
      <c r="AS31" s="1282"/>
      <c r="AT31" s="1282"/>
      <c r="AU31" s="1069"/>
      <c r="AV31" s="1069"/>
      <c r="AW31" s="1069"/>
      <c r="AX31" s="1069"/>
      <c r="AY31" s="1069"/>
      <c r="AZ31" s="1078">
        <f t="shared" si="10"/>
        <v>1</v>
      </c>
      <c r="BA31" s="59">
        <v>27</v>
      </c>
      <c r="BB31" s="59">
        <f t="shared" si="12"/>
        <v>27</v>
      </c>
      <c r="BC31" s="60" t="str">
        <f t="shared" si="13"/>
        <v>Bovitop Nucleo Proteinado</v>
      </c>
      <c r="BD31" s="61" t="str">
        <f ca="1">IFERROR(IF(SEARCH('Calcular Dieta'!A$3,$BC$5:$BC$310)&gt;=1,BC31,"Não encontrado"),"Não encontrado")</f>
        <v>Bovitop Nucleo Proteinado</v>
      </c>
      <c r="BE31" s="741">
        <f ca="1">COUNTIF(BD$5:BD31,"&lt;&gt;"&amp;"Não encontrado")</f>
        <v>27</v>
      </c>
      <c r="BF31" s="742" t="str">
        <f t="shared" ca="1" si="58"/>
        <v>BOVITOP NUCLEO PROTEINADO</v>
      </c>
      <c r="BG31" s="744" t="str">
        <f t="shared" si="14"/>
        <v/>
      </c>
      <c r="BH31" s="744" t="str">
        <f t="shared" si="15"/>
        <v/>
      </c>
      <c r="BI31" s="744" t="str">
        <f t="shared" si="16"/>
        <v/>
      </c>
      <c r="BJ31" s="744" t="str">
        <f t="shared" si="17"/>
        <v/>
      </c>
      <c r="BK31" s="744" t="str">
        <f t="shared" si="18"/>
        <v/>
      </c>
      <c r="BL31" s="744" t="str">
        <f t="shared" si="19"/>
        <v/>
      </c>
      <c r="BM31" s="744" t="str">
        <f t="shared" si="20"/>
        <v/>
      </c>
      <c r="BN31" s="744" t="str">
        <f t="shared" si="21"/>
        <v/>
      </c>
      <c r="BO31" s="744" t="str">
        <f t="shared" si="22"/>
        <v/>
      </c>
      <c r="BP31" s="744" t="str">
        <f t="shared" si="23"/>
        <v/>
      </c>
      <c r="BQ31" s="744" t="str">
        <f t="shared" si="24"/>
        <v/>
      </c>
      <c r="BR31" s="744" t="str">
        <f t="shared" si="25"/>
        <v/>
      </c>
      <c r="BS31" s="744" t="str">
        <f t="shared" si="26"/>
        <v/>
      </c>
      <c r="BT31" s="744">
        <f t="shared" si="27"/>
        <v>250.00003100000001</v>
      </c>
      <c r="BU31" s="744">
        <f t="shared" si="28"/>
        <v>80.000031000000007</v>
      </c>
      <c r="BV31" s="744">
        <f t="shared" si="29"/>
        <v>15.000031</v>
      </c>
      <c r="BW31" s="744" t="str">
        <f t="shared" si="30"/>
        <v/>
      </c>
      <c r="BX31" s="744" t="str">
        <f t="shared" si="31"/>
        <v/>
      </c>
      <c r="BY31" s="744">
        <f t="shared" si="32"/>
        <v>750.00003100000004</v>
      </c>
      <c r="BZ31" s="744">
        <f t="shared" si="33"/>
        <v>1300.000031</v>
      </c>
      <c r="CA31" s="744">
        <f t="shared" si="34"/>
        <v>4300.0000309999996</v>
      </c>
      <c r="CB31" s="744" t="str">
        <f t="shared" si="35"/>
        <v/>
      </c>
      <c r="CC31" s="744">
        <f t="shared" si="36"/>
        <v>2600.000031</v>
      </c>
      <c r="CD31" s="744">
        <f t="shared" si="37"/>
        <v>75.000031000000007</v>
      </c>
      <c r="CE31" s="744">
        <f t="shared" si="38"/>
        <v>75.000031000000007</v>
      </c>
      <c r="CF31" s="744">
        <f t="shared" si="39"/>
        <v>20.000031</v>
      </c>
      <c r="CG31" s="744" t="str">
        <f t="shared" si="40"/>
        <v/>
      </c>
      <c r="CH31" s="744" t="str">
        <f t="shared" si="41"/>
        <v/>
      </c>
      <c r="CI31" s="744" t="str">
        <f t="shared" si="42"/>
        <v/>
      </c>
      <c r="CJ31" s="744" t="str">
        <f t="shared" si="43"/>
        <v/>
      </c>
      <c r="CK31" s="744" t="str">
        <f t="shared" si="44"/>
        <v/>
      </c>
      <c r="CL31" s="744" t="str">
        <f t="shared" si="45"/>
        <v/>
      </c>
      <c r="CM31" s="744" t="str">
        <f t="shared" si="46"/>
        <v/>
      </c>
      <c r="CN31" s="744" t="str">
        <f t="shared" si="47"/>
        <v/>
      </c>
      <c r="CO31" s="744" t="str">
        <f t="shared" si="48"/>
        <v/>
      </c>
      <c r="CP31" s="744" t="str">
        <f t="shared" si="49"/>
        <v/>
      </c>
      <c r="CQ31" s="744" t="str">
        <f t="shared" si="50"/>
        <v/>
      </c>
      <c r="CR31" s="744" t="str">
        <f t="shared" si="51"/>
        <v/>
      </c>
      <c r="CS31" s="744" t="str">
        <f t="shared" si="52"/>
        <v/>
      </c>
      <c r="CT31" s="744" t="str">
        <f t="shared" si="53"/>
        <v/>
      </c>
      <c r="CU31" s="744" t="str">
        <f t="shared" si="54"/>
        <v/>
      </c>
      <c r="CV31" s="744" t="str">
        <f t="shared" si="55"/>
        <v/>
      </c>
      <c r="CW31" s="744" t="str">
        <f t="shared" si="56"/>
        <v/>
      </c>
      <c r="CX31" s="744">
        <f t="shared" si="57"/>
        <v>1.0000309999999999</v>
      </c>
    </row>
    <row r="32" spans="1:102">
      <c r="A32" s="630">
        <v>28</v>
      </c>
      <c r="B32" s="630" t="s">
        <v>4</v>
      </c>
      <c r="C32" s="631" t="s">
        <v>252</v>
      </c>
      <c r="D32" s="630" t="s">
        <v>1390</v>
      </c>
      <c r="E32" s="632" t="s">
        <v>105</v>
      </c>
      <c r="F32" s="1067">
        <v>1</v>
      </c>
      <c r="G32" s="1066">
        <v>1</v>
      </c>
      <c r="H32" s="1068">
        <v>0.88780000000000003</v>
      </c>
      <c r="I32" s="1068">
        <v>0.45632920000000005</v>
      </c>
      <c r="J32" s="1069">
        <v>0.3357</v>
      </c>
      <c r="K32" s="1069">
        <v>0.15891620000000001</v>
      </c>
      <c r="L32" s="1074">
        <v>0.572631</v>
      </c>
      <c r="M32" s="1069"/>
      <c r="N32" s="1069">
        <v>2.42</v>
      </c>
      <c r="O32" s="1069"/>
      <c r="P32" s="1076">
        <v>40.217340000000007</v>
      </c>
      <c r="Q32" s="1069">
        <v>140.98264</v>
      </c>
      <c r="R32" s="1069"/>
      <c r="S32" s="1069"/>
      <c r="T32" s="1069"/>
      <c r="U32" s="1069"/>
      <c r="V32" s="1079">
        <v>6.5697200000000002</v>
      </c>
      <c r="W32" s="1069">
        <v>4.4390000000000001</v>
      </c>
      <c r="X32" s="1069"/>
      <c r="Y32" s="1069"/>
      <c r="Z32" s="1069"/>
      <c r="AA32" s="1069"/>
      <c r="AB32" s="1069"/>
      <c r="AC32" s="1069"/>
      <c r="AD32" s="1069"/>
      <c r="AE32" s="1069"/>
      <c r="AF32" s="1069"/>
      <c r="AG32" s="1069"/>
      <c r="AH32" s="1076"/>
      <c r="AI32" s="1069"/>
      <c r="AJ32" s="1069"/>
      <c r="AK32" s="1069"/>
      <c r="AL32" s="1081"/>
      <c r="AM32" s="1069"/>
      <c r="AN32" s="1069"/>
      <c r="AO32" s="1069"/>
      <c r="AP32" s="1069"/>
      <c r="AQ32" s="1069"/>
      <c r="AR32" s="1069"/>
      <c r="AS32" s="1282"/>
      <c r="AT32" s="1282"/>
      <c r="AU32" s="1069"/>
      <c r="AV32" s="1069"/>
      <c r="AW32" s="1069"/>
      <c r="AX32" s="1069"/>
      <c r="AY32" s="1069"/>
      <c r="AZ32" s="1078">
        <f t="shared" si="10"/>
        <v>0.88780000000000003</v>
      </c>
      <c r="BA32" s="59">
        <v>28</v>
      </c>
      <c r="BB32" s="59">
        <f t="shared" si="12"/>
        <v>28</v>
      </c>
      <c r="BC32" s="60" t="str">
        <f t="shared" si="13"/>
        <v>Cacau, Farelo</v>
      </c>
      <c r="BD32" s="61" t="str">
        <f ca="1">IFERROR(IF(SEARCH('Calcular Dieta'!A$3,$BC$5:$BC$310)&gt;=1,BC32,"Não encontrado"),"Não encontrado")</f>
        <v>Cacau, Farelo</v>
      </c>
      <c r="BE32" s="741">
        <f ca="1">COUNTIF(BD$5:BD32,"&lt;&gt;"&amp;"Não encontrado")</f>
        <v>28</v>
      </c>
      <c r="BF32" s="742" t="str">
        <f t="shared" ca="1" si="58"/>
        <v>CACAU, FARELO</v>
      </c>
      <c r="BG32" s="744">
        <f t="shared" si="14"/>
        <v>0.45636120000000002</v>
      </c>
      <c r="BH32" s="744">
        <f t="shared" si="15"/>
        <v>0.33573199999999997</v>
      </c>
      <c r="BI32" s="744">
        <f t="shared" si="16"/>
        <v>0.15894820000000001</v>
      </c>
      <c r="BJ32" s="744">
        <f t="shared" si="17"/>
        <v>0.57266300000000003</v>
      </c>
      <c r="BK32" s="744" t="str">
        <f t="shared" si="18"/>
        <v/>
      </c>
      <c r="BL32" s="744">
        <f t="shared" si="19"/>
        <v>2.420032</v>
      </c>
      <c r="BM32" s="744" t="str">
        <f t="shared" si="20"/>
        <v/>
      </c>
      <c r="BN32" s="744">
        <f t="shared" si="21"/>
        <v>40.217372000000005</v>
      </c>
      <c r="BO32" s="744">
        <f t="shared" si="22"/>
        <v>140.98267200000001</v>
      </c>
      <c r="BP32" s="744" t="str">
        <f t="shared" si="23"/>
        <v/>
      </c>
      <c r="BQ32" s="744" t="str">
        <f t="shared" si="24"/>
        <v/>
      </c>
      <c r="BR32" s="744" t="str">
        <f t="shared" si="25"/>
        <v/>
      </c>
      <c r="BS32" s="744" t="str">
        <f t="shared" si="26"/>
        <v/>
      </c>
      <c r="BT32" s="744">
        <f t="shared" si="27"/>
        <v>6.5697520000000003</v>
      </c>
      <c r="BU32" s="744">
        <f t="shared" si="28"/>
        <v>4.4390320000000001</v>
      </c>
      <c r="BV32" s="744" t="str">
        <f t="shared" si="29"/>
        <v/>
      </c>
      <c r="BW32" s="744" t="str">
        <f t="shared" si="30"/>
        <v/>
      </c>
      <c r="BX32" s="744" t="str">
        <f t="shared" si="31"/>
        <v/>
      </c>
      <c r="BY32" s="744" t="str">
        <f t="shared" si="32"/>
        <v/>
      </c>
      <c r="BZ32" s="744" t="str">
        <f t="shared" si="33"/>
        <v/>
      </c>
      <c r="CA32" s="744" t="str">
        <f t="shared" si="34"/>
        <v/>
      </c>
      <c r="CB32" s="744" t="str">
        <f t="shared" si="35"/>
        <v/>
      </c>
      <c r="CC32" s="744" t="str">
        <f t="shared" si="36"/>
        <v/>
      </c>
      <c r="CD32" s="744" t="str">
        <f t="shared" si="37"/>
        <v/>
      </c>
      <c r="CE32" s="744" t="str">
        <f t="shared" si="38"/>
        <v/>
      </c>
      <c r="CF32" s="744" t="str">
        <f t="shared" si="39"/>
        <v/>
      </c>
      <c r="CG32" s="744" t="str">
        <f t="shared" si="40"/>
        <v/>
      </c>
      <c r="CH32" s="744" t="str">
        <f t="shared" si="41"/>
        <v/>
      </c>
      <c r="CI32" s="744" t="str">
        <f t="shared" si="42"/>
        <v/>
      </c>
      <c r="CJ32" s="744" t="str">
        <f t="shared" si="43"/>
        <v/>
      </c>
      <c r="CK32" s="744" t="str">
        <f t="shared" si="44"/>
        <v/>
      </c>
      <c r="CL32" s="744" t="str">
        <f t="shared" si="45"/>
        <v/>
      </c>
      <c r="CM32" s="744" t="str">
        <f t="shared" si="46"/>
        <v/>
      </c>
      <c r="CN32" s="744" t="str">
        <f t="shared" si="47"/>
        <v/>
      </c>
      <c r="CO32" s="744" t="str">
        <f t="shared" si="48"/>
        <v/>
      </c>
      <c r="CP32" s="744" t="str">
        <f t="shared" si="49"/>
        <v/>
      </c>
      <c r="CQ32" s="744" t="str">
        <f t="shared" si="50"/>
        <v/>
      </c>
      <c r="CR32" s="744" t="str">
        <f t="shared" si="51"/>
        <v/>
      </c>
      <c r="CS32" s="744" t="str">
        <f t="shared" si="52"/>
        <v/>
      </c>
      <c r="CT32" s="744" t="str">
        <f t="shared" si="53"/>
        <v/>
      </c>
      <c r="CU32" s="744" t="str">
        <f t="shared" si="54"/>
        <v/>
      </c>
      <c r="CV32" s="744" t="str">
        <f t="shared" si="55"/>
        <v/>
      </c>
      <c r="CW32" s="744" t="str">
        <f t="shared" si="56"/>
        <v/>
      </c>
      <c r="CX32" s="744">
        <f t="shared" si="57"/>
        <v>0.88783200000000007</v>
      </c>
    </row>
    <row r="33" spans="1:102">
      <c r="A33" s="633">
        <v>29</v>
      </c>
      <c r="B33" s="630" t="s">
        <v>4</v>
      </c>
      <c r="C33" s="631" t="s">
        <v>750</v>
      </c>
      <c r="D33" s="630" t="s">
        <v>1390</v>
      </c>
      <c r="E33" s="632" t="s">
        <v>106</v>
      </c>
      <c r="F33" s="1067">
        <v>1</v>
      </c>
      <c r="G33" s="1066">
        <v>1</v>
      </c>
      <c r="H33" s="1068">
        <v>0.8478</v>
      </c>
      <c r="I33" s="1068">
        <v>0.54132030000000009</v>
      </c>
      <c r="J33" s="1069">
        <v>0.4113</v>
      </c>
      <c r="K33" s="1069">
        <v>0.20677841999999999</v>
      </c>
      <c r="L33" s="1074">
        <v>0.42135660000000003</v>
      </c>
      <c r="M33" s="1069"/>
      <c r="N33" s="1069">
        <v>1.77</v>
      </c>
      <c r="O33" s="1069"/>
      <c r="P33" s="1076">
        <v>13.819139999999999</v>
      </c>
      <c r="Q33" s="1069">
        <v>85.458240000000004</v>
      </c>
      <c r="R33" s="1069"/>
      <c r="S33" s="1069"/>
      <c r="T33" s="1069"/>
      <c r="U33" s="1069"/>
      <c r="V33" s="1079">
        <v>2.7977400000000001</v>
      </c>
      <c r="W33" s="1069">
        <v>1.1021399999999999</v>
      </c>
      <c r="X33" s="1069">
        <v>0.50867999999999991</v>
      </c>
      <c r="Y33" s="1069">
        <v>0.16955999999999999</v>
      </c>
      <c r="Z33" s="1069">
        <v>24.586199999999998</v>
      </c>
      <c r="AA33" s="1069"/>
      <c r="AB33" s="1069">
        <v>19.53</v>
      </c>
      <c r="AC33" s="1069"/>
      <c r="AD33" s="1069">
        <v>1256.33</v>
      </c>
      <c r="AE33" s="1069"/>
      <c r="AF33" s="1069"/>
      <c r="AG33" s="1069"/>
      <c r="AH33" s="1076"/>
      <c r="AI33" s="1069"/>
      <c r="AJ33" s="1069"/>
      <c r="AK33" s="1069"/>
      <c r="AL33" s="1081"/>
      <c r="AM33" s="1069"/>
      <c r="AN33" s="1069"/>
      <c r="AO33" s="1069"/>
      <c r="AP33" s="1069"/>
      <c r="AQ33" s="1069"/>
      <c r="AR33" s="1069"/>
      <c r="AS33" s="1282"/>
      <c r="AT33" s="1282"/>
      <c r="AU33" s="1069"/>
      <c r="AV33" s="1069"/>
      <c r="AW33" s="1069"/>
      <c r="AX33" s="1069"/>
      <c r="AY33" s="1069"/>
      <c r="AZ33" s="1078">
        <f t="shared" si="10"/>
        <v>0.8478</v>
      </c>
      <c r="BA33" s="59">
        <v>29</v>
      </c>
      <c r="BB33" s="59">
        <f t="shared" si="12"/>
        <v>29</v>
      </c>
      <c r="BC33" s="60" t="str">
        <f t="shared" si="13"/>
        <v>Café, Casca</v>
      </c>
      <c r="BD33" s="61" t="str">
        <f ca="1">IFERROR(IF(SEARCH('Calcular Dieta'!A$3,$BC$5:$BC$310)&gt;=1,BC33,"Não encontrado"),"Não encontrado")</f>
        <v>Café, Casca</v>
      </c>
      <c r="BE33" s="741">
        <f ca="1">COUNTIF(BD$5:BD33,"&lt;&gt;"&amp;"Não encontrado")</f>
        <v>29</v>
      </c>
      <c r="BF33" s="742" t="str">
        <f t="shared" ca="1" si="58"/>
        <v>CAFÉ, CASCA</v>
      </c>
      <c r="BG33" s="744">
        <f t="shared" si="14"/>
        <v>0.54135330000000004</v>
      </c>
      <c r="BH33" s="744">
        <f t="shared" si="15"/>
        <v>0.411333</v>
      </c>
      <c r="BI33" s="744">
        <f t="shared" si="16"/>
        <v>0.20681142</v>
      </c>
      <c r="BJ33" s="744">
        <f t="shared" si="17"/>
        <v>0.42138960000000003</v>
      </c>
      <c r="BK33" s="744" t="str">
        <f t="shared" si="18"/>
        <v/>
      </c>
      <c r="BL33" s="744">
        <f t="shared" si="19"/>
        <v>1.770033</v>
      </c>
      <c r="BM33" s="744" t="str">
        <f t="shared" si="20"/>
        <v/>
      </c>
      <c r="BN33" s="744">
        <f t="shared" si="21"/>
        <v>13.819172999999999</v>
      </c>
      <c r="BO33" s="744">
        <f t="shared" si="22"/>
        <v>85.458273000000005</v>
      </c>
      <c r="BP33" s="744" t="str">
        <f t="shared" si="23"/>
        <v/>
      </c>
      <c r="BQ33" s="744" t="str">
        <f t="shared" si="24"/>
        <v/>
      </c>
      <c r="BR33" s="744" t="str">
        <f t="shared" si="25"/>
        <v/>
      </c>
      <c r="BS33" s="744" t="str">
        <f t="shared" si="26"/>
        <v/>
      </c>
      <c r="BT33" s="744">
        <f t="shared" si="27"/>
        <v>2.7977730000000003</v>
      </c>
      <c r="BU33" s="744">
        <f t="shared" si="28"/>
        <v>1.1021729999999998</v>
      </c>
      <c r="BV33" s="744">
        <f t="shared" si="29"/>
        <v>0.50871299999999986</v>
      </c>
      <c r="BW33" s="744">
        <f t="shared" si="30"/>
        <v>0.16959299999999999</v>
      </c>
      <c r="BX33" s="744">
        <f t="shared" si="31"/>
        <v>24.586232999999996</v>
      </c>
      <c r="BY33" s="744" t="str">
        <f t="shared" si="32"/>
        <v/>
      </c>
      <c r="BZ33" s="744">
        <f t="shared" si="33"/>
        <v>19.530033</v>
      </c>
      <c r="CA33" s="744" t="str">
        <f t="shared" si="34"/>
        <v/>
      </c>
      <c r="CB33" s="744">
        <f t="shared" si="35"/>
        <v>1256.330033</v>
      </c>
      <c r="CC33" s="744" t="str">
        <f t="shared" si="36"/>
        <v/>
      </c>
      <c r="CD33" s="744" t="str">
        <f t="shared" si="37"/>
        <v/>
      </c>
      <c r="CE33" s="744" t="str">
        <f t="shared" si="38"/>
        <v/>
      </c>
      <c r="CF33" s="744" t="str">
        <f t="shared" si="39"/>
        <v/>
      </c>
      <c r="CG33" s="744" t="str">
        <f t="shared" si="40"/>
        <v/>
      </c>
      <c r="CH33" s="744" t="str">
        <f t="shared" si="41"/>
        <v/>
      </c>
      <c r="CI33" s="744" t="str">
        <f t="shared" si="42"/>
        <v/>
      </c>
      <c r="CJ33" s="744" t="str">
        <f t="shared" si="43"/>
        <v/>
      </c>
      <c r="CK33" s="744" t="str">
        <f t="shared" si="44"/>
        <v/>
      </c>
      <c r="CL33" s="744" t="str">
        <f t="shared" si="45"/>
        <v/>
      </c>
      <c r="CM33" s="744" t="str">
        <f t="shared" si="46"/>
        <v/>
      </c>
      <c r="CN33" s="744" t="str">
        <f t="shared" si="47"/>
        <v/>
      </c>
      <c r="CO33" s="744" t="str">
        <f t="shared" si="48"/>
        <v/>
      </c>
      <c r="CP33" s="744" t="str">
        <f t="shared" si="49"/>
        <v/>
      </c>
      <c r="CQ33" s="744" t="str">
        <f t="shared" si="50"/>
        <v/>
      </c>
      <c r="CR33" s="744" t="str">
        <f t="shared" si="51"/>
        <v/>
      </c>
      <c r="CS33" s="744" t="str">
        <f t="shared" si="52"/>
        <v/>
      </c>
      <c r="CT33" s="744" t="str">
        <f t="shared" si="53"/>
        <v/>
      </c>
      <c r="CU33" s="744" t="str">
        <f t="shared" si="54"/>
        <v/>
      </c>
      <c r="CV33" s="744" t="str">
        <f t="shared" si="55"/>
        <v/>
      </c>
      <c r="CW33" s="744" t="str">
        <f t="shared" si="56"/>
        <v/>
      </c>
      <c r="CX33" s="744">
        <f t="shared" si="57"/>
        <v>0.84783299999999995</v>
      </c>
    </row>
    <row r="34" spans="1:102">
      <c r="A34" s="630">
        <v>30</v>
      </c>
      <c r="B34" s="630" t="s">
        <v>4</v>
      </c>
      <c r="C34" s="631" t="s">
        <v>750</v>
      </c>
      <c r="D34" s="630" t="s">
        <v>1390</v>
      </c>
      <c r="E34" s="632" t="s">
        <v>1388</v>
      </c>
      <c r="F34" s="1067">
        <v>1</v>
      </c>
      <c r="G34" s="1066">
        <v>1</v>
      </c>
      <c r="H34" s="1068">
        <v>0.88730000000000009</v>
      </c>
      <c r="I34" s="1068">
        <v>0.62199729999999998</v>
      </c>
      <c r="J34" s="1069">
        <v>0.55710000000000004</v>
      </c>
      <c r="K34" s="1069">
        <v>5.4214030000000003E-2</v>
      </c>
      <c r="L34" s="1074">
        <v>0.41880560000000006</v>
      </c>
      <c r="M34" s="1069"/>
      <c r="N34" s="1069"/>
      <c r="O34" s="1069"/>
      <c r="P34" s="1076">
        <v>27.683760000000007</v>
      </c>
      <c r="Q34" s="1069">
        <v>123.06851</v>
      </c>
      <c r="R34" s="1069">
        <v>17.657270000000004</v>
      </c>
      <c r="S34" s="1069">
        <v>104.70140000000002</v>
      </c>
      <c r="T34" s="1069">
        <v>102.30569</v>
      </c>
      <c r="U34" s="1069"/>
      <c r="V34" s="1079">
        <v>3.8153900000000007</v>
      </c>
      <c r="W34" s="1069">
        <v>0.8873000000000002</v>
      </c>
      <c r="X34" s="1069"/>
      <c r="Y34" s="1069"/>
      <c r="Z34" s="1069"/>
      <c r="AA34" s="1069"/>
      <c r="AB34" s="1069"/>
      <c r="AC34" s="1069"/>
      <c r="AD34" s="1069"/>
      <c r="AE34" s="1069"/>
      <c r="AF34" s="1069"/>
      <c r="AG34" s="1069"/>
      <c r="AH34" s="1076"/>
      <c r="AI34" s="1069"/>
      <c r="AJ34" s="1069"/>
      <c r="AK34" s="1069"/>
      <c r="AL34" s="1081"/>
      <c r="AM34" s="1069"/>
      <c r="AN34" s="1069"/>
      <c r="AO34" s="1069"/>
      <c r="AP34" s="1069"/>
      <c r="AQ34" s="1069"/>
      <c r="AR34" s="1069"/>
      <c r="AS34" s="1282"/>
      <c r="AT34" s="1282"/>
      <c r="AU34" s="1069"/>
      <c r="AV34" s="1069"/>
      <c r="AW34" s="1069"/>
      <c r="AX34" s="1069"/>
      <c r="AY34" s="1069"/>
      <c r="AZ34" s="1078">
        <f t="shared" si="10"/>
        <v>0.88730000000000009</v>
      </c>
      <c r="BA34" s="59">
        <v>30</v>
      </c>
      <c r="BB34" s="59">
        <f t="shared" si="12"/>
        <v>30</v>
      </c>
      <c r="BC34" s="60" t="str">
        <f t="shared" si="13"/>
        <v>Caju, Coproduto da Indústria do Suco</v>
      </c>
      <c r="BD34" s="61" t="str">
        <f ca="1">IFERROR(IF(SEARCH('Calcular Dieta'!A$3,$BC$5:$BC$310)&gt;=1,BC34,"Não encontrado"),"Não encontrado")</f>
        <v>Caju, Coproduto da Indústria do Suco</v>
      </c>
      <c r="BE34" s="741">
        <f ca="1">COUNTIF(BD$5:BD34,"&lt;&gt;"&amp;"Não encontrado")</f>
        <v>30</v>
      </c>
      <c r="BF34" s="742" t="str">
        <f t="shared" ca="1" si="58"/>
        <v>CAJU, COPRODUTO DA INDÚSTRIA DO SUCO</v>
      </c>
      <c r="BG34" s="744">
        <f t="shared" si="14"/>
        <v>0.62203129999999995</v>
      </c>
      <c r="BH34" s="744">
        <f t="shared" si="15"/>
        <v>0.55713400000000002</v>
      </c>
      <c r="BI34" s="744">
        <f t="shared" si="16"/>
        <v>5.4248030000000003E-2</v>
      </c>
      <c r="BJ34" s="744">
        <f t="shared" si="17"/>
        <v>0.41883960000000003</v>
      </c>
      <c r="BK34" s="744" t="str">
        <f t="shared" si="18"/>
        <v/>
      </c>
      <c r="BL34" s="744" t="str">
        <f t="shared" si="19"/>
        <v/>
      </c>
      <c r="BM34" s="744" t="str">
        <f t="shared" si="20"/>
        <v/>
      </c>
      <c r="BN34" s="744">
        <f t="shared" si="21"/>
        <v>27.683794000000006</v>
      </c>
      <c r="BO34" s="744">
        <f t="shared" si="22"/>
        <v>123.068544</v>
      </c>
      <c r="BP34" s="744">
        <f t="shared" si="23"/>
        <v>17.657304000000003</v>
      </c>
      <c r="BQ34" s="744">
        <f t="shared" si="24"/>
        <v>104.70143400000002</v>
      </c>
      <c r="BR34" s="744">
        <f t="shared" si="25"/>
        <v>102.305724</v>
      </c>
      <c r="BS34" s="744" t="str">
        <f t="shared" si="26"/>
        <v/>
      </c>
      <c r="BT34" s="744">
        <f t="shared" si="27"/>
        <v>3.8154240000000006</v>
      </c>
      <c r="BU34" s="744">
        <f t="shared" si="28"/>
        <v>0.88733400000000018</v>
      </c>
      <c r="BV34" s="744" t="str">
        <f t="shared" si="29"/>
        <v/>
      </c>
      <c r="BW34" s="744" t="str">
        <f t="shared" si="30"/>
        <v/>
      </c>
      <c r="BX34" s="744" t="str">
        <f t="shared" si="31"/>
        <v/>
      </c>
      <c r="BY34" s="744" t="str">
        <f t="shared" si="32"/>
        <v/>
      </c>
      <c r="BZ34" s="744" t="str">
        <f t="shared" si="33"/>
        <v/>
      </c>
      <c r="CA34" s="744" t="str">
        <f t="shared" si="34"/>
        <v/>
      </c>
      <c r="CB34" s="744" t="str">
        <f t="shared" si="35"/>
        <v/>
      </c>
      <c r="CC34" s="744" t="str">
        <f t="shared" si="36"/>
        <v/>
      </c>
      <c r="CD34" s="744" t="str">
        <f t="shared" si="37"/>
        <v/>
      </c>
      <c r="CE34" s="744" t="str">
        <f t="shared" si="38"/>
        <v/>
      </c>
      <c r="CF34" s="744" t="str">
        <f t="shared" si="39"/>
        <v/>
      </c>
      <c r="CG34" s="744" t="str">
        <f t="shared" si="40"/>
        <v/>
      </c>
      <c r="CH34" s="744" t="str">
        <f t="shared" si="41"/>
        <v/>
      </c>
      <c r="CI34" s="744" t="str">
        <f t="shared" si="42"/>
        <v/>
      </c>
      <c r="CJ34" s="744" t="str">
        <f t="shared" si="43"/>
        <v/>
      </c>
      <c r="CK34" s="744" t="str">
        <f t="shared" si="44"/>
        <v/>
      </c>
      <c r="CL34" s="744" t="str">
        <f t="shared" si="45"/>
        <v/>
      </c>
      <c r="CM34" s="744" t="str">
        <f t="shared" si="46"/>
        <v/>
      </c>
      <c r="CN34" s="744" t="str">
        <f t="shared" si="47"/>
        <v/>
      </c>
      <c r="CO34" s="744" t="str">
        <f t="shared" si="48"/>
        <v/>
      </c>
      <c r="CP34" s="744" t="str">
        <f t="shared" si="49"/>
        <v/>
      </c>
      <c r="CQ34" s="744" t="str">
        <f t="shared" si="50"/>
        <v/>
      </c>
      <c r="CR34" s="744" t="str">
        <f t="shared" si="51"/>
        <v/>
      </c>
      <c r="CS34" s="744" t="str">
        <f t="shared" si="52"/>
        <v/>
      </c>
      <c r="CT34" s="744" t="str">
        <f t="shared" si="53"/>
        <v/>
      </c>
      <c r="CU34" s="744" t="str">
        <f t="shared" si="54"/>
        <v/>
      </c>
      <c r="CV34" s="744" t="str">
        <f t="shared" si="55"/>
        <v/>
      </c>
      <c r="CW34" s="744" t="str">
        <f t="shared" si="56"/>
        <v/>
      </c>
      <c r="CX34" s="744">
        <f t="shared" si="57"/>
        <v>0.88733400000000007</v>
      </c>
    </row>
    <row r="35" spans="1:102">
      <c r="A35" s="633">
        <v>31</v>
      </c>
      <c r="B35" s="630" t="s">
        <v>4</v>
      </c>
      <c r="C35" s="631" t="s">
        <v>253</v>
      </c>
      <c r="D35" s="630" t="s">
        <v>1390</v>
      </c>
      <c r="E35" s="632" t="s">
        <v>107</v>
      </c>
      <c r="F35" s="1067">
        <v>1</v>
      </c>
      <c r="G35" s="1066">
        <v>1</v>
      </c>
      <c r="H35" s="1068">
        <v>0.99219999999999997</v>
      </c>
      <c r="I35" s="1068"/>
      <c r="J35" s="1069"/>
      <c r="K35" s="1069"/>
      <c r="L35" s="1074"/>
      <c r="M35" s="1069"/>
      <c r="N35" s="1069"/>
      <c r="O35" s="1069"/>
      <c r="P35" s="1076"/>
      <c r="Q35" s="1069"/>
      <c r="R35" s="1069"/>
      <c r="S35" s="1069"/>
      <c r="T35" s="1069"/>
      <c r="U35" s="1069"/>
      <c r="V35" s="1079">
        <v>367.31244000000004</v>
      </c>
      <c r="W35" s="1069">
        <v>0.19844000000000001</v>
      </c>
      <c r="X35" s="1069">
        <v>8.3344799999999992</v>
      </c>
      <c r="Y35" s="1069">
        <v>1.58752</v>
      </c>
      <c r="Z35" s="1069"/>
      <c r="AA35" s="1069"/>
      <c r="AB35" s="1069">
        <v>1.82</v>
      </c>
      <c r="AC35" s="1069">
        <v>10.97</v>
      </c>
      <c r="AD35" s="1069"/>
      <c r="AE35" s="1069">
        <v>43.27</v>
      </c>
      <c r="AF35" s="1069"/>
      <c r="AG35" s="1069"/>
      <c r="AH35" s="1076"/>
      <c r="AI35" s="1069"/>
      <c r="AJ35" s="1069"/>
      <c r="AK35" s="1069"/>
      <c r="AL35" s="1081"/>
      <c r="AM35" s="1069"/>
      <c r="AN35" s="1069"/>
      <c r="AO35" s="1069"/>
      <c r="AP35" s="1069"/>
      <c r="AQ35" s="1069"/>
      <c r="AR35" s="1069"/>
      <c r="AS35" s="1282"/>
      <c r="AT35" s="1282"/>
      <c r="AU35" s="1069"/>
      <c r="AV35" s="1069"/>
      <c r="AW35" s="1069"/>
      <c r="AX35" s="1069"/>
      <c r="AY35" s="1069"/>
      <c r="AZ35" s="1078">
        <f t="shared" si="10"/>
        <v>0.99219999999999997</v>
      </c>
      <c r="BA35" s="59">
        <v>31</v>
      </c>
      <c r="BB35" s="59">
        <f t="shared" si="12"/>
        <v>31</v>
      </c>
      <c r="BC35" s="60" t="str">
        <f t="shared" si="13"/>
        <v>Calcário</v>
      </c>
      <c r="BD35" s="61" t="str">
        <f ca="1">IFERROR(IF(SEARCH('Calcular Dieta'!A$3,$BC$5:$BC$310)&gt;=1,BC35,"Não encontrado"),"Não encontrado")</f>
        <v>Calcário</v>
      </c>
      <c r="BE35" s="741">
        <f ca="1">COUNTIF(BD$5:BD35,"&lt;&gt;"&amp;"Não encontrado")</f>
        <v>31</v>
      </c>
      <c r="BF35" s="742" t="str">
        <f t="shared" ca="1" si="58"/>
        <v>CALCÁRIO</v>
      </c>
      <c r="BG35" s="744" t="str">
        <f t="shared" si="14"/>
        <v/>
      </c>
      <c r="BH35" s="744" t="str">
        <f t="shared" si="15"/>
        <v/>
      </c>
      <c r="BI35" s="744" t="str">
        <f t="shared" si="16"/>
        <v/>
      </c>
      <c r="BJ35" s="744" t="str">
        <f t="shared" si="17"/>
        <v/>
      </c>
      <c r="BK35" s="744" t="str">
        <f t="shared" si="18"/>
        <v/>
      </c>
      <c r="BL35" s="744" t="str">
        <f t="shared" si="19"/>
        <v/>
      </c>
      <c r="BM35" s="744" t="str">
        <f t="shared" si="20"/>
        <v/>
      </c>
      <c r="BN35" s="744" t="str">
        <f t="shared" si="21"/>
        <v/>
      </c>
      <c r="BO35" s="744" t="str">
        <f t="shared" si="22"/>
        <v/>
      </c>
      <c r="BP35" s="744" t="str">
        <f t="shared" si="23"/>
        <v/>
      </c>
      <c r="BQ35" s="744" t="str">
        <f t="shared" si="24"/>
        <v/>
      </c>
      <c r="BR35" s="744" t="str">
        <f t="shared" si="25"/>
        <v/>
      </c>
      <c r="BS35" s="744" t="str">
        <f t="shared" si="26"/>
        <v/>
      </c>
      <c r="BT35" s="744">
        <f t="shared" si="27"/>
        <v>367.31247500000006</v>
      </c>
      <c r="BU35" s="744">
        <f t="shared" si="28"/>
        <v>0.19847500000000001</v>
      </c>
      <c r="BV35" s="744">
        <f t="shared" si="29"/>
        <v>8.3345149999999997</v>
      </c>
      <c r="BW35" s="744">
        <f t="shared" si="30"/>
        <v>1.587555</v>
      </c>
      <c r="BX35" s="744" t="str">
        <f t="shared" si="31"/>
        <v/>
      </c>
      <c r="BY35" s="744" t="str">
        <f t="shared" si="32"/>
        <v/>
      </c>
      <c r="BZ35" s="744">
        <f t="shared" si="33"/>
        <v>1.8200350000000001</v>
      </c>
      <c r="CA35" s="744">
        <f t="shared" si="34"/>
        <v>10.970035000000001</v>
      </c>
      <c r="CB35" s="744" t="str">
        <f t="shared" si="35"/>
        <v/>
      </c>
      <c r="CC35" s="744">
        <f t="shared" si="36"/>
        <v>43.270035</v>
      </c>
      <c r="CD35" s="744" t="str">
        <f t="shared" si="37"/>
        <v/>
      </c>
      <c r="CE35" s="744" t="str">
        <f t="shared" si="38"/>
        <v/>
      </c>
      <c r="CF35" s="744" t="str">
        <f t="shared" si="39"/>
        <v/>
      </c>
      <c r="CG35" s="744" t="str">
        <f t="shared" si="40"/>
        <v/>
      </c>
      <c r="CH35" s="744" t="str">
        <f t="shared" si="41"/>
        <v/>
      </c>
      <c r="CI35" s="744" t="str">
        <f t="shared" si="42"/>
        <v/>
      </c>
      <c r="CJ35" s="744" t="str">
        <f t="shared" si="43"/>
        <v/>
      </c>
      <c r="CK35" s="744" t="str">
        <f t="shared" si="44"/>
        <v/>
      </c>
      <c r="CL35" s="744" t="str">
        <f t="shared" si="45"/>
        <v/>
      </c>
      <c r="CM35" s="744" t="str">
        <f t="shared" si="46"/>
        <v/>
      </c>
      <c r="CN35" s="744" t="str">
        <f t="shared" si="47"/>
        <v/>
      </c>
      <c r="CO35" s="744" t="str">
        <f t="shared" si="48"/>
        <v/>
      </c>
      <c r="CP35" s="744" t="str">
        <f t="shared" si="49"/>
        <v/>
      </c>
      <c r="CQ35" s="744" t="str">
        <f t="shared" si="50"/>
        <v/>
      </c>
      <c r="CR35" s="744" t="str">
        <f t="shared" si="51"/>
        <v/>
      </c>
      <c r="CS35" s="744" t="str">
        <f t="shared" si="52"/>
        <v/>
      </c>
      <c r="CT35" s="744" t="str">
        <f t="shared" si="53"/>
        <v/>
      </c>
      <c r="CU35" s="744" t="str">
        <f t="shared" si="54"/>
        <v/>
      </c>
      <c r="CV35" s="744" t="str">
        <f t="shared" si="55"/>
        <v/>
      </c>
      <c r="CW35" s="744" t="str">
        <f t="shared" si="56"/>
        <v/>
      </c>
      <c r="CX35" s="744">
        <f t="shared" si="57"/>
        <v>0.99223499999999998</v>
      </c>
    </row>
    <row r="36" spans="1:102">
      <c r="A36" s="630">
        <v>32</v>
      </c>
      <c r="B36" s="630" t="s">
        <v>4</v>
      </c>
      <c r="C36" s="631" t="s">
        <v>253</v>
      </c>
      <c r="D36" s="630" t="s">
        <v>1392</v>
      </c>
      <c r="E36" s="632" t="s">
        <v>709</v>
      </c>
      <c r="F36" s="1067">
        <v>1</v>
      </c>
      <c r="G36" s="1066">
        <v>1</v>
      </c>
      <c r="H36" s="1068">
        <v>1</v>
      </c>
      <c r="I36" s="1068"/>
      <c r="J36" s="1069"/>
      <c r="K36" s="1069"/>
      <c r="L36" s="1074"/>
      <c r="M36" s="1069"/>
      <c r="N36" s="1069"/>
      <c r="O36" s="1069"/>
      <c r="P36" s="1076"/>
      <c r="Q36" s="1069"/>
      <c r="R36" s="1069"/>
      <c r="S36" s="1069"/>
      <c r="T36" s="1069"/>
      <c r="U36" s="1069"/>
      <c r="V36" s="1079">
        <v>370</v>
      </c>
      <c r="W36" s="1069"/>
      <c r="X36" s="1069"/>
      <c r="Y36" s="1069"/>
      <c r="Z36" s="1069"/>
      <c r="AA36" s="1069"/>
      <c r="AB36" s="1069"/>
      <c r="AC36" s="1069"/>
      <c r="AD36" s="1069"/>
      <c r="AE36" s="1069"/>
      <c r="AF36" s="1069"/>
      <c r="AG36" s="1069"/>
      <c r="AH36" s="1076"/>
      <c r="AI36" s="1069"/>
      <c r="AJ36" s="1069"/>
      <c r="AK36" s="1069"/>
      <c r="AL36" s="1081"/>
      <c r="AM36" s="1069"/>
      <c r="AN36" s="1069"/>
      <c r="AO36" s="1069"/>
      <c r="AP36" s="1069"/>
      <c r="AQ36" s="1069"/>
      <c r="AR36" s="1069"/>
      <c r="AS36" s="1282"/>
      <c r="AT36" s="1282"/>
      <c r="AU36" s="1069"/>
      <c r="AV36" s="1069"/>
      <c r="AW36" s="1069"/>
      <c r="AX36" s="1069"/>
      <c r="AY36" s="1069"/>
      <c r="AZ36" s="1078">
        <f t="shared" si="10"/>
        <v>1</v>
      </c>
      <c r="BA36" s="59">
        <v>32</v>
      </c>
      <c r="BB36" s="59">
        <f t="shared" si="12"/>
        <v>32</v>
      </c>
      <c r="BC36" s="60" t="str">
        <f t="shared" si="13"/>
        <v>Calcário Calcítico</v>
      </c>
      <c r="BD36" s="61" t="str">
        <f ca="1">IFERROR(IF(SEARCH('Calcular Dieta'!A$3,$BC$5:$BC$310)&gt;=1,BC36,"Não encontrado"),"Não encontrado")</f>
        <v>Calcário Calcítico</v>
      </c>
      <c r="BE36" s="741">
        <f ca="1">COUNTIF(BD$5:BD36,"&lt;&gt;"&amp;"Não encontrado")</f>
        <v>32</v>
      </c>
      <c r="BF36" s="742" t="str">
        <f t="shared" ca="1" si="58"/>
        <v>CALCÁRIO CALCÍTICO</v>
      </c>
      <c r="BG36" s="744" t="str">
        <f t="shared" si="14"/>
        <v/>
      </c>
      <c r="BH36" s="744" t="str">
        <f t="shared" si="15"/>
        <v/>
      </c>
      <c r="BI36" s="744" t="str">
        <f t="shared" si="16"/>
        <v/>
      </c>
      <c r="BJ36" s="744" t="str">
        <f t="shared" si="17"/>
        <v/>
      </c>
      <c r="BK36" s="744" t="str">
        <f t="shared" si="18"/>
        <v/>
      </c>
      <c r="BL36" s="744" t="str">
        <f t="shared" si="19"/>
        <v/>
      </c>
      <c r="BM36" s="744" t="str">
        <f t="shared" si="20"/>
        <v/>
      </c>
      <c r="BN36" s="744" t="str">
        <f t="shared" si="21"/>
        <v/>
      </c>
      <c r="BO36" s="744" t="str">
        <f t="shared" si="22"/>
        <v/>
      </c>
      <c r="BP36" s="744" t="str">
        <f t="shared" si="23"/>
        <v/>
      </c>
      <c r="BQ36" s="744" t="str">
        <f t="shared" si="24"/>
        <v/>
      </c>
      <c r="BR36" s="744" t="str">
        <f t="shared" si="25"/>
        <v/>
      </c>
      <c r="BS36" s="744" t="str">
        <f t="shared" si="26"/>
        <v/>
      </c>
      <c r="BT36" s="744">
        <f t="shared" si="27"/>
        <v>370.00003600000002</v>
      </c>
      <c r="BU36" s="744" t="str">
        <f t="shared" si="28"/>
        <v/>
      </c>
      <c r="BV36" s="744" t="str">
        <f t="shared" si="29"/>
        <v/>
      </c>
      <c r="BW36" s="744" t="str">
        <f t="shared" si="30"/>
        <v/>
      </c>
      <c r="BX36" s="744" t="str">
        <f t="shared" si="31"/>
        <v/>
      </c>
      <c r="BY36" s="744" t="str">
        <f t="shared" si="32"/>
        <v/>
      </c>
      <c r="BZ36" s="744" t="str">
        <f t="shared" si="33"/>
        <v/>
      </c>
      <c r="CA36" s="744" t="str">
        <f t="shared" si="34"/>
        <v/>
      </c>
      <c r="CB36" s="744" t="str">
        <f t="shared" si="35"/>
        <v/>
      </c>
      <c r="CC36" s="744" t="str">
        <f t="shared" si="36"/>
        <v/>
      </c>
      <c r="CD36" s="744" t="str">
        <f t="shared" si="37"/>
        <v/>
      </c>
      <c r="CE36" s="744" t="str">
        <f t="shared" si="38"/>
        <v/>
      </c>
      <c r="CF36" s="744" t="str">
        <f t="shared" si="39"/>
        <v/>
      </c>
      <c r="CG36" s="744" t="str">
        <f t="shared" si="40"/>
        <v/>
      </c>
      <c r="CH36" s="744" t="str">
        <f t="shared" si="41"/>
        <v/>
      </c>
      <c r="CI36" s="744" t="str">
        <f t="shared" si="42"/>
        <v/>
      </c>
      <c r="CJ36" s="744" t="str">
        <f t="shared" si="43"/>
        <v/>
      </c>
      <c r="CK36" s="744" t="str">
        <f t="shared" si="44"/>
        <v/>
      </c>
      <c r="CL36" s="744" t="str">
        <f t="shared" si="45"/>
        <v/>
      </c>
      <c r="CM36" s="744" t="str">
        <f t="shared" si="46"/>
        <v/>
      </c>
      <c r="CN36" s="744" t="str">
        <f t="shared" si="47"/>
        <v/>
      </c>
      <c r="CO36" s="744" t="str">
        <f t="shared" si="48"/>
        <v/>
      </c>
      <c r="CP36" s="744" t="str">
        <f t="shared" si="49"/>
        <v/>
      </c>
      <c r="CQ36" s="744" t="str">
        <f t="shared" si="50"/>
        <v/>
      </c>
      <c r="CR36" s="744" t="str">
        <f t="shared" si="51"/>
        <v/>
      </c>
      <c r="CS36" s="744" t="str">
        <f t="shared" si="52"/>
        <v/>
      </c>
      <c r="CT36" s="744" t="str">
        <f t="shared" si="53"/>
        <v/>
      </c>
      <c r="CU36" s="744" t="str">
        <f t="shared" si="54"/>
        <v/>
      </c>
      <c r="CV36" s="744" t="str">
        <f t="shared" si="55"/>
        <v/>
      </c>
      <c r="CW36" s="744" t="str">
        <f t="shared" si="56"/>
        <v/>
      </c>
      <c r="CX36" s="744">
        <f t="shared" si="57"/>
        <v>1.0000359999999999</v>
      </c>
    </row>
    <row r="37" spans="1:102">
      <c r="A37" s="633">
        <v>33</v>
      </c>
      <c r="B37" s="630" t="s">
        <v>3</v>
      </c>
      <c r="C37" s="631" t="s">
        <v>249</v>
      </c>
      <c r="D37" s="630" t="s">
        <v>1390</v>
      </c>
      <c r="E37" s="632" t="s">
        <v>108</v>
      </c>
      <c r="F37" s="1067">
        <v>1</v>
      </c>
      <c r="G37" s="1066">
        <v>1</v>
      </c>
      <c r="H37" s="1068">
        <v>0.28859999999999997</v>
      </c>
      <c r="I37" s="1068">
        <v>0.14424227999999997</v>
      </c>
      <c r="J37" s="1069">
        <v>9.6103799999999975E-2</v>
      </c>
      <c r="K37" s="1069">
        <v>0.12219324000000001</v>
      </c>
      <c r="L37" s="1074">
        <v>0.18268379999999998</v>
      </c>
      <c r="M37" s="1069"/>
      <c r="N37" s="1279">
        <v>2.27</v>
      </c>
      <c r="O37" s="1069"/>
      <c r="P37" s="1076">
        <v>4.4155799999999994</v>
      </c>
      <c r="Q37" s="1069">
        <v>8.0808</v>
      </c>
      <c r="R37" s="1279">
        <v>8.0372000000000003</v>
      </c>
      <c r="S37" s="1279">
        <v>4.3599999999999639E-2</v>
      </c>
      <c r="T37" s="1069">
        <v>1.3852799999999998</v>
      </c>
      <c r="U37" s="1069">
        <v>0</v>
      </c>
      <c r="V37" s="1079">
        <v>0.69263999999999992</v>
      </c>
      <c r="W37" s="1069">
        <v>0.23087999999999997</v>
      </c>
      <c r="X37" s="1069">
        <v>0.51947999999999994</v>
      </c>
      <c r="Y37" s="1069">
        <v>8.657999999999999E-2</v>
      </c>
      <c r="Z37" s="1069">
        <v>1.96248</v>
      </c>
      <c r="AA37" s="1069">
        <v>0.17315999999999998</v>
      </c>
      <c r="AB37" s="1279">
        <v>5.85</v>
      </c>
      <c r="AC37" s="1279">
        <v>21.18</v>
      </c>
      <c r="AD37" s="1279">
        <v>444.46</v>
      </c>
      <c r="AE37" s="1279">
        <v>49.57</v>
      </c>
      <c r="AF37" s="1279"/>
      <c r="AG37" s="1279">
        <v>0.54</v>
      </c>
      <c r="AH37" s="1076"/>
      <c r="AI37" s="1069"/>
      <c r="AJ37" s="1069"/>
      <c r="AK37" s="1069"/>
      <c r="AL37" s="1081"/>
      <c r="AM37" s="1069"/>
      <c r="AN37" s="1069"/>
      <c r="AO37" s="1069"/>
      <c r="AP37" s="1069"/>
      <c r="AQ37" s="1069"/>
      <c r="AR37" s="1069"/>
      <c r="AS37" s="1282"/>
      <c r="AT37" s="1282"/>
      <c r="AU37" s="1069"/>
      <c r="AV37" s="1069"/>
      <c r="AW37" s="1069"/>
      <c r="AX37" s="1069"/>
      <c r="AY37" s="1069"/>
      <c r="AZ37" s="1078">
        <f t="shared" si="10"/>
        <v>0.28859999999999997</v>
      </c>
      <c r="BA37" s="59">
        <v>33</v>
      </c>
      <c r="BB37" s="59">
        <f t="shared" si="12"/>
        <v>33</v>
      </c>
      <c r="BC37" s="60" t="str">
        <f t="shared" si="13"/>
        <v>Cana-de-Açúcar</v>
      </c>
      <c r="BD37" s="61" t="str">
        <f ca="1">IFERROR(IF(SEARCH('Calcular Dieta'!A$3,$BC$5:$BC$310)&gt;=1,BC37,"Não encontrado"),"Não encontrado")</f>
        <v>Cana-de-Açúcar</v>
      </c>
      <c r="BE37" s="741">
        <f ca="1">COUNTIF(BD$5:BD37,"&lt;&gt;"&amp;"Não encontrado")</f>
        <v>33</v>
      </c>
      <c r="BF37" s="742" t="str">
        <f t="shared" ca="1" si="58"/>
        <v>CANA-DE-AÇÚCAR</v>
      </c>
      <c r="BG37" s="744">
        <f t="shared" si="14"/>
        <v>0.14427927999999998</v>
      </c>
      <c r="BH37" s="744">
        <f t="shared" si="15"/>
        <v>9.6140799999999971E-2</v>
      </c>
      <c r="BI37" s="744">
        <f t="shared" si="16"/>
        <v>0.12223024</v>
      </c>
      <c r="BJ37" s="744">
        <f t="shared" si="17"/>
        <v>0.18272079999999999</v>
      </c>
      <c r="BK37" s="744" t="str">
        <f t="shared" si="18"/>
        <v/>
      </c>
      <c r="BL37" s="744">
        <f t="shared" si="19"/>
        <v>2.2700369999999999</v>
      </c>
      <c r="BM37" s="744" t="str">
        <f t="shared" si="20"/>
        <v/>
      </c>
      <c r="BN37" s="744">
        <f t="shared" si="21"/>
        <v>4.4156169999999992</v>
      </c>
      <c r="BO37" s="744">
        <f t="shared" si="22"/>
        <v>8.0808370000000007</v>
      </c>
      <c r="BP37" s="744">
        <f t="shared" si="23"/>
        <v>8.0372370000000011</v>
      </c>
      <c r="BQ37" s="744">
        <f t="shared" si="24"/>
        <v>4.3636999999999641E-2</v>
      </c>
      <c r="BR37" s="744">
        <f t="shared" si="25"/>
        <v>1.3853169999999999</v>
      </c>
      <c r="BS37" s="744" t="str">
        <f t="shared" si="26"/>
        <v/>
      </c>
      <c r="BT37" s="744">
        <f t="shared" si="27"/>
        <v>0.69267699999999988</v>
      </c>
      <c r="BU37" s="744">
        <f t="shared" si="28"/>
        <v>0.23091699999999998</v>
      </c>
      <c r="BV37" s="744">
        <f t="shared" si="29"/>
        <v>0.5195169999999999</v>
      </c>
      <c r="BW37" s="744">
        <f t="shared" si="30"/>
        <v>8.6616999999999986E-2</v>
      </c>
      <c r="BX37" s="744">
        <f t="shared" si="31"/>
        <v>1.9625170000000001</v>
      </c>
      <c r="BY37" s="744">
        <f t="shared" si="32"/>
        <v>0.17319699999999999</v>
      </c>
      <c r="BZ37" s="744">
        <f t="shared" si="33"/>
        <v>5.8500369999999995</v>
      </c>
      <c r="CA37" s="744">
        <f t="shared" si="34"/>
        <v>21.180036999999999</v>
      </c>
      <c r="CB37" s="744">
        <f t="shared" si="35"/>
        <v>444.460037</v>
      </c>
      <c r="CC37" s="744">
        <f t="shared" si="36"/>
        <v>49.570036999999999</v>
      </c>
      <c r="CD37" s="744" t="str">
        <f t="shared" si="37"/>
        <v/>
      </c>
      <c r="CE37" s="744">
        <f t="shared" si="38"/>
        <v>0.54003699999999999</v>
      </c>
      <c r="CF37" s="744" t="str">
        <f t="shared" si="39"/>
        <v/>
      </c>
      <c r="CG37" s="744" t="str">
        <f t="shared" si="40"/>
        <v/>
      </c>
      <c r="CH37" s="744" t="str">
        <f t="shared" si="41"/>
        <v/>
      </c>
      <c r="CI37" s="744" t="str">
        <f t="shared" si="42"/>
        <v/>
      </c>
      <c r="CJ37" s="744" t="str">
        <f t="shared" si="43"/>
        <v/>
      </c>
      <c r="CK37" s="744" t="str">
        <f t="shared" si="44"/>
        <v/>
      </c>
      <c r="CL37" s="744" t="str">
        <f t="shared" si="45"/>
        <v/>
      </c>
      <c r="CM37" s="744" t="str">
        <f t="shared" si="46"/>
        <v/>
      </c>
      <c r="CN37" s="744" t="str">
        <f t="shared" si="47"/>
        <v/>
      </c>
      <c r="CO37" s="744" t="str">
        <f t="shared" si="48"/>
        <v/>
      </c>
      <c r="CP37" s="744" t="str">
        <f t="shared" si="49"/>
        <v/>
      </c>
      <c r="CQ37" s="744" t="str">
        <f t="shared" si="50"/>
        <v/>
      </c>
      <c r="CR37" s="744" t="str">
        <f t="shared" si="51"/>
        <v/>
      </c>
      <c r="CS37" s="744" t="str">
        <f t="shared" si="52"/>
        <v/>
      </c>
      <c r="CT37" s="744" t="str">
        <f t="shared" si="53"/>
        <v/>
      </c>
      <c r="CU37" s="744" t="str">
        <f t="shared" si="54"/>
        <v/>
      </c>
      <c r="CV37" s="744" t="str">
        <f t="shared" si="55"/>
        <v/>
      </c>
      <c r="CW37" s="744" t="str">
        <f t="shared" si="56"/>
        <v/>
      </c>
      <c r="CX37" s="744">
        <f t="shared" si="57"/>
        <v>0.28863699999999998</v>
      </c>
    </row>
    <row r="38" spans="1:102">
      <c r="A38" s="630">
        <v>34</v>
      </c>
      <c r="B38" s="630" t="s">
        <v>3</v>
      </c>
      <c r="C38" s="631" t="s">
        <v>249</v>
      </c>
      <c r="D38" s="630" t="s">
        <v>1392</v>
      </c>
      <c r="E38" s="632" t="s">
        <v>109</v>
      </c>
      <c r="F38" s="1067">
        <v>1</v>
      </c>
      <c r="G38" s="1066">
        <v>1</v>
      </c>
      <c r="H38" s="1068">
        <v>0.23199999999999998</v>
      </c>
      <c r="I38" s="1068">
        <v>0.13896799999999998</v>
      </c>
      <c r="J38" s="1069">
        <v>7.8880000000000006E-2</v>
      </c>
      <c r="K38" s="1069"/>
      <c r="L38" s="1074">
        <v>0.140824</v>
      </c>
      <c r="M38" s="1069">
        <v>0.62089301600000002</v>
      </c>
      <c r="N38" s="1069"/>
      <c r="O38" s="1069"/>
      <c r="P38" s="1076">
        <v>8.0040000000000013</v>
      </c>
      <c r="Q38" s="1069">
        <v>9.9992000000000001</v>
      </c>
      <c r="R38" s="1069">
        <v>3.3997280000000001</v>
      </c>
      <c r="S38" s="1069"/>
      <c r="T38" s="1069"/>
      <c r="U38" s="1069"/>
      <c r="V38" s="1079">
        <v>1.044</v>
      </c>
      <c r="W38" s="1069">
        <v>0.39903999999999995</v>
      </c>
      <c r="X38" s="1069">
        <v>0.69599999999999995</v>
      </c>
      <c r="Y38" s="1069">
        <v>4.6399999999999997E-2</v>
      </c>
      <c r="Z38" s="1069">
        <v>3.48</v>
      </c>
      <c r="AA38" s="1069">
        <v>0.23200000000000001</v>
      </c>
      <c r="AB38" s="1069">
        <v>0.92799999999999994</v>
      </c>
      <c r="AC38" s="1069">
        <v>6.032</v>
      </c>
      <c r="AD38" s="1069">
        <v>37.119999999999997</v>
      </c>
      <c r="AE38" s="1069">
        <v>11.6</v>
      </c>
      <c r="AF38" s="1069">
        <v>9.2799999999999994E-2</v>
      </c>
      <c r="AG38" s="1069">
        <v>1.3919999999999998E-2</v>
      </c>
      <c r="AH38" s="1076">
        <v>9.2800000000000001E-3</v>
      </c>
      <c r="AI38" s="1069"/>
      <c r="AJ38" s="1069"/>
      <c r="AK38" s="1069"/>
      <c r="AL38" s="1081">
        <v>3480</v>
      </c>
      <c r="AM38" s="1069"/>
      <c r="AN38" s="1069"/>
      <c r="AO38" s="1069"/>
      <c r="AP38" s="1069"/>
      <c r="AQ38" s="1069"/>
      <c r="AR38" s="1069"/>
      <c r="AS38" s="1282"/>
      <c r="AT38" s="1282"/>
      <c r="AU38" s="1069"/>
      <c r="AV38" s="1069"/>
      <c r="AW38" s="1069"/>
      <c r="AX38" s="1069"/>
      <c r="AY38" s="1069"/>
      <c r="AZ38" s="1078">
        <f t="shared" si="10"/>
        <v>0.23199999999999998</v>
      </c>
      <c r="BA38" s="59">
        <v>34</v>
      </c>
      <c r="BB38" s="59">
        <f t="shared" si="12"/>
        <v>34</v>
      </c>
      <c r="BC38" s="60" t="str">
        <f t="shared" si="13"/>
        <v>Cana-de-Açúcar Picada</v>
      </c>
      <c r="BD38" s="61" t="str">
        <f ca="1">IFERROR(IF(SEARCH('Calcular Dieta'!A$3,$BC$5:$BC$310)&gt;=1,BC38,"Não encontrado"),"Não encontrado")</f>
        <v>Cana-de-Açúcar Picada</v>
      </c>
      <c r="BE38" s="741">
        <f ca="1">COUNTIF(BD$5:BD38,"&lt;&gt;"&amp;"Não encontrado")</f>
        <v>34</v>
      </c>
      <c r="BF38" s="742" t="str">
        <f t="shared" ca="1" si="58"/>
        <v>CANA-DE-AÇÚCAR PICADA</v>
      </c>
      <c r="BG38" s="744">
        <f t="shared" si="14"/>
        <v>0.13900599999999999</v>
      </c>
      <c r="BH38" s="744">
        <f t="shared" si="15"/>
        <v>7.8918000000000002E-2</v>
      </c>
      <c r="BI38" s="744" t="str">
        <f t="shared" si="16"/>
        <v/>
      </c>
      <c r="BJ38" s="744">
        <f t="shared" si="17"/>
        <v>0.14086200000000001</v>
      </c>
      <c r="BK38" s="744">
        <f t="shared" si="18"/>
        <v>0.620931016</v>
      </c>
      <c r="BL38" s="744" t="str">
        <f t="shared" si="19"/>
        <v/>
      </c>
      <c r="BM38" s="744" t="str">
        <f t="shared" si="20"/>
        <v/>
      </c>
      <c r="BN38" s="744">
        <f t="shared" si="21"/>
        <v>8.0040380000000013</v>
      </c>
      <c r="BO38" s="744">
        <f t="shared" si="22"/>
        <v>9.9992380000000001</v>
      </c>
      <c r="BP38" s="744">
        <f t="shared" si="23"/>
        <v>3.3997660000000001</v>
      </c>
      <c r="BQ38" s="744" t="str">
        <f t="shared" si="24"/>
        <v/>
      </c>
      <c r="BR38" s="744" t="str">
        <f t="shared" si="25"/>
        <v/>
      </c>
      <c r="BS38" s="744" t="str">
        <f t="shared" si="26"/>
        <v/>
      </c>
      <c r="BT38" s="744">
        <f t="shared" si="27"/>
        <v>1.044038</v>
      </c>
      <c r="BU38" s="744">
        <f t="shared" si="28"/>
        <v>0.39907799999999993</v>
      </c>
      <c r="BV38" s="744">
        <f t="shared" si="29"/>
        <v>0.69603799999999993</v>
      </c>
      <c r="BW38" s="744">
        <f t="shared" si="30"/>
        <v>4.6438E-2</v>
      </c>
      <c r="BX38" s="744">
        <f t="shared" si="31"/>
        <v>3.480038</v>
      </c>
      <c r="BY38" s="744">
        <f t="shared" si="32"/>
        <v>0.23203800000000002</v>
      </c>
      <c r="BZ38" s="744">
        <f t="shared" si="33"/>
        <v>0.92803799999999992</v>
      </c>
      <c r="CA38" s="744">
        <f t="shared" si="34"/>
        <v>6.032038</v>
      </c>
      <c r="CB38" s="744">
        <f t="shared" si="35"/>
        <v>37.120038000000001</v>
      </c>
      <c r="CC38" s="744">
        <f t="shared" si="36"/>
        <v>11.600038</v>
      </c>
      <c r="CD38" s="744">
        <f t="shared" si="37"/>
        <v>9.283799999999999E-2</v>
      </c>
      <c r="CE38" s="744">
        <f t="shared" si="38"/>
        <v>1.3957999999999998E-2</v>
      </c>
      <c r="CF38" s="744">
        <f t="shared" si="39"/>
        <v>9.3179999999999999E-3</v>
      </c>
      <c r="CG38" s="744" t="str">
        <f t="shared" si="40"/>
        <v/>
      </c>
      <c r="CH38" s="744" t="str">
        <f t="shared" si="41"/>
        <v/>
      </c>
      <c r="CI38" s="744" t="str">
        <f t="shared" si="42"/>
        <v/>
      </c>
      <c r="CJ38" s="744">
        <f t="shared" si="43"/>
        <v>3480.0000380000001</v>
      </c>
      <c r="CK38" s="744" t="str">
        <f t="shared" si="44"/>
        <v/>
      </c>
      <c r="CL38" s="744" t="str">
        <f t="shared" si="45"/>
        <v/>
      </c>
      <c r="CM38" s="744" t="str">
        <f t="shared" si="46"/>
        <v/>
      </c>
      <c r="CN38" s="744" t="str">
        <f t="shared" si="47"/>
        <v/>
      </c>
      <c r="CO38" s="744" t="str">
        <f t="shared" si="48"/>
        <v/>
      </c>
      <c r="CP38" s="744" t="str">
        <f t="shared" si="49"/>
        <v/>
      </c>
      <c r="CQ38" s="744" t="str">
        <f t="shared" si="50"/>
        <v/>
      </c>
      <c r="CR38" s="744" t="str">
        <f t="shared" si="51"/>
        <v/>
      </c>
      <c r="CS38" s="744" t="str">
        <f t="shared" si="52"/>
        <v/>
      </c>
      <c r="CT38" s="744" t="str">
        <f t="shared" si="53"/>
        <v/>
      </c>
      <c r="CU38" s="744" t="str">
        <f t="shared" si="54"/>
        <v/>
      </c>
      <c r="CV38" s="744" t="str">
        <f t="shared" si="55"/>
        <v/>
      </c>
      <c r="CW38" s="744" t="str">
        <f t="shared" si="56"/>
        <v/>
      </c>
      <c r="CX38" s="744">
        <f t="shared" si="57"/>
        <v>0.23203799999999999</v>
      </c>
    </row>
    <row r="39" spans="1:102">
      <c r="A39" s="633">
        <v>35</v>
      </c>
      <c r="B39" s="630" t="s">
        <v>3</v>
      </c>
      <c r="C39" s="631" t="s">
        <v>750</v>
      </c>
      <c r="D39" s="630" t="s">
        <v>1390</v>
      </c>
      <c r="E39" s="632" t="s">
        <v>110</v>
      </c>
      <c r="F39" s="1067">
        <v>1</v>
      </c>
      <c r="G39" s="1066">
        <v>1</v>
      </c>
      <c r="H39" s="1068">
        <v>0.57169999999999999</v>
      </c>
      <c r="I39" s="1068">
        <v>0.48720273999999997</v>
      </c>
      <c r="J39" s="1069">
        <v>0.29459999999999997</v>
      </c>
      <c r="K39" s="1069">
        <v>3.8589749999999999E-2</v>
      </c>
      <c r="L39" s="1074">
        <v>0.26664087999999997</v>
      </c>
      <c r="M39" s="1069"/>
      <c r="N39" s="1069">
        <v>1.55</v>
      </c>
      <c r="O39" s="1069"/>
      <c r="P39" s="1076">
        <v>6.8032299999999992</v>
      </c>
      <c r="Q39" s="1069">
        <v>12.234380000000002</v>
      </c>
      <c r="R39" s="1069">
        <v>3.0300099999999999</v>
      </c>
      <c r="S39" s="1069"/>
      <c r="T39" s="1069">
        <v>1.7722699999999998</v>
      </c>
      <c r="U39" s="1069"/>
      <c r="V39" s="1079">
        <v>1.2005699999999999</v>
      </c>
      <c r="W39" s="1069">
        <v>0.40019000000000005</v>
      </c>
      <c r="X39" s="1069">
        <v>0.11434000000000001</v>
      </c>
      <c r="Y39" s="1069"/>
      <c r="Z39" s="1069"/>
      <c r="AA39" s="1069"/>
      <c r="AB39" s="1069"/>
      <c r="AC39" s="1069"/>
      <c r="AD39" s="1069"/>
      <c r="AE39" s="1069"/>
      <c r="AF39" s="1069"/>
      <c r="AG39" s="1069"/>
      <c r="AH39" s="1076"/>
      <c r="AI39" s="1069"/>
      <c r="AJ39" s="1069"/>
      <c r="AK39" s="1069"/>
      <c r="AL39" s="1081"/>
      <c r="AM39" s="1069"/>
      <c r="AN39" s="1069"/>
      <c r="AO39" s="1069"/>
      <c r="AP39" s="1069"/>
      <c r="AQ39" s="1069"/>
      <c r="AR39" s="1069"/>
      <c r="AS39" s="1282"/>
      <c r="AT39" s="1282"/>
      <c r="AU39" s="1069"/>
      <c r="AV39" s="1069"/>
      <c r="AW39" s="1069"/>
      <c r="AX39" s="1069"/>
      <c r="AY39" s="1069"/>
      <c r="AZ39" s="1078">
        <f t="shared" si="10"/>
        <v>0.57169999999999999</v>
      </c>
      <c r="BA39" s="59">
        <v>35</v>
      </c>
      <c r="BB39" s="59">
        <f t="shared" si="12"/>
        <v>35</v>
      </c>
      <c r="BC39" s="60" t="str">
        <f t="shared" si="13"/>
        <v>Cana-de-Açúcar, Bagaço</v>
      </c>
      <c r="BD39" s="61" t="str">
        <f ca="1">IFERROR(IF(SEARCH('Calcular Dieta'!A$3,$BC$5:$BC$310)&gt;=1,BC39,"Não encontrado"),"Não encontrado")</f>
        <v>Cana-de-Açúcar, Bagaço</v>
      </c>
      <c r="BE39" s="741">
        <f ca="1">COUNTIF(BD$5:BD39,"&lt;&gt;"&amp;"Não encontrado")</f>
        <v>35</v>
      </c>
      <c r="BF39" s="742" t="str">
        <f t="shared" ca="1" si="58"/>
        <v>CANA-DE-AÇÚCAR, BAGAÇO</v>
      </c>
      <c r="BG39" s="744">
        <f t="shared" si="14"/>
        <v>0.48724173999999998</v>
      </c>
      <c r="BH39" s="744">
        <f t="shared" si="15"/>
        <v>0.29463899999999998</v>
      </c>
      <c r="BI39" s="744">
        <f t="shared" si="16"/>
        <v>3.8628749999999996E-2</v>
      </c>
      <c r="BJ39" s="744">
        <f t="shared" si="17"/>
        <v>0.26667987999999998</v>
      </c>
      <c r="BK39" s="744" t="str">
        <f t="shared" si="18"/>
        <v/>
      </c>
      <c r="BL39" s="744">
        <f t="shared" si="19"/>
        <v>1.5500389999999999</v>
      </c>
      <c r="BM39" s="744" t="str">
        <f t="shared" si="20"/>
        <v/>
      </c>
      <c r="BN39" s="744">
        <f t="shared" si="21"/>
        <v>6.8032689999999993</v>
      </c>
      <c r="BO39" s="744">
        <f t="shared" si="22"/>
        <v>12.234419000000001</v>
      </c>
      <c r="BP39" s="744">
        <f t="shared" si="23"/>
        <v>3.030049</v>
      </c>
      <c r="BQ39" s="744" t="str">
        <f t="shared" si="24"/>
        <v/>
      </c>
      <c r="BR39" s="744">
        <f t="shared" si="25"/>
        <v>1.7723089999999997</v>
      </c>
      <c r="BS39" s="744" t="str">
        <f t="shared" si="26"/>
        <v/>
      </c>
      <c r="BT39" s="744">
        <f t="shared" si="27"/>
        <v>1.2006089999999998</v>
      </c>
      <c r="BU39" s="744">
        <f t="shared" si="28"/>
        <v>0.40022900000000006</v>
      </c>
      <c r="BV39" s="744">
        <f t="shared" si="29"/>
        <v>0.11437900000000001</v>
      </c>
      <c r="BW39" s="744" t="str">
        <f t="shared" si="30"/>
        <v/>
      </c>
      <c r="BX39" s="744" t="str">
        <f t="shared" si="31"/>
        <v/>
      </c>
      <c r="BY39" s="744" t="str">
        <f t="shared" si="32"/>
        <v/>
      </c>
      <c r="BZ39" s="744" t="str">
        <f t="shared" si="33"/>
        <v/>
      </c>
      <c r="CA39" s="744" t="str">
        <f t="shared" si="34"/>
        <v/>
      </c>
      <c r="CB39" s="744" t="str">
        <f t="shared" si="35"/>
        <v/>
      </c>
      <c r="CC39" s="744" t="str">
        <f t="shared" si="36"/>
        <v/>
      </c>
      <c r="CD39" s="744" t="str">
        <f t="shared" si="37"/>
        <v/>
      </c>
      <c r="CE39" s="744" t="str">
        <f t="shared" si="38"/>
        <v/>
      </c>
      <c r="CF39" s="744" t="str">
        <f t="shared" si="39"/>
        <v/>
      </c>
      <c r="CG39" s="744" t="str">
        <f t="shared" si="40"/>
        <v/>
      </c>
      <c r="CH39" s="744" t="str">
        <f t="shared" si="41"/>
        <v/>
      </c>
      <c r="CI39" s="744" t="str">
        <f t="shared" si="42"/>
        <v/>
      </c>
      <c r="CJ39" s="744" t="str">
        <f t="shared" si="43"/>
        <v/>
      </c>
      <c r="CK39" s="744" t="str">
        <f t="shared" si="44"/>
        <v/>
      </c>
      <c r="CL39" s="744" t="str">
        <f t="shared" si="45"/>
        <v/>
      </c>
      <c r="CM39" s="744" t="str">
        <f t="shared" si="46"/>
        <v/>
      </c>
      <c r="CN39" s="744" t="str">
        <f t="shared" si="47"/>
        <v/>
      </c>
      <c r="CO39" s="744" t="str">
        <f t="shared" si="48"/>
        <v/>
      </c>
      <c r="CP39" s="744" t="str">
        <f t="shared" si="49"/>
        <v/>
      </c>
      <c r="CQ39" s="744" t="str">
        <f t="shared" si="50"/>
        <v/>
      </c>
      <c r="CR39" s="744" t="str">
        <f t="shared" si="51"/>
        <v/>
      </c>
      <c r="CS39" s="744" t="str">
        <f t="shared" si="52"/>
        <v/>
      </c>
      <c r="CT39" s="744" t="str">
        <f t="shared" si="53"/>
        <v/>
      </c>
      <c r="CU39" s="744" t="str">
        <f t="shared" si="54"/>
        <v/>
      </c>
      <c r="CV39" s="744" t="str">
        <f t="shared" si="55"/>
        <v/>
      </c>
      <c r="CW39" s="744" t="str">
        <f t="shared" si="56"/>
        <v/>
      </c>
      <c r="CX39" s="744">
        <f t="shared" si="57"/>
        <v>0.571739</v>
      </c>
    </row>
    <row r="40" spans="1:102">
      <c r="A40" s="630">
        <v>36</v>
      </c>
      <c r="B40" s="630" t="s">
        <v>4</v>
      </c>
      <c r="C40" s="631" t="s">
        <v>250</v>
      </c>
      <c r="D40" s="630" t="s">
        <v>1392</v>
      </c>
      <c r="E40" s="634" t="s">
        <v>111</v>
      </c>
      <c r="F40" s="1067">
        <v>1</v>
      </c>
      <c r="G40" s="1066">
        <v>1</v>
      </c>
      <c r="H40" s="1068">
        <v>0.92</v>
      </c>
      <c r="I40" s="1068">
        <v>0.33119999999999999</v>
      </c>
      <c r="J40" s="1069">
        <v>0.2024</v>
      </c>
      <c r="K40" s="1069"/>
      <c r="L40" s="1074">
        <v>0.69</v>
      </c>
      <c r="M40" s="1069">
        <v>3.0422099999999994</v>
      </c>
      <c r="N40" s="1069"/>
      <c r="O40" s="1069"/>
      <c r="P40" s="1076">
        <v>11.04</v>
      </c>
      <c r="Q40" s="1069">
        <v>404.8</v>
      </c>
      <c r="R40" s="1069">
        <v>202.4</v>
      </c>
      <c r="S40" s="1069"/>
      <c r="T40" s="1069"/>
      <c r="U40" s="1069"/>
      <c r="V40" s="1079">
        <v>6.7160000000000002</v>
      </c>
      <c r="W40" s="1069">
        <v>10.395999999999999</v>
      </c>
      <c r="X40" s="1069">
        <v>5.3359999999999994</v>
      </c>
      <c r="Y40" s="1069">
        <v>0.46</v>
      </c>
      <c r="Z40" s="1069">
        <v>12.42</v>
      </c>
      <c r="AA40" s="1069">
        <v>2.8519999999999999</v>
      </c>
      <c r="AB40" s="1069">
        <v>19.32</v>
      </c>
      <c r="AC40" s="1069">
        <v>61.64</v>
      </c>
      <c r="AD40" s="1069">
        <v>147.19999999999999</v>
      </c>
      <c r="AE40" s="1069">
        <v>20.239999999999998</v>
      </c>
      <c r="AF40" s="1069">
        <v>4.6000000000000006E-2</v>
      </c>
      <c r="AG40" s="1069">
        <v>0.18400000000000002</v>
      </c>
      <c r="AH40" s="1076">
        <v>1.0120000000000002</v>
      </c>
      <c r="AI40" s="1069"/>
      <c r="AJ40" s="1069"/>
      <c r="AK40" s="1069"/>
      <c r="AL40" s="1081"/>
      <c r="AM40" s="1069"/>
      <c r="AN40" s="1069"/>
      <c r="AO40" s="1069"/>
      <c r="AP40" s="1069"/>
      <c r="AQ40" s="1069"/>
      <c r="AR40" s="1069"/>
      <c r="AS40" s="1282"/>
      <c r="AT40" s="1282"/>
      <c r="AU40" s="1069"/>
      <c r="AV40" s="1069"/>
      <c r="AW40" s="1069"/>
      <c r="AX40" s="1069"/>
      <c r="AY40" s="1069"/>
      <c r="AZ40" s="1078">
        <f t="shared" si="10"/>
        <v>0.92</v>
      </c>
      <c r="BA40" s="59">
        <v>36</v>
      </c>
      <c r="BB40" s="59">
        <f t="shared" si="12"/>
        <v>36</v>
      </c>
      <c r="BC40" s="60" t="str">
        <f t="shared" si="13"/>
        <v>Canola, Farelo</v>
      </c>
      <c r="BD40" s="61" t="str">
        <f ca="1">IFERROR(IF(SEARCH('Calcular Dieta'!A$3,$BC$5:$BC$310)&gt;=1,BC40,"Não encontrado"),"Não encontrado")</f>
        <v>Canola, Farelo</v>
      </c>
      <c r="BE40" s="741">
        <f ca="1">COUNTIF(BD$5:BD40,"&lt;&gt;"&amp;"Não encontrado")</f>
        <v>36</v>
      </c>
      <c r="BF40" s="742" t="str">
        <f t="shared" ca="1" si="58"/>
        <v>CANOLA, FARELO</v>
      </c>
      <c r="BG40" s="744">
        <f t="shared" si="14"/>
        <v>0.33123999999999998</v>
      </c>
      <c r="BH40" s="744">
        <f t="shared" si="15"/>
        <v>0.20244000000000001</v>
      </c>
      <c r="BI40" s="744" t="str">
        <f t="shared" si="16"/>
        <v/>
      </c>
      <c r="BJ40" s="744">
        <f t="shared" si="17"/>
        <v>0.69003999999999999</v>
      </c>
      <c r="BK40" s="744">
        <f t="shared" si="18"/>
        <v>3.0422499999999992</v>
      </c>
      <c r="BL40" s="744" t="str">
        <f t="shared" si="19"/>
        <v/>
      </c>
      <c r="BM40" s="744" t="str">
        <f t="shared" si="20"/>
        <v/>
      </c>
      <c r="BN40" s="744">
        <f t="shared" si="21"/>
        <v>11.040039999999999</v>
      </c>
      <c r="BO40" s="744">
        <f t="shared" si="22"/>
        <v>404.80004000000002</v>
      </c>
      <c r="BP40" s="744">
        <f t="shared" si="23"/>
        <v>202.40004000000002</v>
      </c>
      <c r="BQ40" s="744" t="str">
        <f t="shared" si="24"/>
        <v/>
      </c>
      <c r="BR40" s="744" t="str">
        <f t="shared" si="25"/>
        <v/>
      </c>
      <c r="BS40" s="744" t="str">
        <f t="shared" si="26"/>
        <v/>
      </c>
      <c r="BT40" s="744">
        <f t="shared" si="27"/>
        <v>6.7160400000000005</v>
      </c>
      <c r="BU40" s="744">
        <f t="shared" si="28"/>
        <v>10.396039999999999</v>
      </c>
      <c r="BV40" s="744">
        <f t="shared" si="29"/>
        <v>5.3360399999999997</v>
      </c>
      <c r="BW40" s="744">
        <f t="shared" si="30"/>
        <v>0.46004</v>
      </c>
      <c r="BX40" s="744">
        <f t="shared" si="31"/>
        <v>12.42004</v>
      </c>
      <c r="BY40" s="744">
        <f t="shared" si="32"/>
        <v>2.8520399999999997</v>
      </c>
      <c r="BZ40" s="744">
        <f t="shared" si="33"/>
        <v>19.320039999999999</v>
      </c>
      <c r="CA40" s="744">
        <f t="shared" si="34"/>
        <v>61.640039999999999</v>
      </c>
      <c r="CB40" s="744">
        <f t="shared" si="35"/>
        <v>147.20004</v>
      </c>
      <c r="CC40" s="744">
        <f t="shared" si="36"/>
        <v>20.240039999999997</v>
      </c>
      <c r="CD40" s="744">
        <f t="shared" si="37"/>
        <v>4.6040000000000005E-2</v>
      </c>
      <c r="CE40" s="744">
        <f t="shared" si="38"/>
        <v>0.18404000000000004</v>
      </c>
      <c r="CF40" s="744">
        <f t="shared" si="39"/>
        <v>1.0120400000000003</v>
      </c>
      <c r="CG40" s="744" t="str">
        <f t="shared" si="40"/>
        <v/>
      </c>
      <c r="CH40" s="744" t="str">
        <f t="shared" si="41"/>
        <v/>
      </c>
      <c r="CI40" s="744" t="str">
        <f t="shared" si="42"/>
        <v/>
      </c>
      <c r="CJ40" s="744" t="str">
        <f t="shared" si="43"/>
        <v/>
      </c>
      <c r="CK40" s="744" t="str">
        <f t="shared" si="44"/>
        <v/>
      </c>
      <c r="CL40" s="744" t="str">
        <f t="shared" si="45"/>
        <v/>
      </c>
      <c r="CM40" s="744" t="str">
        <f t="shared" si="46"/>
        <v/>
      </c>
      <c r="CN40" s="744" t="str">
        <f t="shared" si="47"/>
        <v/>
      </c>
      <c r="CO40" s="744" t="str">
        <f t="shared" si="48"/>
        <v/>
      </c>
      <c r="CP40" s="744" t="str">
        <f t="shared" si="49"/>
        <v/>
      </c>
      <c r="CQ40" s="744" t="str">
        <f t="shared" si="50"/>
        <v/>
      </c>
      <c r="CR40" s="744" t="str">
        <f t="shared" si="51"/>
        <v/>
      </c>
      <c r="CS40" s="744" t="str">
        <f t="shared" si="52"/>
        <v/>
      </c>
      <c r="CT40" s="744" t="str">
        <f t="shared" si="53"/>
        <v/>
      </c>
      <c r="CU40" s="744" t="str">
        <f t="shared" si="54"/>
        <v/>
      </c>
      <c r="CV40" s="744" t="str">
        <f t="shared" si="55"/>
        <v/>
      </c>
      <c r="CW40" s="744" t="str">
        <f t="shared" si="56"/>
        <v/>
      </c>
      <c r="CX40" s="744">
        <f t="shared" si="57"/>
        <v>0.92004000000000008</v>
      </c>
    </row>
    <row r="41" spans="1:102">
      <c r="A41" s="633">
        <v>37</v>
      </c>
      <c r="B41" s="630" t="s">
        <v>4</v>
      </c>
      <c r="C41" s="631" t="s">
        <v>250</v>
      </c>
      <c r="D41" s="630" t="s">
        <v>1390</v>
      </c>
      <c r="E41" s="632" t="s">
        <v>112</v>
      </c>
      <c r="F41" s="1067">
        <v>1</v>
      </c>
      <c r="G41" s="1066">
        <v>1</v>
      </c>
      <c r="H41" s="1068">
        <v>0.89379999999999993</v>
      </c>
      <c r="I41" s="1068">
        <v>0.31774589999999997</v>
      </c>
      <c r="J41" s="1069">
        <v>0.19620000000000001</v>
      </c>
      <c r="K41" s="1069">
        <v>0.18948559999999998</v>
      </c>
      <c r="L41" s="1074">
        <v>0.74542920000000001</v>
      </c>
      <c r="M41" s="1069"/>
      <c r="N41" s="1069">
        <v>3.48</v>
      </c>
      <c r="O41" s="1069"/>
      <c r="P41" s="1076">
        <v>22.07686</v>
      </c>
      <c r="Q41" s="1069">
        <v>358.59255999999993</v>
      </c>
      <c r="R41" s="1069"/>
      <c r="S41" s="1069"/>
      <c r="T41" s="1069"/>
      <c r="U41" s="1069"/>
      <c r="V41" s="1079">
        <v>5.5415599999999996</v>
      </c>
      <c r="W41" s="1069">
        <v>7.329159999999999</v>
      </c>
      <c r="X41" s="1069"/>
      <c r="Y41" s="1069"/>
      <c r="Z41" s="1069"/>
      <c r="AA41" s="1069"/>
      <c r="AB41" s="1069"/>
      <c r="AC41" s="1069"/>
      <c r="AD41" s="1069"/>
      <c r="AE41" s="1069"/>
      <c r="AF41" s="1069"/>
      <c r="AG41" s="1069"/>
      <c r="AH41" s="1076"/>
      <c r="AI41" s="1069"/>
      <c r="AJ41" s="1069"/>
      <c r="AK41" s="1069"/>
      <c r="AL41" s="1081"/>
      <c r="AM41" s="1069"/>
      <c r="AN41" s="1069"/>
      <c r="AO41" s="1069"/>
      <c r="AP41" s="1069"/>
      <c r="AQ41" s="1069"/>
      <c r="AR41" s="1069"/>
      <c r="AS41" s="1282"/>
      <c r="AT41" s="1282"/>
      <c r="AU41" s="1069"/>
      <c r="AV41" s="1069"/>
      <c r="AW41" s="1069"/>
      <c r="AX41" s="1069"/>
      <c r="AY41" s="1069"/>
      <c r="AZ41" s="1078">
        <f t="shared" si="10"/>
        <v>0.89379999999999993</v>
      </c>
      <c r="BA41" s="59">
        <v>37</v>
      </c>
      <c r="BB41" s="59">
        <f t="shared" si="12"/>
        <v>37</v>
      </c>
      <c r="BC41" s="60" t="str">
        <f t="shared" si="13"/>
        <v>Canola, Farelo (BRC3.0)</v>
      </c>
      <c r="BD41" s="61" t="str">
        <f ca="1">IFERROR(IF(SEARCH('Calcular Dieta'!A$3,$BC$5:$BC$310)&gt;=1,BC41,"Não encontrado"),"Não encontrado")</f>
        <v>Canola, Farelo (BRC3.0)</v>
      </c>
      <c r="BE41" s="741">
        <f ca="1">COUNTIF(BD$5:BD41,"&lt;&gt;"&amp;"Não encontrado")</f>
        <v>37</v>
      </c>
      <c r="BF41" s="742" t="str">
        <f t="shared" ca="1" si="58"/>
        <v>CANOLA, FARELO (BRC3.0)</v>
      </c>
      <c r="BG41" s="744">
        <f t="shared" si="14"/>
        <v>0.31778689999999998</v>
      </c>
      <c r="BH41" s="744">
        <f t="shared" si="15"/>
        <v>0.19624100000000003</v>
      </c>
      <c r="BI41" s="744">
        <f t="shared" si="16"/>
        <v>0.18952659999999999</v>
      </c>
      <c r="BJ41" s="744">
        <f t="shared" si="17"/>
        <v>0.74547019999999997</v>
      </c>
      <c r="BK41" s="744" t="str">
        <f t="shared" si="18"/>
        <v/>
      </c>
      <c r="BL41" s="744">
        <f t="shared" si="19"/>
        <v>3.4800409999999999</v>
      </c>
      <c r="BM41" s="744" t="str">
        <f t="shared" si="20"/>
        <v/>
      </c>
      <c r="BN41" s="744">
        <f t="shared" si="21"/>
        <v>22.076900999999999</v>
      </c>
      <c r="BO41" s="744">
        <f t="shared" si="22"/>
        <v>358.59260099999995</v>
      </c>
      <c r="BP41" s="744" t="str">
        <f t="shared" si="23"/>
        <v/>
      </c>
      <c r="BQ41" s="744" t="str">
        <f t="shared" si="24"/>
        <v/>
      </c>
      <c r="BR41" s="744" t="str">
        <f t="shared" si="25"/>
        <v/>
      </c>
      <c r="BS41" s="744" t="str">
        <f t="shared" si="26"/>
        <v/>
      </c>
      <c r="BT41" s="744">
        <f t="shared" si="27"/>
        <v>5.541601</v>
      </c>
      <c r="BU41" s="744">
        <f t="shared" si="28"/>
        <v>7.3292009999999994</v>
      </c>
      <c r="BV41" s="744" t="str">
        <f t="shared" si="29"/>
        <v/>
      </c>
      <c r="BW41" s="744" t="str">
        <f t="shared" si="30"/>
        <v/>
      </c>
      <c r="BX41" s="744" t="str">
        <f t="shared" si="31"/>
        <v/>
      </c>
      <c r="BY41" s="744" t="str">
        <f t="shared" si="32"/>
        <v/>
      </c>
      <c r="BZ41" s="744" t="str">
        <f t="shared" si="33"/>
        <v/>
      </c>
      <c r="CA41" s="744" t="str">
        <f t="shared" si="34"/>
        <v/>
      </c>
      <c r="CB41" s="744" t="str">
        <f t="shared" si="35"/>
        <v/>
      </c>
      <c r="CC41" s="744" t="str">
        <f t="shared" si="36"/>
        <v/>
      </c>
      <c r="CD41" s="744" t="str">
        <f t="shared" si="37"/>
        <v/>
      </c>
      <c r="CE41" s="744" t="str">
        <f t="shared" si="38"/>
        <v/>
      </c>
      <c r="CF41" s="744" t="str">
        <f t="shared" si="39"/>
        <v/>
      </c>
      <c r="CG41" s="744" t="str">
        <f t="shared" si="40"/>
        <v/>
      </c>
      <c r="CH41" s="744" t="str">
        <f t="shared" si="41"/>
        <v/>
      </c>
      <c r="CI41" s="744" t="str">
        <f t="shared" si="42"/>
        <v/>
      </c>
      <c r="CJ41" s="744" t="str">
        <f t="shared" si="43"/>
        <v/>
      </c>
      <c r="CK41" s="744" t="str">
        <f t="shared" si="44"/>
        <v/>
      </c>
      <c r="CL41" s="744" t="str">
        <f t="shared" si="45"/>
        <v/>
      </c>
      <c r="CM41" s="744" t="str">
        <f t="shared" si="46"/>
        <v/>
      </c>
      <c r="CN41" s="744" t="str">
        <f t="shared" si="47"/>
        <v/>
      </c>
      <c r="CO41" s="744" t="str">
        <f t="shared" si="48"/>
        <v/>
      </c>
      <c r="CP41" s="744" t="str">
        <f t="shared" si="49"/>
        <v/>
      </c>
      <c r="CQ41" s="744" t="str">
        <f t="shared" si="50"/>
        <v/>
      </c>
      <c r="CR41" s="744" t="str">
        <f t="shared" si="51"/>
        <v/>
      </c>
      <c r="CS41" s="744" t="str">
        <f t="shared" si="52"/>
        <v/>
      </c>
      <c r="CT41" s="744" t="str">
        <f t="shared" si="53"/>
        <v/>
      </c>
      <c r="CU41" s="744" t="str">
        <f t="shared" si="54"/>
        <v/>
      </c>
      <c r="CV41" s="744" t="str">
        <f t="shared" si="55"/>
        <v/>
      </c>
      <c r="CW41" s="744" t="str">
        <f t="shared" si="56"/>
        <v/>
      </c>
      <c r="CX41" s="744">
        <f t="shared" si="57"/>
        <v>0.89384099999999989</v>
      </c>
    </row>
    <row r="42" spans="1:102">
      <c r="A42" s="630">
        <v>38</v>
      </c>
      <c r="B42" s="630" t="s">
        <v>3</v>
      </c>
      <c r="C42" s="631" t="s">
        <v>249</v>
      </c>
      <c r="D42" s="630" t="s">
        <v>1392</v>
      </c>
      <c r="E42" s="634" t="s">
        <v>113</v>
      </c>
      <c r="F42" s="1067">
        <v>0.2</v>
      </c>
      <c r="G42" s="1066">
        <v>1</v>
      </c>
      <c r="H42" s="1068">
        <v>0.26</v>
      </c>
      <c r="I42" s="1068">
        <v>0.182</v>
      </c>
      <c r="J42" s="1069">
        <v>0.10920000000000001</v>
      </c>
      <c r="K42" s="1069"/>
      <c r="L42" s="1074">
        <v>0.1404</v>
      </c>
      <c r="M42" s="1069">
        <v>0.61902360000000001</v>
      </c>
      <c r="N42" s="1069"/>
      <c r="O42" s="1069"/>
      <c r="P42" s="1076">
        <v>5.2</v>
      </c>
      <c r="Q42" s="1069">
        <v>23.400000000000002</v>
      </c>
      <c r="R42" s="1069">
        <v>8.4240000000000013</v>
      </c>
      <c r="S42" s="1069"/>
      <c r="T42" s="1069"/>
      <c r="U42" s="1069"/>
      <c r="V42" s="1079">
        <v>0.59799999999999998</v>
      </c>
      <c r="W42" s="1069">
        <v>0.26</v>
      </c>
      <c r="X42" s="1069">
        <v>0.33799999999999997</v>
      </c>
      <c r="Y42" s="1069">
        <v>2.6000000000000002E-2</v>
      </c>
      <c r="Z42" s="1069">
        <v>2.4700000000000002</v>
      </c>
      <c r="AA42" s="1069">
        <v>0.33799999999999997</v>
      </c>
      <c r="AB42" s="1069">
        <v>2.6</v>
      </c>
      <c r="AC42" s="1069">
        <v>7.8</v>
      </c>
      <c r="AD42" s="1069">
        <v>52</v>
      </c>
      <c r="AE42" s="1069">
        <v>36.4</v>
      </c>
      <c r="AF42" s="1069">
        <v>6.5000000000000002E-2</v>
      </c>
      <c r="AG42" s="1069">
        <v>1.8200000000000001E-2</v>
      </c>
      <c r="AH42" s="1076">
        <v>1.0400000000000001E-2</v>
      </c>
      <c r="AI42" s="1069"/>
      <c r="AJ42" s="1069"/>
      <c r="AK42" s="1069"/>
      <c r="AL42" s="1081">
        <v>3900</v>
      </c>
      <c r="AM42" s="1069"/>
      <c r="AN42" s="1069"/>
      <c r="AO42" s="1069"/>
      <c r="AP42" s="1069"/>
      <c r="AQ42" s="1069"/>
      <c r="AR42" s="1069"/>
      <c r="AS42" s="1282"/>
      <c r="AT42" s="1282"/>
      <c r="AU42" s="1069"/>
      <c r="AV42" s="1069"/>
      <c r="AW42" s="1069"/>
      <c r="AX42" s="1069"/>
      <c r="AY42" s="1069"/>
      <c r="AZ42" s="1078">
        <f t="shared" si="10"/>
        <v>0.26</v>
      </c>
      <c r="BA42" s="59">
        <v>38</v>
      </c>
      <c r="BB42" s="59">
        <f t="shared" si="12"/>
        <v>38</v>
      </c>
      <c r="BC42" s="60" t="str">
        <f t="shared" si="13"/>
        <v>Capim Andropogon</v>
      </c>
      <c r="BD42" s="61" t="str">
        <f ca="1">IFERROR(IF(SEARCH('Calcular Dieta'!A$3,$BC$5:$BC$310)&gt;=1,BC42,"Não encontrado"),"Não encontrado")</f>
        <v>Capim Andropogon</v>
      </c>
      <c r="BE42" s="741">
        <f ca="1">COUNTIF(BD$5:BD42,"&lt;&gt;"&amp;"Não encontrado")</f>
        <v>38</v>
      </c>
      <c r="BF42" s="742" t="str">
        <f t="shared" ca="1" si="58"/>
        <v>CAPIM ANDROPOGON</v>
      </c>
      <c r="BG42" s="744">
        <f t="shared" si="14"/>
        <v>0.18204199999999998</v>
      </c>
      <c r="BH42" s="744">
        <f t="shared" si="15"/>
        <v>0.10924200000000001</v>
      </c>
      <c r="BI42" s="744" t="str">
        <f t="shared" si="16"/>
        <v/>
      </c>
      <c r="BJ42" s="744">
        <f t="shared" si="17"/>
        <v>0.14044199999999998</v>
      </c>
      <c r="BK42" s="744">
        <f t="shared" si="18"/>
        <v>0.61906559999999999</v>
      </c>
      <c r="BL42" s="744" t="str">
        <f t="shared" si="19"/>
        <v/>
      </c>
      <c r="BM42" s="744" t="str">
        <f t="shared" si="20"/>
        <v/>
      </c>
      <c r="BN42" s="744">
        <f t="shared" si="21"/>
        <v>5.2000419999999998</v>
      </c>
      <c r="BO42" s="744">
        <f t="shared" si="22"/>
        <v>23.400042000000003</v>
      </c>
      <c r="BP42" s="744">
        <f t="shared" si="23"/>
        <v>8.4240420000000018</v>
      </c>
      <c r="BQ42" s="744" t="str">
        <f t="shared" si="24"/>
        <v/>
      </c>
      <c r="BR42" s="744" t="str">
        <f t="shared" si="25"/>
        <v/>
      </c>
      <c r="BS42" s="744" t="str">
        <f t="shared" si="26"/>
        <v/>
      </c>
      <c r="BT42" s="744">
        <f t="shared" si="27"/>
        <v>0.59804199999999996</v>
      </c>
      <c r="BU42" s="744">
        <f t="shared" si="28"/>
        <v>0.260042</v>
      </c>
      <c r="BV42" s="744">
        <f t="shared" si="29"/>
        <v>0.33804199999999995</v>
      </c>
      <c r="BW42" s="744">
        <f t="shared" si="30"/>
        <v>2.6042000000000003E-2</v>
      </c>
      <c r="BX42" s="744">
        <f t="shared" si="31"/>
        <v>2.4700420000000003</v>
      </c>
      <c r="BY42" s="744">
        <f t="shared" si="32"/>
        <v>0.33804199999999995</v>
      </c>
      <c r="BZ42" s="744">
        <f t="shared" si="33"/>
        <v>2.6000420000000002</v>
      </c>
      <c r="CA42" s="744">
        <f t="shared" si="34"/>
        <v>7.8000419999999995</v>
      </c>
      <c r="CB42" s="744">
        <f t="shared" si="35"/>
        <v>52.000042000000001</v>
      </c>
      <c r="CC42" s="744">
        <f t="shared" si="36"/>
        <v>36.400041999999999</v>
      </c>
      <c r="CD42" s="744">
        <f t="shared" si="37"/>
        <v>6.5042000000000003E-2</v>
      </c>
      <c r="CE42" s="744">
        <f t="shared" si="38"/>
        <v>1.8242000000000001E-2</v>
      </c>
      <c r="CF42" s="744">
        <f t="shared" si="39"/>
        <v>1.0442000000000002E-2</v>
      </c>
      <c r="CG42" s="744" t="str">
        <f t="shared" si="40"/>
        <v/>
      </c>
      <c r="CH42" s="744" t="str">
        <f t="shared" si="41"/>
        <v/>
      </c>
      <c r="CI42" s="744" t="str">
        <f t="shared" si="42"/>
        <v/>
      </c>
      <c r="CJ42" s="744">
        <f t="shared" si="43"/>
        <v>3900.0000420000001</v>
      </c>
      <c r="CK42" s="744" t="str">
        <f t="shared" si="44"/>
        <v/>
      </c>
      <c r="CL42" s="744" t="str">
        <f t="shared" si="45"/>
        <v/>
      </c>
      <c r="CM42" s="744" t="str">
        <f t="shared" si="46"/>
        <v/>
      </c>
      <c r="CN42" s="744" t="str">
        <f t="shared" si="47"/>
        <v/>
      </c>
      <c r="CO42" s="744" t="str">
        <f t="shared" si="48"/>
        <v/>
      </c>
      <c r="CP42" s="744" t="str">
        <f t="shared" si="49"/>
        <v/>
      </c>
      <c r="CQ42" s="744" t="str">
        <f t="shared" si="50"/>
        <v/>
      </c>
      <c r="CR42" s="744" t="str">
        <f t="shared" si="51"/>
        <v/>
      </c>
      <c r="CS42" s="744" t="str">
        <f t="shared" si="52"/>
        <v/>
      </c>
      <c r="CT42" s="744" t="str">
        <f t="shared" si="53"/>
        <v/>
      </c>
      <c r="CU42" s="744" t="str">
        <f t="shared" si="54"/>
        <v/>
      </c>
      <c r="CV42" s="744" t="str">
        <f t="shared" si="55"/>
        <v/>
      </c>
      <c r="CW42" s="744" t="str">
        <f t="shared" si="56"/>
        <v/>
      </c>
      <c r="CX42" s="744">
        <f t="shared" si="57"/>
        <v>0.260042</v>
      </c>
    </row>
    <row r="43" spans="1:102">
      <c r="A43" s="633">
        <v>39</v>
      </c>
      <c r="B43" s="630" t="s">
        <v>3</v>
      </c>
      <c r="C43" s="631" t="s">
        <v>249</v>
      </c>
      <c r="D43" s="630" t="s">
        <v>1392</v>
      </c>
      <c r="E43" s="634" t="s">
        <v>114</v>
      </c>
      <c r="F43" s="1067">
        <v>0.2</v>
      </c>
      <c r="G43" s="1066">
        <v>1</v>
      </c>
      <c r="H43" s="1069">
        <v>0.3</v>
      </c>
      <c r="I43" s="1069">
        <v>0.20400000000000001</v>
      </c>
      <c r="J43" s="1069">
        <v>0.13200000000000001</v>
      </c>
      <c r="K43" s="1069"/>
      <c r="L43" s="1074">
        <v>0.16200000000000001</v>
      </c>
      <c r="M43" s="1069">
        <v>0.71425799999999995</v>
      </c>
      <c r="N43" s="1069"/>
      <c r="O43" s="1069"/>
      <c r="P43" s="1076">
        <v>4.8</v>
      </c>
      <c r="Q43" s="1069">
        <v>26.700000000000003</v>
      </c>
      <c r="R43" s="1069">
        <v>16.02</v>
      </c>
      <c r="S43" s="1069"/>
      <c r="T43" s="1069"/>
      <c r="U43" s="1069"/>
      <c r="V43" s="1079">
        <v>1.38</v>
      </c>
      <c r="W43" s="1069">
        <v>0.66</v>
      </c>
      <c r="X43" s="1069">
        <v>0.75</v>
      </c>
      <c r="Y43" s="1069">
        <v>0.03</v>
      </c>
      <c r="Z43" s="1069">
        <v>4.3499999999999996</v>
      </c>
      <c r="AA43" s="1069">
        <v>0.3</v>
      </c>
      <c r="AB43" s="1069">
        <v>1.2</v>
      </c>
      <c r="AC43" s="1069">
        <v>15</v>
      </c>
      <c r="AD43" s="1069">
        <v>60</v>
      </c>
      <c r="AE43" s="1069">
        <v>54</v>
      </c>
      <c r="AF43" s="1069">
        <v>7.4999999999999997E-2</v>
      </c>
      <c r="AG43" s="1069">
        <v>1.7999999999999999E-2</v>
      </c>
      <c r="AH43" s="1076">
        <v>1.2E-2</v>
      </c>
      <c r="AI43" s="1069"/>
      <c r="AJ43" s="1069"/>
      <c r="AK43" s="1069"/>
      <c r="AL43" s="1081">
        <v>21900</v>
      </c>
      <c r="AM43" s="1069"/>
      <c r="AN43" s="1069"/>
      <c r="AO43" s="1069"/>
      <c r="AP43" s="1069"/>
      <c r="AQ43" s="1069"/>
      <c r="AR43" s="1069"/>
      <c r="AS43" s="1282"/>
      <c r="AT43" s="1282"/>
      <c r="AU43" s="1069"/>
      <c r="AV43" s="1069"/>
      <c r="AW43" s="1069"/>
      <c r="AX43" s="1069"/>
      <c r="AY43" s="1069"/>
      <c r="AZ43" s="1078">
        <f t="shared" si="10"/>
        <v>0.3</v>
      </c>
      <c r="BA43" s="59">
        <v>39</v>
      </c>
      <c r="BB43" s="59">
        <f t="shared" si="12"/>
        <v>39</v>
      </c>
      <c r="BC43" s="60" t="str">
        <f t="shared" si="13"/>
        <v>Capim Bahia (Paspalum)</v>
      </c>
      <c r="BD43" s="61" t="str">
        <f ca="1">IFERROR(IF(SEARCH('Calcular Dieta'!A$3,$BC$5:$BC$310)&gt;=1,BC43,"Não encontrado"),"Não encontrado")</f>
        <v>Capim Bahia (Paspalum)</v>
      </c>
      <c r="BE43" s="741">
        <f ca="1">COUNTIF(BD$5:BD43,"&lt;&gt;"&amp;"Não encontrado")</f>
        <v>39</v>
      </c>
      <c r="BF43" s="742" t="str">
        <f t="shared" ca="1" si="58"/>
        <v>CAPIM BAHIA (PASPALUM)</v>
      </c>
      <c r="BG43" s="744">
        <f t="shared" si="14"/>
        <v>0.204043</v>
      </c>
      <c r="BH43" s="744">
        <f t="shared" si="15"/>
        <v>0.13204299999999999</v>
      </c>
      <c r="BI43" s="744" t="str">
        <f t="shared" si="16"/>
        <v/>
      </c>
      <c r="BJ43" s="744">
        <f t="shared" si="17"/>
        <v>0.16204299999999999</v>
      </c>
      <c r="BK43" s="744">
        <f t="shared" si="18"/>
        <v>0.71430099999999996</v>
      </c>
      <c r="BL43" s="744" t="str">
        <f t="shared" si="19"/>
        <v/>
      </c>
      <c r="BM43" s="744" t="str">
        <f t="shared" si="20"/>
        <v/>
      </c>
      <c r="BN43" s="744">
        <f t="shared" si="21"/>
        <v>4.8000429999999996</v>
      </c>
      <c r="BO43" s="744">
        <f t="shared" si="22"/>
        <v>26.700043000000004</v>
      </c>
      <c r="BP43" s="744">
        <f t="shared" si="23"/>
        <v>16.020043000000001</v>
      </c>
      <c r="BQ43" s="744" t="str">
        <f t="shared" si="24"/>
        <v/>
      </c>
      <c r="BR43" s="744" t="str">
        <f t="shared" si="25"/>
        <v/>
      </c>
      <c r="BS43" s="744" t="str">
        <f t="shared" si="26"/>
        <v/>
      </c>
      <c r="BT43" s="744">
        <f t="shared" si="27"/>
        <v>1.3800429999999999</v>
      </c>
      <c r="BU43" s="744">
        <f t="shared" si="28"/>
        <v>0.66004300000000005</v>
      </c>
      <c r="BV43" s="744">
        <f t="shared" si="29"/>
        <v>0.75004300000000002</v>
      </c>
      <c r="BW43" s="744">
        <f t="shared" si="30"/>
        <v>3.0043E-2</v>
      </c>
      <c r="BX43" s="744">
        <f t="shared" si="31"/>
        <v>4.3500429999999994</v>
      </c>
      <c r="BY43" s="744">
        <f t="shared" si="32"/>
        <v>0.300043</v>
      </c>
      <c r="BZ43" s="744">
        <f t="shared" si="33"/>
        <v>1.200043</v>
      </c>
      <c r="CA43" s="744">
        <f t="shared" si="34"/>
        <v>15.000043</v>
      </c>
      <c r="CB43" s="744">
        <f t="shared" si="35"/>
        <v>60.000042999999998</v>
      </c>
      <c r="CC43" s="744">
        <f t="shared" si="36"/>
        <v>54.000042999999998</v>
      </c>
      <c r="CD43" s="744">
        <f t="shared" si="37"/>
        <v>7.5042999999999999E-2</v>
      </c>
      <c r="CE43" s="744">
        <f t="shared" si="38"/>
        <v>1.8043E-2</v>
      </c>
      <c r="CF43" s="744">
        <f t="shared" si="39"/>
        <v>1.2043E-2</v>
      </c>
      <c r="CG43" s="744" t="str">
        <f t="shared" si="40"/>
        <v/>
      </c>
      <c r="CH43" s="744" t="str">
        <f t="shared" si="41"/>
        <v/>
      </c>
      <c r="CI43" s="744" t="str">
        <f t="shared" si="42"/>
        <v/>
      </c>
      <c r="CJ43" s="744">
        <f t="shared" si="43"/>
        <v>21900.000043</v>
      </c>
      <c r="CK43" s="744" t="str">
        <f t="shared" si="44"/>
        <v/>
      </c>
      <c r="CL43" s="744" t="str">
        <f t="shared" si="45"/>
        <v/>
      </c>
      <c r="CM43" s="744" t="str">
        <f t="shared" si="46"/>
        <v/>
      </c>
      <c r="CN43" s="744" t="str">
        <f t="shared" si="47"/>
        <v/>
      </c>
      <c r="CO43" s="744" t="str">
        <f t="shared" si="48"/>
        <v/>
      </c>
      <c r="CP43" s="744" t="str">
        <f t="shared" si="49"/>
        <v/>
      </c>
      <c r="CQ43" s="744" t="str">
        <f t="shared" si="50"/>
        <v/>
      </c>
      <c r="CR43" s="744" t="str">
        <f t="shared" si="51"/>
        <v/>
      </c>
      <c r="CS43" s="744" t="str">
        <f t="shared" si="52"/>
        <v/>
      </c>
      <c r="CT43" s="744" t="str">
        <f t="shared" si="53"/>
        <v/>
      </c>
      <c r="CU43" s="744" t="str">
        <f t="shared" si="54"/>
        <v/>
      </c>
      <c r="CV43" s="744" t="str">
        <f t="shared" si="55"/>
        <v/>
      </c>
      <c r="CW43" s="744" t="str">
        <f t="shared" si="56"/>
        <v/>
      </c>
      <c r="CX43" s="744">
        <f t="shared" si="57"/>
        <v>0.300043</v>
      </c>
    </row>
    <row r="44" spans="1:102">
      <c r="A44" s="630">
        <v>40</v>
      </c>
      <c r="B44" s="630" t="s">
        <v>3</v>
      </c>
      <c r="C44" s="631" t="s">
        <v>249</v>
      </c>
      <c r="D44" s="630" t="s">
        <v>1392</v>
      </c>
      <c r="E44" s="634" t="s">
        <v>115</v>
      </c>
      <c r="F44" s="1067">
        <v>0.2</v>
      </c>
      <c r="G44" s="1066">
        <v>1</v>
      </c>
      <c r="H44" s="1069">
        <v>0.27</v>
      </c>
      <c r="I44" s="1069">
        <v>0.21060000000000001</v>
      </c>
      <c r="J44" s="1069">
        <v>0.13500000000000001</v>
      </c>
      <c r="K44" s="1069"/>
      <c r="L44" s="1074">
        <v>0.11610000000000001</v>
      </c>
      <c r="M44" s="1069">
        <v>0.51188489999999998</v>
      </c>
      <c r="N44" s="1069"/>
      <c r="O44" s="1069"/>
      <c r="P44" s="1076">
        <v>3.78</v>
      </c>
      <c r="Q44" s="1069">
        <v>21.6</v>
      </c>
      <c r="R44" s="1069">
        <v>12.527999999999999</v>
      </c>
      <c r="S44" s="1069"/>
      <c r="T44" s="1069"/>
      <c r="U44" s="1069"/>
      <c r="V44" s="1079">
        <v>0.70200000000000007</v>
      </c>
      <c r="W44" s="1069">
        <v>0.48599999999999999</v>
      </c>
      <c r="X44" s="1069">
        <v>0.35100000000000003</v>
      </c>
      <c r="Y44" s="1069">
        <v>2.7000000000000003E-2</v>
      </c>
      <c r="Z44" s="1069">
        <v>3.51</v>
      </c>
      <c r="AA44" s="1069">
        <v>0.27</v>
      </c>
      <c r="AB44" s="1069">
        <v>1.08</v>
      </c>
      <c r="AC44" s="1069">
        <v>13.5</v>
      </c>
      <c r="AD44" s="1069">
        <v>54</v>
      </c>
      <c r="AE44" s="1069">
        <v>48.6</v>
      </c>
      <c r="AF44" s="1069">
        <v>6.7500000000000004E-2</v>
      </c>
      <c r="AG44" s="1069">
        <v>1.6199999999999999E-2</v>
      </c>
      <c r="AH44" s="1076">
        <v>1.0800000000000001E-2</v>
      </c>
      <c r="AI44" s="1069"/>
      <c r="AJ44" s="1069"/>
      <c r="AK44" s="1069"/>
      <c r="AL44" s="1081">
        <v>4050</v>
      </c>
      <c r="AM44" s="1069"/>
      <c r="AN44" s="1069"/>
      <c r="AO44" s="1069"/>
      <c r="AP44" s="1069"/>
      <c r="AQ44" s="1069"/>
      <c r="AR44" s="1069"/>
      <c r="AS44" s="1282"/>
      <c r="AT44" s="1282"/>
      <c r="AU44" s="1069"/>
      <c r="AV44" s="1069"/>
      <c r="AW44" s="1069"/>
      <c r="AX44" s="1069"/>
      <c r="AY44" s="1069"/>
      <c r="AZ44" s="1078">
        <f t="shared" si="10"/>
        <v>0.27</v>
      </c>
      <c r="BA44" s="59">
        <v>40</v>
      </c>
      <c r="BB44" s="59">
        <f t="shared" si="12"/>
        <v>40</v>
      </c>
      <c r="BC44" s="60" t="str">
        <f t="shared" si="13"/>
        <v>Capim Bermuda (Cynodon)</v>
      </c>
      <c r="BD44" s="61" t="str">
        <f ca="1">IFERROR(IF(SEARCH('Calcular Dieta'!A$3,$BC$5:$BC$310)&gt;=1,BC44,"Não encontrado"),"Não encontrado")</f>
        <v>Capim Bermuda (Cynodon)</v>
      </c>
      <c r="BE44" s="741">
        <f ca="1">COUNTIF(BD$5:BD44,"&lt;&gt;"&amp;"Não encontrado")</f>
        <v>40</v>
      </c>
      <c r="BF44" s="742" t="str">
        <f t="shared" ca="1" si="58"/>
        <v>CAPIM BERMUDA (CYNODON)</v>
      </c>
      <c r="BG44" s="744">
        <f t="shared" si="14"/>
        <v>0.210644</v>
      </c>
      <c r="BH44" s="744">
        <f t="shared" si="15"/>
        <v>0.135044</v>
      </c>
      <c r="BI44" s="744" t="str">
        <f t="shared" si="16"/>
        <v/>
      </c>
      <c r="BJ44" s="744">
        <f t="shared" si="17"/>
        <v>0.11614400000000001</v>
      </c>
      <c r="BK44" s="744">
        <f t="shared" si="18"/>
        <v>0.51192890000000002</v>
      </c>
      <c r="BL44" s="744" t="str">
        <f t="shared" si="19"/>
        <v/>
      </c>
      <c r="BM44" s="744" t="str">
        <f t="shared" si="20"/>
        <v/>
      </c>
      <c r="BN44" s="744">
        <f t="shared" si="21"/>
        <v>3.7800439999999997</v>
      </c>
      <c r="BO44" s="744">
        <f t="shared" si="22"/>
        <v>21.600044</v>
      </c>
      <c r="BP44" s="744">
        <f t="shared" si="23"/>
        <v>12.528044</v>
      </c>
      <c r="BQ44" s="744" t="str">
        <f t="shared" si="24"/>
        <v/>
      </c>
      <c r="BR44" s="744" t="str">
        <f t="shared" si="25"/>
        <v/>
      </c>
      <c r="BS44" s="744" t="str">
        <f t="shared" si="26"/>
        <v/>
      </c>
      <c r="BT44" s="744">
        <f t="shared" si="27"/>
        <v>0.70204400000000011</v>
      </c>
      <c r="BU44" s="744">
        <f t="shared" si="28"/>
        <v>0.48604399999999998</v>
      </c>
      <c r="BV44" s="744">
        <f t="shared" si="29"/>
        <v>0.35104400000000002</v>
      </c>
      <c r="BW44" s="744">
        <f t="shared" si="30"/>
        <v>2.7044000000000002E-2</v>
      </c>
      <c r="BX44" s="744">
        <f t="shared" si="31"/>
        <v>3.5100439999999997</v>
      </c>
      <c r="BY44" s="744">
        <f t="shared" si="32"/>
        <v>0.27004400000000001</v>
      </c>
      <c r="BZ44" s="744">
        <f t="shared" si="33"/>
        <v>1.080044</v>
      </c>
      <c r="CA44" s="744">
        <f t="shared" si="34"/>
        <v>13.500044000000001</v>
      </c>
      <c r="CB44" s="744">
        <f t="shared" si="35"/>
        <v>54.000044000000003</v>
      </c>
      <c r="CC44" s="744">
        <f t="shared" si="36"/>
        <v>48.600044000000004</v>
      </c>
      <c r="CD44" s="744">
        <f t="shared" si="37"/>
        <v>6.7544000000000007E-2</v>
      </c>
      <c r="CE44" s="744">
        <f t="shared" si="38"/>
        <v>1.6243999999999998E-2</v>
      </c>
      <c r="CF44" s="744">
        <f t="shared" si="39"/>
        <v>1.0844000000000001E-2</v>
      </c>
      <c r="CG44" s="744" t="str">
        <f t="shared" si="40"/>
        <v/>
      </c>
      <c r="CH44" s="744" t="str">
        <f t="shared" si="41"/>
        <v/>
      </c>
      <c r="CI44" s="744" t="str">
        <f t="shared" si="42"/>
        <v/>
      </c>
      <c r="CJ44" s="744">
        <f t="shared" si="43"/>
        <v>4050.0000439999999</v>
      </c>
      <c r="CK44" s="744" t="str">
        <f t="shared" si="44"/>
        <v/>
      </c>
      <c r="CL44" s="744" t="str">
        <f t="shared" si="45"/>
        <v/>
      </c>
      <c r="CM44" s="744" t="str">
        <f t="shared" si="46"/>
        <v/>
      </c>
      <c r="CN44" s="744" t="str">
        <f t="shared" si="47"/>
        <v/>
      </c>
      <c r="CO44" s="744" t="str">
        <f t="shared" si="48"/>
        <v/>
      </c>
      <c r="CP44" s="744" t="str">
        <f t="shared" si="49"/>
        <v/>
      </c>
      <c r="CQ44" s="744" t="str">
        <f t="shared" si="50"/>
        <v/>
      </c>
      <c r="CR44" s="744" t="str">
        <f t="shared" si="51"/>
        <v/>
      </c>
      <c r="CS44" s="744" t="str">
        <f t="shared" si="52"/>
        <v/>
      </c>
      <c r="CT44" s="744" t="str">
        <f t="shared" si="53"/>
        <v/>
      </c>
      <c r="CU44" s="744" t="str">
        <f t="shared" si="54"/>
        <v/>
      </c>
      <c r="CV44" s="744" t="str">
        <f t="shared" si="55"/>
        <v/>
      </c>
      <c r="CW44" s="744" t="str">
        <f t="shared" si="56"/>
        <v/>
      </c>
      <c r="CX44" s="744">
        <f t="shared" si="57"/>
        <v>0.27004400000000001</v>
      </c>
    </row>
    <row r="45" spans="1:102">
      <c r="A45" s="633">
        <v>41</v>
      </c>
      <c r="B45" s="630" t="s">
        <v>3</v>
      </c>
      <c r="C45" s="631" t="s">
        <v>249</v>
      </c>
      <c r="D45" s="630" t="s">
        <v>1392</v>
      </c>
      <c r="E45" s="634" t="s">
        <v>116</v>
      </c>
      <c r="F45" s="1067">
        <v>0.2</v>
      </c>
      <c r="G45" s="1066">
        <v>1</v>
      </c>
      <c r="H45" s="1069">
        <v>0.28999999999999998</v>
      </c>
      <c r="I45" s="1069">
        <v>0.20299999999999999</v>
      </c>
      <c r="J45" s="1069">
        <v>0.12759999999999999</v>
      </c>
      <c r="K45" s="1069"/>
      <c r="L45" s="1074">
        <v>0.15659999999999999</v>
      </c>
      <c r="M45" s="1069">
        <v>0.69044939999999988</v>
      </c>
      <c r="N45" s="1069"/>
      <c r="O45" s="1069"/>
      <c r="P45" s="1076">
        <v>5.8</v>
      </c>
      <c r="Q45" s="1069">
        <v>23.2</v>
      </c>
      <c r="R45" s="1069">
        <v>10.903999999999996</v>
      </c>
      <c r="S45" s="1069"/>
      <c r="T45" s="1069"/>
      <c r="U45" s="1069"/>
      <c r="V45" s="1079">
        <v>0.66699999999999993</v>
      </c>
      <c r="W45" s="1069">
        <v>0.28999999999999998</v>
      </c>
      <c r="X45" s="1069">
        <v>0.52200000000000002</v>
      </c>
      <c r="Y45" s="1069"/>
      <c r="Z45" s="1069">
        <v>2.3199999999999998</v>
      </c>
      <c r="AA45" s="1069">
        <v>0.34799999999999992</v>
      </c>
      <c r="AB45" s="1069">
        <v>29</v>
      </c>
      <c r="AC45" s="1069">
        <v>11.6</v>
      </c>
      <c r="AD45" s="1069">
        <v>66.7</v>
      </c>
      <c r="AE45" s="1069">
        <v>43.5</v>
      </c>
      <c r="AF45" s="1069">
        <v>7.2499999999999995E-2</v>
      </c>
      <c r="AG45" s="1069">
        <v>5.7999999999999996E-3</v>
      </c>
      <c r="AH45" s="1076">
        <v>1.1599999999999999E-2</v>
      </c>
      <c r="AI45" s="1069"/>
      <c r="AJ45" s="1069"/>
      <c r="AK45" s="1069"/>
      <c r="AL45" s="1081">
        <v>4350</v>
      </c>
      <c r="AM45" s="1069"/>
      <c r="AN45" s="1069"/>
      <c r="AO45" s="1069"/>
      <c r="AP45" s="1069"/>
      <c r="AQ45" s="1069"/>
      <c r="AR45" s="1069"/>
      <c r="AS45" s="1282"/>
      <c r="AT45" s="1282"/>
      <c r="AU45" s="1069"/>
      <c r="AV45" s="1069"/>
      <c r="AW45" s="1069"/>
      <c r="AX45" s="1069"/>
      <c r="AY45" s="1069"/>
      <c r="AZ45" s="1078">
        <f t="shared" si="10"/>
        <v>0.28999999999999998</v>
      </c>
      <c r="BA45" s="59">
        <v>41</v>
      </c>
      <c r="BB45" s="59">
        <f t="shared" si="12"/>
        <v>41</v>
      </c>
      <c r="BC45" s="60" t="str">
        <f t="shared" si="13"/>
        <v>Capim Braquiária</v>
      </c>
      <c r="BD45" s="61" t="str">
        <f ca="1">IFERROR(IF(SEARCH('Calcular Dieta'!A$3,$BC$5:$BC$310)&gt;=1,BC45,"Não encontrado"),"Não encontrado")</f>
        <v>Capim Braquiária</v>
      </c>
      <c r="BE45" s="741">
        <f ca="1">COUNTIF(BD$5:BD45,"&lt;&gt;"&amp;"Não encontrado")</f>
        <v>41</v>
      </c>
      <c r="BF45" s="742" t="str">
        <f t="shared" ca="1" si="58"/>
        <v>CAPIM BRAQUIÁRIA</v>
      </c>
      <c r="BG45" s="744">
        <f t="shared" si="14"/>
        <v>0.20304499999999998</v>
      </c>
      <c r="BH45" s="744">
        <f t="shared" si="15"/>
        <v>0.12764499999999998</v>
      </c>
      <c r="BI45" s="744" t="str">
        <f t="shared" si="16"/>
        <v/>
      </c>
      <c r="BJ45" s="744">
        <f t="shared" si="17"/>
        <v>0.15664499999999998</v>
      </c>
      <c r="BK45" s="744">
        <f t="shared" si="18"/>
        <v>0.69049439999999984</v>
      </c>
      <c r="BL45" s="744" t="str">
        <f t="shared" si="19"/>
        <v/>
      </c>
      <c r="BM45" s="744" t="str">
        <f t="shared" si="20"/>
        <v/>
      </c>
      <c r="BN45" s="744">
        <f t="shared" si="21"/>
        <v>5.8000449999999999</v>
      </c>
      <c r="BO45" s="744">
        <f t="shared" si="22"/>
        <v>23.200044999999999</v>
      </c>
      <c r="BP45" s="744">
        <f t="shared" si="23"/>
        <v>10.904044999999996</v>
      </c>
      <c r="BQ45" s="744" t="str">
        <f t="shared" si="24"/>
        <v/>
      </c>
      <c r="BR45" s="744" t="str">
        <f t="shared" si="25"/>
        <v/>
      </c>
      <c r="BS45" s="744" t="str">
        <f t="shared" si="26"/>
        <v/>
      </c>
      <c r="BT45" s="744">
        <f t="shared" si="27"/>
        <v>0.66704499999999989</v>
      </c>
      <c r="BU45" s="744">
        <f t="shared" si="28"/>
        <v>0.290045</v>
      </c>
      <c r="BV45" s="744">
        <f t="shared" si="29"/>
        <v>0.52204499999999998</v>
      </c>
      <c r="BW45" s="744" t="str">
        <f t="shared" si="30"/>
        <v/>
      </c>
      <c r="BX45" s="744">
        <f t="shared" si="31"/>
        <v>2.3200449999999999</v>
      </c>
      <c r="BY45" s="744">
        <f t="shared" si="32"/>
        <v>0.34804499999999994</v>
      </c>
      <c r="BZ45" s="744">
        <f t="shared" si="33"/>
        <v>29.000045</v>
      </c>
      <c r="CA45" s="744">
        <f t="shared" si="34"/>
        <v>11.600045</v>
      </c>
      <c r="CB45" s="744">
        <f t="shared" si="35"/>
        <v>66.700045000000003</v>
      </c>
      <c r="CC45" s="744">
        <f t="shared" si="36"/>
        <v>43.500045</v>
      </c>
      <c r="CD45" s="744">
        <f t="shared" si="37"/>
        <v>7.2544999999999998E-2</v>
      </c>
      <c r="CE45" s="744">
        <f t="shared" si="38"/>
        <v>5.8449999999999995E-3</v>
      </c>
      <c r="CF45" s="744">
        <f t="shared" si="39"/>
        <v>1.1644999999999999E-2</v>
      </c>
      <c r="CG45" s="744" t="str">
        <f t="shared" si="40"/>
        <v/>
      </c>
      <c r="CH45" s="744" t="str">
        <f t="shared" si="41"/>
        <v/>
      </c>
      <c r="CI45" s="744" t="str">
        <f t="shared" si="42"/>
        <v/>
      </c>
      <c r="CJ45" s="744">
        <f t="shared" si="43"/>
        <v>4350.0000449999998</v>
      </c>
      <c r="CK45" s="744" t="str">
        <f t="shared" si="44"/>
        <v/>
      </c>
      <c r="CL45" s="744" t="str">
        <f t="shared" si="45"/>
        <v/>
      </c>
      <c r="CM45" s="744" t="str">
        <f t="shared" si="46"/>
        <v/>
      </c>
      <c r="CN45" s="744" t="str">
        <f t="shared" si="47"/>
        <v/>
      </c>
      <c r="CO45" s="744" t="str">
        <f t="shared" si="48"/>
        <v/>
      </c>
      <c r="CP45" s="744" t="str">
        <f t="shared" si="49"/>
        <v/>
      </c>
      <c r="CQ45" s="744" t="str">
        <f t="shared" si="50"/>
        <v/>
      </c>
      <c r="CR45" s="744" t="str">
        <f t="shared" si="51"/>
        <v/>
      </c>
      <c r="CS45" s="744" t="str">
        <f t="shared" si="52"/>
        <v/>
      </c>
      <c r="CT45" s="744" t="str">
        <f t="shared" si="53"/>
        <v/>
      </c>
      <c r="CU45" s="744" t="str">
        <f t="shared" si="54"/>
        <v/>
      </c>
      <c r="CV45" s="744" t="str">
        <f t="shared" si="55"/>
        <v/>
      </c>
      <c r="CW45" s="744" t="str">
        <f t="shared" si="56"/>
        <v/>
      </c>
      <c r="CX45" s="744">
        <f t="shared" si="57"/>
        <v>0.290045</v>
      </c>
    </row>
    <row r="46" spans="1:102">
      <c r="A46" s="630">
        <v>42</v>
      </c>
      <c r="B46" s="630" t="s">
        <v>3</v>
      </c>
      <c r="C46" s="631" t="s">
        <v>249</v>
      </c>
      <c r="D46" s="630" t="s">
        <v>1390</v>
      </c>
      <c r="E46" s="634" t="s">
        <v>117</v>
      </c>
      <c r="F46" s="1067">
        <v>0.2</v>
      </c>
      <c r="G46" s="1066">
        <v>1</v>
      </c>
      <c r="H46" s="1069">
        <v>0.34090000000000004</v>
      </c>
      <c r="I46" s="1069">
        <v>0.24057313</v>
      </c>
      <c r="J46" s="1069">
        <v>0.17549999999999999</v>
      </c>
      <c r="K46" s="1069">
        <v>5.0896370000000003E-2</v>
      </c>
      <c r="L46" s="1074">
        <v>0.17754071999999999</v>
      </c>
      <c r="M46" s="1069"/>
      <c r="N46" s="1069">
        <v>1.83</v>
      </c>
      <c r="O46" s="1069"/>
      <c r="P46" s="1076">
        <v>6.6816400000000007</v>
      </c>
      <c r="Q46" s="1069">
        <v>23.556190000000001</v>
      </c>
      <c r="R46" s="1279">
        <v>14.45416</v>
      </c>
      <c r="S46" s="1069">
        <v>9.102030000000001</v>
      </c>
      <c r="T46" s="1069">
        <v>8.0111500000000024</v>
      </c>
      <c r="U46" s="1069"/>
      <c r="V46" s="1079">
        <v>1.0567900000000001</v>
      </c>
      <c r="W46" s="1069">
        <v>0.37499000000000005</v>
      </c>
      <c r="X46" s="1069">
        <v>1.3976900000000001</v>
      </c>
      <c r="Y46" s="1069">
        <v>0.10227000000000001</v>
      </c>
      <c r="Z46" s="1069">
        <v>5.6248500000000003</v>
      </c>
      <c r="AA46" s="1069">
        <v>0.30681000000000003</v>
      </c>
      <c r="AB46" s="1069">
        <v>3.48</v>
      </c>
      <c r="AC46" s="1069">
        <v>26.4</v>
      </c>
      <c r="AD46" s="1069">
        <v>240.61</v>
      </c>
      <c r="AE46" s="1069">
        <v>103.19</v>
      </c>
      <c r="AF46" s="1069"/>
      <c r="AG46" s="1069">
        <v>7.0000000000000007E-2</v>
      </c>
      <c r="AH46" s="1076"/>
      <c r="AI46" s="1069"/>
      <c r="AJ46" s="1069"/>
      <c r="AK46" s="1069"/>
      <c r="AL46" s="1081"/>
      <c r="AM46" s="1069"/>
      <c r="AN46" s="1069"/>
      <c r="AO46" s="1069"/>
      <c r="AP46" s="1069"/>
      <c r="AQ46" s="1069"/>
      <c r="AR46" s="1069"/>
      <c r="AS46" s="1282"/>
      <c r="AT46" s="1282"/>
      <c r="AU46" s="1069"/>
      <c r="AV46" s="1069"/>
      <c r="AW46" s="1069"/>
      <c r="AX46" s="1069"/>
      <c r="AY46" s="1069"/>
      <c r="AZ46" s="1078">
        <f t="shared" si="10"/>
        <v>0.34090000000000004</v>
      </c>
      <c r="BA46" s="59">
        <v>42</v>
      </c>
      <c r="BB46" s="59">
        <f t="shared" si="12"/>
        <v>42</v>
      </c>
      <c r="BC46" s="60" t="str">
        <f t="shared" si="13"/>
        <v>Capim Braquiária Brizantha</v>
      </c>
      <c r="BD46" s="61" t="str">
        <f ca="1">IFERROR(IF(SEARCH('Calcular Dieta'!A$3,$BC$5:$BC$310)&gt;=1,BC46,"Não encontrado"),"Não encontrado")</f>
        <v>Capim Braquiária Brizantha</v>
      </c>
      <c r="BE46" s="741">
        <f ca="1">COUNTIF(BD$5:BD46,"&lt;&gt;"&amp;"Não encontrado")</f>
        <v>42</v>
      </c>
      <c r="BF46" s="742" t="str">
        <f t="shared" ca="1" si="58"/>
        <v>CAPIM BRAQUIÁRIA BRIZANTHA</v>
      </c>
      <c r="BG46" s="744">
        <f t="shared" si="14"/>
        <v>0.24061912999999999</v>
      </c>
      <c r="BH46" s="744">
        <f t="shared" si="15"/>
        <v>0.17554599999999998</v>
      </c>
      <c r="BI46" s="744">
        <f t="shared" si="16"/>
        <v>5.0942370000000001E-2</v>
      </c>
      <c r="BJ46" s="744">
        <f t="shared" si="17"/>
        <v>0.17758671999999998</v>
      </c>
      <c r="BK46" s="744" t="str">
        <f t="shared" si="18"/>
        <v/>
      </c>
      <c r="BL46" s="744">
        <f t="shared" si="19"/>
        <v>1.8300460000000001</v>
      </c>
      <c r="BM46" s="744" t="str">
        <f t="shared" si="20"/>
        <v/>
      </c>
      <c r="BN46" s="744">
        <f t="shared" si="21"/>
        <v>6.6816860000000009</v>
      </c>
      <c r="BO46" s="744">
        <f t="shared" si="22"/>
        <v>23.556236000000002</v>
      </c>
      <c r="BP46" s="744">
        <f t="shared" si="23"/>
        <v>14.454205999999999</v>
      </c>
      <c r="BQ46" s="744">
        <f t="shared" si="24"/>
        <v>9.1020760000000003</v>
      </c>
      <c r="BR46" s="744">
        <f t="shared" si="25"/>
        <v>8.0111960000000018</v>
      </c>
      <c r="BS46" s="744" t="str">
        <f t="shared" si="26"/>
        <v/>
      </c>
      <c r="BT46" s="744">
        <f t="shared" si="27"/>
        <v>1.0568360000000001</v>
      </c>
      <c r="BU46" s="744">
        <f t="shared" si="28"/>
        <v>0.37503600000000004</v>
      </c>
      <c r="BV46" s="744">
        <f t="shared" si="29"/>
        <v>1.3977360000000001</v>
      </c>
      <c r="BW46" s="744">
        <f t="shared" si="30"/>
        <v>0.10231600000000002</v>
      </c>
      <c r="BX46" s="744">
        <f t="shared" si="31"/>
        <v>5.6248960000000006</v>
      </c>
      <c r="BY46" s="744">
        <f t="shared" si="32"/>
        <v>0.30685600000000002</v>
      </c>
      <c r="BZ46" s="744">
        <f t="shared" si="33"/>
        <v>3.4800460000000002</v>
      </c>
      <c r="CA46" s="744">
        <f t="shared" si="34"/>
        <v>26.400046</v>
      </c>
      <c r="CB46" s="744">
        <f t="shared" si="35"/>
        <v>240.61004600000001</v>
      </c>
      <c r="CC46" s="744">
        <f t="shared" si="36"/>
        <v>103.190046</v>
      </c>
      <c r="CD46" s="744" t="str">
        <f t="shared" si="37"/>
        <v/>
      </c>
      <c r="CE46" s="744">
        <f t="shared" si="38"/>
        <v>7.0046000000000011E-2</v>
      </c>
      <c r="CF46" s="744" t="str">
        <f t="shared" si="39"/>
        <v/>
      </c>
      <c r="CG46" s="744" t="str">
        <f t="shared" si="40"/>
        <v/>
      </c>
      <c r="CH46" s="744" t="str">
        <f t="shared" si="41"/>
        <v/>
      </c>
      <c r="CI46" s="744" t="str">
        <f t="shared" si="42"/>
        <v/>
      </c>
      <c r="CJ46" s="744" t="str">
        <f t="shared" si="43"/>
        <v/>
      </c>
      <c r="CK46" s="744" t="str">
        <f t="shared" si="44"/>
        <v/>
      </c>
      <c r="CL46" s="744" t="str">
        <f t="shared" si="45"/>
        <v/>
      </c>
      <c r="CM46" s="744" t="str">
        <f t="shared" si="46"/>
        <v/>
      </c>
      <c r="CN46" s="744" t="str">
        <f t="shared" si="47"/>
        <v/>
      </c>
      <c r="CO46" s="744" t="str">
        <f t="shared" si="48"/>
        <v/>
      </c>
      <c r="CP46" s="744" t="str">
        <f t="shared" si="49"/>
        <v/>
      </c>
      <c r="CQ46" s="744" t="str">
        <f t="shared" si="50"/>
        <v/>
      </c>
      <c r="CR46" s="744" t="str">
        <f t="shared" si="51"/>
        <v/>
      </c>
      <c r="CS46" s="744" t="str">
        <f t="shared" si="52"/>
        <v/>
      </c>
      <c r="CT46" s="744" t="str">
        <f t="shared" si="53"/>
        <v/>
      </c>
      <c r="CU46" s="744" t="str">
        <f t="shared" si="54"/>
        <v/>
      </c>
      <c r="CV46" s="744" t="str">
        <f t="shared" si="55"/>
        <v/>
      </c>
      <c r="CW46" s="744" t="str">
        <f t="shared" si="56"/>
        <v/>
      </c>
      <c r="CX46" s="744">
        <f t="shared" si="57"/>
        <v>0.34094600000000003</v>
      </c>
    </row>
    <row r="47" spans="1:102">
      <c r="A47" s="633">
        <v>43</v>
      </c>
      <c r="B47" s="630" t="s">
        <v>3</v>
      </c>
      <c r="C47" s="631" t="s">
        <v>249</v>
      </c>
      <c r="D47" s="630" t="s">
        <v>1390</v>
      </c>
      <c r="E47" s="634" t="s">
        <v>118</v>
      </c>
      <c r="F47" s="1067">
        <v>0.2</v>
      </c>
      <c r="G47" s="1066">
        <v>1</v>
      </c>
      <c r="H47" s="1069">
        <v>0.2079</v>
      </c>
      <c r="I47" s="1069">
        <v>0.13995827999999999</v>
      </c>
      <c r="J47" s="1069">
        <v>9.35E-2</v>
      </c>
      <c r="K47" s="1069">
        <v>1.8066509999999997E-2</v>
      </c>
      <c r="L47" s="1074">
        <v>0.11582109000000002</v>
      </c>
      <c r="M47" s="1069"/>
      <c r="N47" s="1069">
        <v>2</v>
      </c>
      <c r="O47" s="1069"/>
      <c r="P47" s="1076">
        <v>8.2328399999999995</v>
      </c>
      <c r="Q47" s="1069">
        <v>19.833659999999995</v>
      </c>
      <c r="R47" s="1069"/>
      <c r="S47" s="1069"/>
      <c r="T47" s="1069"/>
      <c r="U47" s="1069"/>
      <c r="V47" s="1079">
        <v>1.4760899999999999</v>
      </c>
      <c r="W47" s="1069">
        <v>0.97712999999999983</v>
      </c>
      <c r="X47" s="1069"/>
      <c r="Y47" s="1069"/>
      <c r="Z47" s="1069"/>
      <c r="AA47" s="1069"/>
      <c r="AB47" s="1069"/>
      <c r="AC47" s="1069"/>
      <c r="AD47" s="1069">
        <v>240.61</v>
      </c>
      <c r="AE47" s="1069"/>
      <c r="AF47" s="1069"/>
      <c r="AG47" s="1069"/>
      <c r="AH47" s="1076"/>
      <c r="AI47" s="1069"/>
      <c r="AJ47" s="1069"/>
      <c r="AK47" s="1069"/>
      <c r="AL47" s="1081"/>
      <c r="AM47" s="1069"/>
      <c r="AN47" s="1069"/>
      <c r="AO47" s="1069"/>
      <c r="AP47" s="1069"/>
      <c r="AQ47" s="1069"/>
      <c r="AR47" s="1069"/>
      <c r="AS47" s="1282"/>
      <c r="AT47" s="1282"/>
      <c r="AU47" s="1069"/>
      <c r="AV47" s="1069"/>
      <c r="AW47" s="1069"/>
      <c r="AX47" s="1069"/>
      <c r="AY47" s="1069"/>
      <c r="AZ47" s="1078">
        <f t="shared" si="10"/>
        <v>0.2079</v>
      </c>
      <c r="BA47" s="59">
        <v>43</v>
      </c>
      <c r="BB47" s="59">
        <f t="shared" si="12"/>
        <v>43</v>
      </c>
      <c r="BC47" s="60" t="str">
        <f t="shared" si="13"/>
        <v>Capim Braquiária Brizantha (46 A 60 Dias)</v>
      </c>
      <c r="BD47" s="61" t="str">
        <f ca="1">IFERROR(IF(SEARCH('Calcular Dieta'!A$3,$BC$5:$BC$310)&gt;=1,BC47,"Não encontrado"),"Não encontrado")</f>
        <v>Capim Braquiária Brizantha (46 A 60 Dias)</v>
      </c>
      <c r="BE47" s="741">
        <f ca="1">COUNTIF(BD$5:BD47,"&lt;&gt;"&amp;"Não encontrado")</f>
        <v>43</v>
      </c>
      <c r="BF47" s="742" t="str">
        <f t="shared" ca="1" si="58"/>
        <v>CAPIM BRAQUIÁRIA BRIZANTHA (46 A 60 DIAS)</v>
      </c>
      <c r="BG47" s="744">
        <f t="shared" si="14"/>
        <v>0.14000527999999998</v>
      </c>
      <c r="BH47" s="744">
        <f t="shared" si="15"/>
        <v>9.3547000000000005E-2</v>
      </c>
      <c r="BI47" s="744">
        <f t="shared" si="16"/>
        <v>1.8113509999999996E-2</v>
      </c>
      <c r="BJ47" s="744">
        <f t="shared" si="17"/>
        <v>0.11586809000000002</v>
      </c>
      <c r="BK47" s="744" t="str">
        <f t="shared" si="18"/>
        <v/>
      </c>
      <c r="BL47" s="744">
        <f t="shared" si="19"/>
        <v>2.0000469999999999</v>
      </c>
      <c r="BM47" s="744" t="str">
        <f t="shared" si="20"/>
        <v/>
      </c>
      <c r="BN47" s="744">
        <f t="shared" si="21"/>
        <v>8.2328869999999998</v>
      </c>
      <c r="BO47" s="744">
        <f t="shared" si="22"/>
        <v>19.833706999999993</v>
      </c>
      <c r="BP47" s="744" t="str">
        <f t="shared" si="23"/>
        <v/>
      </c>
      <c r="BQ47" s="744" t="str">
        <f t="shared" si="24"/>
        <v/>
      </c>
      <c r="BR47" s="744" t="str">
        <f t="shared" si="25"/>
        <v/>
      </c>
      <c r="BS47" s="744" t="str">
        <f t="shared" si="26"/>
        <v/>
      </c>
      <c r="BT47" s="744">
        <f t="shared" si="27"/>
        <v>1.4761369999999998</v>
      </c>
      <c r="BU47" s="744">
        <f t="shared" si="28"/>
        <v>0.97717699999999985</v>
      </c>
      <c r="BV47" s="744" t="str">
        <f t="shared" si="29"/>
        <v/>
      </c>
      <c r="BW47" s="744" t="str">
        <f t="shared" si="30"/>
        <v/>
      </c>
      <c r="BX47" s="744" t="str">
        <f t="shared" si="31"/>
        <v/>
      </c>
      <c r="BY47" s="744" t="str">
        <f t="shared" si="32"/>
        <v/>
      </c>
      <c r="BZ47" s="744" t="str">
        <f t="shared" si="33"/>
        <v/>
      </c>
      <c r="CA47" s="744" t="str">
        <f t="shared" si="34"/>
        <v/>
      </c>
      <c r="CB47" s="744">
        <f t="shared" si="35"/>
        <v>240.61004700000001</v>
      </c>
      <c r="CC47" s="744" t="str">
        <f t="shared" si="36"/>
        <v/>
      </c>
      <c r="CD47" s="744" t="str">
        <f t="shared" si="37"/>
        <v/>
      </c>
      <c r="CE47" s="744" t="str">
        <f t="shared" si="38"/>
        <v/>
      </c>
      <c r="CF47" s="744" t="str">
        <f t="shared" si="39"/>
        <v/>
      </c>
      <c r="CG47" s="744" t="str">
        <f t="shared" si="40"/>
        <v/>
      </c>
      <c r="CH47" s="744" t="str">
        <f t="shared" si="41"/>
        <v/>
      </c>
      <c r="CI47" s="744" t="str">
        <f t="shared" si="42"/>
        <v/>
      </c>
      <c r="CJ47" s="744" t="str">
        <f t="shared" si="43"/>
        <v/>
      </c>
      <c r="CK47" s="744" t="str">
        <f t="shared" si="44"/>
        <v/>
      </c>
      <c r="CL47" s="744" t="str">
        <f t="shared" si="45"/>
        <v/>
      </c>
      <c r="CM47" s="744" t="str">
        <f t="shared" si="46"/>
        <v/>
      </c>
      <c r="CN47" s="744" t="str">
        <f t="shared" si="47"/>
        <v/>
      </c>
      <c r="CO47" s="744" t="str">
        <f t="shared" si="48"/>
        <v/>
      </c>
      <c r="CP47" s="744" t="str">
        <f t="shared" si="49"/>
        <v/>
      </c>
      <c r="CQ47" s="744" t="str">
        <f t="shared" si="50"/>
        <v/>
      </c>
      <c r="CR47" s="744" t="str">
        <f t="shared" si="51"/>
        <v/>
      </c>
      <c r="CS47" s="744" t="str">
        <f t="shared" si="52"/>
        <v/>
      </c>
      <c r="CT47" s="744" t="str">
        <f t="shared" si="53"/>
        <v/>
      </c>
      <c r="CU47" s="744" t="str">
        <f t="shared" si="54"/>
        <v/>
      </c>
      <c r="CV47" s="744" t="str">
        <f t="shared" si="55"/>
        <v/>
      </c>
      <c r="CW47" s="744" t="str">
        <f t="shared" si="56"/>
        <v/>
      </c>
      <c r="CX47" s="744">
        <f t="shared" si="57"/>
        <v>0.20794699999999999</v>
      </c>
    </row>
    <row r="48" spans="1:102">
      <c r="A48" s="630">
        <v>44</v>
      </c>
      <c r="B48" s="630" t="s">
        <v>3</v>
      </c>
      <c r="C48" s="631" t="s">
        <v>249</v>
      </c>
      <c r="D48" s="630" t="s">
        <v>1390</v>
      </c>
      <c r="E48" s="634" t="s">
        <v>119</v>
      </c>
      <c r="F48" s="1067">
        <v>0.2</v>
      </c>
      <c r="G48" s="1066">
        <v>1</v>
      </c>
      <c r="H48" s="1069">
        <v>0.249</v>
      </c>
      <c r="I48" s="1069">
        <v>0.18368729999999997</v>
      </c>
      <c r="J48" s="1069">
        <v>9.2399999999999996E-2</v>
      </c>
      <c r="K48" s="1069">
        <v>1.7952900000000001E-2</v>
      </c>
      <c r="L48" s="1074">
        <v>0.14479349999999999</v>
      </c>
      <c r="M48" s="1069"/>
      <c r="N48" s="1069">
        <v>2.06</v>
      </c>
      <c r="O48" s="1069"/>
      <c r="P48" s="1076">
        <v>10.0596</v>
      </c>
      <c r="Q48" s="1069">
        <v>16.185000000000002</v>
      </c>
      <c r="R48" s="1069"/>
      <c r="S48" s="1069"/>
      <c r="T48" s="1069"/>
      <c r="U48" s="1069"/>
      <c r="V48" s="1079">
        <v>1.1454</v>
      </c>
      <c r="W48" s="1069">
        <v>0.94620000000000004</v>
      </c>
      <c r="X48" s="1069"/>
      <c r="Y48" s="1069"/>
      <c r="Z48" s="1069"/>
      <c r="AA48" s="1069"/>
      <c r="AB48" s="1069"/>
      <c r="AC48" s="1069"/>
      <c r="AD48" s="1069">
        <v>240.61</v>
      </c>
      <c r="AE48" s="1069"/>
      <c r="AF48" s="1069"/>
      <c r="AG48" s="1069"/>
      <c r="AH48" s="1076"/>
      <c r="AI48" s="1069"/>
      <c r="AJ48" s="1069"/>
      <c r="AK48" s="1069"/>
      <c r="AL48" s="1081"/>
      <c r="AM48" s="1069"/>
      <c r="AN48" s="1069"/>
      <c r="AO48" s="1069"/>
      <c r="AP48" s="1069"/>
      <c r="AQ48" s="1069"/>
      <c r="AR48" s="1069"/>
      <c r="AS48" s="1282"/>
      <c r="AT48" s="1282"/>
      <c r="AU48" s="1069"/>
      <c r="AV48" s="1069"/>
      <c r="AW48" s="1069"/>
      <c r="AX48" s="1069"/>
      <c r="AY48" s="1069"/>
      <c r="AZ48" s="1078">
        <f t="shared" si="10"/>
        <v>0.249</v>
      </c>
      <c r="BA48" s="59">
        <v>44</v>
      </c>
      <c r="BB48" s="59">
        <f t="shared" si="12"/>
        <v>44</v>
      </c>
      <c r="BC48" s="60" t="str">
        <f t="shared" si="13"/>
        <v>Capim Braquiária Brizantha (61 A 90 Dias)</v>
      </c>
      <c r="BD48" s="61" t="str">
        <f ca="1">IFERROR(IF(SEARCH('Calcular Dieta'!A$3,$BC$5:$BC$310)&gt;=1,BC48,"Não encontrado"),"Não encontrado")</f>
        <v>Capim Braquiária Brizantha (61 A 90 Dias)</v>
      </c>
      <c r="BE48" s="741">
        <f ca="1">COUNTIF(BD$5:BD48,"&lt;&gt;"&amp;"Não encontrado")</f>
        <v>44</v>
      </c>
      <c r="BF48" s="742" t="str">
        <f t="shared" ca="1" si="58"/>
        <v>CAPIM BRAQUIÁRIA BRIZANTHA (61 A 90 DIAS)</v>
      </c>
      <c r="BG48" s="744">
        <f t="shared" si="14"/>
        <v>0.18373529999999996</v>
      </c>
      <c r="BH48" s="744">
        <f t="shared" si="15"/>
        <v>9.2448000000000002E-2</v>
      </c>
      <c r="BI48" s="744">
        <f t="shared" si="16"/>
        <v>1.80009E-2</v>
      </c>
      <c r="BJ48" s="744">
        <f t="shared" si="17"/>
        <v>0.14484149999999998</v>
      </c>
      <c r="BK48" s="744" t="str">
        <f t="shared" si="18"/>
        <v/>
      </c>
      <c r="BL48" s="744">
        <f t="shared" si="19"/>
        <v>2.0600480000000001</v>
      </c>
      <c r="BM48" s="744" t="str">
        <f t="shared" si="20"/>
        <v/>
      </c>
      <c r="BN48" s="744">
        <f t="shared" si="21"/>
        <v>10.059647999999999</v>
      </c>
      <c r="BO48" s="744">
        <f t="shared" si="22"/>
        <v>16.185048000000002</v>
      </c>
      <c r="BP48" s="744" t="str">
        <f t="shared" si="23"/>
        <v/>
      </c>
      <c r="BQ48" s="744" t="str">
        <f t="shared" si="24"/>
        <v/>
      </c>
      <c r="BR48" s="744" t="str">
        <f t="shared" si="25"/>
        <v/>
      </c>
      <c r="BS48" s="744" t="str">
        <f t="shared" si="26"/>
        <v/>
      </c>
      <c r="BT48" s="744">
        <f t="shared" si="27"/>
        <v>1.145448</v>
      </c>
      <c r="BU48" s="744">
        <f t="shared" si="28"/>
        <v>0.94624800000000009</v>
      </c>
      <c r="BV48" s="744" t="str">
        <f t="shared" si="29"/>
        <v/>
      </c>
      <c r="BW48" s="744" t="str">
        <f t="shared" si="30"/>
        <v/>
      </c>
      <c r="BX48" s="744" t="str">
        <f t="shared" si="31"/>
        <v/>
      </c>
      <c r="BY48" s="744" t="str">
        <f t="shared" si="32"/>
        <v/>
      </c>
      <c r="BZ48" s="744" t="str">
        <f t="shared" si="33"/>
        <v/>
      </c>
      <c r="CA48" s="744" t="str">
        <f t="shared" si="34"/>
        <v/>
      </c>
      <c r="CB48" s="744">
        <f t="shared" si="35"/>
        <v>240.61004800000001</v>
      </c>
      <c r="CC48" s="744" t="str">
        <f t="shared" si="36"/>
        <v/>
      </c>
      <c r="CD48" s="744" t="str">
        <f t="shared" si="37"/>
        <v/>
      </c>
      <c r="CE48" s="744" t="str">
        <f t="shared" si="38"/>
        <v/>
      </c>
      <c r="CF48" s="744" t="str">
        <f t="shared" si="39"/>
        <v/>
      </c>
      <c r="CG48" s="744" t="str">
        <f t="shared" si="40"/>
        <v/>
      </c>
      <c r="CH48" s="744" t="str">
        <f t="shared" si="41"/>
        <v/>
      </c>
      <c r="CI48" s="744" t="str">
        <f t="shared" si="42"/>
        <v/>
      </c>
      <c r="CJ48" s="744" t="str">
        <f t="shared" si="43"/>
        <v/>
      </c>
      <c r="CK48" s="744" t="str">
        <f t="shared" si="44"/>
        <v/>
      </c>
      <c r="CL48" s="744" t="str">
        <f t="shared" si="45"/>
        <v/>
      </c>
      <c r="CM48" s="744" t="str">
        <f t="shared" si="46"/>
        <v/>
      </c>
      <c r="CN48" s="744" t="str">
        <f t="shared" si="47"/>
        <v/>
      </c>
      <c r="CO48" s="744" t="str">
        <f t="shared" si="48"/>
        <v/>
      </c>
      <c r="CP48" s="744" t="str">
        <f t="shared" si="49"/>
        <v/>
      </c>
      <c r="CQ48" s="744" t="str">
        <f t="shared" si="50"/>
        <v/>
      </c>
      <c r="CR48" s="744" t="str">
        <f t="shared" si="51"/>
        <v/>
      </c>
      <c r="CS48" s="744" t="str">
        <f t="shared" si="52"/>
        <v/>
      </c>
      <c r="CT48" s="744" t="str">
        <f t="shared" si="53"/>
        <v/>
      </c>
      <c r="CU48" s="744" t="str">
        <f t="shared" si="54"/>
        <v/>
      </c>
      <c r="CV48" s="744" t="str">
        <f t="shared" si="55"/>
        <v/>
      </c>
      <c r="CW48" s="744" t="str">
        <f t="shared" si="56"/>
        <v/>
      </c>
      <c r="CX48" s="744">
        <f t="shared" si="57"/>
        <v>0.24904799999999999</v>
      </c>
    </row>
    <row r="49" spans="1:102">
      <c r="A49" s="633">
        <v>45</v>
      </c>
      <c r="B49" s="630" t="s">
        <v>3</v>
      </c>
      <c r="C49" s="631" t="s">
        <v>249</v>
      </c>
      <c r="D49" s="630" t="s">
        <v>1390</v>
      </c>
      <c r="E49" s="634" t="s">
        <v>120</v>
      </c>
      <c r="F49" s="1067">
        <v>0.2</v>
      </c>
      <c r="G49" s="1066">
        <v>1</v>
      </c>
      <c r="H49" s="1069">
        <v>0.2772</v>
      </c>
      <c r="I49" s="1069">
        <v>0.21993048000000001</v>
      </c>
      <c r="J49" s="1069">
        <v>0.13089999999999999</v>
      </c>
      <c r="K49" s="1069">
        <v>1.9404000000000001E-2</v>
      </c>
      <c r="L49" s="1074">
        <v>0.14932763999999998</v>
      </c>
      <c r="M49" s="1069"/>
      <c r="N49" s="1069">
        <v>1.87</v>
      </c>
      <c r="O49" s="1069"/>
      <c r="P49" s="1076">
        <v>3.2155199999999997</v>
      </c>
      <c r="Q49" s="1069">
        <v>13.3056</v>
      </c>
      <c r="R49" s="1069"/>
      <c r="S49" s="1069"/>
      <c r="T49" s="1069"/>
      <c r="U49" s="1069"/>
      <c r="V49" s="1079">
        <v>1.6077599999999999</v>
      </c>
      <c r="W49" s="1069">
        <v>0.47124000000000005</v>
      </c>
      <c r="X49" s="1069">
        <v>2.0235600000000002</v>
      </c>
      <c r="Y49" s="1069">
        <v>2.3007600000000004</v>
      </c>
      <c r="Z49" s="1069"/>
      <c r="AA49" s="1069"/>
      <c r="AB49" s="1069"/>
      <c r="AC49" s="1069"/>
      <c r="AD49" s="1069">
        <v>240.61</v>
      </c>
      <c r="AE49" s="1069"/>
      <c r="AF49" s="1069"/>
      <c r="AG49" s="1069"/>
      <c r="AH49" s="1076"/>
      <c r="AI49" s="1069"/>
      <c r="AJ49" s="1069"/>
      <c r="AK49" s="1069"/>
      <c r="AL49" s="1081"/>
      <c r="AM49" s="1069"/>
      <c r="AN49" s="1069"/>
      <c r="AO49" s="1069"/>
      <c r="AP49" s="1069"/>
      <c r="AQ49" s="1069"/>
      <c r="AR49" s="1069"/>
      <c r="AS49" s="1282"/>
      <c r="AT49" s="1282"/>
      <c r="AU49" s="1069"/>
      <c r="AV49" s="1069"/>
      <c r="AW49" s="1069"/>
      <c r="AX49" s="1069"/>
      <c r="AY49" s="1069"/>
      <c r="AZ49" s="1078">
        <f t="shared" si="10"/>
        <v>0.2772</v>
      </c>
      <c r="BA49" s="59">
        <v>45</v>
      </c>
      <c r="BB49" s="59">
        <f t="shared" si="12"/>
        <v>45</v>
      </c>
      <c r="BC49" s="60" t="str">
        <f t="shared" si="13"/>
        <v>Capim Braquiária Brizantha (91 A 120 Dias)</v>
      </c>
      <c r="BD49" s="61" t="str">
        <f ca="1">IFERROR(IF(SEARCH('Calcular Dieta'!A$3,$BC$5:$BC$310)&gt;=1,BC49,"Não encontrado"),"Não encontrado")</f>
        <v>Capim Braquiária Brizantha (91 A 120 Dias)</v>
      </c>
      <c r="BE49" s="741">
        <f ca="1">COUNTIF(BD$5:BD49,"&lt;&gt;"&amp;"Não encontrado")</f>
        <v>45</v>
      </c>
      <c r="BF49" s="742" t="str">
        <f t="shared" ca="1" si="58"/>
        <v>CAPIM BRAQUIÁRIA BRIZANTHA (91 A 120 DIAS)</v>
      </c>
      <c r="BG49" s="744">
        <f t="shared" si="14"/>
        <v>0.21997948000000001</v>
      </c>
      <c r="BH49" s="744">
        <f t="shared" si="15"/>
        <v>0.13094899999999998</v>
      </c>
      <c r="BI49" s="744">
        <f t="shared" si="16"/>
        <v>1.9453000000000002E-2</v>
      </c>
      <c r="BJ49" s="744">
        <f t="shared" si="17"/>
        <v>0.14937663999999998</v>
      </c>
      <c r="BK49" s="744" t="str">
        <f t="shared" si="18"/>
        <v/>
      </c>
      <c r="BL49" s="744">
        <f t="shared" si="19"/>
        <v>1.8700490000000001</v>
      </c>
      <c r="BM49" s="744" t="str">
        <f t="shared" si="20"/>
        <v/>
      </c>
      <c r="BN49" s="744">
        <f t="shared" si="21"/>
        <v>3.2155689999999999</v>
      </c>
      <c r="BO49" s="744">
        <f t="shared" si="22"/>
        <v>13.305649000000001</v>
      </c>
      <c r="BP49" s="744" t="str">
        <f t="shared" si="23"/>
        <v/>
      </c>
      <c r="BQ49" s="744" t="str">
        <f t="shared" si="24"/>
        <v/>
      </c>
      <c r="BR49" s="744" t="str">
        <f t="shared" si="25"/>
        <v/>
      </c>
      <c r="BS49" s="744" t="str">
        <f t="shared" si="26"/>
        <v/>
      </c>
      <c r="BT49" s="744">
        <f t="shared" si="27"/>
        <v>1.6078089999999998</v>
      </c>
      <c r="BU49" s="744">
        <f t="shared" si="28"/>
        <v>0.47128900000000007</v>
      </c>
      <c r="BV49" s="744">
        <f t="shared" si="29"/>
        <v>2.0236090000000004</v>
      </c>
      <c r="BW49" s="744">
        <f t="shared" si="30"/>
        <v>2.3008090000000005</v>
      </c>
      <c r="BX49" s="744" t="str">
        <f t="shared" si="31"/>
        <v/>
      </c>
      <c r="BY49" s="744" t="str">
        <f t="shared" si="32"/>
        <v/>
      </c>
      <c r="BZ49" s="744" t="str">
        <f t="shared" si="33"/>
        <v/>
      </c>
      <c r="CA49" s="744" t="str">
        <f t="shared" si="34"/>
        <v/>
      </c>
      <c r="CB49" s="744">
        <f t="shared" si="35"/>
        <v>240.610049</v>
      </c>
      <c r="CC49" s="744" t="str">
        <f t="shared" si="36"/>
        <v/>
      </c>
      <c r="CD49" s="744" t="str">
        <f t="shared" si="37"/>
        <v/>
      </c>
      <c r="CE49" s="744" t="str">
        <f t="shared" si="38"/>
        <v/>
      </c>
      <c r="CF49" s="744" t="str">
        <f t="shared" si="39"/>
        <v/>
      </c>
      <c r="CG49" s="744" t="str">
        <f t="shared" si="40"/>
        <v/>
      </c>
      <c r="CH49" s="744" t="str">
        <f t="shared" si="41"/>
        <v/>
      </c>
      <c r="CI49" s="744" t="str">
        <f t="shared" si="42"/>
        <v/>
      </c>
      <c r="CJ49" s="744" t="str">
        <f t="shared" si="43"/>
        <v/>
      </c>
      <c r="CK49" s="744" t="str">
        <f t="shared" si="44"/>
        <v/>
      </c>
      <c r="CL49" s="744" t="str">
        <f t="shared" si="45"/>
        <v/>
      </c>
      <c r="CM49" s="744" t="str">
        <f t="shared" si="46"/>
        <v/>
      </c>
      <c r="CN49" s="744" t="str">
        <f t="shared" si="47"/>
        <v/>
      </c>
      <c r="CO49" s="744" t="str">
        <f t="shared" si="48"/>
        <v/>
      </c>
      <c r="CP49" s="744" t="str">
        <f t="shared" si="49"/>
        <v/>
      </c>
      <c r="CQ49" s="744" t="str">
        <f t="shared" si="50"/>
        <v/>
      </c>
      <c r="CR49" s="744" t="str">
        <f t="shared" si="51"/>
        <v/>
      </c>
      <c r="CS49" s="744" t="str">
        <f t="shared" si="52"/>
        <v/>
      </c>
      <c r="CT49" s="744" t="str">
        <f t="shared" si="53"/>
        <v/>
      </c>
      <c r="CU49" s="744" t="str">
        <f t="shared" si="54"/>
        <v/>
      </c>
      <c r="CV49" s="744" t="str">
        <f t="shared" si="55"/>
        <v/>
      </c>
      <c r="CW49" s="744" t="str">
        <f t="shared" si="56"/>
        <v/>
      </c>
      <c r="CX49" s="744">
        <f t="shared" si="57"/>
        <v>0.27724900000000002</v>
      </c>
    </row>
    <row r="50" spans="1:102">
      <c r="A50" s="630">
        <v>46</v>
      </c>
      <c r="B50" s="630" t="s">
        <v>3</v>
      </c>
      <c r="C50" s="631" t="s">
        <v>248</v>
      </c>
      <c r="D50" s="630" t="s">
        <v>1390</v>
      </c>
      <c r="E50" s="634" t="s">
        <v>121</v>
      </c>
      <c r="F50" s="1067">
        <v>0.6</v>
      </c>
      <c r="G50" s="1066">
        <v>1</v>
      </c>
      <c r="H50" s="1069">
        <v>0.8798999999999999</v>
      </c>
      <c r="I50" s="1069">
        <v>0.7065596999999999</v>
      </c>
      <c r="J50" s="1069">
        <v>0.37240000000000001</v>
      </c>
      <c r="K50" s="1069">
        <v>9.1157639999999984E-2</v>
      </c>
      <c r="L50" s="1074">
        <v>0.47409012</v>
      </c>
      <c r="M50" s="1069"/>
      <c r="N50" s="1069">
        <v>1.87</v>
      </c>
      <c r="O50" s="1069"/>
      <c r="P50" s="1076">
        <v>10.734779999999997</v>
      </c>
      <c r="Q50" s="1069">
        <v>36.867809999999999</v>
      </c>
      <c r="R50" s="1069"/>
      <c r="S50" s="1069"/>
      <c r="T50" s="1069"/>
      <c r="U50" s="1069"/>
      <c r="V50" s="1079">
        <v>2.9036699999999995</v>
      </c>
      <c r="W50" s="1069">
        <v>0.96789000000000003</v>
      </c>
      <c r="X50" s="1069">
        <v>1.8477899999999998</v>
      </c>
      <c r="Y50" s="1069">
        <v>0.26396999999999993</v>
      </c>
      <c r="Z50" s="1069">
        <v>7.7431200000000002</v>
      </c>
      <c r="AA50" s="1069"/>
      <c r="AB50" s="1069"/>
      <c r="AC50" s="1069"/>
      <c r="AD50" s="1069"/>
      <c r="AE50" s="1069"/>
      <c r="AF50" s="1069"/>
      <c r="AG50" s="1069"/>
      <c r="AH50" s="1076"/>
      <c r="AI50" s="1069"/>
      <c r="AJ50" s="1069"/>
      <c r="AK50" s="1069"/>
      <c r="AL50" s="1081"/>
      <c r="AM50" s="1069"/>
      <c r="AN50" s="1069"/>
      <c r="AO50" s="1069"/>
      <c r="AP50" s="1069"/>
      <c r="AQ50" s="1069"/>
      <c r="AR50" s="1069"/>
      <c r="AS50" s="1282"/>
      <c r="AT50" s="1282"/>
      <c r="AU50" s="1069"/>
      <c r="AV50" s="1069"/>
      <c r="AW50" s="1069"/>
      <c r="AX50" s="1069"/>
      <c r="AY50" s="1069"/>
      <c r="AZ50" s="1078">
        <f t="shared" si="10"/>
        <v>0.8798999999999999</v>
      </c>
      <c r="BA50" s="59">
        <v>46</v>
      </c>
      <c r="BB50" s="59">
        <f t="shared" si="12"/>
        <v>46</v>
      </c>
      <c r="BC50" s="60" t="str">
        <f t="shared" si="13"/>
        <v>Capim Braquiária Brizantha Feno</v>
      </c>
      <c r="BD50" s="61" t="str">
        <f ca="1">IFERROR(IF(SEARCH('Calcular Dieta'!A$3,$BC$5:$BC$310)&gt;=1,BC50,"Não encontrado"),"Não encontrado")</f>
        <v>Capim Braquiária Brizantha Feno</v>
      </c>
      <c r="BE50" s="741">
        <f ca="1">COUNTIF(BD$5:BD50,"&lt;&gt;"&amp;"Não encontrado")</f>
        <v>46</v>
      </c>
      <c r="BF50" s="742" t="str">
        <f t="shared" ca="1" si="58"/>
        <v>CAPIM BRAQUIÁRIA BRIZANTHA FENO</v>
      </c>
      <c r="BG50" s="744">
        <f t="shared" si="14"/>
        <v>0.7066096999999999</v>
      </c>
      <c r="BH50" s="744">
        <f t="shared" si="15"/>
        <v>0.37245</v>
      </c>
      <c r="BI50" s="744">
        <f t="shared" si="16"/>
        <v>9.1207639999999979E-2</v>
      </c>
      <c r="BJ50" s="744">
        <f t="shared" si="17"/>
        <v>0.47414012</v>
      </c>
      <c r="BK50" s="744" t="str">
        <f t="shared" si="18"/>
        <v/>
      </c>
      <c r="BL50" s="744">
        <f t="shared" si="19"/>
        <v>1.8700500000000002</v>
      </c>
      <c r="BM50" s="744" t="str">
        <f t="shared" si="20"/>
        <v/>
      </c>
      <c r="BN50" s="744">
        <f t="shared" si="21"/>
        <v>10.734829999999997</v>
      </c>
      <c r="BO50" s="744">
        <f t="shared" si="22"/>
        <v>36.86786</v>
      </c>
      <c r="BP50" s="744" t="str">
        <f t="shared" si="23"/>
        <v/>
      </c>
      <c r="BQ50" s="744" t="str">
        <f t="shared" si="24"/>
        <v/>
      </c>
      <c r="BR50" s="744" t="str">
        <f t="shared" si="25"/>
        <v/>
      </c>
      <c r="BS50" s="744" t="str">
        <f t="shared" si="26"/>
        <v/>
      </c>
      <c r="BT50" s="744">
        <f t="shared" si="27"/>
        <v>2.9037199999999994</v>
      </c>
      <c r="BU50" s="744">
        <f t="shared" si="28"/>
        <v>0.96794000000000002</v>
      </c>
      <c r="BV50" s="744">
        <f t="shared" si="29"/>
        <v>1.8478399999999999</v>
      </c>
      <c r="BW50" s="744">
        <f t="shared" si="30"/>
        <v>0.26401999999999992</v>
      </c>
      <c r="BX50" s="744">
        <f t="shared" si="31"/>
        <v>7.7431700000000001</v>
      </c>
      <c r="BY50" s="744" t="str">
        <f t="shared" si="32"/>
        <v/>
      </c>
      <c r="BZ50" s="744" t="str">
        <f t="shared" si="33"/>
        <v/>
      </c>
      <c r="CA50" s="744" t="str">
        <f t="shared" si="34"/>
        <v/>
      </c>
      <c r="CB50" s="744" t="str">
        <f t="shared" si="35"/>
        <v/>
      </c>
      <c r="CC50" s="744" t="str">
        <f t="shared" si="36"/>
        <v/>
      </c>
      <c r="CD50" s="744" t="str">
        <f t="shared" si="37"/>
        <v/>
      </c>
      <c r="CE50" s="744" t="str">
        <f t="shared" si="38"/>
        <v/>
      </c>
      <c r="CF50" s="744" t="str">
        <f t="shared" si="39"/>
        <v/>
      </c>
      <c r="CG50" s="744" t="str">
        <f t="shared" si="40"/>
        <v/>
      </c>
      <c r="CH50" s="744" t="str">
        <f t="shared" si="41"/>
        <v/>
      </c>
      <c r="CI50" s="744" t="str">
        <f t="shared" si="42"/>
        <v/>
      </c>
      <c r="CJ50" s="744" t="str">
        <f t="shared" si="43"/>
        <v/>
      </c>
      <c r="CK50" s="744" t="str">
        <f t="shared" si="44"/>
        <v/>
      </c>
      <c r="CL50" s="744" t="str">
        <f t="shared" si="45"/>
        <v/>
      </c>
      <c r="CM50" s="744" t="str">
        <f t="shared" si="46"/>
        <v/>
      </c>
      <c r="CN50" s="744" t="str">
        <f t="shared" si="47"/>
        <v/>
      </c>
      <c r="CO50" s="744" t="str">
        <f t="shared" si="48"/>
        <v/>
      </c>
      <c r="CP50" s="744" t="str">
        <f t="shared" si="49"/>
        <v/>
      </c>
      <c r="CQ50" s="744" t="str">
        <f t="shared" si="50"/>
        <v/>
      </c>
      <c r="CR50" s="744" t="str">
        <f t="shared" si="51"/>
        <v/>
      </c>
      <c r="CS50" s="744" t="str">
        <f t="shared" si="52"/>
        <v/>
      </c>
      <c r="CT50" s="744" t="str">
        <f t="shared" si="53"/>
        <v/>
      </c>
      <c r="CU50" s="744" t="str">
        <f t="shared" si="54"/>
        <v/>
      </c>
      <c r="CV50" s="744" t="str">
        <f t="shared" si="55"/>
        <v/>
      </c>
      <c r="CW50" s="744" t="str">
        <f t="shared" si="56"/>
        <v/>
      </c>
      <c r="CX50" s="744">
        <f t="shared" si="57"/>
        <v>0.8799499999999999</v>
      </c>
    </row>
    <row r="51" spans="1:102">
      <c r="A51" s="633">
        <v>47</v>
      </c>
      <c r="B51" s="630" t="s">
        <v>3</v>
      </c>
      <c r="C51" s="631" t="s">
        <v>249</v>
      </c>
      <c r="D51" s="630" t="s">
        <v>1390</v>
      </c>
      <c r="E51" s="634" t="s">
        <v>122</v>
      </c>
      <c r="F51" s="1067">
        <v>0.2</v>
      </c>
      <c r="G51" s="1066">
        <v>1</v>
      </c>
      <c r="H51" s="1069">
        <v>0.33240000000000003</v>
      </c>
      <c r="I51" s="1069">
        <v>0.21323460000000005</v>
      </c>
      <c r="J51" s="1069">
        <v>0.12365280000000003</v>
      </c>
      <c r="K51" s="1069">
        <v>5.7272520000000007E-2</v>
      </c>
      <c r="L51" s="1074">
        <v>0.18454848000000001</v>
      </c>
      <c r="M51" s="1069"/>
      <c r="N51" s="1279">
        <v>1.8</v>
      </c>
      <c r="O51" s="1069"/>
      <c r="P51" s="1076">
        <v>6.4818000000000007</v>
      </c>
      <c r="Q51" s="1069">
        <v>25.528320000000001</v>
      </c>
      <c r="R51" s="1069">
        <v>16.414709760000001</v>
      </c>
      <c r="S51" s="1279">
        <v>9.1136102399999999</v>
      </c>
      <c r="T51" s="1069">
        <v>17.484346368000001</v>
      </c>
      <c r="U51" s="1069">
        <v>0</v>
      </c>
      <c r="V51" s="1079">
        <v>0.93072000000000021</v>
      </c>
      <c r="W51" s="1069">
        <v>0.29916000000000004</v>
      </c>
      <c r="X51" s="1069">
        <v>0.33240000000000003</v>
      </c>
      <c r="Y51" s="1069">
        <v>6.6480000000000011E-2</v>
      </c>
      <c r="Z51" s="1069">
        <v>2.3932800000000003</v>
      </c>
      <c r="AA51" s="1069">
        <v>9.9720000000000003E-2</v>
      </c>
      <c r="AB51" s="1279">
        <v>15</v>
      </c>
      <c r="AC51" s="1279">
        <v>10</v>
      </c>
      <c r="AD51" s="1069"/>
      <c r="AE51" s="1279">
        <v>56</v>
      </c>
      <c r="AF51" s="1069"/>
      <c r="AG51" s="1279">
        <v>0.46</v>
      </c>
      <c r="AH51" s="1076"/>
      <c r="AI51" s="1069"/>
      <c r="AJ51" s="1069"/>
      <c r="AK51" s="1069"/>
      <c r="AL51" s="1081"/>
      <c r="AM51" s="1069"/>
      <c r="AN51" s="1069"/>
      <c r="AO51" s="1069"/>
      <c r="AP51" s="1069"/>
      <c r="AQ51" s="1069"/>
      <c r="AR51" s="1069"/>
      <c r="AS51" s="1282"/>
      <c r="AT51" s="1282"/>
      <c r="AU51" s="1069"/>
      <c r="AV51" s="1069"/>
      <c r="AW51" s="1069"/>
      <c r="AX51" s="1069"/>
      <c r="AY51" s="1069"/>
      <c r="AZ51" s="1078">
        <f t="shared" si="10"/>
        <v>0.33240000000000003</v>
      </c>
      <c r="BA51" s="59">
        <v>47</v>
      </c>
      <c r="BB51" s="59">
        <f t="shared" si="12"/>
        <v>47</v>
      </c>
      <c r="BC51" s="60" t="str">
        <f t="shared" si="13"/>
        <v>Capim Braquiária Brizantha Marandu</v>
      </c>
      <c r="BD51" s="61" t="str">
        <f ca="1">IFERROR(IF(SEARCH('Calcular Dieta'!A$3,$BC$5:$BC$310)&gt;=1,BC51,"Não encontrado"),"Não encontrado")</f>
        <v>Capim Braquiária Brizantha Marandu</v>
      </c>
      <c r="BE51" s="741">
        <f ca="1">COUNTIF(BD$5:BD51,"&lt;&gt;"&amp;"Não encontrado")</f>
        <v>47</v>
      </c>
      <c r="BF51" s="742" t="str">
        <f t="shared" ca="1" si="58"/>
        <v>CAPIM BRAQUIÁRIA BRIZANTHA MARANDU</v>
      </c>
      <c r="BG51" s="744">
        <f t="shared" si="14"/>
        <v>0.21328560000000005</v>
      </c>
      <c r="BH51" s="744">
        <f t="shared" si="15"/>
        <v>0.12370380000000003</v>
      </c>
      <c r="BI51" s="744">
        <f t="shared" si="16"/>
        <v>5.732352000000001E-2</v>
      </c>
      <c r="BJ51" s="744">
        <f t="shared" si="17"/>
        <v>0.18459948000000001</v>
      </c>
      <c r="BK51" s="744" t="str">
        <f t="shared" si="18"/>
        <v/>
      </c>
      <c r="BL51" s="744">
        <f t="shared" si="19"/>
        <v>1.8000510000000001</v>
      </c>
      <c r="BM51" s="744" t="str">
        <f t="shared" si="20"/>
        <v/>
      </c>
      <c r="BN51" s="744">
        <f t="shared" si="21"/>
        <v>6.4818510000000007</v>
      </c>
      <c r="BO51" s="744">
        <f t="shared" si="22"/>
        <v>25.528371</v>
      </c>
      <c r="BP51" s="744">
        <f t="shared" si="23"/>
        <v>16.41476076</v>
      </c>
      <c r="BQ51" s="744">
        <f t="shared" si="24"/>
        <v>9.113661239999999</v>
      </c>
      <c r="BR51" s="744">
        <f t="shared" si="25"/>
        <v>17.484397368</v>
      </c>
      <c r="BS51" s="744" t="str">
        <f t="shared" si="26"/>
        <v/>
      </c>
      <c r="BT51" s="744">
        <f t="shared" si="27"/>
        <v>0.93077100000000024</v>
      </c>
      <c r="BU51" s="744">
        <f t="shared" si="28"/>
        <v>0.29921100000000006</v>
      </c>
      <c r="BV51" s="744">
        <f t="shared" si="29"/>
        <v>0.33245100000000005</v>
      </c>
      <c r="BW51" s="744">
        <f t="shared" si="30"/>
        <v>6.6531000000000007E-2</v>
      </c>
      <c r="BX51" s="744">
        <f t="shared" si="31"/>
        <v>2.3933310000000003</v>
      </c>
      <c r="BY51" s="744">
        <f t="shared" si="32"/>
        <v>9.9770999999999999E-2</v>
      </c>
      <c r="BZ51" s="744">
        <f t="shared" si="33"/>
        <v>15.000050999999999</v>
      </c>
      <c r="CA51" s="744">
        <f t="shared" si="34"/>
        <v>10.000050999999999</v>
      </c>
      <c r="CB51" s="744" t="str">
        <f t="shared" si="35"/>
        <v/>
      </c>
      <c r="CC51" s="744">
        <f t="shared" si="36"/>
        <v>56.000050999999999</v>
      </c>
      <c r="CD51" s="744" t="str">
        <f t="shared" si="37"/>
        <v/>
      </c>
      <c r="CE51" s="744">
        <f t="shared" si="38"/>
        <v>0.46005100000000004</v>
      </c>
      <c r="CF51" s="744" t="str">
        <f t="shared" si="39"/>
        <v/>
      </c>
      <c r="CG51" s="744" t="str">
        <f t="shared" si="40"/>
        <v/>
      </c>
      <c r="CH51" s="744" t="str">
        <f t="shared" si="41"/>
        <v/>
      </c>
      <c r="CI51" s="744" t="str">
        <f t="shared" si="42"/>
        <v/>
      </c>
      <c r="CJ51" s="744" t="str">
        <f t="shared" si="43"/>
        <v/>
      </c>
      <c r="CK51" s="744" t="str">
        <f t="shared" si="44"/>
        <v/>
      </c>
      <c r="CL51" s="744" t="str">
        <f t="shared" si="45"/>
        <v/>
      </c>
      <c r="CM51" s="744" t="str">
        <f t="shared" si="46"/>
        <v/>
      </c>
      <c r="CN51" s="744" t="str">
        <f t="shared" si="47"/>
        <v/>
      </c>
      <c r="CO51" s="744" t="str">
        <f t="shared" si="48"/>
        <v/>
      </c>
      <c r="CP51" s="744" t="str">
        <f t="shared" si="49"/>
        <v/>
      </c>
      <c r="CQ51" s="744" t="str">
        <f t="shared" si="50"/>
        <v/>
      </c>
      <c r="CR51" s="744" t="str">
        <f t="shared" si="51"/>
        <v/>
      </c>
      <c r="CS51" s="744" t="str">
        <f t="shared" si="52"/>
        <v/>
      </c>
      <c r="CT51" s="744" t="str">
        <f t="shared" si="53"/>
        <v/>
      </c>
      <c r="CU51" s="744" t="str">
        <f t="shared" si="54"/>
        <v/>
      </c>
      <c r="CV51" s="744" t="str">
        <f t="shared" si="55"/>
        <v/>
      </c>
      <c r="CW51" s="744" t="str">
        <f t="shared" si="56"/>
        <v/>
      </c>
      <c r="CX51" s="744">
        <f t="shared" si="57"/>
        <v>0.33245100000000005</v>
      </c>
    </row>
    <row r="52" spans="1:102">
      <c r="A52" s="630">
        <v>48</v>
      </c>
      <c r="B52" s="630" t="s">
        <v>3</v>
      </c>
      <c r="C52" s="631" t="s">
        <v>249</v>
      </c>
      <c r="D52" s="630" t="s">
        <v>1390</v>
      </c>
      <c r="E52" s="634" t="s">
        <v>123</v>
      </c>
      <c r="F52" s="1067">
        <v>0.2</v>
      </c>
      <c r="G52" s="1066">
        <v>1</v>
      </c>
      <c r="H52" s="1069">
        <v>0.37810000000000005</v>
      </c>
      <c r="I52" s="1069">
        <v>0.27899999000000009</v>
      </c>
      <c r="J52" s="1069">
        <v>9.8040000000000002E-2</v>
      </c>
      <c r="K52" s="1069">
        <v>3.8868680000000003E-2</v>
      </c>
      <c r="L52" s="1074">
        <v>0.19997709000000005</v>
      </c>
      <c r="M52" s="1069"/>
      <c r="N52" s="1069">
        <v>1.84</v>
      </c>
      <c r="O52" s="1069"/>
      <c r="P52" s="1076">
        <v>6.6545600000000009</v>
      </c>
      <c r="Q52" s="1069">
        <v>20.946740000000002</v>
      </c>
      <c r="R52" s="1069"/>
      <c r="S52" s="1069"/>
      <c r="T52" s="1069"/>
      <c r="U52" s="1069"/>
      <c r="V52" s="1079">
        <v>0.30248000000000003</v>
      </c>
      <c r="W52" s="1069">
        <v>0.18905000000000002</v>
      </c>
      <c r="X52" s="1069"/>
      <c r="Y52" s="1069"/>
      <c r="Z52" s="1069"/>
      <c r="AA52" s="1069"/>
      <c r="AB52" s="1069"/>
      <c r="AC52" s="1069"/>
      <c r="AD52" s="1069"/>
      <c r="AE52" s="1069"/>
      <c r="AF52" s="1069"/>
      <c r="AG52" s="1069"/>
      <c r="AH52" s="1076"/>
      <c r="AI52" s="1069"/>
      <c r="AJ52" s="1069"/>
      <c r="AK52" s="1069"/>
      <c r="AL52" s="1081"/>
      <c r="AM52" s="1069"/>
      <c r="AN52" s="1069"/>
      <c r="AO52" s="1069"/>
      <c r="AP52" s="1069"/>
      <c r="AQ52" s="1069"/>
      <c r="AR52" s="1069"/>
      <c r="AS52" s="1282"/>
      <c r="AT52" s="1282"/>
      <c r="AU52" s="1069"/>
      <c r="AV52" s="1069"/>
      <c r="AW52" s="1069"/>
      <c r="AX52" s="1069"/>
      <c r="AY52" s="1069"/>
      <c r="AZ52" s="1078">
        <f t="shared" si="10"/>
        <v>0.37810000000000005</v>
      </c>
      <c r="BA52" s="59">
        <v>48</v>
      </c>
      <c r="BB52" s="59">
        <f t="shared" si="12"/>
        <v>48</v>
      </c>
      <c r="BC52" s="60" t="str">
        <f t="shared" si="13"/>
        <v>Capim Braquiária Brizantha Marandu (61 A 90 Dias)</v>
      </c>
      <c r="BD52" s="61" t="str">
        <f ca="1">IFERROR(IF(SEARCH('Calcular Dieta'!A$3,$BC$5:$BC$310)&gt;=1,BC52,"Não encontrado"),"Não encontrado")</f>
        <v>Capim Braquiária Brizantha Marandu (61 A 90 Dias)</v>
      </c>
      <c r="BE52" s="741">
        <f ca="1">COUNTIF(BD$5:BD52,"&lt;&gt;"&amp;"Não encontrado")</f>
        <v>48</v>
      </c>
      <c r="BF52" s="742" t="str">
        <f t="shared" ca="1" si="58"/>
        <v>CAPIM BRAQUIÁRIA BRIZANTHA MARANDU (61 A 90 DIAS)</v>
      </c>
      <c r="BG52" s="744">
        <f t="shared" si="14"/>
        <v>0.27905199000000008</v>
      </c>
      <c r="BH52" s="744">
        <f t="shared" si="15"/>
        <v>9.8091999999999999E-2</v>
      </c>
      <c r="BI52" s="744">
        <f t="shared" si="16"/>
        <v>3.8920680000000006E-2</v>
      </c>
      <c r="BJ52" s="744">
        <f t="shared" si="17"/>
        <v>0.20002909000000005</v>
      </c>
      <c r="BK52" s="744" t="str">
        <f t="shared" si="18"/>
        <v/>
      </c>
      <c r="BL52" s="744">
        <f t="shared" si="19"/>
        <v>1.840052</v>
      </c>
      <c r="BM52" s="744" t="str">
        <f t="shared" si="20"/>
        <v/>
      </c>
      <c r="BN52" s="744">
        <f t="shared" si="21"/>
        <v>6.6546120000000011</v>
      </c>
      <c r="BO52" s="744">
        <f t="shared" si="22"/>
        <v>20.946792000000002</v>
      </c>
      <c r="BP52" s="744" t="str">
        <f t="shared" si="23"/>
        <v/>
      </c>
      <c r="BQ52" s="744" t="str">
        <f t="shared" si="24"/>
        <v/>
      </c>
      <c r="BR52" s="744" t="str">
        <f t="shared" si="25"/>
        <v/>
      </c>
      <c r="BS52" s="744" t="str">
        <f t="shared" si="26"/>
        <v/>
      </c>
      <c r="BT52" s="744">
        <f t="shared" si="27"/>
        <v>0.30253200000000002</v>
      </c>
      <c r="BU52" s="744">
        <f t="shared" si="28"/>
        <v>0.18910200000000002</v>
      </c>
      <c r="BV52" s="744" t="str">
        <f t="shared" si="29"/>
        <v/>
      </c>
      <c r="BW52" s="744" t="str">
        <f t="shared" si="30"/>
        <v/>
      </c>
      <c r="BX52" s="744" t="str">
        <f t="shared" si="31"/>
        <v/>
      </c>
      <c r="BY52" s="744" t="str">
        <f t="shared" si="32"/>
        <v/>
      </c>
      <c r="BZ52" s="744" t="str">
        <f t="shared" si="33"/>
        <v/>
      </c>
      <c r="CA52" s="744" t="str">
        <f t="shared" si="34"/>
        <v/>
      </c>
      <c r="CB52" s="744" t="str">
        <f t="shared" si="35"/>
        <v/>
      </c>
      <c r="CC52" s="744" t="str">
        <f t="shared" si="36"/>
        <v/>
      </c>
      <c r="CD52" s="744" t="str">
        <f t="shared" si="37"/>
        <v/>
      </c>
      <c r="CE52" s="744" t="str">
        <f t="shared" si="38"/>
        <v/>
      </c>
      <c r="CF52" s="744" t="str">
        <f t="shared" si="39"/>
        <v/>
      </c>
      <c r="CG52" s="744" t="str">
        <f t="shared" si="40"/>
        <v/>
      </c>
      <c r="CH52" s="744" t="str">
        <f t="shared" si="41"/>
        <v/>
      </c>
      <c r="CI52" s="744" t="str">
        <f t="shared" si="42"/>
        <v/>
      </c>
      <c r="CJ52" s="744" t="str">
        <f t="shared" si="43"/>
        <v/>
      </c>
      <c r="CK52" s="744" t="str">
        <f t="shared" si="44"/>
        <v/>
      </c>
      <c r="CL52" s="744" t="str">
        <f t="shared" si="45"/>
        <v/>
      </c>
      <c r="CM52" s="744" t="str">
        <f t="shared" si="46"/>
        <v/>
      </c>
      <c r="CN52" s="744" t="str">
        <f t="shared" si="47"/>
        <v/>
      </c>
      <c r="CO52" s="744" t="str">
        <f t="shared" si="48"/>
        <v/>
      </c>
      <c r="CP52" s="744" t="str">
        <f t="shared" si="49"/>
        <v/>
      </c>
      <c r="CQ52" s="744" t="str">
        <f t="shared" si="50"/>
        <v/>
      </c>
      <c r="CR52" s="744" t="str">
        <f t="shared" si="51"/>
        <v/>
      </c>
      <c r="CS52" s="744" t="str">
        <f t="shared" si="52"/>
        <v/>
      </c>
      <c r="CT52" s="744" t="str">
        <f t="shared" si="53"/>
        <v/>
      </c>
      <c r="CU52" s="744" t="str">
        <f t="shared" si="54"/>
        <v/>
      </c>
      <c r="CV52" s="744" t="str">
        <f t="shared" si="55"/>
        <v/>
      </c>
      <c r="CW52" s="744" t="str">
        <f t="shared" si="56"/>
        <v/>
      </c>
      <c r="CX52" s="744">
        <f t="shared" si="57"/>
        <v>0.37815200000000004</v>
      </c>
    </row>
    <row r="53" spans="1:102">
      <c r="A53" s="633">
        <v>49</v>
      </c>
      <c r="B53" s="630" t="s">
        <v>3</v>
      </c>
      <c r="C53" s="631" t="s">
        <v>249</v>
      </c>
      <c r="D53" s="630" t="s">
        <v>1390</v>
      </c>
      <c r="E53" s="632" t="s">
        <v>124</v>
      </c>
      <c r="F53" s="1067">
        <v>0.2</v>
      </c>
      <c r="G53" s="1066">
        <v>1</v>
      </c>
      <c r="H53" s="1069">
        <v>0.30690000000000001</v>
      </c>
      <c r="I53" s="1069">
        <v>0.21010374000000001</v>
      </c>
      <c r="J53" s="1069">
        <v>9.7900000000000001E-2</v>
      </c>
      <c r="K53" s="1069">
        <v>4.4807399999999997E-2</v>
      </c>
      <c r="L53" s="1074">
        <v>0.16830396</v>
      </c>
      <c r="M53" s="1069"/>
      <c r="N53" s="1069">
        <v>1.99</v>
      </c>
      <c r="O53" s="1069"/>
      <c r="P53" s="1076">
        <v>4.3272900000000005</v>
      </c>
      <c r="Q53" s="1069">
        <v>36.275580000000005</v>
      </c>
      <c r="R53" s="1069"/>
      <c r="S53" s="1069"/>
      <c r="T53" s="1069"/>
      <c r="U53" s="1069"/>
      <c r="V53" s="1079"/>
      <c r="W53" s="1069"/>
      <c r="X53" s="1069"/>
      <c r="Y53" s="1069"/>
      <c r="Z53" s="1069"/>
      <c r="AA53" s="1069"/>
      <c r="AB53" s="1069"/>
      <c r="AC53" s="1069"/>
      <c r="AD53" s="1069"/>
      <c r="AE53" s="1069"/>
      <c r="AF53" s="1069"/>
      <c r="AG53" s="1069"/>
      <c r="AH53" s="1076"/>
      <c r="AI53" s="1069"/>
      <c r="AJ53" s="1069"/>
      <c r="AK53" s="1069"/>
      <c r="AL53" s="1081"/>
      <c r="AM53" s="1069"/>
      <c r="AN53" s="1069"/>
      <c r="AO53" s="1069"/>
      <c r="AP53" s="1069"/>
      <c r="AQ53" s="1069"/>
      <c r="AR53" s="1069"/>
      <c r="AS53" s="1282"/>
      <c r="AT53" s="1282"/>
      <c r="AU53" s="1069"/>
      <c r="AV53" s="1069"/>
      <c r="AW53" s="1069"/>
      <c r="AX53" s="1069"/>
      <c r="AY53" s="1069"/>
      <c r="AZ53" s="1078">
        <f t="shared" si="10"/>
        <v>0.30690000000000001</v>
      </c>
      <c r="BA53" s="59">
        <v>49</v>
      </c>
      <c r="BB53" s="59">
        <f t="shared" si="12"/>
        <v>49</v>
      </c>
      <c r="BC53" s="60" t="str">
        <f t="shared" si="13"/>
        <v>Capim Braquiaria Brizantha Marandu Outono</v>
      </c>
      <c r="BD53" s="61" t="str">
        <f ca="1">IFERROR(IF(SEARCH('Calcular Dieta'!A$3,$BC$5:$BC$310)&gt;=1,BC53,"Não encontrado"),"Não encontrado")</f>
        <v>Capim Braquiaria Brizantha Marandu Outono</v>
      </c>
      <c r="BE53" s="741">
        <f ca="1">COUNTIF(BD$5:BD53,"&lt;&gt;"&amp;"Não encontrado")</f>
        <v>49</v>
      </c>
      <c r="BF53" s="742" t="str">
        <f t="shared" ca="1" si="58"/>
        <v>CAPIM BRAQUIARIA BRIZANTHA MARANDU OUTONO</v>
      </c>
      <c r="BG53" s="744">
        <f t="shared" si="14"/>
        <v>0.21015674000000001</v>
      </c>
      <c r="BH53" s="744">
        <f t="shared" si="15"/>
        <v>9.7952999999999998E-2</v>
      </c>
      <c r="BI53" s="744">
        <f t="shared" si="16"/>
        <v>4.4860399999999995E-2</v>
      </c>
      <c r="BJ53" s="744">
        <f t="shared" si="17"/>
        <v>0.16835696</v>
      </c>
      <c r="BK53" s="744" t="str">
        <f t="shared" si="18"/>
        <v/>
      </c>
      <c r="BL53" s="744">
        <f t="shared" si="19"/>
        <v>1.9900530000000001</v>
      </c>
      <c r="BM53" s="744" t="str">
        <f t="shared" si="20"/>
        <v/>
      </c>
      <c r="BN53" s="744">
        <f t="shared" si="21"/>
        <v>4.3273430000000008</v>
      </c>
      <c r="BO53" s="744">
        <f t="shared" si="22"/>
        <v>36.275633000000006</v>
      </c>
      <c r="BP53" s="744" t="str">
        <f t="shared" si="23"/>
        <v/>
      </c>
      <c r="BQ53" s="744" t="str">
        <f t="shared" si="24"/>
        <v/>
      </c>
      <c r="BR53" s="744" t="str">
        <f t="shared" si="25"/>
        <v/>
      </c>
      <c r="BS53" s="744" t="str">
        <f t="shared" si="26"/>
        <v/>
      </c>
      <c r="BT53" s="744" t="str">
        <f t="shared" si="27"/>
        <v/>
      </c>
      <c r="BU53" s="744" t="str">
        <f t="shared" si="28"/>
        <v/>
      </c>
      <c r="BV53" s="744" t="str">
        <f t="shared" si="29"/>
        <v/>
      </c>
      <c r="BW53" s="744" t="str">
        <f t="shared" si="30"/>
        <v/>
      </c>
      <c r="BX53" s="744" t="str">
        <f t="shared" si="31"/>
        <v/>
      </c>
      <c r="BY53" s="744" t="str">
        <f t="shared" si="32"/>
        <v/>
      </c>
      <c r="BZ53" s="744" t="str">
        <f t="shared" si="33"/>
        <v/>
      </c>
      <c r="CA53" s="744" t="str">
        <f t="shared" si="34"/>
        <v/>
      </c>
      <c r="CB53" s="744" t="str">
        <f t="shared" si="35"/>
        <v/>
      </c>
      <c r="CC53" s="744" t="str">
        <f t="shared" si="36"/>
        <v/>
      </c>
      <c r="CD53" s="744" t="str">
        <f t="shared" si="37"/>
        <v/>
      </c>
      <c r="CE53" s="744" t="str">
        <f t="shared" si="38"/>
        <v/>
      </c>
      <c r="CF53" s="744" t="str">
        <f t="shared" si="39"/>
        <v/>
      </c>
      <c r="CG53" s="744" t="str">
        <f t="shared" si="40"/>
        <v/>
      </c>
      <c r="CH53" s="744" t="str">
        <f t="shared" si="41"/>
        <v/>
      </c>
      <c r="CI53" s="744" t="str">
        <f t="shared" si="42"/>
        <v/>
      </c>
      <c r="CJ53" s="744" t="str">
        <f t="shared" si="43"/>
        <v/>
      </c>
      <c r="CK53" s="744" t="str">
        <f t="shared" si="44"/>
        <v/>
      </c>
      <c r="CL53" s="744" t="str">
        <f t="shared" si="45"/>
        <v/>
      </c>
      <c r="CM53" s="744" t="str">
        <f t="shared" si="46"/>
        <v/>
      </c>
      <c r="CN53" s="744" t="str">
        <f t="shared" si="47"/>
        <v/>
      </c>
      <c r="CO53" s="744" t="str">
        <f t="shared" si="48"/>
        <v/>
      </c>
      <c r="CP53" s="744" t="str">
        <f t="shared" si="49"/>
        <v/>
      </c>
      <c r="CQ53" s="744" t="str">
        <f t="shared" si="50"/>
        <v/>
      </c>
      <c r="CR53" s="744" t="str">
        <f t="shared" si="51"/>
        <v/>
      </c>
      <c r="CS53" s="744" t="str">
        <f t="shared" si="52"/>
        <v/>
      </c>
      <c r="CT53" s="744" t="str">
        <f t="shared" si="53"/>
        <v/>
      </c>
      <c r="CU53" s="744" t="str">
        <f t="shared" si="54"/>
        <v/>
      </c>
      <c r="CV53" s="744" t="str">
        <f t="shared" si="55"/>
        <v/>
      </c>
      <c r="CW53" s="744" t="str">
        <f t="shared" si="56"/>
        <v/>
      </c>
      <c r="CX53" s="744">
        <f t="shared" si="57"/>
        <v>0.30695300000000003</v>
      </c>
    </row>
    <row r="54" spans="1:102">
      <c r="A54" s="630">
        <v>50</v>
      </c>
      <c r="B54" s="630" t="s">
        <v>3</v>
      </c>
      <c r="C54" s="631" t="s">
        <v>249</v>
      </c>
      <c r="D54" s="630" t="s">
        <v>1390</v>
      </c>
      <c r="E54" s="634" t="s">
        <v>125</v>
      </c>
      <c r="F54" s="1067">
        <v>0.2</v>
      </c>
      <c r="G54" s="1066">
        <v>1</v>
      </c>
      <c r="H54" s="1069">
        <v>0.27250000000000002</v>
      </c>
      <c r="I54" s="1069">
        <v>0.17371875000000001</v>
      </c>
      <c r="J54" s="1069">
        <v>9.7900000000000001E-2</v>
      </c>
      <c r="K54" s="1069">
        <v>4.9867500000000002E-2</v>
      </c>
      <c r="L54" s="1074">
        <v>0.15990300000000002</v>
      </c>
      <c r="M54" s="1069"/>
      <c r="N54" s="1069">
        <v>2.14</v>
      </c>
      <c r="O54" s="1069"/>
      <c r="P54" s="1076">
        <v>5.4772499999999997</v>
      </c>
      <c r="Q54" s="1069">
        <v>30.983250000000002</v>
      </c>
      <c r="R54" s="1069"/>
      <c r="S54" s="1069"/>
      <c r="T54" s="1069"/>
      <c r="U54" s="1069"/>
      <c r="V54" s="1079"/>
      <c r="W54" s="1069"/>
      <c r="X54" s="1069"/>
      <c r="Y54" s="1069"/>
      <c r="Z54" s="1069"/>
      <c r="AA54" s="1069"/>
      <c r="AB54" s="1069"/>
      <c r="AC54" s="1069"/>
      <c r="AD54" s="1069"/>
      <c r="AE54" s="1069"/>
      <c r="AF54" s="1069"/>
      <c r="AG54" s="1069"/>
      <c r="AH54" s="1076"/>
      <c r="AI54" s="1069"/>
      <c r="AJ54" s="1069"/>
      <c r="AK54" s="1069"/>
      <c r="AL54" s="1081"/>
      <c r="AM54" s="1069"/>
      <c r="AN54" s="1069"/>
      <c r="AO54" s="1069"/>
      <c r="AP54" s="1069"/>
      <c r="AQ54" s="1069"/>
      <c r="AR54" s="1069"/>
      <c r="AS54" s="1282"/>
      <c r="AT54" s="1282"/>
      <c r="AU54" s="1069"/>
      <c r="AV54" s="1069"/>
      <c r="AW54" s="1069"/>
      <c r="AX54" s="1069"/>
      <c r="AY54" s="1069"/>
      <c r="AZ54" s="1078">
        <f t="shared" si="10"/>
        <v>0.27250000000000002</v>
      </c>
      <c r="BA54" s="59">
        <v>50</v>
      </c>
      <c r="BB54" s="59">
        <f t="shared" si="12"/>
        <v>50</v>
      </c>
      <c r="BC54" s="60" t="str">
        <f t="shared" si="13"/>
        <v>Capim Braquiaria Brizantha Marandu Primavera</v>
      </c>
      <c r="BD54" s="61" t="str">
        <f ca="1">IFERROR(IF(SEARCH('Calcular Dieta'!A$3,$BC$5:$BC$310)&gt;=1,BC54,"Não encontrado"),"Não encontrado")</f>
        <v>Capim Braquiaria Brizantha Marandu Primavera</v>
      </c>
      <c r="BE54" s="741">
        <f ca="1">COUNTIF(BD$5:BD54,"&lt;&gt;"&amp;"Não encontrado")</f>
        <v>50</v>
      </c>
      <c r="BF54" s="742" t="str">
        <f t="shared" ca="1" si="58"/>
        <v>CAPIM BRAQUIARIA BRIZANTHA MARANDU PRIMAVERA</v>
      </c>
      <c r="BG54" s="744">
        <f t="shared" si="14"/>
        <v>0.17377275</v>
      </c>
      <c r="BH54" s="744">
        <f t="shared" si="15"/>
        <v>9.7953999999999999E-2</v>
      </c>
      <c r="BI54" s="744">
        <f t="shared" si="16"/>
        <v>4.9921500000000001E-2</v>
      </c>
      <c r="BJ54" s="744">
        <f t="shared" si="17"/>
        <v>0.15995700000000002</v>
      </c>
      <c r="BK54" s="744" t="str">
        <f t="shared" si="18"/>
        <v/>
      </c>
      <c r="BL54" s="744">
        <f t="shared" si="19"/>
        <v>2.1400540000000001</v>
      </c>
      <c r="BM54" s="744" t="str">
        <f t="shared" si="20"/>
        <v/>
      </c>
      <c r="BN54" s="744">
        <f t="shared" si="21"/>
        <v>5.4773040000000002</v>
      </c>
      <c r="BO54" s="744">
        <f t="shared" si="22"/>
        <v>30.983304</v>
      </c>
      <c r="BP54" s="744" t="str">
        <f t="shared" si="23"/>
        <v/>
      </c>
      <c r="BQ54" s="744" t="str">
        <f t="shared" si="24"/>
        <v/>
      </c>
      <c r="BR54" s="744" t="str">
        <f t="shared" si="25"/>
        <v/>
      </c>
      <c r="BS54" s="744" t="str">
        <f t="shared" si="26"/>
        <v/>
      </c>
      <c r="BT54" s="744" t="str">
        <f t="shared" si="27"/>
        <v/>
      </c>
      <c r="BU54" s="744" t="str">
        <f t="shared" si="28"/>
        <v/>
      </c>
      <c r="BV54" s="744" t="str">
        <f t="shared" si="29"/>
        <v/>
      </c>
      <c r="BW54" s="744" t="str">
        <f t="shared" si="30"/>
        <v/>
      </c>
      <c r="BX54" s="744" t="str">
        <f t="shared" si="31"/>
        <v/>
      </c>
      <c r="BY54" s="744" t="str">
        <f t="shared" si="32"/>
        <v/>
      </c>
      <c r="BZ54" s="744" t="str">
        <f t="shared" si="33"/>
        <v/>
      </c>
      <c r="CA54" s="744" t="str">
        <f t="shared" si="34"/>
        <v/>
      </c>
      <c r="CB54" s="744" t="str">
        <f t="shared" si="35"/>
        <v/>
      </c>
      <c r="CC54" s="744" t="str">
        <f t="shared" si="36"/>
        <v/>
      </c>
      <c r="CD54" s="744" t="str">
        <f t="shared" si="37"/>
        <v/>
      </c>
      <c r="CE54" s="744" t="str">
        <f t="shared" si="38"/>
        <v/>
      </c>
      <c r="CF54" s="744" t="str">
        <f t="shared" si="39"/>
        <v/>
      </c>
      <c r="CG54" s="744" t="str">
        <f t="shared" si="40"/>
        <v/>
      </c>
      <c r="CH54" s="744" t="str">
        <f t="shared" si="41"/>
        <v/>
      </c>
      <c r="CI54" s="744" t="str">
        <f t="shared" si="42"/>
        <v/>
      </c>
      <c r="CJ54" s="744" t="str">
        <f t="shared" si="43"/>
        <v/>
      </c>
      <c r="CK54" s="744" t="str">
        <f t="shared" si="44"/>
        <v/>
      </c>
      <c r="CL54" s="744" t="str">
        <f t="shared" si="45"/>
        <v/>
      </c>
      <c r="CM54" s="744" t="str">
        <f t="shared" si="46"/>
        <v/>
      </c>
      <c r="CN54" s="744" t="str">
        <f t="shared" si="47"/>
        <v/>
      </c>
      <c r="CO54" s="744" t="str">
        <f t="shared" si="48"/>
        <v/>
      </c>
      <c r="CP54" s="744" t="str">
        <f t="shared" si="49"/>
        <v/>
      </c>
      <c r="CQ54" s="744" t="str">
        <f t="shared" si="50"/>
        <v/>
      </c>
      <c r="CR54" s="744" t="str">
        <f t="shared" si="51"/>
        <v/>
      </c>
      <c r="CS54" s="744" t="str">
        <f t="shared" si="52"/>
        <v/>
      </c>
      <c r="CT54" s="744" t="str">
        <f t="shared" si="53"/>
        <v/>
      </c>
      <c r="CU54" s="744" t="str">
        <f t="shared" si="54"/>
        <v/>
      </c>
      <c r="CV54" s="744" t="str">
        <f t="shared" si="55"/>
        <v/>
      </c>
      <c r="CW54" s="744" t="str">
        <f t="shared" si="56"/>
        <v/>
      </c>
      <c r="CX54" s="744">
        <f t="shared" si="57"/>
        <v>0.27255400000000002</v>
      </c>
    </row>
    <row r="55" spans="1:102">
      <c r="A55" s="633">
        <v>51</v>
      </c>
      <c r="B55" s="630" t="s">
        <v>3</v>
      </c>
      <c r="C55" s="631" t="s">
        <v>249</v>
      </c>
      <c r="D55" s="630" t="s">
        <v>1390</v>
      </c>
      <c r="E55" s="634" t="s">
        <v>126</v>
      </c>
      <c r="F55" s="1067">
        <v>0.2</v>
      </c>
      <c r="G55" s="1066">
        <v>1</v>
      </c>
      <c r="H55" s="1069">
        <v>0.28970000000000001</v>
      </c>
      <c r="I55" s="1069">
        <v>0.18630607000000002</v>
      </c>
      <c r="J55" s="1069">
        <v>9.7900000000000001E-2</v>
      </c>
      <c r="K55" s="1069">
        <v>4.3252209999999999E-2</v>
      </c>
      <c r="L55" s="1074">
        <v>0.15623521000000001</v>
      </c>
      <c r="M55" s="1069"/>
      <c r="N55" s="1069">
        <v>1.96</v>
      </c>
      <c r="O55" s="1069"/>
      <c r="P55" s="1076">
        <v>5.2725400000000011</v>
      </c>
      <c r="Q55" s="1069">
        <v>35.575160000000004</v>
      </c>
      <c r="R55" s="1069"/>
      <c r="S55" s="1069"/>
      <c r="T55" s="1069"/>
      <c r="U55" s="1069"/>
      <c r="V55" s="1079"/>
      <c r="W55" s="1069"/>
      <c r="X55" s="1069"/>
      <c r="Y55" s="1069"/>
      <c r="Z55" s="1069"/>
      <c r="AA55" s="1069"/>
      <c r="AB55" s="1069"/>
      <c r="AC55" s="1069"/>
      <c r="AD55" s="1069"/>
      <c r="AE55" s="1069"/>
      <c r="AF55" s="1069"/>
      <c r="AG55" s="1069"/>
      <c r="AH55" s="1076"/>
      <c r="AI55" s="1069"/>
      <c r="AJ55" s="1069"/>
      <c r="AK55" s="1069"/>
      <c r="AL55" s="1081"/>
      <c r="AM55" s="1069"/>
      <c r="AN55" s="1069"/>
      <c r="AO55" s="1069"/>
      <c r="AP55" s="1069"/>
      <c r="AQ55" s="1069"/>
      <c r="AR55" s="1069"/>
      <c r="AS55" s="1282"/>
      <c r="AT55" s="1282"/>
      <c r="AU55" s="1069"/>
      <c r="AV55" s="1069"/>
      <c r="AW55" s="1069"/>
      <c r="AX55" s="1069"/>
      <c r="AY55" s="1069"/>
      <c r="AZ55" s="1078">
        <f t="shared" si="10"/>
        <v>0.28970000000000001</v>
      </c>
      <c r="BA55" s="59">
        <v>51</v>
      </c>
      <c r="BB55" s="59">
        <f t="shared" si="12"/>
        <v>51</v>
      </c>
      <c r="BC55" s="60" t="str">
        <f t="shared" si="13"/>
        <v>Capim Braquiaria Brizantha Marandu Verão</v>
      </c>
      <c r="BD55" s="61" t="str">
        <f ca="1">IFERROR(IF(SEARCH('Calcular Dieta'!A$3,$BC$5:$BC$310)&gt;=1,BC55,"Não encontrado"),"Não encontrado")</f>
        <v>Capim Braquiaria Brizantha Marandu Verão</v>
      </c>
      <c r="BE55" s="741">
        <f ca="1">COUNTIF(BD$5:BD55,"&lt;&gt;"&amp;"Não encontrado")</f>
        <v>51</v>
      </c>
      <c r="BF55" s="742" t="str">
        <f t="shared" ca="1" si="58"/>
        <v>CAPIM BRAQUIARIA BRIZANTHA MARANDU VERÃO</v>
      </c>
      <c r="BG55" s="744">
        <f t="shared" si="14"/>
        <v>0.18636107000000002</v>
      </c>
      <c r="BH55" s="744">
        <f t="shared" si="15"/>
        <v>9.7955E-2</v>
      </c>
      <c r="BI55" s="744">
        <f t="shared" si="16"/>
        <v>4.3307209999999999E-2</v>
      </c>
      <c r="BJ55" s="744">
        <f t="shared" si="17"/>
        <v>0.15629021000000001</v>
      </c>
      <c r="BK55" s="744" t="str">
        <f t="shared" si="18"/>
        <v/>
      </c>
      <c r="BL55" s="744">
        <f t="shared" si="19"/>
        <v>1.9600549999999999</v>
      </c>
      <c r="BM55" s="744" t="str">
        <f t="shared" si="20"/>
        <v/>
      </c>
      <c r="BN55" s="744">
        <f t="shared" si="21"/>
        <v>5.2725950000000008</v>
      </c>
      <c r="BO55" s="744">
        <f t="shared" si="22"/>
        <v>35.575215000000007</v>
      </c>
      <c r="BP55" s="744" t="str">
        <f t="shared" si="23"/>
        <v/>
      </c>
      <c r="BQ55" s="744" t="str">
        <f t="shared" si="24"/>
        <v/>
      </c>
      <c r="BR55" s="744" t="str">
        <f t="shared" si="25"/>
        <v/>
      </c>
      <c r="BS55" s="744" t="str">
        <f t="shared" si="26"/>
        <v/>
      </c>
      <c r="BT55" s="744" t="str">
        <f t="shared" si="27"/>
        <v/>
      </c>
      <c r="BU55" s="744" t="str">
        <f t="shared" si="28"/>
        <v/>
      </c>
      <c r="BV55" s="744" t="str">
        <f t="shared" si="29"/>
        <v/>
      </c>
      <c r="BW55" s="744" t="str">
        <f t="shared" si="30"/>
        <v/>
      </c>
      <c r="BX55" s="744" t="str">
        <f t="shared" si="31"/>
        <v/>
      </c>
      <c r="BY55" s="744" t="str">
        <f t="shared" si="32"/>
        <v/>
      </c>
      <c r="BZ55" s="744" t="str">
        <f t="shared" si="33"/>
        <v/>
      </c>
      <c r="CA55" s="744" t="str">
        <f t="shared" si="34"/>
        <v/>
      </c>
      <c r="CB55" s="744" t="str">
        <f t="shared" si="35"/>
        <v/>
      </c>
      <c r="CC55" s="744" t="str">
        <f t="shared" si="36"/>
        <v/>
      </c>
      <c r="CD55" s="744" t="str">
        <f t="shared" si="37"/>
        <v/>
      </c>
      <c r="CE55" s="744" t="str">
        <f t="shared" si="38"/>
        <v/>
      </c>
      <c r="CF55" s="744" t="str">
        <f t="shared" si="39"/>
        <v/>
      </c>
      <c r="CG55" s="744" t="str">
        <f t="shared" si="40"/>
        <v/>
      </c>
      <c r="CH55" s="744" t="str">
        <f t="shared" si="41"/>
        <v/>
      </c>
      <c r="CI55" s="744" t="str">
        <f t="shared" si="42"/>
        <v/>
      </c>
      <c r="CJ55" s="744" t="str">
        <f t="shared" si="43"/>
        <v/>
      </c>
      <c r="CK55" s="744" t="str">
        <f t="shared" si="44"/>
        <v/>
      </c>
      <c r="CL55" s="744" t="str">
        <f t="shared" si="45"/>
        <v/>
      </c>
      <c r="CM55" s="744" t="str">
        <f t="shared" si="46"/>
        <v/>
      </c>
      <c r="CN55" s="744" t="str">
        <f t="shared" si="47"/>
        <v/>
      </c>
      <c r="CO55" s="744" t="str">
        <f t="shared" si="48"/>
        <v/>
      </c>
      <c r="CP55" s="744" t="str">
        <f t="shared" si="49"/>
        <v/>
      </c>
      <c r="CQ55" s="744" t="str">
        <f t="shared" si="50"/>
        <v/>
      </c>
      <c r="CR55" s="744" t="str">
        <f t="shared" si="51"/>
        <v/>
      </c>
      <c r="CS55" s="744" t="str">
        <f t="shared" si="52"/>
        <v/>
      </c>
      <c r="CT55" s="744" t="str">
        <f t="shared" si="53"/>
        <v/>
      </c>
      <c r="CU55" s="744" t="str">
        <f t="shared" si="54"/>
        <v/>
      </c>
      <c r="CV55" s="744" t="str">
        <f t="shared" si="55"/>
        <v/>
      </c>
      <c r="CW55" s="744" t="str">
        <f t="shared" si="56"/>
        <v/>
      </c>
      <c r="CX55" s="744">
        <f t="shared" si="57"/>
        <v>0.28975500000000004</v>
      </c>
    </row>
    <row r="56" spans="1:102">
      <c r="A56" s="630">
        <v>52</v>
      </c>
      <c r="B56" s="630" t="s">
        <v>3</v>
      </c>
      <c r="C56" s="631" t="s">
        <v>249</v>
      </c>
      <c r="D56" s="630" t="s">
        <v>1390</v>
      </c>
      <c r="E56" s="634" t="s">
        <v>127</v>
      </c>
      <c r="F56" s="1067">
        <v>0.2</v>
      </c>
      <c r="G56" s="1066">
        <v>1</v>
      </c>
      <c r="H56" s="1069">
        <v>0.33240000000000003</v>
      </c>
      <c r="I56" s="1069">
        <v>0.21323460000000005</v>
      </c>
      <c r="J56" s="1069">
        <v>0.12365280000000003</v>
      </c>
      <c r="K56" s="1069">
        <v>5.7272520000000007E-2</v>
      </c>
      <c r="L56" s="1074">
        <v>0.18454848000000001</v>
      </c>
      <c r="M56" s="1069">
        <v>0</v>
      </c>
      <c r="N56" s="1069">
        <v>0</v>
      </c>
      <c r="O56" s="1069">
        <v>0</v>
      </c>
      <c r="P56" s="1076">
        <v>6.4818000000000007</v>
      </c>
      <c r="Q56" s="1069">
        <v>25.528320000000001</v>
      </c>
      <c r="R56" s="1069">
        <v>16.414709760000001</v>
      </c>
      <c r="S56" s="1279">
        <v>9.1136102399999999</v>
      </c>
      <c r="T56" s="1069">
        <v>14.160368307000002</v>
      </c>
      <c r="U56" s="1069">
        <v>0</v>
      </c>
      <c r="V56" s="1079">
        <v>0.93072000000000021</v>
      </c>
      <c r="W56" s="1069">
        <v>0.29916000000000004</v>
      </c>
      <c r="X56" s="1069">
        <v>0.33240000000000003</v>
      </c>
      <c r="Y56" s="1069">
        <v>6.6480000000000011E-2</v>
      </c>
      <c r="Z56" s="1069">
        <v>2.3932800000000003</v>
      </c>
      <c r="AA56" s="1069">
        <v>9.9720000000000003E-2</v>
      </c>
      <c r="AB56" s="1069"/>
      <c r="AC56" s="1069"/>
      <c r="AD56" s="1069"/>
      <c r="AE56" s="1069"/>
      <c r="AF56" s="1069"/>
      <c r="AG56" s="1069"/>
      <c r="AH56" s="1076"/>
      <c r="AI56" s="1069"/>
      <c r="AJ56" s="1069"/>
      <c r="AK56" s="1069"/>
      <c r="AL56" s="1081"/>
      <c r="AM56" s="1069"/>
      <c r="AN56" s="1069"/>
      <c r="AO56" s="1069"/>
      <c r="AP56" s="1069"/>
      <c r="AQ56" s="1069"/>
      <c r="AR56" s="1069"/>
      <c r="AS56" s="1282"/>
      <c r="AT56" s="1282"/>
      <c r="AU56" s="1069"/>
      <c r="AV56" s="1069"/>
      <c r="AW56" s="1069"/>
      <c r="AX56" s="1069"/>
      <c r="AY56" s="1069"/>
      <c r="AZ56" s="1078">
        <f t="shared" si="10"/>
        <v>0.33240000000000003</v>
      </c>
      <c r="BA56" s="59">
        <v>52</v>
      </c>
      <c r="BB56" s="59">
        <f t="shared" si="12"/>
        <v>52</v>
      </c>
      <c r="BC56" s="60" t="str">
        <f t="shared" si="13"/>
        <v>Capim Braquiaria Brizantha Mg4</v>
      </c>
      <c r="BD56" s="61" t="str">
        <f ca="1">IFERROR(IF(SEARCH('Calcular Dieta'!A$3,$BC$5:$BC$310)&gt;=1,BC56,"Não encontrado"),"Não encontrado")</f>
        <v>Capim Braquiaria Brizantha Mg4</v>
      </c>
      <c r="BE56" s="741">
        <f ca="1">COUNTIF(BD$5:BD56,"&lt;&gt;"&amp;"Não encontrado")</f>
        <v>52</v>
      </c>
      <c r="BF56" s="742" t="str">
        <f t="shared" ca="1" si="58"/>
        <v>CAPIM BRAQUIARIA BRIZANTHA MG4</v>
      </c>
      <c r="BG56" s="744">
        <f t="shared" si="14"/>
        <v>0.21329060000000005</v>
      </c>
      <c r="BH56" s="744">
        <f t="shared" si="15"/>
        <v>0.12370880000000004</v>
      </c>
      <c r="BI56" s="744">
        <f t="shared" si="16"/>
        <v>5.7328520000000008E-2</v>
      </c>
      <c r="BJ56" s="744">
        <f t="shared" si="17"/>
        <v>0.18460448000000002</v>
      </c>
      <c r="BK56" s="744" t="str">
        <f t="shared" si="18"/>
        <v/>
      </c>
      <c r="BL56" s="744" t="str">
        <f t="shared" si="19"/>
        <v/>
      </c>
      <c r="BM56" s="744" t="str">
        <f t="shared" si="20"/>
        <v/>
      </c>
      <c r="BN56" s="744">
        <f t="shared" si="21"/>
        <v>6.4818560000000005</v>
      </c>
      <c r="BO56" s="744">
        <f t="shared" si="22"/>
        <v>25.528376000000002</v>
      </c>
      <c r="BP56" s="744">
        <f t="shared" si="23"/>
        <v>16.414765760000002</v>
      </c>
      <c r="BQ56" s="744">
        <f t="shared" si="24"/>
        <v>9.1136662400000006</v>
      </c>
      <c r="BR56" s="744">
        <f t="shared" si="25"/>
        <v>14.160424307000003</v>
      </c>
      <c r="BS56" s="744" t="str">
        <f t="shared" si="26"/>
        <v/>
      </c>
      <c r="BT56" s="744">
        <f t="shared" si="27"/>
        <v>0.93077600000000016</v>
      </c>
      <c r="BU56" s="744">
        <f t="shared" si="28"/>
        <v>0.29921600000000004</v>
      </c>
      <c r="BV56" s="744">
        <f t="shared" si="29"/>
        <v>0.33245600000000003</v>
      </c>
      <c r="BW56" s="744">
        <f t="shared" si="30"/>
        <v>6.6536000000000012E-2</v>
      </c>
      <c r="BX56" s="744">
        <f t="shared" si="31"/>
        <v>2.3933360000000001</v>
      </c>
      <c r="BY56" s="744">
        <f t="shared" si="32"/>
        <v>9.9776000000000004E-2</v>
      </c>
      <c r="BZ56" s="744" t="str">
        <f t="shared" si="33"/>
        <v/>
      </c>
      <c r="CA56" s="744" t="str">
        <f t="shared" si="34"/>
        <v/>
      </c>
      <c r="CB56" s="744" t="str">
        <f t="shared" si="35"/>
        <v/>
      </c>
      <c r="CC56" s="744" t="str">
        <f t="shared" si="36"/>
        <v/>
      </c>
      <c r="CD56" s="744" t="str">
        <f t="shared" si="37"/>
        <v/>
      </c>
      <c r="CE56" s="744" t="str">
        <f t="shared" si="38"/>
        <v/>
      </c>
      <c r="CF56" s="744" t="str">
        <f t="shared" si="39"/>
        <v/>
      </c>
      <c r="CG56" s="744" t="str">
        <f t="shared" si="40"/>
        <v/>
      </c>
      <c r="CH56" s="744" t="str">
        <f t="shared" si="41"/>
        <v/>
      </c>
      <c r="CI56" s="744" t="str">
        <f t="shared" si="42"/>
        <v/>
      </c>
      <c r="CJ56" s="744" t="str">
        <f t="shared" si="43"/>
        <v/>
      </c>
      <c r="CK56" s="744" t="str">
        <f t="shared" si="44"/>
        <v/>
      </c>
      <c r="CL56" s="744" t="str">
        <f t="shared" si="45"/>
        <v/>
      </c>
      <c r="CM56" s="744" t="str">
        <f t="shared" si="46"/>
        <v/>
      </c>
      <c r="CN56" s="744" t="str">
        <f t="shared" si="47"/>
        <v/>
      </c>
      <c r="CO56" s="744" t="str">
        <f t="shared" si="48"/>
        <v/>
      </c>
      <c r="CP56" s="744" t="str">
        <f t="shared" si="49"/>
        <v/>
      </c>
      <c r="CQ56" s="744" t="str">
        <f t="shared" si="50"/>
        <v/>
      </c>
      <c r="CR56" s="744" t="str">
        <f t="shared" si="51"/>
        <v/>
      </c>
      <c r="CS56" s="744" t="str">
        <f t="shared" si="52"/>
        <v/>
      </c>
      <c r="CT56" s="744" t="str">
        <f t="shared" si="53"/>
        <v/>
      </c>
      <c r="CU56" s="744" t="str">
        <f t="shared" si="54"/>
        <v/>
      </c>
      <c r="CV56" s="744" t="str">
        <f t="shared" si="55"/>
        <v/>
      </c>
      <c r="CW56" s="744" t="str">
        <f t="shared" si="56"/>
        <v/>
      </c>
      <c r="CX56" s="744">
        <f t="shared" si="57"/>
        <v>0.33245600000000003</v>
      </c>
    </row>
    <row r="57" spans="1:102">
      <c r="A57" s="633">
        <v>53</v>
      </c>
      <c r="B57" s="630" t="s">
        <v>3</v>
      </c>
      <c r="C57" s="631" t="s">
        <v>249</v>
      </c>
      <c r="D57" s="630" t="s">
        <v>1390</v>
      </c>
      <c r="E57" s="632" t="s">
        <v>128</v>
      </c>
      <c r="F57" s="1067">
        <v>0.2</v>
      </c>
      <c r="G57" s="1066">
        <v>1</v>
      </c>
      <c r="H57" s="1069">
        <v>0.29270000000000002</v>
      </c>
      <c r="I57" s="1069">
        <v>0.21039276000000001</v>
      </c>
      <c r="J57" s="1069">
        <v>9.7900000000000001E-2</v>
      </c>
      <c r="K57" s="1069">
        <v>4.1036539999999996E-2</v>
      </c>
      <c r="L57" s="1074">
        <v>0.15565786000000004</v>
      </c>
      <c r="M57" s="1069"/>
      <c r="N57" s="1069">
        <v>1.86</v>
      </c>
      <c r="O57" s="1069"/>
      <c r="P57" s="1076">
        <v>4.4783100000000013</v>
      </c>
      <c r="Q57" s="1069">
        <v>18.644990000000004</v>
      </c>
      <c r="R57" s="1069"/>
      <c r="S57" s="1069"/>
      <c r="T57" s="1069"/>
      <c r="U57" s="1069"/>
      <c r="V57" s="1079"/>
      <c r="W57" s="1069"/>
      <c r="X57" s="1069"/>
      <c r="Y57" s="1069"/>
      <c r="Z57" s="1069"/>
      <c r="AA57" s="1069"/>
      <c r="AB57" s="1069"/>
      <c r="AC57" s="1069"/>
      <c r="AD57" s="1069"/>
      <c r="AE57" s="1069"/>
      <c r="AF57" s="1069"/>
      <c r="AG57" s="1069"/>
      <c r="AH57" s="1076"/>
      <c r="AI57" s="1069"/>
      <c r="AJ57" s="1069"/>
      <c r="AK57" s="1069"/>
      <c r="AL57" s="1081"/>
      <c r="AM57" s="1069"/>
      <c r="AN57" s="1069"/>
      <c r="AO57" s="1069"/>
      <c r="AP57" s="1069"/>
      <c r="AQ57" s="1069"/>
      <c r="AR57" s="1069"/>
      <c r="AS57" s="1282"/>
      <c r="AT57" s="1282"/>
      <c r="AU57" s="1069"/>
      <c r="AV57" s="1069"/>
      <c r="AW57" s="1069"/>
      <c r="AX57" s="1069"/>
      <c r="AY57" s="1069"/>
      <c r="AZ57" s="1078">
        <f t="shared" si="10"/>
        <v>0.29270000000000002</v>
      </c>
      <c r="BA57" s="59">
        <v>53</v>
      </c>
      <c r="BB57" s="59">
        <f t="shared" si="12"/>
        <v>53</v>
      </c>
      <c r="BC57" s="60" t="str">
        <f t="shared" si="13"/>
        <v>Capim Braquiaria Brizantha Mg4 (61 A 90 Dias)</v>
      </c>
      <c r="BD57" s="61" t="str">
        <f ca="1">IFERROR(IF(SEARCH('Calcular Dieta'!A$3,$BC$5:$BC$310)&gt;=1,BC57,"Não encontrado"),"Não encontrado")</f>
        <v>Capim Braquiaria Brizantha Mg4 (61 A 90 Dias)</v>
      </c>
      <c r="BE57" s="741">
        <f ca="1">COUNTIF(BD$5:BD57,"&lt;&gt;"&amp;"Não encontrado")</f>
        <v>53</v>
      </c>
      <c r="BF57" s="742" t="str">
        <f t="shared" ca="1" si="58"/>
        <v>CAPIM BRAQUIARIA BRIZANTHA MG4 (61 A 90 DIAS)</v>
      </c>
      <c r="BG57" s="744">
        <f t="shared" si="14"/>
        <v>0.21044976000000001</v>
      </c>
      <c r="BH57" s="744">
        <f t="shared" si="15"/>
        <v>9.7957000000000002E-2</v>
      </c>
      <c r="BI57" s="744">
        <f t="shared" si="16"/>
        <v>4.1093539999999998E-2</v>
      </c>
      <c r="BJ57" s="744">
        <f t="shared" si="17"/>
        <v>0.15571486000000004</v>
      </c>
      <c r="BK57" s="744" t="str">
        <f t="shared" si="18"/>
        <v/>
      </c>
      <c r="BL57" s="744">
        <f t="shared" si="19"/>
        <v>1.8600570000000001</v>
      </c>
      <c r="BM57" s="744" t="str">
        <f t="shared" si="20"/>
        <v/>
      </c>
      <c r="BN57" s="744">
        <f t="shared" si="21"/>
        <v>4.4783670000000013</v>
      </c>
      <c r="BO57" s="744">
        <f t="shared" si="22"/>
        <v>18.645047000000005</v>
      </c>
      <c r="BP57" s="744" t="str">
        <f t="shared" si="23"/>
        <v/>
      </c>
      <c r="BQ57" s="744" t="str">
        <f t="shared" si="24"/>
        <v/>
      </c>
      <c r="BR57" s="744" t="str">
        <f t="shared" si="25"/>
        <v/>
      </c>
      <c r="BS57" s="744" t="str">
        <f t="shared" si="26"/>
        <v/>
      </c>
      <c r="BT57" s="744" t="str">
        <f t="shared" si="27"/>
        <v/>
      </c>
      <c r="BU57" s="744" t="str">
        <f t="shared" si="28"/>
        <v/>
      </c>
      <c r="BV57" s="744" t="str">
        <f t="shared" si="29"/>
        <v/>
      </c>
      <c r="BW57" s="744" t="str">
        <f t="shared" si="30"/>
        <v/>
      </c>
      <c r="BX57" s="744" t="str">
        <f t="shared" si="31"/>
        <v/>
      </c>
      <c r="BY57" s="744" t="str">
        <f t="shared" si="32"/>
        <v/>
      </c>
      <c r="BZ57" s="744" t="str">
        <f t="shared" si="33"/>
        <v/>
      </c>
      <c r="CA57" s="744" t="str">
        <f t="shared" si="34"/>
        <v/>
      </c>
      <c r="CB57" s="744" t="str">
        <f t="shared" si="35"/>
        <v/>
      </c>
      <c r="CC57" s="744" t="str">
        <f t="shared" si="36"/>
        <v/>
      </c>
      <c r="CD57" s="744" t="str">
        <f t="shared" si="37"/>
        <v/>
      </c>
      <c r="CE57" s="744" t="str">
        <f t="shared" si="38"/>
        <v/>
      </c>
      <c r="CF57" s="744" t="str">
        <f t="shared" si="39"/>
        <v/>
      </c>
      <c r="CG57" s="744" t="str">
        <f t="shared" si="40"/>
        <v/>
      </c>
      <c r="CH57" s="744" t="str">
        <f t="shared" si="41"/>
        <v/>
      </c>
      <c r="CI57" s="744" t="str">
        <f t="shared" si="42"/>
        <v/>
      </c>
      <c r="CJ57" s="744" t="str">
        <f t="shared" si="43"/>
        <v/>
      </c>
      <c r="CK57" s="744" t="str">
        <f t="shared" si="44"/>
        <v/>
      </c>
      <c r="CL57" s="744" t="str">
        <f t="shared" si="45"/>
        <v/>
      </c>
      <c r="CM57" s="744" t="str">
        <f t="shared" si="46"/>
        <v/>
      </c>
      <c r="CN57" s="744" t="str">
        <f t="shared" si="47"/>
        <v/>
      </c>
      <c r="CO57" s="744" t="str">
        <f t="shared" si="48"/>
        <v/>
      </c>
      <c r="CP57" s="744" t="str">
        <f t="shared" si="49"/>
        <v/>
      </c>
      <c r="CQ57" s="744" t="str">
        <f t="shared" si="50"/>
        <v/>
      </c>
      <c r="CR57" s="744" t="str">
        <f t="shared" si="51"/>
        <v/>
      </c>
      <c r="CS57" s="744" t="str">
        <f t="shared" si="52"/>
        <v/>
      </c>
      <c r="CT57" s="744" t="str">
        <f t="shared" si="53"/>
        <v/>
      </c>
      <c r="CU57" s="744" t="str">
        <f t="shared" si="54"/>
        <v/>
      </c>
      <c r="CV57" s="744" t="str">
        <f t="shared" si="55"/>
        <v/>
      </c>
      <c r="CW57" s="744" t="str">
        <f t="shared" si="56"/>
        <v/>
      </c>
      <c r="CX57" s="744">
        <f t="shared" si="57"/>
        <v>0.29275699999999999</v>
      </c>
    </row>
    <row r="58" spans="1:102">
      <c r="A58" s="630">
        <v>54</v>
      </c>
      <c r="B58" s="630" t="s">
        <v>3</v>
      </c>
      <c r="C58" s="631" t="s">
        <v>249</v>
      </c>
      <c r="D58" s="630" t="s">
        <v>1390</v>
      </c>
      <c r="E58" s="632" t="s">
        <v>129</v>
      </c>
      <c r="F58" s="1067">
        <v>0.2</v>
      </c>
      <c r="G58" s="1066">
        <v>1</v>
      </c>
      <c r="H58" s="1069">
        <v>0.33929999999999999</v>
      </c>
      <c r="I58" s="1069">
        <v>0.25545897000000001</v>
      </c>
      <c r="J58" s="1069">
        <v>9.7900000000000001E-2</v>
      </c>
      <c r="K58" s="1069">
        <v>4.438044E-2</v>
      </c>
      <c r="L58" s="1074">
        <v>0.18926153999999998</v>
      </c>
      <c r="M58" s="1069"/>
      <c r="N58" s="1069">
        <v>1.94</v>
      </c>
      <c r="O58" s="1069"/>
      <c r="P58" s="1076">
        <v>5.9038199999999996</v>
      </c>
      <c r="Q58" s="1069">
        <v>15.981030000000001</v>
      </c>
      <c r="R58" s="1069"/>
      <c r="S58" s="1069"/>
      <c r="T58" s="1069"/>
      <c r="U58" s="1069"/>
      <c r="V58" s="1079"/>
      <c r="W58" s="1069"/>
      <c r="X58" s="1069"/>
      <c r="Y58" s="1069"/>
      <c r="Z58" s="1069"/>
      <c r="AA58" s="1069"/>
      <c r="AB58" s="1069"/>
      <c r="AC58" s="1069"/>
      <c r="AD58" s="1069"/>
      <c r="AE58" s="1069"/>
      <c r="AF58" s="1069"/>
      <c r="AG58" s="1069"/>
      <c r="AH58" s="1076"/>
      <c r="AI58" s="1069"/>
      <c r="AJ58" s="1069"/>
      <c r="AK58" s="1069"/>
      <c r="AL58" s="1081"/>
      <c r="AM58" s="1069"/>
      <c r="AN58" s="1069"/>
      <c r="AO58" s="1069"/>
      <c r="AP58" s="1069"/>
      <c r="AQ58" s="1069"/>
      <c r="AR58" s="1069"/>
      <c r="AS58" s="1282"/>
      <c r="AT58" s="1282"/>
      <c r="AU58" s="1069"/>
      <c r="AV58" s="1069"/>
      <c r="AW58" s="1069"/>
      <c r="AX58" s="1069"/>
      <c r="AY58" s="1069"/>
      <c r="AZ58" s="1078">
        <f t="shared" si="10"/>
        <v>0.33929999999999999</v>
      </c>
      <c r="BA58" s="59">
        <v>54</v>
      </c>
      <c r="BB58" s="59">
        <f t="shared" si="12"/>
        <v>54</v>
      </c>
      <c r="BC58" s="60" t="str">
        <f t="shared" si="13"/>
        <v>Capim Braquiária Brizantha Piatã (61 A 90 Dias)</v>
      </c>
      <c r="BD58" s="61" t="str">
        <f ca="1">IFERROR(IF(SEARCH('Calcular Dieta'!A$3,$BC$5:$BC$310)&gt;=1,BC58,"Não encontrado"),"Não encontrado")</f>
        <v>Capim Braquiária Brizantha Piatã (61 A 90 Dias)</v>
      </c>
      <c r="BE58" s="741">
        <f ca="1">COUNTIF(BD$5:BD58,"&lt;&gt;"&amp;"Não encontrado")</f>
        <v>54</v>
      </c>
      <c r="BF58" s="742" t="str">
        <f t="shared" ca="1" si="58"/>
        <v>CAPIM BRAQUIÁRIA BRIZANTHA PIATÃ (61 A 90 DIAS)</v>
      </c>
      <c r="BG58" s="744">
        <f t="shared" si="14"/>
        <v>0.25551697000000001</v>
      </c>
      <c r="BH58" s="744">
        <f t="shared" si="15"/>
        <v>9.7958000000000003E-2</v>
      </c>
      <c r="BI58" s="744">
        <f t="shared" si="16"/>
        <v>4.4438440000000003E-2</v>
      </c>
      <c r="BJ58" s="744">
        <f t="shared" si="17"/>
        <v>0.18931953999999998</v>
      </c>
      <c r="BK58" s="744" t="str">
        <f t="shared" si="18"/>
        <v/>
      </c>
      <c r="BL58" s="744">
        <f t="shared" si="19"/>
        <v>1.9400579999999998</v>
      </c>
      <c r="BM58" s="744" t="str">
        <f t="shared" si="20"/>
        <v/>
      </c>
      <c r="BN58" s="744">
        <f t="shared" si="21"/>
        <v>5.9038779999999997</v>
      </c>
      <c r="BO58" s="744">
        <f t="shared" si="22"/>
        <v>15.981088</v>
      </c>
      <c r="BP58" s="744" t="str">
        <f t="shared" si="23"/>
        <v/>
      </c>
      <c r="BQ58" s="744" t="str">
        <f t="shared" si="24"/>
        <v/>
      </c>
      <c r="BR58" s="744" t="str">
        <f t="shared" si="25"/>
        <v/>
      </c>
      <c r="BS58" s="744" t="str">
        <f t="shared" si="26"/>
        <v/>
      </c>
      <c r="BT58" s="744" t="str">
        <f t="shared" si="27"/>
        <v/>
      </c>
      <c r="BU58" s="744" t="str">
        <f t="shared" si="28"/>
        <v/>
      </c>
      <c r="BV58" s="744" t="str">
        <f t="shared" si="29"/>
        <v/>
      </c>
      <c r="BW58" s="744" t="str">
        <f t="shared" si="30"/>
        <v/>
      </c>
      <c r="BX58" s="744" t="str">
        <f t="shared" si="31"/>
        <v/>
      </c>
      <c r="BY58" s="744" t="str">
        <f t="shared" si="32"/>
        <v/>
      </c>
      <c r="BZ58" s="744" t="str">
        <f t="shared" si="33"/>
        <v/>
      </c>
      <c r="CA58" s="744" t="str">
        <f t="shared" si="34"/>
        <v/>
      </c>
      <c r="CB58" s="744" t="str">
        <f t="shared" si="35"/>
        <v/>
      </c>
      <c r="CC58" s="744" t="str">
        <f t="shared" si="36"/>
        <v/>
      </c>
      <c r="CD58" s="744" t="str">
        <f t="shared" si="37"/>
        <v/>
      </c>
      <c r="CE58" s="744" t="str">
        <f t="shared" si="38"/>
        <v/>
      </c>
      <c r="CF58" s="744" t="str">
        <f t="shared" si="39"/>
        <v/>
      </c>
      <c r="CG58" s="744" t="str">
        <f t="shared" si="40"/>
        <v/>
      </c>
      <c r="CH58" s="744" t="str">
        <f t="shared" si="41"/>
        <v/>
      </c>
      <c r="CI58" s="744" t="str">
        <f t="shared" si="42"/>
        <v/>
      </c>
      <c r="CJ58" s="744" t="str">
        <f t="shared" si="43"/>
        <v/>
      </c>
      <c r="CK58" s="744" t="str">
        <f t="shared" si="44"/>
        <v/>
      </c>
      <c r="CL58" s="744" t="str">
        <f t="shared" si="45"/>
        <v/>
      </c>
      <c r="CM58" s="744" t="str">
        <f t="shared" si="46"/>
        <v/>
      </c>
      <c r="CN58" s="744" t="str">
        <f t="shared" si="47"/>
        <v/>
      </c>
      <c r="CO58" s="744" t="str">
        <f t="shared" si="48"/>
        <v/>
      </c>
      <c r="CP58" s="744" t="str">
        <f t="shared" si="49"/>
        <v/>
      </c>
      <c r="CQ58" s="744" t="str">
        <f t="shared" si="50"/>
        <v/>
      </c>
      <c r="CR58" s="744" t="str">
        <f t="shared" si="51"/>
        <v/>
      </c>
      <c r="CS58" s="744" t="str">
        <f t="shared" si="52"/>
        <v/>
      </c>
      <c r="CT58" s="744" t="str">
        <f t="shared" si="53"/>
        <v/>
      </c>
      <c r="CU58" s="744" t="str">
        <f t="shared" si="54"/>
        <v/>
      </c>
      <c r="CV58" s="744" t="str">
        <f t="shared" si="55"/>
        <v/>
      </c>
      <c r="CW58" s="744" t="str">
        <f t="shared" si="56"/>
        <v/>
      </c>
      <c r="CX58" s="744">
        <f t="shared" si="57"/>
        <v>0.33935799999999999</v>
      </c>
    </row>
    <row r="59" spans="1:102">
      <c r="A59" s="633">
        <v>55</v>
      </c>
      <c r="B59" s="630" t="s">
        <v>3</v>
      </c>
      <c r="C59" s="631" t="s">
        <v>249</v>
      </c>
      <c r="D59" s="630" t="s">
        <v>1390</v>
      </c>
      <c r="E59" s="632" t="s">
        <v>130</v>
      </c>
      <c r="F59" s="1067">
        <v>0.2</v>
      </c>
      <c r="G59" s="1066">
        <v>1</v>
      </c>
      <c r="H59" s="1069">
        <v>0.23019999999999999</v>
      </c>
      <c r="I59" s="1069">
        <v>0.15605258</v>
      </c>
      <c r="J59" s="1069">
        <v>8.4966819999999998E-2</v>
      </c>
      <c r="K59" s="1069">
        <v>3.0823780000000002E-2</v>
      </c>
      <c r="L59" s="1074">
        <v>0.12967165999999999</v>
      </c>
      <c r="M59" s="1069"/>
      <c r="N59" s="1279">
        <v>2.0099999999999998</v>
      </c>
      <c r="O59" s="1069"/>
      <c r="P59" s="1076">
        <v>3.5680999999999998</v>
      </c>
      <c r="Q59" s="1069">
        <v>21.385579999999997</v>
      </c>
      <c r="R59" s="1069">
        <v>12.296708499999998</v>
      </c>
      <c r="S59" s="1069">
        <v>9.088871499999998</v>
      </c>
      <c r="T59" s="1069">
        <v>15.087526689999999</v>
      </c>
      <c r="U59" s="1069"/>
      <c r="V59" s="1079">
        <v>1.3812</v>
      </c>
      <c r="W59" s="1069">
        <v>0.20717999999999998</v>
      </c>
      <c r="X59" s="1069">
        <v>0.25322</v>
      </c>
      <c r="Y59" s="1069">
        <v>2.3019999999999999E-2</v>
      </c>
      <c r="Z59" s="1069">
        <v>1.5883799999999999</v>
      </c>
      <c r="AA59" s="1069">
        <v>6.9059999999999996E-2</v>
      </c>
      <c r="AB59" s="1279">
        <v>4.2</v>
      </c>
      <c r="AC59" s="1279">
        <v>22</v>
      </c>
      <c r="AD59" s="1279"/>
      <c r="AE59" s="1279">
        <v>63</v>
      </c>
      <c r="AF59" s="1279"/>
      <c r="AG59" s="1279">
        <v>0.13</v>
      </c>
      <c r="AH59" s="1076"/>
      <c r="AI59" s="1069"/>
      <c r="AJ59" s="1069"/>
      <c r="AK59" s="1069"/>
      <c r="AL59" s="1081"/>
      <c r="AM59" s="1069"/>
      <c r="AN59" s="1069"/>
      <c r="AO59" s="1069"/>
      <c r="AP59" s="1069"/>
      <c r="AQ59" s="1069"/>
      <c r="AR59" s="1069"/>
      <c r="AS59" s="1282"/>
      <c r="AT59" s="1282"/>
      <c r="AU59" s="1069"/>
      <c r="AV59" s="1069"/>
      <c r="AW59" s="1069"/>
      <c r="AX59" s="1069"/>
      <c r="AY59" s="1069"/>
      <c r="AZ59" s="1078">
        <f t="shared" si="10"/>
        <v>0.23019999999999999</v>
      </c>
      <c r="BA59" s="59">
        <v>55</v>
      </c>
      <c r="BB59" s="59">
        <f t="shared" si="12"/>
        <v>55</v>
      </c>
      <c r="BC59" s="60" t="str">
        <f t="shared" si="13"/>
        <v>Capim Braquiária Brizantha Xaraés</v>
      </c>
      <c r="BD59" s="61" t="str">
        <f ca="1">IFERROR(IF(SEARCH('Calcular Dieta'!A$3,$BC$5:$BC$310)&gt;=1,BC59,"Não encontrado"),"Não encontrado")</f>
        <v>Capim Braquiária Brizantha Xaraés</v>
      </c>
      <c r="BE59" s="741">
        <f ca="1">COUNTIF(BD$5:BD59,"&lt;&gt;"&amp;"Não encontrado")</f>
        <v>55</v>
      </c>
      <c r="BF59" s="742" t="str">
        <f t="shared" ca="1" si="58"/>
        <v>CAPIM BRAQUIÁRIA BRIZANTHA XARAÉS</v>
      </c>
      <c r="BG59" s="744">
        <f t="shared" si="14"/>
        <v>0.15611158</v>
      </c>
      <c r="BH59" s="744">
        <f t="shared" si="15"/>
        <v>8.5025820000000002E-2</v>
      </c>
      <c r="BI59" s="744">
        <f t="shared" si="16"/>
        <v>3.0882780000000002E-2</v>
      </c>
      <c r="BJ59" s="744">
        <f t="shared" si="17"/>
        <v>0.12973066</v>
      </c>
      <c r="BK59" s="744" t="str">
        <f t="shared" si="18"/>
        <v/>
      </c>
      <c r="BL59" s="744">
        <f t="shared" si="19"/>
        <v>2.0100589999999996</v>
      </c>
      <c r="BM59" s="744" t="str">
        <f t="shared" si="20"/>
        <v/>
      </c>
      <c r="BN59" s="744">
        <f t="shared" si="21"/>
        <v>3.5681589999999996</v>
      </c>
      <c r="BO59" s="744">
        <f t="shared" si="22"/>
        <v>21.385638999999998</v>
      </c>
      <c r="BP59" s="744">
        <f t="shared" si="23"/>
        <v>12.296767499999998</v>
      </c>
      <c r="BQ59" s="744">
        <f t="shared" si="24"/>
        <v>9.0889304999999982</v>
      </c>
      <c r="BR59" s="744">
        <f t="shared" si="25"/>
        <v>15.087585689999999</v>
      </c>
      <c r="BS59" s="744" t="str">
        <f t="shared" si="26"/>
        <v/>
      </c>
      <c r="BT59" s="744">
        <f t="shared" si="27"/>
        <v>1.381259</v>
      </c>
      <c r="BU59" s="744">
        <f t="shared" si="28"/>
        <v>0.20723899999999998</v>
      </c>
      <c r="BV59" s="744">
        <f t="shared" si="29"/>
        <v>0.25327899999999998</v>
      </c>
      <c r="BW59" s="744">
        <f t="shared" si="30"/>
        <v>2.3078999999999999E-2</v>
      </c>
      <c r="BX59" s="744">
        <f t="shared" si="31"/>
        <v>1.5884389999999999</v>
      </c>
      <c r="BY59" s="744">
        <f t="shared" si="32"/>
        <v>6.9119E-2</v>
      </c>
      <c r="BZ59" s="744">
        <f t="shared" si="33"/>
        <v>4.2000590000000004</v>
      </c>
      <c r="CA59" s="744">
        <f t="shared" si="34"/>
        <v>22.000059</v>
      </c>
      <c r="CB59" s="744" t="str">
        <f t="shared" si="35"/>
        <v/>
      </c>
      <c r="CC59" s="744">
        <f t="shared" si="36"/>
        <v>63.000059</v>
      </c>
      <c r="CD59" s="744" t="str">
        <f t="shared" si="37"/>
        <v/>
      </c>
      <c r="CE59" s="744">
        <f t="shared" si="38"/>
        <v>0.13005900000000001</v>
      </c>
      <c r="CF59" s="744" t="str">
        <f t="shared" si="39"/>
        <v/>
      </c>
      <c r="CG59" s="744" t="str">
        <f t="shared" si="40"/>
        <v/>
      </c>
      <c r="CH59" s="744" t="str">
        <f t="shared" si="41"/>
        <v/>
      </c>
      <c r="CI59" s="744" t="str">
        <f t="shared" si="42"/>
        <v/>
      </c>
      <c r="CJ59" s="744" t="str">
        <f t="shared" si="43"/>
        <v/>
      </c>
      <c r="CK59" s="744" t="str">
        <f t="shared" si="44"/>
        <v/>
      </c>
      <c r="CL59" s="744" t="str">
        <f t="shared" si="45"/>
        <v/>
      </c>
      <c r="CM59" s="744" t="str">
        <f t="shared" si="46"/>
        <v/>
      </c>
      <c r="CN59" s="744" t="str">
        <f t="shared" si="47"/>
        <v/>
      </c>
      <c r="CO59" s="744" t="str">
        <f t="shared" si="48"/>
        <v/>
      </c>
      <c r="CP59" s="744" t="str">
        <f t="shared" si="49"/>
        <v/>
      </c>
      <c r="CQ59" s="744" t="str">
        <f t="shared" si="50"/>
        <v/>
      </c>
      <c r="CR59" s="744" t="str">
        <f t="shared" si="51"/>
        <v/>
      </c>
      <c r="CS59" s="744" t="str">
        <f t="shared" si="52"/>
        <v/>
      </c>
      <c r="CT59" s="744" t="str">
        <f t="shared" si="53"/>
        <v/>
      </c>
      <c r="CU59" s="744" t="str">
        <f t="shared" si="54"/>
        <v/>
      </c>
      <c r="CV59" s="744" t="str">
        <f t="shared" si="55"/>
        <v/>
      </c>
      <c r="CW59" s="744" t="str">
        <f t="shared" si="56"/>
        <v/>
      </c>
      <c r="CX59" s="744">
        <f t="shared" si="57"/>
        <v>0.23025899999999999</v>
      </c>
    </row>
    <row r="60" spans="1:102">
      <c r="A60" s="630">
        <v>56</v>
      </c>
      <c r="B60" s="630" t="s">
        <v>3</v>
      </c>
      <c r="C60" s="631" t="s">
        <v>249</v>
      </c>
      <c r="D60" s="630" t="s">
        <v>1390</v>
      </c>
      <c r="E60" s="632" t="s">
        <v>131</v>
      </c>
      <c r="F60" s="1067">
        <v>0.2</v>
      </c>
      <c r="G60" s="1066">
        <v>1</v>
      </c>
      <c r="H60" s="1069">
        <v>0.28489999999999999</v>
      </c>
      <c r="I60" s="1069">
        <v>0.18911661999999999</v>
      </c>
      <c r="J60" s="1069">
        <v>0.11193720999999998</v>
      </c>
      <c r="K60" s="1069">
        <v>4.7834709999999996E-2</v>
      </c>
      <c r="L60" s="1074">
        <v>0.15763516999999999</v>
      </c>
      <c r="M60" s="1069"/>
      <c r="N60" s="1279">
        <v>1.79</v>
      </c>
      <c r="O60" s="1069"/>
      <c r="P60" s="1076">
        <v>5.1566900000000002</v>
      </c>
      <c r="Q60" s="1069">
        <v>19.202259999999999</v>
      </c>
      <c r="R60" s="1069">
        <v>13.460784259999999</v>
      </c>
      <c r="S60" s="1069">
        <v>5.7414757399999994</v>
      </c>
      <c r="T60" s="1069">
        <v>12.813668097999999</v>
      </c>
      <c r="U60" s="1069"/>
      <c r="V60" s="1079">
        <v>1.1395999999999999</v>
      </c>
      <c r="W60" s="1069">
        <v>0.28489999999999999</v>
      </c>
      <c r="X60" s="1069">
        <v>0.25640999999999997</v>
      </c>
      <c r="Y60" s="1069">
        <v>2.8490000000000001E-2</v>
      </c>
      <c r="Z60" s="1069">
        <v>2.6780599999999994</v>
      </c>
      <c r="AA60" s="1069">
        <v>0.11396000000000001</v>
      </c>
      <c r="AB60" s="1279">
        <v>3.8</v>
      </c>
      <c r="AC60" s="1279">
        <v>28</v>
      </c>
      <c r="AD60" s="1279">
        <v>215.29</v>
      </c>
      <c r="AE60" s="1279">
        <v>85</v>
      </c>
      <c r="AF60" s="1279"/>
      <c r="AG60" s="1279">
        <v>0.28000000000000003</v>
      </c>
      <c r="AH60" s="1076"/>
      <c r="AI60" s="1069"/>
      <c r="AJ60" s="1069"/>
      <c r="AK60" s="1069"/>
      <c r="AL60" s="1081"/>
      <c r="AM60" s="1069"/>
      <c r="AN60" s="1069"/>
      <c r="AO60" s="1069"/>
      <c r="AP60" s="1069"/>
      <c r="AQ60" s="1069"/>
      <c r="AR60" s="1069"/>
      <c r="AS60" s="1282"/>
      <c r="AT60" s="1282"/>
      <c r="AU60" s="1069"/>
      <c r="AV60" s="1069"/>
      <c r="AW60" s="1069"/>
      <c r="AX60" s="1069"/>
      <c r="AY60" s="1069"/>
      <c r="AZ60" s="1078">
        <f t="shared" si="10"/>
        <v>0.28489999999999999</v>
      </c>
      <c r="BA60" s="59">
        <v>56</v>
      </c>
      <c r="BB60" s="59">
        <f t="shared" si="12"/>
        <v>56</v>
      </c>
      <c r="BC60" s="60" t="str">
        <f t="shared" si="13"/>
        <v>Capim Braquiária Decumbens</v>
      </c>
      <c r="BD60" s="61" t="str">
        <f ca="1">IFERROR(IF(SEARCH('Calcular Dieta'!A$3,$BC$5:$BC$310)&gt;=1,BC60,"Não encontrado"),"Não encontrado")</f>
        <v>Capim Braquiária Decumbens</v>
      </c>
      <c r="BE60" s="741">
        <f ca="1">COUNTIF(BD$5:BD60,"&lt;&gt;"&amp;"Não encontrado")</f>
        <v>56</v>
      </c>
      <c r="BF60" s="742" t="str">
        <f t="shared" ca="1" si="58"/>
        <v>CAPIM BRAQUIÁRIA DECUMBENS</v>
      </c>
      <c r="BG60" s="744">
        <f t="shared" si="14"/>
        <v>0.18917661999999999</v>
      </c>
      <c r="BH60" s="744">
        <f t="shared" si="15"/>
        <v>0.11199720999999999</v>
      </c>
      <c r="BI60" s="744">
        <f t="shared" si="16"/>
        <v>4.7894709999999993E-2</v>
      </c>
      <c r="BJ60" s="744">
        <f t="shared" si="17"/>
        <v>0.15769517</v>
      </c>
      <c r="BK60" s="744" t="str">
        <f t="shared" si="18"/>
        <v/>
      </c>
      <c r="BL60" s="744">
        <f t="shared" si="19"/>
        <v>1.79006</v>
      </c>
      <c r="BM60" s="744" t="str">
        <f t="shared" si="20"/>
        <v/>
      </c>
      <c r="BN60" s="744">
        <f t="shared" si="21"/>
        <v>5.1567500000000006</v>
      </c>
      <c r="BO60" s="744">
        <f t="shared" si="22"/>
        <v>19.20232</v>
      </c>
      <c r="BP60" s="744">
        <f t="shared" si="23"/>
        <v>13.460844259999998</v>
      </c>
      <c r="BQ60" s="744">
        <f t="shared" si="24"/>
        <v>5.7415357399999998</v>
      </c>
      <c r="BR60" s="744">
        <f t="shared" si="25"/>
        <v>12.813728097999999</v>
      </c>
      <c r="BS60" s="744" t="str">
        <f t="shared" si="26"/>
        <v/>
      </c>
      <c r="BT60" s="744">
        <f t="shared" si="27"/>
        <v>1.1396599999999999</v>
      </c>
      <c r="BU60" s="744">
        <f t="shared" si="28"/>
        <v>0.28495999999999999</v>
      </c>
      <c r="BV60" s="744">
        <f t="shared" si="29"/>
        <v>0.25646999999999998</v>
      </c>
      <c r="BW60" s="744">
        <f t="shared" si="30"/>
        <v>2.8550000000000002E-2</v>
      </c>
      <c r="BX60" s="744">
        <f t="shared" si="31"/>
        <v>2.6781199999999994</v>
      </c>
      <c r="BY60" s="744">
        <f t="shared" si="32"/>
        <v>0.11402000000000001</v>
      </c>
      <c r="BZ60" s="744">
        <f t="shared" si="33"/>
        <v>3.8000599999999998</v>
      </c>
      <c r="CA60" s="744">
        <f t="shared" si="34"/>
        <v>28.000060000000001</v>
      </c>
      <c r="CB60" s="744">
        <f t="shared" si="35"/>
        <v>215.29005999999998</v>
      </c>
      <c r="CC60" s="744">
        <f t="shared" si="36"/>
        <v>85.000060000000005</v>
      </c>
      <c r="CD60" s="744" t="str">
        <f t="shared" si="37"/>
        <v/>
      </c>
      <c r="CE60" s="744">
        <f t="shared" si="38"/>
        <v>0.28006000000000003</v>
      </c>
      <c r="CF60" s="744" t="str">
        <f t="shared" si="39"/>
        <v/>
      </c>
      <c r="CG60" s="744" t="str">
        <f t="shared" si="40"/>
        <v/>
      </c>
      <c r="CH60" s="744" t="str">
        <f t="shared" si="41"/>
        <v/>
      </c>
      <c r="CI60" s="744" t="str">
        <f t="shared" si="42"/>
        <v/>
      </c>
      <c r="CJ60" s="744" t="str">
        <f t="shared" si="43"/>
        <v/>
      </c>
      <c r="CK60" s="744" t="str">
        <f t="shared" si="44"/>
        <v/>
      </c>
      <c r="CL60" s="744" t="str">
        <f t="shared" si="45"/>
        <v/>
      </c>
      <c r="CM60" s="744" t="str">
        <f t="shared" si="46"/>
        <v/>
      </c>
      <c r="CN60" s="744" t="str">
        <f t="shared" si="47"/>
        <v/>
      </c>
      <c r="CO60" s="744" t="str">
        <f t="shared" si="48"/>
        <v/>
      </c>
      <c r="CP60" s="744" t="str">
        <f t="shared" si="49"/>
        <v/>
      </c>
      <c r="CQ60" s="744" t="str">
        <f t="shared" si="50"/>
        <v/>
      </c>
      <c r="CR60" s="744" t="str">
        <f t="shared" si="51"/>
        <v/>
      </c>
      <c r="CS60" s="744" t="str">
        <f t="shared" si="52"/>
        <v/>
      </c>
      <c r="CT60" s="744" t="str">
        <f t="shared" si="53"/>
        <v/>
      </c>
      <c r="CU60" s="744" t="str">
        <f t="shared" si="54"/>
        <v/>
      </c>
      <c r="CV60" s="744" t="str">
        <f t="shared" si="55"/>
        <v/>
      </c>
      <c r="CW60" s="744" t="str">
        <f t="shared" si="56"/>
        <v/>
      </c>
      <c r="CX60" s="744">
        <f t="shared" si="57"/>
        <v>0.28495999999999999</v>
      </c>
    </row>
    <row r="61" spans="1:102">
      <c r="A61" s="633">
        <v>57</v>
      </c>
      <c r="B61" s="630" t="s">
        <v>3</v>
      </c>
      <c r="C61" s="631" t="s">
        <v>249</v>
      </c>
      <c r="D61" s="630" t="s">
        <v>1390</v>
      </c>
      <c r="E61" s="632" t="s">
        <v>132</v>
      </c>
      <c r="F61" s="1067">
        <v>0.2</v>
      </c>
      <c r="G61" s="1066">
        <v>1</v>
      </c>
      <c r="H61" s="1069">
        <v>0.43719999999999998</v>
      </c>
      <c r="I61" s="1069">
        <v>0.34884187999999999</v>
      </c>
      <c r="J61" s="1069">
        <v>0.16839999999999999</v>
      </c>
      <c r="K61" s="1069">
        <v>8.6565600000000006E-2</v>
      </c>
      <c r="L61" s="1074">
        <v>0.2476738</v>
      </c>
      <c r="M61" s="1069"/>
      <c r="N61" s="1069">
        <v>1.98</v>
      </c>
      <c r="O61" s="1069"/>
      <c r="P61" s="1076">
        <v>9.3560800000000004</v>
      </c>
      <c r="Q61" s="1069">
        <v>22.428359999999998</v>
      </c>
      <c r="R61" s="1069"/>
      <c r="S61" s="1069"/>
      <c r="T61" s="1069"/>
      <c r="U61" s="1069"/>
      <c r="V61" s="1079">
        <v>3.14784</v>
      </c>
      <c r="W61" s="1069">
        <v>1.2241600000000001</v>
      </c>
      <c r="X61" s="1069"/>
      <c r="Y61" s="1069"/>
      <c r="Z61" s="1069"/>
      <c r="AA61" s="1069"/>
      <c r="AB61" s="1069"/>
      <c r="AC61" s="1069"/>
      <c r="AD61" s="1069">
        <v>215.29</v>
      </c>
      <c r="AE61" s="1069"/>
      <c r="AF61" s="1069"/>
      <c r="AG61" s="1069"/>
      <c r="AH61" s="1076"/>
      <c r="AI61" s="1069"/>
      <c r="AJ61" s="1069"/>
      <c r="AK61" s="1069"/>
      <c r="AL61" s="1081"/>
      <c r="AM61" s="1069"/>
      <c r="AN61" s="1069"/>
      <c r="AO61" s="1069"/>
      <c r="AP61" s="1069"/>
      <c r="AQ61" s="1069"/>
      <c r="AR61" s="1069"/>
      <c r="AS61" s="1282"/>
      <c r="AT61" s="1282"/>
      <c r="AU61" s="1069"/>
      <c r="AV61" s="1069"/>
      <c r="AW61" s="1069"/>
      <c r="AX61" s="1069"/>
      <c r="AY61" s="1069"/>
      <c r="AZ61" s="1078">
        <f t="shared" si="10"/>
        <v>0.43719999999999998</v>
      </c>
      <c r="BA61" s="59">
        <v>57</v>
      </c>
      <c r="BB61" s="59">
        <f t="shared" si="12"/>
        <v>57</v>
      </c>
      <c r="BC61" s="60" t="str">
        <f t="shared" si="13"/>
        <v>Capim Braquiária Decumbens (121 A 150 Dias)</v>
      </c>
      <c r="BD61" s="61" t="str">
        <f ca="1">IFERROR(IF(SEARCH('Calcular Dieta'!A$3,$BC$5:$BC$310)&gt;=1,BC61,"Não encontrado"),"Não encontrado")</f>
        <v>Capim Braquiária Decumbens (121 A 150 Dias)</v>
      </c>
      <c r="BE61" s="741">
        <f ca="1">COUNTIF(BD$5:BD61,"&lt;&gt;"&amp;"Não encontrado")</f>
        <v>57</v>
      </c>
      <c r="BF61" s="742" t="str">
        <f t="shared" ca="1" si="58"/>
        <v>CAPIM BRAQUIÁRIA DECUMBENS (121 A 150 DIAS)</v>
      </c>
      <c r="BG61" s="744">
        <f t="shared" si="14"/>
        <v>0.34890287999999997</v>
      </c>
      <c r="BH61" s="744">
        <f t="shared" si="15"/>
        <v>0.168461</v>
      </c>
      <c r="BI61" s="744">
        <f t="shared" si="16"/>
        <v>8.6626600000000012E-2</v>
      </c>
      <c r="BJ61" s="744">
        <f t="shared" si="17"/>
        <v>0.24773480000000001</v>
      </c>
      <c r="BK61" s="744" t="str">
        <f t="shared" si="18"/>
        <v/>
      </c>
      <c r="BL61" s="744">
        <f t="shared" si="19"/>
        <v>1.9800610000000001</v>
      </c>
      <c r="BM61" s="744" t="str">
        <f t="shared" si="20"/>
        <v/>
      </c>
      <c r="BN61" s="744">
        <f t="shared" si="21"/>
        <v>9.3561410000000009</v>
      </c>
      <c r="BO61" s="744">
        <f t="shared" si="22"/>
        <v>22.428420999999997</v>
      </c>
      <c r="BP61" s="744" t="str">
        <f t="shared" si="23"/>
        <v/>
      </c>
      <c r="BQ61" s="744" t="str">
        <f t="shared" si="24"/>
        <v/>
      </c>
      <c r="BR61" s="744" t="str">
        <f t="shared" si="25"/>
        <v/>
      </c>
      <c r="BS61" s="744" t="str">
        <f t="shared" si="26"/>
        <v/>
      </c>
      <c r="BT61" s="744">
        <f t="shared" si="27"/>
        <v>3.1479010000000001</v>
      </c>
      <c r="BU61" s="744">
        <f t="shared" si="28"/>
        <v>1.2242210000000002</v>
      </c>
      <c r="BV61" s="744" t="str">
        <f t="shared" si="29"/>
        <v/>
      </c>
      <c r="BW61" s="744" t="str">
        <f t="shared" si="30"/>
        <v/>
      </c>
      <c r="BX61" s="744" t="str">
        <f t="shared" si="31"/>
        <v/>
      </c>
      <c r="BY61" s="744" t="str">
        <f t="shared" si="32"/>
        <v/>
      </c>
      <c r="BZ61" s="744" t="str">
        <f t="shared" si="33"/>
        <v/>
      </c>
      <c r="CA61" s="744" t="str">
        <f t="shared" si="34"/>
        <v/>
      </c>
      <c r="CB61" s="744">
        <f t="shared" si="35"/>
        <v>215.29006099999998</v>
      </c>
      <c r="CC61" s="744" t="str">
        <f t="shared" si="36"/>
        <v/>
      </c>
      <c r="CD61" s="744" t="str">
        <f t="shared" si="37"/>
        <v/>
      </c>
      <c r="CE61" s="744" t="str">
        <f t="shared" si="38"/>
        <v/>
      </c>
      <c r="CF61" s="744" t="str">
        <f t="shared" si="39"/>
        <v/>
      </c>
      <c r="CG61" s="744" t="str">
        <f t="shared" si="40"/>
        <v/>
      </c>
      <c r="CH61" s="744" t="str">
        <f t="shared" si="41"/>
        <v/>
      </c>
      <c r="CI61" s="744" t="str">
        <f t="shared" si="42"/>
        <v/>
      </c>
      <c r="CJ61" s="744" t="str">
        <f t="shared" si="43"/>
        <v/>
      </c>
      <c r="CK61" s="744" t="str">
        <f t="shared" si="44"/>
        <v/>
      </c>
      <c r="CL61" s="744" t="str">
        <f t="shared" si="45"/>
        <v/>
      </c>
      <c r="CM61" s="744" t="str">
        <f t="shared" si="46"/>
        <v/>
      </c>
      <c r="CN61" s="744" t="str">
        <f t="shared" si="47"/>
        <v/>
      </c>
      <c r="CO61" s="744" t="str">
        <f t="shared" si="48"/>
        <v/>
      </c>
      <c r="CP61" s="744" t="str">
        <f t="shared" si="49"/>
        <v/>
      </c>
      <c r="CQ61" s="744" t="str">
        <f t="shared" si="50"/>
        <v/>
      </c>
      <c r="CR61" s="744" t="str">
        <f t="shared" si="51"/>
        <v/>
      </c>
      <c r="CS61" s="744" t="str">
        <f t="shared" si="52"/>
        <v/>
      </c>
      <c r="CT61" s="744" t="str">
        <f t="shared" si="53"/>
        <v/>
      </c>
      <c r="CU61" s="744" t="str">
        <f t="shared" si="54"/>
        <v/>
      </c>
      <c r="CV61" s="744" t="str">
        <f t="shared" si="55"/>
        <v/>
      </c>
      <c r="CW61" s="744" t="str">
        <f t="shared" si="56"/>
        <v/>
      </c>
      <c r="CX61" s="744">
        <f t="shared" si="57"/>
        <v>0.43726099999999996</v>
      </c>
    </row>
    <row r="62" spans="1:102">
      <c r="A62" s="630">
        <v>58</v>
      </c>
      <c r="B62" s="630" t="s">
        <v>3</v>
      </c>
      <c r="C62" s="631" t="s">
        <v>249</v>
      </c>
      <c r="D62" s="630" t="s">
        <v>1390</v>
      </c>
      <c r="E62" s="632" t="s">
        <v>133</v>
      </c>
      <c r="F62" s="1067">
        <v>0.2</v>
      </c>
      <c r="G62" s="1066">
        <v>1</v>
      </c>
      <c r="H62" s="1069">
        <v>0.2165</v>
      </c>
      <c r="I62" s="1069">
        <v>0.15748209999999999</v>
      </c>
      <c r="J62" s="1069">
        <v>7.9600000000000004E-2</v>
      </c>
      <c r="K62" s="1069">
        <v>1.09116E-2</v>
      </c>
      <c r="L62" s="1074">
        <v>8.9501100000000014E-2</v>
      </c>
      <c r="M62" s="1069"/>
      <c r="N62" s="1069">
        <v>1.45</v>
      </c>
      <c r="O62" s="1069"/>
      <c r="P62" s="1076">
        <v>5.4774500000000002</v>
      </c>
      <c r="Q62" s="1069">
        <v>23.836650000000002</v>
      </c>
      <c r="R62" s="1069"/>
      <c r="S62" s="1069"/>
      <c r="T62" s="1069"/>
      <c r="U62" s="1069"/>
      <c r="V62" s="1079">
        <v>0.73610000000000009</v>
      </c>
      <c r="W62" s="1069">
        <v>0.51959999999999995</v>
      </c>
      <c r="X62" s="1069"/>
      <c r="Y62" s="1069"/>
      <c r="Z62" s="1069"/>
      <c r="AA62" s="1069"/>
      <c r="AB62" s="1069"/>
      <c r="AC62" s="1069"/>
      <c r="AD62" s="1069">
        <v>215.29</v>
      </c>
      <c r="AE62" s="1069"/>
      <c r="AF62" s="1069"/>
      <c r="AG62" s="1069"/>
      <c r="AH62" s="1076"/>
      <c r="AI62" s="1069"/>
      <c r="AJ62" s="1069"/>
      <c r="AK62" s="1069"/>
      <c r="AL62" s="1081"/>
      <c r="AM62" s="1069"/>
      <c r="AN62" s="1069"/>
      <c r="AO62" s="1069"/>
      <c r="AP62" s="1069"/>
      <c r="AQ62" s="1069"/>
      <c r="AR62" s="1069"/>
      <c r="AS62" s="1282"/>
      <c r="AT62" s="1282"/>
      <c r="AU62" s="1069"/>
      <c r="AV62" s="1069"/>
      <c r="AW62" s="1069"/>
      <c r="AX62" s="1069"/>
      <c r="AY62" s="1069"/>
      <c r="AZ62" s="1078">
        <f t="shared" si="10"/>
        <v>0.2165</v>
      </c>
      <c r="BA62" s="59">
        <v>58</v>
      </c>
      <c r="BB62" s="59">
        <f t="shared" si="12"/>
        <v>58</v>
      </c>
      <c r="BC62" s="60" t="str">
        <f t="shared" si="13"/>
        <v>Capim Braquiária Decumbens (26 A 30 Dias)</v>
      </c>
      <c r="BD62" s="61" t="str">
        <f ca="1">IFERROR(IF(SEARCH('Calcular Dieta'!A$3,$BC$5:$BC$310)&gt;=1,BC62,"Não encontrado"),"Não encontrado")</f>
        <v>Capim Braquiária Decumbens (26 A 30 Dias)</v>
      </c>
      <c r="BE62" s="741">
        <f ca="1">COUNTIF(BD$5:BD62,"&lt;&gt;"&amp;"Não encontrado")</f>
        <v>58</v>
      </c>
      <c r="BF62" s="742" t="str">
        <f t="shared" ca="1" si="58"/>
        <v>CAPIM BRAQUIÁRIA DECUMBENS (26 A 30 DIAS)</v>
      </c>
      <c r="BG62" s="744">
        <f t="shared" si="14"/>
        <v>0.15754409999999999</v>
      </c>
      <c r="BH62" s="744">
        <f t="shared" si="15"/>
        <v>7.9662000000000011E-2</v>
      </c>
      <c r="BI62" s="744">
        <f t="shared" si="16"/>
        <v>1.09736E-2</v>
      </c>
      <c r="BJ62" s="744">
        <f t="shared" si="17"/>
        <v>8.956310000000002E-2</v>
      </c>
      <c r="BK62" s="744" t="str">
        <f t="shared" si="18"/>
        <v/>
      </c>
      <c r="BL62" s="744">
        <f t="shared" si="19"/>
        <v>1.450062</v>
      </c>
      <c r="BM62" s="744" t="str">
        <f t="shared" si="20"/>
        <v/>
      </c>
      <c r="BN62" s="744">
        <f t="shared" si="21"/>
        <v>5.4775119999999999</v>
      </c>
      <c r="BO62" s="744">
        <f t="shared" si="22"/>
        <v>23.836712000000002</v>
      </c>
      <c r="BP62" s="744" t="str">
        <f t="shared" si="23"/>
        <v/>
      </c>
      <c r="BQ62" s="744" t="str">
        <f t="shared" si="24"/>
        <v/>
      </c>
      <c r="BR62" s="744" t="str">
        <f t="shared" si="25"/>
        <v/>
      </c>
      <c r="BS62" s="744" t="str">
        <f t="shared" si="26"/>
        <v/>
      </c>
      <c r="BT62" s="744">
        <f t="shared" si="27"/>
        <v>0.73616200000000009</v>
      </c>
      <c r="BU62" s="744">
        <f t="shared" si="28"/>
        <v>0.51966199999999996</v>
      </c>
      <c r="BV62" s="744" t="str">
        <f t="shared" si="29"/>
        <v/>
      </c>
      <c r="BW62" s="744" t="str">
        <f t="shared" si="30"/>
        <v/>
      </c>
      <c r="BX62" s="744" t="str">
        <f t="shared" si="31"/>
        <v/>
      </c>
      <c r="BY62" s="744" t="str">
        <f t="shared" si="32"/>
        <v/>
      </c>
      <c r="BZ62" s="744" t="str">
        <f t="shared" si="33"/>
        <v/>
      </c>
      <c r="CA62" s="744" t="str">
        <f t="shared" si="34"/>
        <v/>
      </c>
      <c r="CB62" s="744">
        <f t="shared" si="35"/>
        <v>215.29006200000001</v>
      </c>
      <c r="CC62" s="744" t="str">
        <f t="shared" si="36"/>
        <v/>
      </c>
      <c r="CD62" s="744" t="str">
        <f t="shared" si="37"/>
        <v/>
      </c>
      <c r="CE62" s="744" t="str">
        <f t="shared" si="38"/>
        <v/>
      </c>
      <c r="CF62" s="744" t="str">
        <f t="shared" si="39"/>
        <v/>
      </c>
      <c r="CG62" s="744" t="str">
        <f t="shared" si="40"/>
        <v/>
      </c>
      <c r="CH62" s="744" t="str">
        <f t="shared" si="41"/>
        <v/>
      </c>
      <c r="CI62" s="744" t="str">
        <f t="shared" si="42"/>
        <v/>
      </c>
      <c r="CJ62" s="744" t="str">
        <f t="shared" si="43"/>
        <v/>
      </c>
      <c r="CK62" s="744" t="str">
        <f t="shared" si="44"/>
        <v/>
      </c>
      <c r="CL62" s="744" t="str">
        <f t="shared" si="45"/>
        <v/>
      </c>
      <c r="CM62" s="744" t="str">
        <f t="shared" si="46"/>
        <v/>
      </c>
      <c r="CN62" s="744" t="str">
        <f t="shared" si="47"/>
        <v/>
      </c>
      <c r="CO62" s="744" t="str">
        <f t="shared" si="48"/>
        <v/>
      </c>
      <c r="CP62" s="744" t="str">
        <f t="shared" si="49"/>
        <v/>
      </c>
      <c r="CQ62" s="744" t="str">
        <f t="shared" si="50"/>
        <v/>
      </c>
      <c r="CR62" s="744" t="str">
        <f t="shared" si="51"/>
        <v/>
      </c>
      <c r="CS62" s="744" t="str">
        <f t="shared" si="52"/>
        <v/>
      </c>
      <c r="CT62" s="744" t="str">
        <f t="shared" si="53"/>
        <v/>
      </c>
      <c r="CU62" s="744" t="str">
        <f t="shared" si="54"/>
        <v/>
      </c>
      <c r="CV62" s="744" t="str">
        <f t="shared" si="55"/>
        <v/>
      </c>
      <c r="CW62" s="744" t="str">
        <f t="shared" si="56"/>
        <v/>
      </c>
      <c r="CX62" s="744">
        <f t="shared" si="57"/>
        <v>0.216562</v>
      </c>
    </row>
    <row r="63" spans="1:102">
      <c r="A63" s="633">
        <v>59</v>
      </c>
      <c r="B63" s="630" t="s">
        <v>3</v>
      </c>
      <c r="C63" s="631" t="s">
        <v>249</v>
      </c>
      <c r="D63" s="630" t="s">
        <v>1390</v>
      </c>
      <c r="E63" s="632" t="s">
        <v>134</v>
      </c>
      <c r="F63" s="1067">
        <v>0.2</v>
      </c>
      <c r="G63" s="1066">
        <v>1</v>
      </c>
      <c r="H63" s="1069">
        <v>0.27140000000000003</v>
      </c>
      <c r="I63" s="1069">
        <v>0.18775452000000004</v>
      </c>
      <c r="J63" s="1069">
        <v>0.1095</v>
      </c>
      <c r="K63" s="1069">
        <v>4.6273700000000008E-2</v>
      </c>
      <c r="L63" s="1074">
        <v>0.14704452000000001</v>
      </c>
      <c r="M63" s="1069"/>
      <c r="N63" s="1069">
        <v>1.94</v>
      </c>
      <c r="O63" s="1069"/>
      <c r="P63" s="1076">
        <v>6.0522200000000002</v>
      </c>
      <c r="Q63" s="1069">
        <v>25.484460000000006</v>
      </c>
      <c r="R63" s="1069">
        <v>1.8183800000000003</v>
      </c>
      <c r="S63" s="1069"/>
      <c r="T63" s="1069">
        <v>1.03132</v>
      </c>
      <c r="U63" s="1069"/>
      <c r="V63" s="1079">
        <v>0.86848000000000014</v>
      </c>
      <c r="W63" s="1069">
        <v>0.54280000000000006</v>
      </c>
      <c r="X63" s="1069">
        <v>0.75992000000000015</v>
      </c>
      <c r="Y63" s="1069"/>
      <c r="Z63" s="1069">
        <v>4.3966800000000008</v>
      </c>
      <c r="AA63" s="1069"/>
      <c r="AB63" s="1069"/>
      <c r="AC63" s="1069">
        <v>56.2</v>
      </c>
      <c r="AD63" s="1069">
        <v>215.29</v>
      </c>
      <c r="AE63" s="1069">
        <v>54.13</v>
      </c>
      <c r="AF63" s="1069"/>
      <c r="AG63" s="1069"/>
      <c r="AH63" s="1076"/>
      <c r="AI63" s="1069"/>
      <c r="AJ63" s="1069"/>
      <c r="AK63" s="1069"/>
      <c r="AL63" s="1081"/>
      <c r="AM63" s="1069"/>
      <c r="AN63" s="1069"/>
      <c r="AO63" s="1069"/>
      <c r="AP63" s="1069"/>
      <c r="AQ63" s="1069"/>
      <c r="AR63" s="1069"/>
      <c r="AS63" s="1282"/>
      <c r="AT63" s="1282"/>
      <c r="AU63" s="1069"/>
      <c r="AV63" s="1069"/>
      <c r="AW63" s="1069"/>
      <c r="AX63" s="1069"/>
      <c r="AY63" s="1069"/>
      <c r="AZ63" s="1078">
        <f t="shared" si="10"/>
        <v>0.27140000000000003</v>
      </c>
      <c r="BA63" s="59">
        <v>59</v>
      </c>
      <c r="BB63" s="59">
        <f t="shared" si="12"/>
        <v>59</v>
      </c>
      <c r="BC63" s="60" t="str">
        <f t="shared" si="13"/>
        <v>Capim Braquiária Decumbens (46 A 60 Dias)</v>
      </c>
      <c r="BD63" s="61" t="str">
        <f ca="1">IFERROR(IF(SEARCH('Calcular Dieta'!A$3,$BC$5:$BC$310)&gt;=1,BC63,"Não encontrado"),"Não encontrado")</f>
        <v>Capim Braquiária Decumbens (46 A 60 Dias)</v>
      </c>
      <c r="BE63" s="741">
        <f ca="1">COUNTIF(BD$5:BD63,"&lt;&gt;"&amp;"Não encontrado")</f>
        <v>59</v>
      </c>
      <c r="BF63" s="742" t="str">
        <f t="shared" ca="1" si="58"/>
        <v>CAPIM BRAQUIÁRIA DECUMBENS (46 A 60 DIAS)</v>
      </c>
      <c r="BG63" s="744">
        <f t="shared" si="14"/>
        <v>0.18781752000000004</v>
      </c>
      <c r="BH63" s="744">
        <f t="shared" si="15"/>
        <v>0.10956299999999999</v>
      </c>
      <c r="BI63" s="744">
        <f t="shared" si="16"/>
        <v>4.6336700000000008E-2</v>
      </c>
      <c r="BJ63" s="744">
        <f t="shared" si="17"/>
        <v>0.14710752000000002</v>
      </c>
      <c r="BK63" s="744" t="str">
        <f t="shared" si="18"/>
        <v/>
      </c>
      <c r="BL63" s="744">
        <f t="shared" si="19"/>
        <v>1.9400629999999999</v>
      </c>
      <c r="BM63" s="744" t="str">
        <f t="shared" si="20"/>
        <v/>
      </c>
      <c r="BN63" s="744">
        <f t="shared" si="21"/>
        <v>6.0522830000000001</v>
      </c>
      <c r="BO63" s="744">
        <f t="shared" si="22"/>
        <v>25.484523000000006</v>
      </c>
      <c r="BP63" s="744">
        <f t="shared" si="23"/>
        <v>1.8184430000000003</v>
      </c>
      <c r="BQ63" s="744" t="str">
        <f t="shared" si="24"/>
        <v/>
      </c>
      <c r="BR63" s="744">
        <f t="shared" si="25"/>
        <v>1.0313829999999999</v>
      </c>
      <c r="BS63" s="744" t="str">
        <f t="shared" si="26"/>
        <v/>
      </c>
      <c r="BT63" s="744">
        <f t="shared" si="27"/>
        <v>0.86854300000000018</v>
      </c>
      <c r="BU63" s="744">
        <f t="shared" si="28"/>
        <v>0.5428630000000001</v>
      </c>
      <c r="BV63" s="744">
        <f t="shared" si="29"/>
        <v>0.75998300000000019</v>
      </c>
      <c r="BW63" s="744" t="str">
        <f t="shared" si="30"/>
        <v/>
      </c>
      <c r="BX63" s="744">
        <f t="shared" si="31"/>
        <v>4.3967430000000007</v>
      </c>
      <c r="BY63" s="744" t="str">
        <f t="shared" si="32"/>
        <v/>
      </c>
      <c r="BZ63" s="744" t="str">
        <f t="shared" si="33"/>
        <v/>
      </c>
      <c r="CA63" s="744">
        <f t="shared" si="34"/>
        <v>56.200063</v>
      </c>
      <c r="CB63" s="744">
        <f t="shared" si="35"/>
        <v>215.290063</v>
      </c>
      <c r="CC63" s="744">
        <f t="shared" si="36"/>
        <v>54.130063</v>
      </c>
      <c r="CD63" s="744" t="str">
        <f t="shared" si="37"/>
        <v/>
      </c>
      <c r="CE63" s="744" t="str">
        <f t="shared" si="38"/>
        <v/>
      </c>
      <c r="CF63" s="744" t="str">
        <f t="shared" si="39"/>
        <v/>
      </c>
      <c r="CG63" s="744" t="str">
        <f t="shared" si="40"/>
        <v/>
      </c>
      <c r="CH63" s="744" t="str">
        <f t="shared" si="41"/>
        <v/>
      </c>
      <c r="CI63" s="744" t="str">
        <f t="shared" si="42"/>
        <v/>
      </c>
      <c r="CJ63" s="744" t="str">
        <f t="shared" si="43"/>
        <v/>
      </c>
      <c r="CK63" s="744" t="str">
        <f t="shared" si="44"/>
        <v/>
      </c>
      <c r="CL63" s="744" t="str">
        <f t="shared" si="45"/>
        <v/>
      </c>
      <c r="CM63" s="744" t="str">
        <f t="shared" si="46"/>
        <v/>
      </c>
      <c r="CN63" s="744" t="str">
        <f t="shared" si="47"/>
        <v/>
      </c>
      <c r="CO63" s="744" t="str">
        <f t="shared" si="48"/>
        <v/>
      </c>
      <c r="CP63" s="744" t="str">
        <f t="shared" si="49"/>
        <v/>
      </c>
      <c r="CQ63" s="744" t="str">
        <f t="shared" si="50"/>
        <v/>
      </c>
      <c r="CR63" s="744" t="str">
        <f t="shared" si="51"/>
        <v/>
      </c>
      <c r="CS63" s="744" t="str">
        <f t="shared" si="52"/>
        <v/>
      </c>
      <c r="CT63" s="744" t="str">
        <f t="shared" si="53"/>
        <v/>
      </c>
      <c r="CU63" s="744" t="str">
        <f t="shared" si="54"/>
        <v/>
      </c>
      <c r="CV63" s="744" t="str">
        <f t="shared" si="55"/>
        <v/>
      </c>
      <c r="CW63" s="744" t="str">
        <f t="shared" si="56"/>
        <v/>
      </c>
      <c r="CX63" s="744">
        <f t="shared" si="57"/>
        <v>0.27146300000000001</v>
      </c>
    </row>
    <row r="64" spans="1:102">
      <c r="A64" s="630">
        <v>60</v>
      </c>
      <c r="B64" s="630" t="s">
        <v>3</v>
      </c>
      <c r="C64" s="631" t="s">
        <v>249</v>
      </c>
      <c r="D64" s="630" t="s">
        <v>1390</v>
      </c>
      <c r="E64" s="632" t="s">
        <v>135</v>
      </c>
      <c r="F64" s="1067">
        <v>0.2</v>
      </c>
      <c r="G64" s="1066">
        <v>1</v>
      </c>
      <c r="H64" s="1069">
        <v>0.27800000000000002</v>
      </c>
      <c r="I64" s="1069">
        <v>0.20310680000000003</v>
      </c>
      <c r="J64" s="1069">
        <v>0.14879999999999999</v>
      </c>
      <c r="K64" s="1069">
        <v>2.9301199999999999E-2</v>
      </c>
      <c r="L64" s="1074">
        <v>0.13710960000000003</v>
      </c>
      <c r="M64" s="1069"/>
      <c r="N64" s="1069">
        <v>1.71</v>
      </c>
      <c r="O64" s="1069"/>
      <c r="P64" s="1076">
        <v>5.8658000000000001</v>
      </c>
      <c r="Q64" s="1069">
        <v>19.904800000000002</v>
      </c>
      <c r="R64" s="1069"/>
      <c r="S64" s="1069"/>
      <c r="T64" s="1069"/>
      <c r="U64" s="1069"/>
      <c r="V64" s="1079">
        <v>0.83400000000000007</v>
      </c>
      <c r="W64" s="1069">
        <v>0.5282</v>
      </c>
      <c r="X64" s="1069"/>
      <c r="Y64" s="1069"/>
      <c r="Z64" s="1069">
        <v>3.780800000000001</v>
      </c>
      <c r="AA64" s="1069"/>
      <c r="AB64" s="1069"/>
      <c r="AC64" s="1069"/>
      <c r="AD64" s="1069">
        <v>215.29</v>
      </c>
      <c r="AE64" s="1069"/>
      <c r="AF64" s="1069"/>
      <c r="AG64" s="1069"/>
      <c r="AH64" s="1076"/>
      <c r="AI64" s="1069"/>
      <c r="AJ64" s="1069"/>
      <c r="AK64" s="1069"/>
      <c r="AL64" s="1081"/>
      <c r="AM64" s="1069"/>
      <c r="AN64" s="1069"/>
      <c r="AO64" s="1069"/>
      <c r="AP64" s="1069"/>
      <c r="AQ64" s="1069"/>
      <c r="AR64" s="1069"/>
      <c r="AS64" s="1282"/>
      <c r="AT64" s="1282"/>
      <c r="AU64" s="1069"/>
      <c r="AV64" s="1069"/>
      <c r="AW64" s="1069"/>
      <c r="AX64" s="1069"/>
      <c r="AY64" s="1069"/>
      <c r="AZ64" s="1078">
        <f t="shared" si="10"/>
        <v>0.27800000000000002</v>
      </c>
      <c r="BA64" s="59">
        <v>60</v>
      </c>
      <c r="BB64" s="59">
        <f t="shared" si="12"/>
        <v>60</v>
      </c>
      <c r="BC64" s="60" t="str">
        <f t="shared" si="13"/>
        <v>Capim Braquiária Decumbens (61 A 90 Dias)</v>
      </c>
      <c r="BD64" s="61" t="str">
        <f ca="1">IFERROR(IF(SEARCH('Calcular Dieta'!A$3,$BC$5:$BC$310)&gt;=1,BC64,"Não encontrado"),"Não encontrado")</f>
        <v>Capim Braquiária Decumbens (61 A 90 Dias)</v>
      </c>
      <c r="BE64" s="741">
        <f ca="1">COUNTIF(BD$5:BD64,"&lt;&gt;"&amp;"Não encontrado")</f>
        <v>60</v>
      </c>
      <c r="BF64" s="742" t="str">
        <f t="shared" ca="1" si="58"/>
        <v>CAPIM BRAQUIÁRIA DECUMBENS (61 A 90 DIAS)</v>
      </c>
      <c r="BG64" s="744">
        <f t="shared" si="14"/>
        <v>0.20317080000000004</v>
      </c>
      <c r="BH64" s="744">
        <f t="shared" si="15"/>
        <v>0.148864</v>
      </c>
      <c r="BI64" s="744">
        <f t="shared" si="16"/>
        <v>2.9365200000000001E-2</v>
      </c>
      <c r="BJ64" s="744">
        <f t="shared" si="17"/>
        <v>0.13717360000000003</v>
      </c>
      <c r="BK64" s="744" t="str">
        <f t="shared" si="18"/>
        <v/>
      </c>
      <c r="BL64" s="744">
        <f t="shared" si="19"/>
        <v>1.710064</v>
      </c>
      <c r="BM64" s="744" t="str">
        <f t="shared" si="20"/>
        <v/>
      </c>
      <c r="BN64" s="744">
        <f t="shared" si="21"/>
        <v>5.8658640000000002</v>
      </c>
      <c r="BO64" s="744">
        <f t="shared" si="22"/>
        <v>19.904864</v>
      </c>
      <c r="BP64" s="744" t="str">
        <f t="shared" si="23"/>
        <v/>
      </c>
      <c r="BQ64" s="744" t="str">
        <f t="shared" si="24"/>
        <v/>
      </c>
      <c r="BR64" s="744" t="str">
        <f t="shared" si="25"/>
        <v/>
      </c>
      <c r="BS64" s="744" t="str">
        <f t="shared" si="26"/>
        <v/>
      </c>
      <c r="BT64" s="744">
        <f t="shared" si="27"/>
        <v>0.83406400000000003</v>
      </c>
      <c r="BU64" s="744">
        <f t="shared" si="28"/>
        <v>0.52826399999999996</v>
      </c>
      <c r="BV64" s="744" t="str">
        <f t="shared" si="29"/>
        <v/>
      </c>
      <c r="BW64" s="744" t="str">
        <f t="shared" si="30"/>
        <v/>
      </c>
      <c r="BX64" s="744">
        <f t="shared" si="31"/>
        <v>3.7808640000000011</v>
      </c>
      <c r="BY64" s="744" t="str">
        <f t="shared" si="32"/>
        <v/>
      </c>
      <c r="BZ64" s="744" t="str">
        <f t="shared" si="33"/>
        <v/>
      </c>
      <c r="CA64" s="744" t="str">
        <f t="shared" si="34"/>
        <v/>
      </c>
      <c r="CB64" s="744">
        <f t="shared" si="35"/>
        <v>215.290064</v>
      </c>
      <c r="CC64" s="744" t="str">
        <f t="shared" si="36"/>
        <v/>
      </c>
      <c r="CD64" s="744" t="str">
        <f t="shared" si="37"/>
        <v/>
      </c>
      <c r="CE64" s="744" t="str">
        <f t="shared" si="38"/>
        <v/>
      </c>
      <c r="CF64" s="744" t="str">
        <f t="shared" si="39"/>
        <v/>
      </c>
      <c r="CG64" s="744" t="str">
        <f t="shared" si="40"/>
        <v/>
      </c>
      <c r="CH64" s="744" t="str">
        <f t="shared" si="41"/>
        <v/>
      </c>
      <c r="CI64" s="744" t="str">
        <f t="shared" si="42"/>
        <v/>
      </c>
      <c r="CJ64" s="744" t="str">
        <f t="shared" si="43"/>
        <v/>
      </c>
      <c r="CK64" s="744" t="str">
        <f t="shared" si="44"/>
        <v/>
      </c>
      <c r="CL64" s="744" t="str">
        <f t="shared" si="45"/>
        <v/>
      </c>
      <c r="CM64" s="744" t="str">
        <f t="shared" si="46"/>
        <v/>
      </c>
      <c r="CN64" s="744" t="str">
        <f t="shared" si="47"/>
        <v/>
      </c>
      <c r="CO64" s="744" t="str">
        <f t="shared" si="48"/>
        <v/>
      </c>
      <c r="CP64" s="744" t="str">
        <f t="shared" si="49"/>
        <v/>
      </c>
      <c r="CQ64" s="744" t="str">
        <f t="shared" si="50"/>
        <v/>
      </c>
      <c r="CR64" s="744" t="str">
        <f t="shared" si="51"/>
        <v/>
      </c>
      <c r="CS64" s="744" t="str">
        <f t="shared" si="52"/>
        <v/>
      </c>
      <c r="CT64" s="744" t="str">
        <f t="shared" si="53"/>
        <v/>
      </c>
      <c r="CU64" s="744" t="str">
        <f t="shared" si="54"/>
        <v/>
      </c>
      <c r="CV64" s="744" t="str">
        <f t="shared" si="55"/>
        <v/>
      </c>
      <c r="CW64" s="744" t="str">
        <f t="shared" si="56"/>
        <v/>
      </c>
      <c r="CX64" s="744">
        <f t="shared" si="57"/>
        <v>0.27806400000000003</v>
      </c>
    </row>
    <row r="65" spans="1:102">
      <c r="A65" s="633">
        <v>61</v>
      </c>
      <c r="B65" s="630" t="s">
        <v>3</v>
      </c>
      <c r="C65" s="631" t="s">
        <v>249</v>
      </c>
      <c r="D65" s="630" t="s">
        <v>1390</v>
      </c>
      <c r="E65" s="632" t="s">
        <v>136</v>
      </c>
      <c r="F65" s="1067">
        <v>0.2</v>
      </c>
      <c r="G65" s="1066">
        <v>1</v>
      </c>
      <c r="H65" s="1069">
        <v>0.29920000000000002</v>
      </c>
      <c r="I65" s="1069">
        <v>0.22658416000000003</v>
      </c>
      <c r="J65" s="1069">
        <v>0.13800000000000001</v>
      </c>
      <c r="K65" s="1069">
        <v>3.363008E-2</v>
      </c>
      <c r="L65" s="1074">
        <v>0.16506863999999999</v>
      </c>
      <c r="M65" s="1069"/>
      <c r="N65" s="1069">
        <v>1.93</v>
      </c>
      <c r="O65" s="1069"/>
      <c r="P65" s="1076">
        <v>6.1934400000000007</v>
      </c>
      <c r="Q65" s="1069">
        <v>17.17408</v>
      </c>
      <c r="R65" s="1069">
        <v>10.14288</v>
      </c>
      <c r="S65" s="1069"/>
      <c r="T65" s="1069">
        <v>5.8643200000000002</v>
      </c>
      <c r="U65" s="1069"/>
      <c r="V65" s="1079">
        <v>0.89760000000000018</v>
      </c>
      <c r="W65" s="1069">
        <v>0.59840000000000004</v>
      </c>
      <c r="X65" s="1069">
        <v>0.74800000000000011</v>
      </c>
      <c r="Y65" s="1069"/>
      <c r="Z65" s="1069">
        <v>5.6548800000000004</v>
      </c>
      <c r="AA65" s="1069"/>
      <c r="AB65" s="1069">
        <v>5.6</v>
      </c>
      <c r="AC65" s="1069">
        <v>30</v>
      </c>
      <c r="AD65" s="1069">
        <v>215.29</v>
      </c>
      <c r="AE65" s="1069">
        <v>208</v>
      </c>
      <c r="AF65" s="1069"/>
      <c r="AG65" s="1069"/>
      <c r="AH65" s="1076"/>
      <c r="AI65" s="1069"/>
      <c r="AJ65" s="1069"/>
      <c r="AK65" s="1069"/>
      <c r="AL65" s="1081"/>
      <c r="AM65" s="1069"/>
      <c r="AN65" s="1069"/>
      <c r="AO65" s="1069"/>
      <c r="AP65" s="1069"/>
      <c r="AQ65" s="1069"/>
      <c r="AR65" s="1069"/>
      <c r="AS65" s="1282"/>
      <c r="AT65" s="1282"/>
      <c r="AU65" s="1069"/>
      <c r="AV65" s="1069"/>
      <c r="AW65" s="1069"/>
      <c r="AX65" s="1069"/>
      <c r="AY65" s="1069"/>
      <c r="AZ65" s="1078">
        <f t="shared" si="10"/>
        <v>0.29920000000000002</v>
      </c>
      <c r="BA65" s="59">
        <v>61</v>
      </c>
      <c r="BB65" s="59">
        <f t="shared" si="12"/>
        <v>61</v>
      </c>
      <c r="BC65" s="60" t="str">
        <f t="shared" si="13"/>
        <v>Capim Braquiária Decumbens (91 A 120 Dias)</v>
      </c>
      <c r="BD65" s="61" t="str">
        <f ca="1">IFERROR(IF(SEARCH('Calcular Dieta'!A$3,$BC$5:$BC$310)&gt;=1,BC65,"Não encontrado"),"Não encontrado")</f>
        <v>Capim Braquiária Decumbens (91 A 120 Dias)</v>
      </c>
      <c r="BE65" s="741">
        <f ca="1">COUNTIF(BD$5:BD65,"&lt;&gt;"&amp;"Não encontrado")</f>
        <v>61</v>
      </c>
      <c r="BF65" s="742" t="str">
        <f t="shared" ca="1" si="58"/>
        <v>CAPIM BRAQUIÁRIA DECUMBENS (91 A 120 DIAS)</v>
      </c>
      <c r="BG65" s="744">
        <f t="shared" si="14"/>
        <v>0.22664916000000004</v>
      </c>
      <c r="BH65" s="744">
        <f t="shared" si="15"/>
        <v>0.13806500000000002</v>
      </c>
      <c r="BI65" s="744">
        <f t="shared" si="16"/>
        <v>3.3695080000000002E-2</v>
      </c>
      <c r="BJ65" s="744">
        <f t="shared" si="17"/>
        <v>0.16513364</v>
      </c>
      <c r="BK65" s="744" t="str">
        <f t="shared" si="18"/>
        <v/>
      </c>
      <c r="BL65" s="744">
        <f t="shared" si="19"/>
        <v>1.9300649999999999</v>
      </c>
      <c r="BM65" s="744" t="str">
        <f t="shared" si="20"/>
        <v/>
      </c>
      <c r="BN65" s="744">
        <f t="shared" si="21"/>
        <v>6.1935050000000009</v>
      </c>
      <c r="BO65" s="744">
        <f t="shared" si="22"/>
        <v>17.174144999999999</v>
      </c>
      <c r="BP65" s="744">
        <f t="shared" si="23"/>
        <v>10.142944999999999</v>
      </c>
      <c r="BQ65" s="744" t="str">
        <f t="shared" si="24"/>
        <v/>
      </c>
      <c r="BR65" s="744">
        <f t="shared" si="25"/>
        <v>5.8643850000000004</v>
      </c>
      <c r="BS65" s="744" t="str">
        <f t="shared" si="26"/>
        <v/>
      </c>
      <c r="BT65" s="744">
        <f t="shared" si="27"/>
        <v>0.89766500000000016</v>
      </c>
      <c r="BU65" s="744">
        <f t="shared" si="28"/>
        <v>0.59846500000000002</v>
      </c>
      <c r="BV65" s="744">
        <f t="shared" si="29"/>
        <v>0.74806500000000009</v>
      </c>
      <c r="BW65" s="744" t="str">
        <f t="shared" si="30"/>
        <v/>
      </c>
      <c r="BX65" s="744">
        <f t="shared" si="31"/>
        <v>5.6549450000000006</v>
      </c>
      <c r="BY65" s="744" t="str">
        <f t="shared" si="32"/>
        <v/>
      </c>
      <c r="BZ65" s="744">
        <f t="shared" si="33"/>
        <v>5.6000649999999998</v>
      </c>
      <c r="CA65" s="744">
        <f t="shared" si="34"/>
        <v>30.000064999999999</v>
      </c>
      <c r="CB65" s="744">
        <f t="shared" si="35"/>
        <v>215.290065</v>
      </c>
      <c r="CC65" s="744">
        <f t="shared" si="36"/>
        <v>208.00006500000001</v>
      </c>
      <c r="CD65" s="744" t="str">
        <f t="shared" si="37"/>
        <v/>
      </c>
      <c r="CE65" s="744" t="str">
        <f t="shared" si="38"/>
        <v/>
      </c>
      <c r="CF65" s="744" t="str">
        <f t="shared" si="39"/>
        <v/>
      </c>
      <c r="CG65" s="744" t="str">
        <f t="shared" si="40"/>
        <v/>
      </c>
      <c r="CH65" s="744" t="str">
        <f t="shared" si="41"/>
        <v/>
      </c>
      <c r="CI65" s="744" t="str">
        <f t="shared" si="42"/>
        <v/>
      </c>
      <c r="CJ65" s="744" t="str">
        <f t="shared" si="43"/>
        <v/>
      </c>
      <c r="CK65" s="744" t="str">
        <f t="shared" si="44"/>
        <v/>
      </c>
      <c r="CL65" s="744" t="str">
        <f t="shared" si="45"/>
        <v/>
      </c>
      <c r="CM65" s="744" t="str">
        <f t="shared" si="46"/>
        <v/>
      </c>
      <c r="CN65" s="744" t="str">
        <f t="shared" si="47"/>
        <v/>
      </c>
      <c r="CO65" s="744" t="str">
        <f t="shared" si="48"/>
        <v/>
      </c>
      <c r="CP65" s="744" t="str">
        <f t="shared" si="49"/>
        <v/>
      </c>
      <c r="CQ65" s="744" t="str">
        <f t="shared" si="50"/>
        <v/>
      </c>
      <c r="CR65" s="744" t="str">
        <f t="shared" si="51"/>
        <v/>
      </c>
      <c r="CS65" s="744" t="str">
        <f t="shared" si="52"/>
        <v/>
      </c>
      <c r="CT65" s="744" t="str">
        <f t="shared" si="53"/>
        <v/>
      </c>
      <c r="CU65" s="744" t="str">
        <f t="shared" si="54"/>
        <v/>
      </c>
      <c r="CV65" s="744" t="str">
        <f t="shared" si="55"/>
        <v/>
      </c>
      <c r="CW65" s="744" t="str">
        <f t="shared" si="56"/>
        <v/>
      </c>
      <c r="CX65" s="744">
        <f t="shared" si="57"/>
        <v>0.299265</v>
      </c>
    </row>
    <row r="66" spans="1:102">
      <c r="A66" s="630">
        <v>62</v>
      </c>
      <c r="B66" s="630" t="s">
        <v>3</v>
      </c>
      <c r="C66" s="631" t="s">
        <v>249</v>
      </c>
      <c r="D66" s="630" t="s">
        <v>1390</v>
      </c>
      <c r="E66" s="632" t="s">
        <v>137</v>
      </c>
      <c r="F66" s="1067">
        <v>0.2</v>
      </c>
      <c r="G66" s="1066">
        <v>1</v>
      </c>
      <c r="H66" s="1069">
        <v>0.29499999999999998</v>
      </c>
      <c r="I66" s="1069">
        <v>0.20083599999999999</v>
      </c>
      <c r="J66" s="1069">
        <v>0.13800000000000001</v>
      </c>
      <c r="K66" s="1069">
        <v>4.2067E-2</v>
      </c>
      <c r="L66" s="1074">
        <v>0.15384249999999999</v>
      </c>
      <c r="M66" s="1069"/>
      <c r="N66" s="1069">
        <v>1.85</v>
      </c>
      <c r="O66" s="1069"/>
      <c r="P66" s="1076">
        <v>4.7494999999999994</v>
      </c>
      <c r="Q66" s="1069">
        <v>26.314</v>
      </c>
      <c r="R66" s="1069">
        <v>17.641000000000002</v>
      </c>
      <c r="S66" s="1069">
        <v>7.6109999999999998</v>
      </c>
      <c r="T66" s="1069">
        <v>16.873999999999999</v>
      </c>
      <c r="U66" s="1069"/>
      <c r="V66" s="1079"/>
      <c r="W66" s="1069">
        <v>0.67849999999999999</v>
      </c>
      <c r="X66" s="1069"/>
      <c r="Y66" s="1069"/>
      <c r="Z66" s="1069"/>
      <c r="AA66" s="1069"/>
      <c r="AB66" s="1069"/>
      <c r="AC66" s="1069"/>
      <c r="AD66" s="1069">
        <v>215.29</v>
      </c>
      <c r="AE66" s="1069"/>
      <c r="AF66" s="1069"/>
      <c r="AG66" s="1069"/>
      <c r="AH66" s="1076"/>
      <c r="AI66" s="1069"/>
      <c r="AJ66" s="1069"/>
      <c r="AK66" s="1069"/>
      <c r="AL66" s="1081"/>
      <c r="AM66" s="1069"/>
      <c r="AN66" s="1069"/>
      <c r="AO66" s="1069"/>
      <c r="AP66" s="1069"/>
      <c r="AQ66" s="1069"/>
      <c r="AR66" s="1069"/>
      <c r="AS66" s="1282"/>
      <c r="AT66" s="1282"/>
      <c r="AU66" s="1069"/>
      <c r="AV66" s="1069"/>
      <c r="AW66" s="1069"/>
      <c r="AX66" s="1069"/>
      <c r="AY66" s="1069"/>
      <c r="AZ66" s="1078">
        <f t="shared" si="10"/>
        <v>0.29499999999999998</v>
      </c>
      <c r="BA66" s="59">
        <v>62</v>
      </c>
      <c r="BB66" s="59">
        <f t="shared" si="12"/>
        <v>62</v>
      </c>
      <c r="BC66" s="60" t="str">
        <f t="shared" si="13"/>
        <v>Capim Braquiária Decumbens Águas-Seca</v>
      </c>
      <c r="BD66" s="61" t="str">
        <f ca="1">IFERROR(IF(SEARCH('Calcular Dieta'!A$3,$BC$5:$BC$310)&gt;=1,BC66,"Não encontrado"),"Não encontrado")</f>
        <v>Capim Braquiária Decumbens Águas-Seca</v>
      </c>
      <c r="BE66" s="741">
        <f ca="1">COUNTIF(BD$5:BD66,"&lt;&gt;"&amp;"Não encontrado")</f>
        <v>62</v>
      </c>
      <c r="BF66" s="742" t="str">
        <f t="shared" ca="1" si="58"/>
        <v>CAPIM BRAQUIÁRIA DECUMBENS ÁGUAS-SECA</v>
      </c>
      <c r="BG66" s="744">
        <f t="shared" si="14"/>
        <v>0.200902</v>
      </c>
      <c r="BH66" s="744">
        <f t="shared" si="15"/>
        <v>0.13806600000000002</v>
      </c>
      <c r="BI66" s="744">
        <f t="shared" si="16"/>
        <v>4.2132999999999997E-2</v>
      </c>
      <c r="BJ66" s="744">
        <f t="shared" si="17"/>
        <v>0.1539085</v>
      </c>
      <c r="BK66" s="744" t="str">
        <f t="shared" si="18"/>
        <v/>
      </c>
      <c r="BL66" s="744">
        <f t="shared" si="19"/>
        <v>1.850066</v>
      </c>
      <c r="BM66" s="744" t="str">
        <f t="shared" si="20"/>
        <v/>
      </c>
      <c r="BN66" s="744">
        <f t="shared" si="21"/>
        <v>4.7495659999999997</v>
      </c>
      <c r="BO66" s="744">
        <f t="shared" si="22"/>
        <v>26.314066</v>
      </c>
      <c r="BP66" s="744">
        <f t="shared" si="23"/>
        <v>17.641066000000002</v>
      </c>
      <c r="BQ66" s="744">
        <f t="shared" si="24"/>
        <v>7.6110660000000001</v>
      </c>
      <c r="BR66" s="744">
        <f t="shared" si="25"/>
        <v>16.874065999999999</v>
      </c>
      <c r="BS66" s="744" t="str">
        <f t="shared" si="26"/>
        <v/>
      </c>
      <c r="BT66" s="744" t="str">
        <f t="shared" si="27"/>
        <v/>
      </c>
      <c r="BU66" s="744">
        <f t="shared" si="28"/>
        <v>0.678566</v>
      </c>
      <c r="BV66" s="744" t="str">
        <f t="shared" si="29"/>
        <v/>
      </c>
      <c r="BW66" s="744" t="str">
        <f t="shared" si="30"/>
        <v/>
      </c>
      <c r="BX66" s="744" t="str">
        <f t="shared" si="31"/>
        <v/>
      </c>
      <c r="BY66" s="744" t="str">
        <f t="shared" si="32"/>
        <v/>
      </c>
      <c r="BZ66" s="744" t="str">
        <f t="shared" si="33"/>
        <v/>
      </c>
      <c r="CA66" s="744" t="str">
        <f t="shared" si="34"/>
        <v/>
      </c>
      <c r="CB66" s="744">
        <f t="shared" si="35"/>
        <v>215.290066</v>
      </c>
      <c r="CC66" s="744" t="str">
        <f t="shared" si="36"/>
        <v/>
      </c>
      <c r="CD66" s="744" t="str">
        <f t="shared" si="37"/>
        <v/>
      </c>
      <c r="CE66" s="744" t="str">
        <f t="shared" si="38"/>
        <v/>
      </c>
      <c r="CF66" s="744" t="str">
        <f t="shared" si="39"/>
        <v/>
      </c>
      <c r="CG66" s="744" t="str">
        <f t="shared" si="40"/>
        <v/>
      </c>
      <c r="CH66" s="744" t="str">
        <f t="shared" si="41"/>
        <v/>
      </c>
      <c r="CI66" s="744" t="str">
        <f t="shared" si="42"/>
        <v/>
      </c>
      <c r="CJ66" s="744" t="str">
        <f t="shared" si="43"/>
        <v/>
      </c>
      <c r="CK66" s="744" t="str">
        <f t="shared" si="44"/>
        <v/>
      </c>
      <c r="CL66" s="744" t="str">
        <f t="shared" si="45"/>
        <v/>
      </c>
      <c r="CM66" s="744" t="str">
        <f t="shared" si="46"/>
        <v/>
      </c>
      <c r="CN66" s="744" t="str">
        <f t="shared" si="47"/>
        <v/>
      </c>
      <c r="CO66" s="744" t="str">
        <f t="shared" si="48"/>
        <v/>
      </c>
      <c r="CP66" s="744" t="str">
        <f t="shared" si="49"/>
        <v/>
      </c>
      <c r="CQ66" s="744" t="str">
        <f t="shared" si="50"/>
        <v/>
      </c>
      <c r="CR66" s="744" t="str">
        <f t="shared" si="51"/>
        <v/>
      </c>
      <c r="CS66" s="744" t="str">
        <f t="shared" si="52"/>
        <v/>
      </c>
      <c r="CT66" s="744" t="str">
        <f t="shared" si="53"/>
        <v/>
      </c>
      <c r="CU66" s="744" t="str">
        <f t="shared" si="54"/>
        <v/>
      </c>
      <c r="CV66" s="744" t="str">
        <f t="shared" si="55"/>
        <v/>
      </c>
      <c r="CW66" s="744" t="str">
        <f t="shared" si="56"/>
        <v/>
      </c>
      <c r="CX66" s="744">
        <f t="shared" si="57"/>
        <v>0.29506599999999999</v>
      </c>
    </row>
    <row r="67" spans="1:102">
      <c r="A67" s="633">
        <v>63</v>
      </c>
      <c r="B67" s="630" t="s">
        <v>3</v>
      </c>
      <c r="C67" s="631" t="s">
        <v>248</v>
      </c>
      <c r="D67" s="630" t="s">
        <v>1390</v>
      </c>
      <c r="E67" s="632" t="s">
        <v>138</v>
      </c>
      <c r="F67" s="1067">
        <v>0.6</v>
      </c>
      <c r="G67" s="1066">
        <v>1</v>
      </c>
      <c r="H67" s="1069">
        <v>0.89139999999999997</v>
      </c>
      <c r="I67" s="1069">
        <v>0.72640185999999995</v>
      </c>
      <c r="J67" s="1069">
        <v>0.433</v>
      </c>
      <c r="K67" s="1069">
        <v>6.4715639999999991E-2</v>
      </c>
      <c r="L67" s="1074">
        <v>0.48545643999999993</v>
      </c>
      <c r="M67" s="1069"/>
      <c r="N67" s="1069">
        <v>1.91</v>
      </c>
      <c r="O67" s="1069"/>
      <c r="P67" s="1076">
        <v>12.033900000000001</v>
      </c>
      <c r="Q67" s="1069">
        <v>61.952300000000001</v>
      </c>
      <c r="R67" s="1069"/>
      <c r="S67" s="1069"/>
      <c r="T67" s="1069"/>
      <c r="U67" s="1069"/>
      <c r="V67" s="1079">
        <v>2.4067799999999999</v>
      </c>
      <c r="W67" s="1069">
        <v>1.2479600000000002</v>
      </c>
      <c r="X67" s="1069">
        <v>1.8719399999999999</v>
      </c>
      <c r="Y67" s="1069">
        <v>0.44569999999999999</v>
      </c>
      <c r="Z67" s="1069">
        <v>6.6854999999999993</v>
      </c>
      <c r="AA67" s="1069"/>
      <c r="AB67" s="1069"/>
      <c r="AC67" s="1069"/>
      <c r="AD67" s="1069">
        <v>215.29</v>
      </c>
      <c r="AE67" s="1069"/>
      <c r="AF67" s="1069"/>
      <c r="AG67" s="1069"/>
      <c r="AH67" s="1076"/>
      <c r="AI67" s="1069"/>
      <c r="AJ67" s="1069"/>
      <c r="AK67" s="1069"/>
      <c r="AL67" s="1081"/>
      <c r="AM67" s="1069"/>
      <c r="AN67" s="1069"/>
      <c r="AO67" s="1069"/>
      <c r="AP67" s="1069"/>
      <c r="AQ67" s="1069"/>
      <c r="AR67" s="1069"/>
      <c r="AS67" s="1282"/>
      <c r="AT67" s="1282"/>
      <c r="AU67" s="1069"/>
      <c r="AV67" s="1069"/>
      <c r="AW67" s="1069"/>
      <c r="AX67" s="1069"/>
      <c r="AY67" s="1069"/>
      <c r="AZ67" s="1078">
        <f t="shared" si="10"/>
        <v>0.89139999999999997</v>
      </c>
      <c r="BA67" s="59">
        <v>63</v>
      </c>
      <c r="BB67" s="59">
        <f t="shared" si="12"/>
        <v>63</v>
      </c>
      <c r="BC67" s="60" t="str">
        <f t="shared" si="13"/>
        <v>Capim Braquiária Decumbens Feno</v>
      </c>
      <c r="BD67" s="61" t="str">
        <f ca="1">IFERROR(IF(SEARCH('Calcular Dieta'!A$3,$BC$5:$BC$310)&gt;=1,BC67,"Não encontrado"),"Não encontrado")</f>
        <v>Capim Braquiária Decumbens Feno</v>
      </c>
      <c r="BE67" s="741">
        <f ca="1">COUNTIF(BD$5:BD67,"&lt;&gt;"&amp;"Não encontrado")</f>
        <v>63</v>
      </c>
      <c r="BF67" s="742" t="str">
        <f t="shared" ca="1" si="58"/>
        <v>CAPIM BRAQUIÁRIA DECUMBENS FENO</v>
      </c>
      <c r="BG67" s="744">
        <f t="shared" si="14"/>
        <v>0.72646885999999999</v>
      </c>
      <c r="BH67" s="744">
        <f t="shared" si="15"/>
        <v>0.43306699999999998</v>
      </c>
      <c r="BI67" s="744">
        <f t="shared" si="16"/>
        <v>6.4782639999999989E-2</v>
      </c>
      <c r="BJ67" s="744">
        <f t="shared" si="17"/>
        <v>0.48552343999999992</v>
      </c>
      <c r="BK67" s="744" t="str">
        <f t="shared" si="18"/>
        <v/>
      </c>
      <c r="BL67" s="744">
        <f t="shared" si="19"/>
        <v>1.910067</v>
      </c>
      <c r="BM67" s="744" t="str">
        <f t="shared" si="20"/>
        <v/>
      </c>
      <c r="BN67" s="744">
        <f t="shared" si="21"/>
        <v>12.033967000000001</v>
      </c>
      <c r="BO67" s="744">
        <f t="shared" si="22"/>
        <v>61.952367000000002</v>
      </c>
      <c r="BP67" s="744" t="str">
        <f t="shared" si="23"/>
        <v/>
      </c>
      <c r="BQ67" s="744" t="str">
        <f t="shared" si="24"/>
        <v/>
      </c>
      <c r="BR67" s="744" t="str">
        <f t="shared" si="25"/>
        <v/>
      </c>
      <c r="BS67" s="744" t="str">
        <f t="shared" si="26"/>
        <v/>
      </c>
      <c r="BT67" s="744">
        <f t="shared" si="27"/>
        <v>2.406847</v>
      </c>
      <c r="BU67" s="744">
        <f t="shared" si="28"/>
        <v>1.2480270000000002</v>
      </c>
      <c r="BV67" s="744">
        <f t="shared" si="29"/>
        <v>1.872007</v>
      </c>
      <c r="BW67" s="744">
        <f t="shared" si="30"/>
        <v>0.44576699999999997</v>
      </c>
      <c r="BX67" s="744">
        <f t="shared" si="31"/>
        <v>6.6855669999999989</v>
      </c>
      <c r="BY67" s="744" t="str">
        <f t="shared" si="32"/>
        <v/>
      </c>
      <c r="BZ67" s="744" t="str">
        <f t="shared" si="33"/>
        <v/>
      </c>
      <c r="CA67" s="744" t="str">
        <f t="shared" si="34"/>
        <v/>
      </c>
      <c r="CB67" s="744">
        <f t="shared" si="35"/>
        <v>215.29006699999999</v>
      </c>
      <c r="CC67" s="744" t="str">
        <f t="shared" si="36"/>
        <v/>
      </c>
      <c r="CD67" s="744" t="str">
        <f t="shared" si="37"/>
        <v/>
      </c>
      <c r="CE67" s="744" t="str">
        <f t="shared" si="38"/>
        <v/>
      </c>
      <c r="CF67" s="744" t="str">
        <f t="shared" si="39"/>
        <v/>
      </c>
      <c r="CG67" s="744" t="str">
        <f t="shared" si="40"/>
        <v/>
      </c>
      <c r="CH67" s="744" t="str">
        <f t="shared" si="41"/>
        <v/>
      </c>
      <c r="CI67" s="744" t="str">
        <f t="shared" si="42"/>
        <v/>
      </c>
      <c r="CJ67" s="744" t="str">
        <f t="shared" si="43"/>
        <v/>
      </c>
      <c r="CK67" s="744" t="str">
        <f t="shared" si="44"/>
        <v/>
      </c>
      <c r="CL67" s="744" t="str">
        <f t="shared" si="45"/>
        <v/>
      </c>
      <c r="CM67" s="744" t="str">
        <f t="shared" si="46"/>
        <v/>
      </c>
      <c r="CN67" s="744" t="str">
        <f t="shared" si="47"/>
        <v/>
      </c>
      <c r="CO67" s="744" t="str">
        <f t="shared" si="48"/>
        <v/>
      </c>
      <c r="CP67" s="744" t="str">
        <f t="shared" si="49"/>
        <v/>
      </c>
      <c r="CQ67" s="744" t="str">
        <f t="shared" si="50"/>
        <v/>
      </c>
      <c r="CR67" s="744" t="str">
        <f t="shared" si="51"/>
        <v/>
      </c>
      <c r="CS67" s="744" t="str">
        <f t="shared" si="52"/>
        <v/>
      </c>
      <c r="CT67" s="744" t="str">
        <f t="shared" si="53"/>
        <v/>
      </c>
      <c r="CU67" s="744" t="str">
        <f t="shared" si="54"/>
        <v/>
      </c>
      <c r="CV67" s="744" t="str">
        <f t="shared" si="55"/>
        <v/>
      </c>
      <c r="CW67" s="744" t="str">
        <f t="shared" si="56"/>
        <v/>
      </c>
      <c r="CX67" s="744">
        <f t="shared" si="57"/>
        <v>0.89146700000000001</v>
      </c>
    </row>
    <row r="68" spans="1:102">
      <c r="A68" s="630">
        <v>64</v>
      </c>
      <c r="B68" s="630" t="s">
        <v>3</v>
      </c>
      <c r="C68" s="631" t="s">
        <v>249</v>
      </c>
      <c r="D68" s="630" t="s">
        <v>1390</v>
      </c>
      <c r="E68" s="632" t="s">
        <v>139</v>
      </c>
      <c r="F68" s="1067">
        <v>0.2</v>
      </c>
      <c r="G68" s="1066">
        <v>1</v>
      </c>
      <c r="H68" s="1069">
        <v>0.3483</v>
      </c>
      <c r="I68" s="1069">
        <v>0.23235092999999998</v>
      </c>
      <c r="J68" s="1069">
        <v>0.16839999999999999</v>
      </c>
      <c r="K68" s="1069">
        <v>7.3038510000000001E-2</v>
      </c>
      <c r="L68" s="1074">
        <v>0.21058218000000001</v>
      </c>
      <c r="M68" s="1069"/>
      <c r="N68" s="1069">
        <v>2.17</v>
      </c>
      <c r="O68" s="1069"/>
      <c r="P68" s="1076">
        <v>4.9458599999999997</v>
      </c>
      <c r="Q68" s="1069">
        <v>31.207680000000003</v>
      </c>
      <c r="R68" s="1069">
        <v>21.5946</v>
      </c>
      <c r="S68" s="1069">
        <v>9.6130800000000001</v>
      </c>
      <c r="T68" s="1069">
        <v>20.898</v>
      </c>
      <c r="U68" s="1069"/>
      <c r="V68" s="1079"/>
      <c r="W68" s="1069"/>
      <c r="X68" s="1069"/>
      <c r="Y68" s="1069"/>
      <c r="Z68" s="1069"/>
      <c r="AA68" s="1069"/>
      <c r="AB68" s="1069"/>
      <c r="AC68" s="1069"/>
      <c r="AD68" s="1069">
        <v>215.29</v>
      </c>
      <c r="AE68" s="1069"/>
      <c r="AF68" s="1069"/>
      <c r="AG68" s="1069"/>
      <c r="AH68" s="1076"/>
      <c r="AI68" s="1069"/>
      <c r="AJ68" s="1069"/>
      <c r="AK68" s="1069"/>
      <c r="AL68" s="1081"/>
      <c r="AM68" s="1069"/>
      <c r="AN68" s="1069"/>
      <c r="AO68" s="1069"/>
      <c r="AP68" s="1069"/>
      <c r="AQ68" s="1069"/>
      <c r="AR68" s="1069"/>
      <c r="AS68" s="1282"/>
      <c r="AT68" s="1282"/>
      <c r="AU68" s="1069"/>
      <c r="AV68" s="1069"/>
      <c r="AW68" s="1069"/>
      <c r="AX68" s="1069"/>
      <c r="AY68" s="1069"/>
      <c r="AZ68" s="1078">
        <f t="shared" si="10"/>
        <v>0.3483</v>
      </c>
      <c r="BA68" s="59">
        <v>64</v>
      </c>
      <c r="BB68" s="59">
        <f t="shared" si="12"/>
        <v>64</v>
      </c>
      <c r="BC68" s="60" t="str">
        <f t="shared" si="13"/>
        <v>Capim Braquiaria Decumbens Outubro</v>
      </c>
      <c r="BD68" s="61" t="str">
        <f ca="1">IFERROR(IF(SEARCH('Calcular Dieta'!A$3,$BC$5:$BC$310)&gt;=1,BC68,"Não encontrado"),"Não encontrado")</f>
        <v>Capim Braquiaria Decumbens Outubro</v>
      </c>
      <c r="BE68" s="741">
        <f ca="1">COUNTIF(BD$5:BD68,"&lt;&gt;"&amp;"Não encontrado")</f>
        <v>64</v>
      </c>
      <c r="BF68" s="742" t="str">
        <f t="shared" ca="1" si="58"/>
        <v>CAPIM BRAQUIARIA DECUMBENS OUTUBRO</v>
      </c>
      <c r="BG68" s="744">
        <f t="shared" si="14"/>
        <v>0.23241893</v>
      </c>
      <c r="BH68" s="744">
        <f t="shared" si="15"/>
        <v>0.16846800000000001</v>
      </c>
      <c r="BI68" s="744">
        <f t="shared" si="16"/>
        <v>7.310651E-2</v>
      </c>
      <c r="BJ68" s="744">
        <f t="shared" si="17"/>
        <v>0.21065018000000002</v>
      </c>
      <c r="BK68" s="744" t="str">
        <f t="shared" si="18"/>
        <v/>
      </c>
      <c r="BL68" s="744">
        <f t="shared" si="19"/>
        <v>2.1700680000000001</v>
      </c>
      <c r="BM68" s="744" t="str">
        <f t="shared" si="20"/>
        <v/>
      </c>
      <c r="BN68" s="744">
        <f t="shared" si="21"/>
        <v>4.9459279999999994</v>
      </c>
      <c r="BO68" s="744">
        <f t="shared" si="22"/>
        <v>31.207748000000002</v>
      </c>
      <c r="BP68" s="744">
        <f t="shared" si="23"/>
        <v>21.594667999999999</v>
      </c>
      <c r="BQ68" s="744">
        <f t="shared" si="24"/>
        <v>9.6131480000000007</v>
      </c>
      <c r="BR68" s="744">
        <f t="shared" si="25"/>
        <v>20.898067999999999</v>
      </c>
      <c r="BS68" s="744" t="str">
        <f t="shared" si="26"/>
        <v/>
      </c>
      <c r="BT68" s="744" t="str">
        <f t="shared" si="27"/>
        <v/>
      </c>
      <c r="BU68" s="744" t="str">
        <f t="shared" si="28"/>
        <v/>
      </c>
      <c r="BV68" s="744" t="str">
        <f t="shared" si="29"/>
        <v/>
      </c>
      <c r="BW68" s="744" t="str">
        <f t="shared" si="30"/>
        <v/>
      </c>
      <c r="BX68" s="744" t="str">
        <f t="shared" si="31"/>
        <v/>
      </c>
      <c r="BY68" s="744" t="str">
        <f t="shared" si="32"/>
        <v/>
      </c>
      <c r="BZ68" s="744" t="str">
        <f t="shared" si="33"/>
        <v/>
      </c>
      <c r="CA68" s="744" t="str">
        <f t="shared" si="34"/>
        <v/>
      </c>
      <c r="CB68" s="744">
        <f t="shared" si="35"/>
        <v>215.29006799999999</v>
      </c>
      <c r="CC68" s="744" t="str">
        <f t="shared" si="36"/>
        <v/>
      </c>
      <c r="CD68" s="744" t="str">
        <f t="shared" si="37"/>
        <v/>
      </c>
      <c r="CE68" s="744" t="str">
        <f t="shared" si="38"/>
        <v/>
      </c>
      <c r="CF68" s="744" t="str">
        <f t="shared" si="39"/>
        <v/>
      </c>
      <c r="CG68" s="744" t="str">
        <f t="shared" si="40"/>
        <v/>
      </c>
      <c r="CH68" s="744" t="str">
        <f t="shared" si="41"/>
        <v/>
      </c>
      <c r="CI68" s="744" t="str">
        <f t="shared" si="42"/>
        <v/>
      </c>
      <c r="CJ68" s="744" t="str">
        <f t="shared" si="43"/>
        <v/>
      </c>
      <c r="CK68" s="744" t="str">
        <f t="shared" si="44"/>
        <v/>
      </c>
      <c r="CL68" s="744" t="str">
        <f t="shared" si="45"/>
        <v/>
      </c>
      <c r="CM68" s="744" t="str">
        <f t="shared" si="46"/>
        <v/>
      </c>
      <c r="CN68" s="744" t="str">
        <f t="shared" si="47"/>
        <v/>
      </c>
      <c r="CO68" s="744" t="str">
        <f t="shared" si="48"/>
        <v/>
      </c>
      <c r="CP68" s="744" t="str">
        <f t="shared" si="49"/>
        <v/>
      </c>
      <c r="CQ68" s="744" t="str">
        <f t="shared" si="50"/>
        <v/>
      </c>
      <c r="CR68" s="744" t="str">
        <f t="shared" si="51"/>
        <v/>
      </c>
      <c r="CS68" s="744" t="str">
        <f t="shared" si="52"/>
        <v/>
      </c>
      <c r="CT68" s="744" t="str">
        <f t="shared" si="53"/>
        <v/>
      </c>
      <c r="CU68" s="744" t="str">
        <f t="shared" si="54"/>
        <v/>
      </c>
      <c r="CV68" s="744" t="str">
        <f t="shared" si="55"/>
        <v/>
      </c>
      <c r="CW68" s="744" t="str">
        <f t="shared" si="56"/>
        <v/>
      </c>
      <c r="CX68" s="744">
        <f t="shared" si="57"/>
        <v>0.34836800000000001</v>
      </c>
    </row>
    <row r="69" spans="1:102">
      <c r="A69" s="633">
        <v>65</v>
      </c>
      <c r="B69" s="630" t="s">
        <v>3</v>
      </c>
      <c r="C69" s="631" t="s">
        <v>249</v>
      </c>
      <c r="D69" s="630" t="s">
        <v>1390</v>
      </c>
      <c r="E69" s="632" t="s">
        <v>140</v>
      </c>
      <c r="F69" s="1067">
        <v>0.2</v>
      </c>
      <c r="G69" s="1066">
        <v>1</v>
      </c>
      <c r="H69" s="1069">
        <v>0.35499999999999998</v>
      </c>
      <c r="I69" s="1069">
        <v>0.25258249999999999</v>
      </c>
      <c r="J69" s="1069">
        <v>0.16839999999999999</v>
      </c>
      <c r="K69" s="1069">
        <v>7.2668499999999997E-2</v>
      </c>
      <c r="L69" s="1074">
        <v>0.19670549999999998</v>
      </c>
      <c r="M69" s="1069"/>
      <c r="N69" s="1069">
        <v>1.94</v>
      </c>
      <c r="O69" s="1069"/>
      <c r="P69" s="1076">
        <v>5.68</v>
      </c>
      <c r="Q69" s="1069">
        <v>20.270499999999998</v>
      </c>
      <c r="R69" s="1069">
        <v>17.217499999999998</v>
      </c>
      <c r="S69" s="1279">
        <v>3.0530000000000008</v>
      </c>
      <c r="T69" s="1069">
        <v>20.163999999999998</v>
      </c>
      <c r="U69" s="1069"/>
      <c r="V69" s="1079">
        <v>1.3845000000000001</v>
      </c>
      <c r="W69" s="1069">
        <v>0.35499999999999998</v>
      </c>
      <c r="X69" s="1069">
        <v>0.49700000000000005</v>
      </c>
      <c r="Y69" s="1069">
        <v>2.0589999999999997</v>
      </c>
      <c r="Z69" s="1069"/>
      <c r="AA69" s="1069"/>
      <c r="AB69" s="1069"/>
      <c r="AC69" s="1069"/>
      <c r="AD69" s="1069">
        <v>215.29</v>
      </c>
      <c r="AE69" s="1069"/>
      <c r="AF69" s="1069"/>
      <c r="AG69" s="1069"/>
      <c r="AH69" s="1076"/>
      <c r="AI69" s="1069"/>
      <c r="AJ69" s="1069"/>
      <c r="AK69" s="1069"/>
      <c r="AL69" s="1081"/>
      <c r="AM69" s="1069"/>
      <c r="AN69" s="1069"/>
      <c r="AO69" s="1069"/>
      <c r="AP69" s="1069"/>
      <c r="AQ69" s="1069"/>
      <c r="AR69" s="1069"/>
      <c r="AS69" s="1282"/>
      <c r="AT69" s="1282"/>
      <c r="AU69" s="1069"/>
      <c r="AV69" s="1069"/>
      <c r="AW69" s="1069"/>
      <c r="AX69" s="1069"/>
      <c r="AY69" s="1069"/>
      <c r="AZ69" s="1078">
        <f t="shared" ref="AZ69:AZ132" si="59">(1-AY69)*H69</f>
        <v>0.35499999999999998</v>
      </c>
      <c r="BA69" s="59">
        <v>65</v>
      </c>
      <c r="BB69" s="59">
        <f t="shared" si="12"/>
        <v>65</v>
      </c>
      <c r="BC69" s="60" t="str">
        <f t="shared" si="13"/>
        <v>Capim Braquiária Decumbens Período Seco</v>
      </c>
      <c r="BD69" s="61" t="str">
        <f ca="1">IFERROR(IF(SEARCH('Calcular Dieta'!A$3,$BC$5:$BC$310)&gt;=1,BC69,"Não encontrado"),"Não encontrado")</f>
        <v>Capim Braquiária Decumbens Período Seco</v>
      </c>
      <c r="BE69" s="741">
        <f ca="1">COUNTIF(BD$5:BD69,"&lt;&gt;"&amp;"Não encontrado")</f>
        <v>65</v>
      </c>
      <c r="BF69" s="742" t="str">
        <f t="shared" ca="1" si="58"/>
        <v>CAPIM BRAQUIÁRIA DECUMBENS PERÍODO SECO</v>
      </c>
      <c r="BG69" s="744">
        <f t="shared" si="14"/>
        <v>0.25265149999999997</v>
      </c>
      <c r="BH69" s="744">
        <f t="shared" si="15"/>
        <v>0.16846900000000001</v>
      </c>
      <c r="BI69" s="744">
        <f t="shared" si="16"/>
        <v>7.2737499999999997E-2</v>
      </c>
      <c r="BJ69" s="744">
        <f t="shared" si="17"/>
        <v>0.19677449999999999</v>
      </c>
      <c r="BK69" s="744" t="str">
        <f t="shared" si="18"/>
        <v/>
      </c>
      <c r="BL69" s="744">
        <f t="shared" si="19"/>
        <v>1.940069</v>
      </c>
      <c r="BM69" s="744" t="str">
        <f t="shared" si="20"/>
        <v/>
      </c>
      <c r="BN69" s="744">
        <f t="shared" si="21"/>
        <v>5.6800689999999996</v>
      </c>
      <c r="BO69" s="744">
        <f t="shared" si="22"/>
        <v>20.270568999999998</v>
      </c>
      <c r="BP69" s="744">
        <f t="shared" si="23"/>
        <v>17.217568999999997</v>
      </c>
      <c r="BQ69" s="744">
        <f t="shared" si="24"/>
        <v>3.0530690000000007</v>
      </c>
      <c r="BR69" s="744">
        <f t="shared" si="25"/>
        <v>20.164068999999998</v>
      </c>
      <c r="BS69" s="744" t="str">
        <f t="shared" si="26"/>
        <v/>
      </c>
      <c r="BT69" s="744">
        <f t="shared" si="27"/>
        <v>1.3845690000000002</v>
      </c>
      <c r="BU69" s="744">
        <f t="shared" si="28"/>
        <v>0.35506899999999997</v>
      </c>
      <c r="BV69" s="744">
        <f t="shared" si="29"/>
        <v>0.49706900000000004</v>
      </c>
      <c r="BW69" s="744">
        <f t="shared" si="30"/>
        <v>2.0590689999999996</v>
      </c>
      <c r="BX69" s="744" t="str">
        <f t="shared" si="31"/>
        <v/>
      </c>
      <c r="BY69" s="744" t="str">
        <f t="shared" si="32"/>
        <v/>
      </c>
      <c r="BZ69" s="744" t="str">
        <f t="shared" si="33"/>
        <v/>
      </c>
      <c r="CA69" s="744" t="str">
        <f t="shared" si="34"/>
        <v/>
      </c>
      <c r="CB69" s="744">
        <f t="shared" si="35"/>
        <v>215.29006899999999</v>
      </c>
      <c r="CC69" s="744" t="str">
        <f t="shared" si="36"/>
        <v/>
      </c>
      <c r="CD69" s="744" t="str">
        <f t="shared" si="37"/>
        <v/>
      </c>
      <c r="CE69" s="744" t="str">
        <f t="shared" si="38"/>
        <v/>
      </c>
      <c r="CF69" s="744" t="str">
        <f t="shared" si="39"/>
        <v/>
      </c>
      <c r="CG69" s="744" t="str">
        <f t="shared" si="40"/>
        <v/>
      </c>
      <c r="CH69" s="744" t="str">
        <f t="shared" si="41"/>
        <v/>
      </c>
      <c r="CI69" s="744" t="str">
        <f t="shared" si="42"/>
        <v/>
      </c>
      <c r="CJ69" s="744" t="str">
        <f t="shared" si="43"/>
        <v/>
      </c>
      <c r="CK69" s="744" t="str">
        <f t="shared" si="44"/>
        <v/>
      </c>
      <c r="CL69" s="744" t="str">
        <f t="shared" si="45"/>
        <v/>
      </c>
      <c r="CM69" s="744" t="str">
        <f t="shared" si="46"/>
        <v/>
      </c>
      <c r="CN69" s="744" t="str">
        <f t="shared" si="47"/>
        <v/>
      </c>
      <c r="CO69" s="744" t="str">
        <f t="shared" si="48"/>
        <v/>
      </c>
      <c r="CP69" s="744" t="str">
        <f t="shared" si="49"/>
        <v/>
      </c>
      <c r="CQ69" s="744" t="str">
        <f t="shared" si="50"/>
        <v/>
      </c>
      <c r="CR69" s="744" t="str">
        <f t="shared" si="51"/>
        <v/>
      </c>
      <c r="CS69" s="744" t="str">
        <f t="shared" si="52"/>
        <v/>
      </c>
      <c r="CT69" s="744" t="str">
        <f t="shared" si="53"/>
        <v/>
      </c>
      <c r="CU69" s="744" t="str">
        <f t="shared" si="54"/>
        <v/>
      </c>
      <c r="CV69" s="744" t="str">
        <f t="shared" si="55"/>
        <v/>
      </c>
      <c r="CW69" s="744" t="str">
        <f t="shared" si="56"/>
        <v/>
      </c>
      <c r="CX69" s="744">
        <f t="shared" si="57"/>
        <v>0.35506899999999997</v>
      </c>
    </row>
    <row r="70" spans="1:102">
      <c r="A70" s="630">
        <v>66</v>
      </c>
      <c r="B70" s="630" t="s">
        <v>3</v>
      </c>
      <c r="C70" s="631" t="s">
        <v>249</v>
      </c>
      <c r="D70" s="630" t="s">
        <v>1390</v>
      </c>
      <c r="E70" s="632" t="s">
        <v>141</v>
      </c>
      <c r="F70" s="1067">
        <v>0.2</v>
      </c>
      <c r="G70" s="1066">
        <v>1</v>
      </c>
      <c r="H70" s="1069">
        <v>0.17010000000000003</v>
      </c>
      <c r="I70" s="1069">
        <v>0.10342080000000002</v>
      </c>
      <c r="J70" s="1069">
        <v>5.9705100000000018E-2</v>
      </c>
      <c r="K70" s="1069">
        <v>3.2897340000000004E-2</v>
      </c>
      <c r="L70" s="1074">
        <v>9.5238990000000023E-2</v>
      </c>
      <c r="M70" s="1069"/>
      <c r="N70" s="1279">
        <v>1.95</v>
      </c>
      <c r="O70" s="1069"/>
      <c r="P70" s="1076">
        <v>2.3814000000000002</v>
      </c>
      <c r="Q70" s="1069">
        <v>14.968800000000005</v>
      </c>
      <c r="R70" s="1069">
        <v>10.478160000000003</v>
      </c>
      <c r="S70" s="1069">
        <v>4.4906400000000017</v>
      </c>
      <c r="T70" s="1069">
        <v>9.9931708800000045</v>
      </c>
      <c r="U70" s="1069"/>
      <c r="V70" s="1079"/>
      <c r="W70" s="1069"/>
      <c r="X70" s="1069"/>
      <c r="Y70" s="1069"/>
      <c r="Z70" s="1069"/>
      <c r="AA70" s="1069"/>
      <c r="AB70" s="1069"/>
      <c r="AC70" s="1069"/>
      <c r="AD70" s="1069"/>
      <c r="AE70" s="1069"/>
      <c r="AF70" s="1069"/>
      <c r="AG70" s="1069"/>
      <c r="AH70" s="1076"/>
      <c r="AI70" s="1069"/>
      <c r="AJ70" s="1069"/>
      <c r="AK70" s="1069"/>
      <c r="AL70" s="1081"/>
      <c r="AM70" s="1069"/>
      <c r="AN70" s="1069"/>
      <c r="AO70" s="1069"/>
      <c r="AP70" s="1069"/>
      <c r="AQ70" s="1069"/>
      <c r="AR70" s="1069"/>
      <c r="AS70" s="1282"/>
      <c r="AT70" s="1282"/>
      <c r="AU70" s="1069"/>
      <c r="AV70" s="1069"/>
      <c r="AW70" s="1069"/>
      <c r="AX70" s="1069"/>
      <c r="AY70" s="1069"/>
      <c r="AZ70" s="1078">
        <f t="shared" si="59"/>
        <v>0.17010000000000003</v>
      </c>
      <c r="BA70" s="59">
        <v>66</v>
      </c>
      <c r="BB70" s="59">
        <f t="shared" ref="BB70:BB133" si="60">IF(E70="","",COUNTIF($E$5:$E$310,"&lt;"&amp;E70)+1)</f>
        <v>66</v>
      </c>
      <c r="BC70" s="60" t="str">
        <f t="shared" ref="BC70:BC133" si="61">IFERROR(INDEX($E$5:$E$310,MATCH(BA70,$BB$5:$BB$310,0)),"-")</f>
        <v>Capim Braquiaria Hibrida Mulato</v>
      </c>
      <c r="BD70" s="61" t="str">
        <f ca="1">IFERROR(IF(SEARCH('Calcular Dieta'!A$3,$BC$5:$BC$310)&gt;=1,BC70,"Não encontrado"),"Não encontrado")</f>
        <v>Capim Braquiaria Hibrida Mulato</v>
      </c>
      <c r="BE70" s="741">
        <f ca="1">COUNTIF(BD$5:BD70,"&lt;&gt;"&amp;"Não encontrado")</f>
        <v>66</v>
      </c>
      <c r="BF70" s="742" t="str">
        <f t="shared" ref="BF70:BF133" ca="1" si="62">IFERROR(UPPER(INDEX($BD$5:$BD$310,MATCH(BA70,$BE$5:$BE$310,0))),"-")</f>
        <v>CAPIM BRAQUIARIA HIBRIDA MULATO</v>
      </c>
      <c r="BG70" s="744">
        <f t="shared" ref="BG70:BG133" si="63">IF(OR(I70="",I70=0),"",I70+(ROW()/1000000))</f>
        <v>0.10349080000000002</v>
      </c>
      <c r="BH70" s="744">
        <f t="shared" ref="BH70:BH133" si="64">IF(OR(J70="",J70=0),"",J70+(ROW()/1000000))</f>
        <v>5.9775100000000018E-2</v>
      </c>
      <c r="BI70" s="744">
        <f t="shared" ref="BI70:BI133" si="65">IF(OR(K70="",K70=0),"",K70+(ROW()/1000000))</f>
        <v>3.2967340000000005E-2</v>
      </c>
      <c r="BJ70" s="744">
        <f t="shared" ref="BJ70:BJ133" si="66">IF(OR(L70="",L70=0),"",L70+(ROW()/1000000))</f>
        <v>9.5308990000000024E-2</v>
      </c>
      <c r="BK70" s="744" t="str">
        <f t="shared" ref="BK70:BK133" si="67">IF(OR(M70="",M70=0),"",M70+(ROW()/1000000))</f>
        <v/>
      </c>
      <c r="BL70" s="744">
        <f t="shared" ref="BL70:BL133" si="68">IF(OR(N70="",N70=0),"",N70+(ROW()/1000000))</f>
        <v>1.95007</v>
      </c>
      <c r="BM70" s="744" t="str">
        <f t="shared" ref="BM70:BM133" si="69">IF(OR(O70="",O70=0),"",O70+(ROW()/1000000))</f>
        <v/>
      </c>
      <c r="BN70" s="744">
        <f t="shared" ref="BN70:BN133" si="70">IF(OR(P70="",P70=0),"",P70+(ROW()/1000000))</f>
        <v>2.3814700000000002</v>
      </c>
      <c r="BO70" s="744">
        <f t="shared" ref="BO70:BO133" si="71">IF(OR(Q70="",Q70=0),"",Q70+(ROW()/1000000))</f>
        <v>14.968870000000004</v>
      </c>
      <c r="BP70" s="744">
        <f t="shared" ref="BP70:BP133" si="72">IF(OR(R70="",R70=0),"",R70+(ROW()/1000000))</f>
        <v>10.478230000000002</v>
      </c>
      <c r="BQ70" s="744">
        <f t="shared" ref="BQ70:BQ133" si="73">IF(OR(S70="",S70=0),"",S70+(ROW()/1000000))</f>
        <v>4.4907100000000018</v>
      </c>
      <c r="BR70" s="744">
        <f t="shared" ref="BR70:BR133" si="74">IF(OR(T70="",T70=0),"",T70+(ROW()/1000000))</f>
        <v>9.9932408800000037</v>
      </c>
      <c r="BS70" s="744" t="str">
        <f t="shared" ref="BS70:BS133" si="75">IF(OR(U70="",U70=0),"",U70+(ROW()/1000000))</f>
        <v/>
      </c>
      <c r="BT70" s="744" t="str">
        <f t="shared" ref="BT70:BT133" si="76">IF(OR(V70="",V70=0),"",V70+(ROW()/1000000))</f>
        <v/>
      </c>
      <c r="BU70" s="744" t="str">
        <f t="shared" ref="BU70:BU133" si="77">IF(OR(W70="",W70=0),"",W70+(ROW()/1000000))</f>
        <v/>
      </c>
      <c r="BV70" s="744" t="str">
        <f t="shared" ref="BV70:BV133" si="78">IF(OR(X70="",X70=0),"",X70+(ROW()/1000000))</f>
        <v/>
      </c>
      <c r="BW70" s="744" t="str">
        <f t="shared" ref="BW70:BW133" si="79">IF(OR(Y70="",Y70=0),"",Y70+(ROW()/1000000))</f>
        <v/>
      </c>
      <c r="BX70" s="744" t="str">
        <f t="shared" ref="BX70:BX133" si="80">IF(OR(Z70="",Z70=0),"",Z70+(ROW()/1000000))</f>
        <v/>
      </c>
      <c r="BY70" s="744" t="str">
        <f t="shared" ref="BY70:BY133" si="81">IF(OR(AA70="",AA70=0),"",AA70+(ROW()/1000000))</f>
        <v/>
      </c>
      <c r="BZ70" s="744" t="str">
        <f t="shared" ref="BZ70:BZ133" si="82">IF(OR(AB70="",AB70=0),"",AB70+(ROW()/1000000))</f>
        <v/>
      </c>
      <c r="CA70" s="744" t="str">
        <f t="shared" ref="CA70:CA133" si="83">IF(OR(AC70="",AC70=0),"",AC70+(ROW()/1000000))</f>
        <v/>
      </c>
      <c r="CB70" s="744" t="str">
        <f t="shared" ref="CB70:CB133" si="84">IF(OR(AD70="",AD70=0),"",AD70+(ROW()/1000000))</f>
        <v/>
      </c>
      <c r="CC70" s="744" t="str">
        <f t="shared" ref="CC70:CC133" si="85">IF(OR(AE70="",AE70=0),"",AE70+(ROW()/1000000))</f>
        <v/>
      </c>
      <c r="CD70" s="744" t="str">
        <f t="shared" ref="CD70:CD133" si="86">IF(OR(AF70="",AF70=0),"",AF70+(ROW()/1000000))</f>
        <v/>
      </c>
      <c r="CE70" s="744" t="str">
        <f t="shared" ref="CE70:CE133" si="87">IF(OR(AG70="",AG70=0),"",AG70+(ROW()/1000000))</f>
        <v/>
      </c>
      <c r="CF70" s="744" t="str">
        <f t="shared" ref="CF70:CF133" si="88">IF(OR(AH70="",AH70=0),"",AH70+(ROW()/1000000))</f>
        <v/>
      </c>
      <c r="CG70" s="744" t="str">
        <f t="shared" ref="CG70:CG133" si="89">IF(OR(AI70="",AI70=0),"",AI70+(ROW()/1000000))</f>
        <v/>
      </c>
      <c r="CH70" s="744" t="str">
        <f t="shared" ref="CH70:CH133" si="90">IF(OR(AJ70="",AJ70=0),"",AJ70+(ROW()/1000000))</f>
        <v/>
      </c>
      <c r="CI70" s="744" t="str">
        <f t="shared" ref="CI70:CI133" si="91">IF(OR(AK70="",AK70=0),"",AK70+(ROW()/1000000))</f>
        <v/>
      </c>
      <c r="CJ70" s="744" t="str">
        <f t="shared" ref="CJ70:CJ133" si="92">IF(OR(AL70="",AL70=0),"",AL70+(ROW()/1000000))</f>
        <v/>
      </c>
      <c r="CK70" s="744" t="str">
        <f t="shared" ref="CK70:CK133" si="93">IF(OR(AM70="",AM70=0),"",AM70+(ROW()/1000000))</f>
        <v/>
      </c>
      <c r="CL70" s="744" t="str">
        <f t="shared" ref="CL70:CL133" si="94">IF(OR(AN70="",AN70=0),"",AN70+(ROW()/1000000))</f>
        <v/>
      </c>
      <c r="CM70" s="744" t="str">
        <f t="shared" ref="CM70:CM133" si="95">IF(OR(AO70="",AO70=0),"",AO70+(ROW()/1000000))</f>
        <v/>
      </c>
      <c r="CN70" s="744" t="str">
        <f t="shared" ref="CN70:CN133" si="96">IF(OR(AP70="",AP70=0),"",AP70+(ROW()/1000000))</f>
        <v/>
      </c>
      <c r="CO70" s="744" t="str">
        <f t="shared" ref="CO70:CO133" si="97">IF(OR(AQ70="",AQ70=0),"",AQ70+(ROW()/1000000))</f>
        <v/>
      </c>
      <c r="CP70" s="744" t="str">
        <f t="shared" ref="CP70:CP133" si="98">IF(OR(AR70="",AR70=0),"",AR70+(ROW()/1000000))</f>
        <v/>
      </c>
      <c r="CQ70" s="744" t="str">
        <f t="shared" ref="CQ70:CQ133" si="99">IF(OR(AS70="",AS70=0),"",AS70+(ROW()/1000000))</f>
        <v/>
      </c>
      <c r="CR70" s="744" t="str">
        <f t="shared" ref="CR70:CR133" si="100">IF(OR(AT70="",AT70=0),"",AT70+(ROW()/1000000))</f>
        <v/>
      </c>
      <c r="CS70" s="744" t="str">
        <f t="shared" ref="CS70:CS133" si="101">IF(OR(AU70="",AU70=0),"",AU70+(ROW()/1000000))</f>
        <v/>
      </c>
      <c r="CT70" s="744" t="str">
        <f t="shared" ref="CT70:CT133" si="102">IF(OR(AV70="",AV70=0),"",AV70+(ROW()/1000000))</f>
        <v/>
      </c>
      <c r="CU70" s="744" t="str">
        <f t="shared" ref="CU70:CU133" si="103">IF(OR(AW70="",AW70=0),"",AW70+(ROW()/1000000))</f>
        <v/>
      </c>
      <c r="CV70" s="744" t="str">
        <f t="shared" ref="CV70:CV133" si="104">IF(OR(AX70="",AX70=0),"",AX70+(ROW()/1000000))</f>
        <v/>
      </c>
      <c r="CW70" s="744" t="str">
        <f t="shared" ref="CW70:CW133" si="105">IF(OR(AY70="",AY70=0),"",AY70+(ROW()/1000000))</f>
        <v/>
      </c>
      <c r="CX70" s="744">
        <f t="shared" ref="CX70:CX133" si="106">IF(OR(AZ70="",AZ70=0),"",AZ70+(ROW()/1000000))</f>
        <v>0.17017000000000002</v>
      </c>
    </row>
    <row r="71" spans="1:102">
      <c r="A71" s="633">
        <v>67</v>
      </c>
      <c r="B71" s="630" t="s">
        <v>3</v>
      </c>
      <c r="C71" s="631" t="s">
        <v>249</v>
      </c>
      <c r="D71" s="630" t="s">
        <v>1390</v>
      </c>
      <c r="E71" s="632" t="s">
        <v>142</v>
      </c>
      <c r="F71" s="1067">
        <v>0.2</v>
      </c>
      <c r="G71" s="1066">
        <v>1</v>
      </c>
      <c r="H71" s="1069">
        <v>0.20660000000000001</v>
      </c>
      <c r="I71" s="1069">
        <v>0.12782342000000002</v>
      </c>
      <c r="J71" s="1069">
        <v>0.1095</v>
      </c>
      <c r="K71" s="1069"/>
      <c r="L71" s="1074"/>
      <c r="M71" s="1069"/>
      <c r="N71" s="1069"/>
      <c r="O71" s="1069"/>
      <c r="P71" s="1076">
        <v>3.1609800000000003</v>
      </c>
      <c r="Q71" s="1069">
        <v>21.899600000000003</v>
      </c>
      <c r="R71" s="1069"/>
      <c r="S71" s="1069"/>
      <c r="T71" s="1069"/>
      <c r="U71" s="1069"/>
      <c r="V71" s="1079"/>
      <c r="W71" s="1069"/>
      <c r="X71" s="1069"/>
      <c r="Y71" s="1069"/>
      <c r="Z71" s="1069"/>
      <c r="AA71" s="1069"/>
      <c r="AB71" s="1069"/>
      <c r="AC71" s="1069"/>
      <c r="AD71" s="1069"/>
      <c r="AE71" s="1069"/>
      <c r="AF71" s="1069"/>
      <c r="AG71" s="1069"/>
      <c r="AH71" s="1076"/>
      <c r="AI71" s="1069"/>
      <c r="AJ71" s="1069"/>
      <c r="AK71" s="1069"/>
      <c r="AL71" s="1081"/>
      <c r="AM71" s="1069"/>
      <c r="AN71" s="1069"/>
      <c r="AO71" s="1069"/>
      <c r="AP71" s="1069"/>
      <c r="AQ71" s="1069"/>
      <c r="AR71" s="1069"/>
      <c r="AS71" s="1282"/>
      <c r="AT71" s="1282"/>
      <c r="AU71" s="1069"/>
      <c r="AV71" s="1069"/>
      <c r="AW71" s="1069"/>
      <c r="AX71" s="1069"/>
      <c r="AY71" s="1069"/>
      <c r="AZ71" s="1078">
        <f t="shared" si="59"/>
        <v>0.20660000000000001</v>
      </c>
      <c r="BA71" s="59">
        <v>67</v>
      </c>
      <c r="BB71" s="59">
        <f t="shared" si="60"/>
        <v>67</v>
      </c>
      <c r="BC71" s="60" t="str">
        <f t="shared" si="61"/>
        <v>Capim Braquiaria Hibrida Mulato Outono</v>
      </c>
      <c r="BD71" s="61" t="str">
        <f ca="1">IFERROR(IF(SEARCH('Calcular Dieta'!A$3,$BC$5:$BC$310)&gt;=1,BC71,"Não encontrado"),"Não encontrado")</f>
        <v>Capim Braquiaria Hibrida Mulato Outono</v>
      </c>
      <c r="BE71" s="741">
        <f ca="1">COUNTIF(BD$5:BD71,"&lt;&gt;"&amp;"Não encontrado")</f>
        <v>67</v>
      </c>
      <c r="BF71" s="742" t="str">
        <f t="shared" ca="1" si="62"/>
        <v>CAPIM BRAQUIARIA HIBRIDA MULATO OUTONO</v>
      </c>
      <c r="BG71" s="744">
        <f t="shared" si="63"/>
        <v>0.12789442000000001</v>
      </c>
      <c r="BH71" s="744">
        <f t="shared" si="64"/>
        <v>0.109571</v>
      </c>
      <c r="BI71" s="744" t="str">
        <f t="shared" si="65"/>
        <v/>
      </c>
      <c r="BJ71" s="744" t="str">
        <f t="shared" si="66"/>
        <v/>
      </c>
      <c r="BK71" s="744" t="str">
        <f t="shared" si="67"/>
        <v/>
      </c>
      <c r="BL71" s="744" t="str">
        <f t="shared" si="68"/>
        <v/>
      </c>
      <c r="BM71" s="744" t="str">
        <f t="shared" si="69"/>
        <v/>
      </c>
      <c r="BN71" s="744">
        <f t="shared" si="70"/>
        <v>3.1610510000000005</v>
      </c>
      <c r="BO71" s="744">
        <f t="shared" si="71"/>
        <v>21.899671000000001</v>
      </c>
      <c r="BP71" s="744" t="str">
        <f t="shared" si="72"/>
        <v/>
      </c>
      <c r="BQ71" s="744" t="str">
        <f t="shared" si="73"/>
        <v/>
      </c>
      <c r="BR71" s="744" t="str">
        <f t="shared" si="74"/>
        <v/>
      </c>
      <c r="BS71" s="744" t="str">
        <f t="shared" si="75"/>
        <v/>
      </c>
      <c r="BT71" s="744" t="str">
        <f t="shared" si="76"/>
        <v/>
      </c>
      <c r="BU71" s="744" t="str">
        <f t="shared" si="77"/>
        <v/>
      </c>
      <c r="BV71" s="744" t="str">
        <f t="shared" si="78"/>
        <v/>
      </c>
      <c r="BW71" s="744" t="str">
        <f t="shared" si="79"/>
        <v/>
      </c>
      <c r="BX71" s="744" t="str">
        <f t="shared" si="80"/>
        <v/>
      </c>
      <c r="BY71" s="744" t="str">
        <f t="shared" si="81"/>
        <v/>
      </c>
      <c r="BZ71" s="744" t="str">
        <f t="shared" si="82"/>
        <v/>
      </c>
      <c r="CA71" s="744" t="str">
        <f t="shared" si="83"/>
        <v/>
      </c>
      <c r="CB71" s="744" t="str">
        <f t="shared" si="84"/>
        <v/>
      </c>
      <c r="CC71" s="744" t="str">
        <f t="shared" si="85"/>
        <v/>
      </c>
      <c r="CD71" s="744" t="str">
        <f t="shared" si="86"/>
        <v/>
      </c>
      <c r="CE71" s="744" t="str">
        <f t="shared" si="87"/>
        <v/>
      </c>
      <c r="CF71" s="744" t="str">
        <f t="shared" si="88"/>
        <v/>
      </c>
      <c r="CG71" s="744" t="str">
        <f t="shared" si="89"/>
        <v/>
      </c>
      <c r="CH71" s="744" t="str">
        <f t="shared" si="90"/>
        <v/>
      </c>
      <c r="CI71" s="744" t="str">
        <f t="shared" si="91"/>
        <v/>
      </c>
      <c r="CJ71" s="744" t="str">
        <f t="shared" si="92"/>
        <v/>
      </c>
      <c r="CK71" s="744" t="str">
        <f t="shared" si="93"/>
        <v/>
      </c>
      <c r="CL71" s="744" t="str">
        <f t="shared" si="94"/>
        <v/>
      </c>
      <c r="CM71" s="744" t="str">
        <f t="shared" si="95"/>
        <v/>
      </c>
      <c r="CN71" s="744" t="str">
        <f t="shared" si="96"/>
        <v/>
      </c>
      <c r="CO71" s="744" t="str">
        <f t="shared" si="97"/>
        <v/>
      </c>
      <c r="CP71" s="744" t="str">
        <f t="shared" si="98"/>
        <v/>
      </c>
      <c r="CQ71" s="744" t="str">
        <f t="shared" si="99"/>
        <v/>
      </c>
      <c r="CR71" s="744" t="str">
        <f t="shared" si="100"/>
        <v/>
      </c>
      <c r="CS71" s="744" t="str">
        <f t="shared" si="101"/>
        <v/>
      </c>
      <c r="CT71" s="744" t="str">
        <f t="shared" si="102"/>
        <v/>
      </c>
      <c r="CU71" s="744" t="str">
        <f t="shared" si="103"/>
        <v/>
      </c>
      <c r="CV71" s="744" t="str">
        <f t="shared" si="104"/>
        <v/>
      </c>
      <c r="CW71" s="744" t="str">
        <f t="shared" si="105"/>
        <v/>
      </c>
      <c r="CX71" s="744">
        <f t="shared" si="106"/>
        <v>0.20667099999999999</v>
      </c>
    </row>
    <row r="72" spans="1:102">
      <c r="A72" s="630">
        <v>68</v>
      </c>
      <c r="B72" s="630" t="s">
        <v>3</v>
      </c>
      <c r="C72" s="631" t="s">
        <v>249</v>
      </c>
      <c r="D72" s="630" t="s">
        <v>1390</v>
      </c>
      <c r="E72" s="632" t="s">
        <v>143</v>
      </c>
      <c r="F72" s="1067">
        <v>0.2</v>
      </c>
      <c r="G72" s="1066">
        <v>1</v>
      </c>
      <c r="H72" s="1069">
        <v>0.24010000000000001</v>
      </c>
      <c r="I72" s="1069">
        <v>0.15584891000000001</v>
      </c>
      <c r="J72" s="1069">
        <v>0.1095</v>
      </c>
      <c r="K72" s="1069"/>
      <c r="L72" s="1074"/>
      <c r="M72" s="1069"/>
      <c r="N72" s="1069"/>
      <c r="O72" s="1069"/>
      <c r="P72" s="1076">
        <v>3.8175900000000005</v>
      </c>
      <c r="Q72" s="1069">
        <v>29.292200000000001</v>
      </c>
      <c r="R72" s="1069"/>
      <c r="S72" s="1069"/>
      <c r="T72" s="1069"/>
      <c r="U72" s="1069"/>
      <c r="V72" s="1079"/>
      <c r="W72" s="1069"/>
      <c r="X72" s="1069"/>
      <c r="Y72" s="1069"/>
      <c r="Z72" s="1069"/>
      <c r="AA72" s="1069"/>
      <c r="AB72" s="1069"/>
      <c r="AC72" s="1069"/>
      <c r="AD72" s="1069"/>
      <c r="AE72" s="1069"/>
      <c r="AF72" s="1069"/>
      <c r="AG72" s="1069"/>
      <c r="AH72" s="1076"/>
      <c r="AI72" s="1069"/>
      <c r="AJ72" s="1069"/>
      <c r="AK72" s="1069"/>
      <c r="AL72" s="1081"/>
      <c r="AM72" s="1069"/>
      <c r="AN72" s="1069"/>
      <c r="AO72" s="1069"/>
      <c r="AP72" s="1069"/>
      <c r="AQ72" s="1069"/>
      <c r="AR72" s="1069"/>
      <c r="AS72" s="1282"/>
      <c r="AT72" s="1282"/>
      <c r="AU72" s="1069"/>
      <c r="AV72" s="1069"/>
      <c r="AW72" s="1069"/>
      <c r="AX72" s="1069"/>
      <c r="AY72" s="1069"/>
      <c r="AZ72" s="1078">
        <f t="shared" si="59"/>
        <v>0.24010000000000001</v>
      </c>
      <c r="BA72" s="59">
        <v>68</v>
      </c>
      <c r="BB72" s="59">
        <f t="shared" si="60"/>
        <v>68</v>
      </c>
      <c r="BC72" s="60" t="str">
        <f t="shared" si="61"/>
        <v>Capim Braquiaria Hibrida Mulato Primavera</v>
      </c>
      <c r="BD72" s="61" t="str">
        <f ca="1">IFERROR(IF(SEARCH('Calcular Dieta'!A$3,$BC$5:$BC$310)&gt;=1,BC72,"Não encontrado"),"Não encontrado")</f>
        <v>Capim Braquiaria Hibrida Mulato Primavera</v>
      </c>
      <c r="BE72" s="741">
        <f ca="1">COUNTIF(BD$5:BD72,"&lt;&gt;"&amp;"Não encontrado")</f>
        <v>68</v>
      </c>
      <c r="BF72" s="742" t="str">
        <f t="shared" ca="1" si="62"/>
        <v>CAPIM BRAQUIARIA HIBRIDA MULATO PRIMAVERA</v>
      </c>
      <c r="BG72" s="744">
        <f t="shared" si="63"/>
        <v>0.15592091</v>
      </c>
      <c r="BH72" s="744">
        <f t="shared" si="64"/>
        <v>0.109572</v>
      </c>
      <c r="BI72" s="744" t="str">
        <f t="shared" si="65"/>
        <v/>
      </c>
      <c r="BJ72" s="744" t="str">
        <f t="shared" si="66"/>
        <v/>
      </c>
      <c r="BK72" s="744" t="str">
        <f t="shared" si="67"/>
        <v/>
      </c>
      <c r="BL72" s="744" t="str">
        <f t="shared" si="68"/>
        <v/>
      </c>
      <c r="BM72" s="744" t="str">
        <f t="shared" si="69"/>
        <v/>
      </c>
      <c r="BN72" s="744">
        <f t="shared" si="70"/>
        <v>3.8176620000000003</v>
      </c>
      <c r="BO72" s="744">
        <f t="shared" si="71"/>
        <v>29.292272000000001</v>
      </c>
      <c r="BP72" s="744" t="str">
        <f t="shared" si="72"/>
        <v/>
      </c>
      <c r="BQ72" s="744" t="str">
        <f t="shared" si="73"/>
        <v/>
      </c>
      <c r="BR72" s="744" t="str">
        <f t="shared" si="74"/>
        <v/>
      </c>
      <c r="BS72" s="744" t="str">
        <f t="shared" si="75"/>
        <v/>
      </c>
      <c r="BT72" s="744" t="str">
        <f t="shared" si="76"/>
        <v/>
      </c>
      <c r="BU72" s="744" t="str">
        <f t="shared" si="77"/>
        <v/>
      </c>
      <c r="BV72" s="744" t="str">
        <f t="shared" si="78"/>
        <v/>
      </c>
      <c r="BW72" s="744" t="str">
        <f t="shared" si="79"/>
        <v/>
      </c>
      <c r="BX72" s="744" t="str">
        <f t="shared" si="80"/>
        <v/>
      </c>
      <c r="BY72" s="744" t="str">
        <f t="shared" si="81"/>
        <v/>
      </c>
      <c r="BZ72" s="744" t="str">
        <f t="shared" si="82"/>
        <v/>
      </c>
      <c r="CA72" s="744" t="str">
        <f t="shared" si="83"/>
        <v/>
      </c>
      <c r="CB72" s="744" t="str">
        <f t="shared" si="84"/>
        <v/>
      </c>
      <c r="CC72" s="744" t="str">
        <f t="shared" si="85"/>
        <v/>
      </c>
      <c r="CD72" s="744" t="str">
        <f t="shared" si="86"/>
        <v/>
      </c>
      <c r="CE72" s="744" t="str">
        <f t="shared" si="87"/>
        <v/>
      </c>
      <c r="CF72" s="744" t="str">
        <f t="shared" si="88"/>
        <v/>
      </c>
      <c r="CG72" s="744" t="str">
        <f t="shared" si="89"/>
        <v/>
      </c>
      <c r="CH72" s="744" t="str">
        <f t="shared" si="90"/>
        <v/>
      </c>
      <c r="CI72" s="744" t="str">
        <f t="shared" si="91"/>
        <v/>
      </c>
      <c r="CJ72" s="744" t="str">
        <f t="shared" si="92"/>
        <v/>
      </c>
      <c r="CK72" s="744" t="str">
        <f t="shared" si="93"/>
        <v/>
      </c>
      <c r="CL72" s="744" t="str">
        <f t="shared" si="94"/>
        <v/>
      </c>
      <c r="CM72" s="744" t="str">
        <f t="shared" si="95"/>
        <v/>
      </c>
      <c r="CN72" s="744" t="str">
        <f t="shared" si="96"/>
        <v/>
      </c>
      <c r="CO72" s="744" t="str">
        <f t="shared" si="97"/>
        <v/>
      </c>
      <c r="CP72" s="744" t="str">
        <f t="shared" si="98"/>
        <v/>
      </c>
      <c r="CQ72" s="744" t="str">
        <f t="shared" si="99"/>
        <v/>
      </c>
      <c r="CR72" s="744" t="str">
        <f t="shared" si="100"/>
        <v/>
      </c>
      <c r="CS72" s="744" t="str">
        <f t="shared" si="101"/>
        <v/>
      </c>
      <c r="CT72" s="744" t="str">
        <f t="shared" si="102"/>
        <v/>
      </c>
      <c r="CU72" s="744" t="str">
        <f t="shared" si="103"/>
        <v/>
      </c>
      <c r="CV72" s="744" t="str">
        <f t="shared" si="104"/>
        <v/>
      </c>
      <c r="CW72" s="744" t="str">
        <f t="shared" si="105"/>
        <v/>
      </c>
      <c r="CX72" s="744">
        <f t="shared" si="106"/>
        <v>0.240172</v>
      </c>
    </row>
    <row r="73" spans="1:102">
      <c r="A73" s="633">
        <v>69</v>
      </c>
      <c r="B73" s="630" t="s">
        <v>3</v>
      </c>
      <c r="C73" s="631" t="s">
        <v>249</v>
      </c>
      <c r="D73" s="630" t="s">
        <v>1390</v>
      </c>
      <c r="E73" s="632" t="s">
        <v>144</v>
      </c>
      <c r="F73" s="1067">
        <v>0.2</v>
      </c>
      <c r="G73" s="1066">
        <v>1</v>
      </c>
      <c r="H73" s="1069">
        <v>0.2586</v>
      </c>
      <c r="I73" s="1069">
        <v>0.15531516000000001</v>
      </c>
      <c r="J73" s="1069">
        <v>0.1095</v>
      </c>
      <c r="K73" s="1069"/>
      <c r="L73" s="1074"/>
      <c r="M73" s="1069"/>
      <c r="N73" s="1069"/>
      <c r="O73" s="1069"/>
      <c r="P73" s="1076">
        <v>3.4911000000000003</v>
      </c>
      <c r="Q73" s="1069">
        <v>31.161300000000004</v>
      </c>
      <c r="R73" s="1069"/>
      <c r="S73" s="1069"/>
      <c r="T73" s="1069"/>
      <c r="U73" s="1069"/>
      <c r="V73" s="1079"/>
      <c r="W73" s="1069"/>
      <c r="X73" s="1069"/>
      <c r="Y73" s="1069"/>
      <c r="Z73" s="1069"/>
      <c r="AA73" s="1069"/>
      <c r="AB73" s="1069"/>
      <c r="AC73" s="1069"/>
      <c r="AD73" s="1069"/>
      <c r="AE73" s="1069"/>
      <c r="AF73" s="1069"/>
      <c r="AG73" s="1069"/>
      <c r="AH73" s="1076"/>
      <c r="AI73" s="1069"/>
      <c r="AJ73" s="1069"/>
      <c r="AK73" s="1069"/>
      <c r="AL73" s="1081"/>
      <c r="AM73" s="1069"/>
      <c r="AN73" s="1069"/>
      <c r="AO73" s="1069"/>
      <c r="AP73" s="1069"/>
      <c r="AQ73" s="1069"/>
      <c r="AR73" s="1069"/>
      <c r="AS73" s="1282"/>
      <c r="AT73" s="1282"/>
      <c r="AU73" s="1069"/>
      <c r="AV73" s="1069"/>
      <c r="AW73" s="1069"/>
      <c r="AX73" s="1069"/>
      <c r="AY73" s="1069"/>
      <c r="AZ73" s="1078">
        <f t="shared" si="59"/>
        <v>0.2586</v>
      </c>
      <c r="BA73" s="59">
        <v>69</v>
      </c>
      <c r="BB73" s="59">
        <f t="shared" si="60"/>
        <v>69</v>
      </c>
      <c r="BC73" s="60" t="str">
        <f t="shared" si="61"/>
        <v>Capim Braquiaria Hibrida Mulato Verão</v>
      </c>
      <c r="BD73" s="61" t="str">
        <f ca="1">IFERROR(IF(SEARCH('Calcular Dieta'!A$3,$BC$5:$BC$310)&gt;=1,BC73,"Não encontrado"),"Não encontrado")</f>
        <v>Capim Braquiaria Hibrida Mulato Verão</v>
      </c>
      <c r="BE73" s="741">
        <f ca="1">COUNTIF(BD$5:BD73,"&lt;&gt;"&amp;"Não encontrado")</f>
        <v>69</v>
      </c>
      <c r="BF73" s="742" t="str">
        <f t="shared" ca="1" si="62"/>
        <v>CAPIM BRAQUIARIA HIBRIDA MULATO VERÃO</v>
      </c>
      <c r="BG73" s="744">
        <f t="shared" si="63"/>
        <v>0.15538816</v>
      </c>
      <c r="BH73" s="744">
        <f t="shared" si="64"/>
        <v>0.109573</v>
      </c>
      <c r="BI73" s="744" t="str">
        <f t="shared" si="65"/>
        <v/>
      </c>
      <c r="BJ73" s="744" t="str">
        <f t="shared" si="66"/>
        <v/>
      </c>
      <c r="BK73" s="744" t="str">
        <f t="shared" si="67"/>
        <v/>
      </c>
      <c r="BL73" s="744" t="str">
        <f t="shared" si="68"/>
        <v/>
      </c>
      <c r="BM73" s="744" t="str">
        <f t="shared" si="69"/>
        <v/>
      </c>
      <c r="BN73" s="744">
        <f t="shared" si="70"/>
        <v>3.4911730000000003</v>
      </c>
      <c r="BO73" s="744">
        <f t="shared" si="71"/>
        <v>31.161373000000005</v>
      </c>
      <c r="BP73" s="744" t="str">
        <f t="shared" si="72"/>
        <v/>
      </c>
      <c r="BQ73" s="744" t="str">
        <f t="shared" si="73"/>
        <v/>
      </c>
      <c r="BR73" s="744" t="str">
        <f t="shared" si="74"/>
        <v/>
      </c>
      <c r="BS73" s="744" t="str">
        <f t="shared" si="75"/>
        <v/>
      </c>
      <c r="BT73" s="744" t="str">
        <f t="shared" si="76"/>
        <v/>
      </c>
      <c r="BU73" s="744" t="str">
        <f t="shared" si="77"/>
        <v/>
      </c>
      <c r="BV73" s="744" t="str">
        <f t="shared" si="78"/>
        <v/>
      </c>
      <c r="BW73" s="744" t="str">
        <f t="shared" si="79"/>
        <v/>
      </c>
      <c r="BX73" s="744" t="str">
        <f t="shared" si="80"/>
        <v/>
      </c>
      <c r="BY73" s="744" t="str">
        <f t="shared" si="81"/>
        <v/>
      </c>
      <c r="BZ73" s="744" t="str">
        <f t="shared" si="82"/>
        <v/>
      </c>
      <c r="CA73" s="744" t="str">
        <f t="shared" si="83"/>
        <v/>
      </c>
      <c r="CB73" s="744" t="str">
        <f t="shared" si="84"/>
        <v/>
      </c>
      <c r="CC73" s="744" t="str">
        <f t="shared" si="85"/>
        <v/>
      </c>
      <c r="CD73" s="744" t="str">
        <f t="shared" si="86"/>
        <v/>
      </c>
      <c r="CE73" s="744" t="str">
        <f t="shared" si="87"/>
        <v/>
      </c>
      <c r="CF73" s="744" t="str">
        <f t="shared" si="88"/>
        <v/>
      </c>
      <c r="CG73" s="744" t="str">
        <f t="shared" si="89"/>
        <v/>
      </c>
      <c r="CH73" s="744" t="str">
        <f t="shared" si="90"/>
        <v/>
      </c>
      <c r="CI73" s="744" t="str">
        <f t="shared" si="91"/>
        <v/>
      </c>
      <c r="CJ73" s="744" t="str">
        <f t="shared" si="92"/>
        <v/>
      </c>
      <c r="CK73" s="744" t="str">
        <f t="shared" si="93"/>
        <v/>
      </c>
      <c r="CL73" s="744" t="str">
        <f t="shared" si="94"/>
        <v/>
      </c>
      <c r="CM73" s="744" t="str">
        <f t="shared" si="95"/>
        <v/>
      </c>
      <c r="CN73" s="744" t="str">
        <f t="shared" si="96"/>
        <v/>
      </c>
      <c r="CO73" s="744" t="str">
        <f t="shared" si="97"/>
        <v/>
      </c>
      <c r="CP73" s="744" t="str">
        <f t="shared" si="98"/>
        <v/>
      </c>
      <c r="CQ73" s="744" t="str">
        <f t="shared" si="99"/>
        <v/>
      </c>
      <c r="CR73" s="744" t="str">
        <f t="shared" si="100"/>
        <v/>
      </c>
      <c r="CS73" s="744" t="str">
        <f t="shared" si="101"/>
        <v/>
      </c>
      <c r="CT73" s="744" t="str">
        <f t="shared" si="102"/>
        <v/>
      </c>
      <c r="CU73" s="744" t="str">
        <f t="shared" si="103"/>
        <v/>
      </c>
      <c r="CV73" s="744" t="str">
        <f t="shared" si="104"/>
        <v/>
      </c>
      <c r="CW73" s="744" t="str">
        <f t="shared" si="105"/>
        <v/>
      </c>
      <c r="CX73" s="744">
        <f t="shared" si="106"/>
        <v>0.25867299999999999</v>
      </c>
    </row>
    <row r="74" spans="1:102">
      <c r="A74" s="630">
        <v>70</v>
      </c>
      <c r="B74" s="630" t="s">
        <v>3</v>
      </c>
      <c r="C74" s="631" t="s">
        <v>249</v>
      </c>
      <c r="D74" s="630" t="s">
        <v>1390</v>
      </c>
      <c r="E74" s="632" t="s">
        <v>145</v>
      </c>
      <c r="F74" s="1067">
        <v>0.2</v>
      </c>
      <c r="G74" s="1066">
        <v>1</v>
      </c>
      <c r="H74" s="1070">
        <v>0.28120000000000001</v>
      </c>
      <c r="I74" s="1070">
        <v>0.20207032</v>
      </c>
      <c r="J74" s="1070">
        <v>0.11562943999999999</v>
      </c>
      <c r="K74" s="1070">
        <v>3.1888079999999999E-2</v>
      </c>
      <c r="L74" s="1072">
        <v>0.15918732000000002</v>
      </c>
      <c r="M74" s="1070"/>
      <c r="N74" s="1281">
        <v>1.93</v>
      </c>
      <c r="O74" s="1070"/>
      <c r="P74" s="1073">
        <v>6.8894000000000002</v>
      </c>
      <c r="Q74" s="1070">
        <v>20.752560000000003</v>
      </c>
      <c r="R74" s="1070">
        <v>13.530669120000004</v>
      </c>
      <c r="S74" s="1279">
        <v>7.2218908799999983</v>
      </c>
      <c r="T74" s="1070">
        <v>14.157396432000002</v>
      </c>
      <c r="U74" s="1070">
        <v>0</v>
      </c>
      <c r="V74" s="1066">
        <v>1.0685600000000002</v>
      </c>
      <c r="W74" s="1070">
        <v>0.33744000000000002</v>
      </c>
      <c r="X74" s="1070">
        <v>0.56240000000000001</v>
      </c>
      <c r="Y74" s="1070">
        <v>5.6240000000000005E-2</v>
      </c>
      <c r="Z74" s="1070">
        <v>5.5958800000000002</v>
      </c>
      <c r="AA74" s="1070">
        <v>0.11248000000000001</v>
      </c>
      <c r="AB74" s="1281">
        <v>13.32</v>
      </c>
      <c r="AC74" s="1281">
        <v>19</v>
      </c>
      <c r="AD74" s="1281">
        <v>229.47</v>
      </c>
      <c r="AE74" s="1281">
        <v>93.82</v>
      </c>
      <c r="AF74" s="1281"/>
      <c r="AG74" s="1281">
        <v>0.09</v>
      </c>
      <c r="AH74" s="1073"/>
      <c r="AI74" s="1070"/>
      <c r="AJ74" s="1070"/>
      <c r="AK74" s="1070"/>
      <c r="AL74" s="1082"/>
      <c r="AM74" s="1069"/>
      <c r="AN74" s="1070"/>
      <c r="AO74" s="1070"/>
      <c r="AP74" s="1070"/>
      <c r="AQ74" s="1069"/>
      <c r="AR74" s="1069"/>
      <c r="AS74" s="1282"/>
      <c r="AT74" s="1282"/>
      <c r="AU74" s="1069"/>
      <c r="AV74" s="1069"/>
      <c r="AW74" s="1069"/>
      <c r="AX74" s="1069"/>
      <c r="AY74" s="1069"/>
      <c r="AZ74" s="1078">
        <f t="shared" si="59"/>
        <v>0.28120000000000001</v>
      </c>
      <c r="BA74" s="59">
        <v>70</v>
      </c>
      <c r="BB74" s="59">
        <f t="shared" si="60"/>
        <v>70</v>
      </c>
      <c r="BC74" s="60" t="str">
        <f t="shared" si="61"/>
        <v>Capim Braquiária Humidícola</v>
      </c>
      <c r="BD74" s="61" t="str">
        <f ca="1">IFERROR(IF(SEARCH('Calcular Dieta'!A$3,$BC$5:$BC$310)&gt;=1,BC74,"Não encontrado"),"Não encontrado")</f>
        <v>Capim Braquiária Humidícola</v>
      </c>
      <c r="BE74" s="741">
        <f ca="1">COUNTIF(BD$5:BD74,"&lt;&gt;"&amp;"Não encontrado")</f>
        <v>70</v>
      </c>
      <c r="BF74" s="742" t="str">
        <f t="shared" ca="1" si="62"/>
        <v>CAPIM BRAQUIÁRIA HUMIDÍCOLA</v>
      </c>
      <c r="BG74" s="744">
        <f t="shared" si="63"/>
        <v>0.20214431999999999</v>
      </c>
      <c r="BH74" s="744">
        <f t="shared" si="64"/>
        <v>0.11570343999999999</v>
      </c>
      <c r="BI74" s="744">
        <f t="shared" si="65"/>
        <v>3.1962079999999997E-2</v>
      </c>
      <c r="BJ74" s="744">
        <f t="shared" si="66"/>
        <v>0.15926132000000001</v>
      </c>
      <c r="BK74" s="744" t="str">
        <f t="shared" si="67"/>
        <v/>
      </c>
      <c r="BL74" s="744">
        <f t="shared" si="68"/>
        <v>1.9300739999999998</v>
      </c>
      <c r="BM74" s="744" t="str">
        <f t="shared" si="69"/>
        <v/>
      </c>
      <c r="BN74" s="744">
        <f t="shared" si="70"/>
        <v>6.8894739999999999</v>
      </c>
      <c r="BO74" s="744">
        <f t="shared" si="71"/>
        <v>20.752634000000004</v>
      </c>
      <c r="BP74" s="744">
        <f t="shared" si="72"/>
        <v>13.530743120000004</v>
      </c>
      <c r="BQ74" s="744">
        <f t="shared" si="73"/>
        <v>7.221964879999998</v>
      </c>
      <c r="BR74" s="744">
        <f t="shared" si="74"/>
        <v>14.157470432000002</v>
      </c>
      <c r="BS74" s="744" t="str">
        <f t="shared" si="75"/>
        <v/>
      </c>
      <c r="BT74" s="744">
        <f t="shared" si="76"/>
        <v>1.0686340000000001</v>
      </c>
      <c r="BU74" s="744">
        <f t="shared" si="77"/>
        <v>0.33751400000000004</v>
      </c>
      <c r="BV74" s="744">
        <f t="shared" si="78"/>
        <v>0.56247400000000003</v>
      </c>
      <c r="BW74" s="744">
        <f t="shared" si="79"/>
        <v>5.6314000000000003E-2</v>
      </c>
      <c r="BX74" s="744">
        <f t="shared" si="80"/>
        <v>5.5959539999999999</v>
      </c>
      <c r="BY74" s="744">
        <f t="shared" si="81"/>
        <v>0.11255400000000002</v>
      </c>
      <c r="BZ74" s="744">
        <f t="shared" si="82"/>
        <v>13.320074</v>
      </c>
      <c r="CA74" s="744">
        <f t="shared" si="83"/>
        <v>19.000074000000001</v>
      </c>
      <c r="CB74" s="744">
        <f t="shared" si="84"/>
        <v>229.47007400000001</v>
      </c>
      <c r="CC74" s="744">
        <f t="shared" si="85"/>
        <v>93.820073999999991</v>
      </c>
      <c r="CD74" s="744" t="str">
        <f t="shared" si="86"/>
        <v/>
      </c>
      <c r="CE74" s="744">
        <f t="shared" si="87"/>
        <v>9.0074000000000001E-2</v>
      </c>
      <c r="CF74" s="744" t="str">
        <f t="shared" si="88"/>
        <v/>
      </c>
      <c r="CG74" s="744" t="str">
        <f t="shared" si="89"/>
        <v/>
      </c>
      <c r="CH74" s="744" t="str">
        <f t="shared" si="90"/>
        <v/>
      </c>
      <c r="CI74" s="744" t="str">
        <f t="shared" si="91"/>
        <v/>
      </c>
      <c r="CJ74" s="744" t="str">
        <f t="shared" si="92"/>
        <v/>
      </c>
      <c r="CK74" s="744" t="str">
        <f t="shared" si="93"/>
        <v/>
      </c>
      <c r="CL74" s="744" t="str">
        <f t="shared" si="94"/>
        <v/>
      </c>
      <c r="CM74" s="744" t="str">
        <f t="shared" si="95"/>
        <v/>
      </c>
      <c r="CN74" s="744" t="str">
        <f t="shared" si="96"/>
        <v/>
      </c>
      <c r="CO74" s="744" t="str">
        <f t="shared" si="97"/>
        <v/>
      </c>
      <c r="CP74" s="744" t="str">
        <f t="shared" si="98"/>
        <v/>
      </c>
      <c r="CQ74" s="744" t="str">
        <f t="shared" si="99"/>
        <v/>
      </c>
      <c r="CR74" s="744" t="str">
        <f t="shared" si="100"/>
        <v/>
      </c>
      <c r="CS74" s="744" t="str">
        <f t="shared" si="101"/>
        <v/>
      </c>
      <c r="CT74" s="744" t="str">
        <f t="shared" si="102"/>
        <v/>
      </c>
      <c r="CU74" s="744" t="str">
        <f t="shared" si="103"/>
        <v/>
      </c>
      <c r="CV74" s="744" t="str">
        <f t="shared" si="104"/>
        <v/>
      </c>
      <c r="CW74" s="744" t="str">
        <f t="shared" si="105"/>
        <v/>
      </c>
      <c r="CX74" s="744">
        <f t="shared" si="106"/>
        <v>0.28127400000000002</v>
      </c>
    </row>
    <row r="75" spans="1:102">
      <c r="A75" s="633">
        <v>71</v>
      </c>
      <c r="B75" s="630" t="s">
        <v>3</v>
      </c>
      <c r="C75" s="631" t="s">
        <v>249</v>
      </c>
      <c r="D75" s="630" t="s">
        <v>1390</v>
      </c>
      <c r="E75" s="632" t="s">
        <v>146</v>
      </c>
      <c r="F75" s="1067">
        <v>0.2</v>
      </c>
      <c r="G75" s="1066">
        <v>1</v>
      </c>
      <c r="H75" s="1070">
        <v>0.34600000000000003</v>
      </c>
      <c r="I75" s="1070">
        <v>0.27116020000000002</v>
      </c>
      <c r="J75" s="1070">
        <v>9.06E-2</v>
      </c>
      <c r="K75" s="1070">
        <v>2.4323800000000003E-2</v>
      </c>
      <c r="L75" s="1072">
        <v>0.18092340000000004</v>
      </c>
      <c r="M75" s="1070"/>
      <c r="N75" s="1070">
        <v>1.84</v>
      </c>
      <c r="O75" s="1070"/>
      <c r="P75" s="1073">
        <v>6.0896000000000008</v>
      </c>
      <c r="Q75" s="1070">
        <v>27.1264</v>
      </c>
      <c r="R75" s="1070"/>
      <c r="S75" s="1070"/>
      <c r="T75" s="1070"/>
      <c r="U75" s="1070"/>
      <c r="V75" s="1066"/>
      <c r="W75" s="1070"/>
      <c r="X75" s="1070"/>
      <c r="Y75" s="1070"/>
      <c r="Z75" s="1070"/>
      <c r="AA75" s="1070"/>
      <c r="AB75" s="1070"/>
      <c r="AC75" s="1070"/>
      <c r="AD75" s="1070"/>
      <c r="AE75" s="1070"/>
      <c r="AF75" s="1070"/>
      <c r="AG75" s="1070"/>
      <c r="AH75" s="1073"/>
      <c r="AI75" s="1070"/>
      <c r="AJ75" s="1070"/>
      <c r="AK75" s="1070"/>
      <c r="AL75" s="1082"/>
      <c r="AM75" s="1069"/>
      <c r="AN75" s="1070"/>
      <c r="AO75" s="1070"/>
      <c r="AP75" s="1070"/>
      <c r="AQ75" s="1070"/>
      <c r="AR75" s="1069"/>
      <c r="AS75" s="1282"/>
      <c r="AT75" s="1282"/>
      <c r="AU75" s="1069"/>
      <c r="AV75" s="1069"/>
      <c r="AW75" s="1069"/>
      <c r="AX75" s="1069"/>
      <c r="AY75" s="1069"/>
      <c r="AZ75" s="1078">
        <f t="shared" si="59"/>
        <v>0.34600000000000003</v>
      </c>
      <c r="BA75" s="59">
        <v>71</v>
      </c>
      <c r="BB75" s="59">
        <f t="shared" si="60"/>
        <v>71</v>
      </c>
      <c r="BC75" s="60" t="str">
        <f t="shared" si="61"/>
        <v>Capim Buffel (61 A 90 Dias)</v>
      </c>
      <c r="BD75" s="61" t="str">
        <f ca="1">IFERROR(IF(SEARCH('Calcular Dieta'!A$3,$BC$5:$BC$310)&gt;=1,BC75,"Não encontrado"),"Não encontrado")</f>
        <v>Capim Buffel (61 A 90 Dias)</v>
      </c>
      <c r="BE75" s="741">
        <f ca="1">COUNTIF(BD$5:BD75,"&lt;&gt;"&amp;"Não encontrado")</f>
        <v>71</v>
      </c>
      <c r="BF75" s="742" t="str">
        <f t="shared" ca="1" si="62"/>
        <v>CAPIM BUFFEL (61 A 90 DIAS)</v>
      </c>
      <c r="BG75" s="744">
        <f t="shared" si="63"/>
        <v>0.27123520000000001</v>
      </c>
      <c r="BH75" s="744">
        <f t="shared" si="64"/>
        <v>9.0675000000000006E-2</v>
      </c>
      <c r="BI75" s="744">
        <f t="shared" si="65"/>
        <v>2.4398800000000002E-2</v>
      </c>
      <c r="BJ75" s="744">
        <f t="shared" si="66"/>
        <v>0.18099840000000003</v>
      </c>
      <c r="BK75" s="744" t="str">
        <f t="shared" si="67"/>
        <v/>
      </c>
      <c r="BL75" s="744">
        <f t="shared" si="68"/>
        <v>1.8400750000000001</v>
      </c>
      <c r="BM75" s="744" t="str">
        <f t="shared" si="69"/>
        <v/>
      </c>
      <c r="BN75" s="744">
        <f t="shared" si="70"/>
        <v>6.0896750000000006</v>
      </c>
      <c r="BO75" s="744">
        <f t="shared" si="71"/>
        <v>27.126474999999999</v>
      </c>
      <c r="BP75" s="744" t="str">
        <f t="shared" si="72"/>
        <v/>
      </c>
      <c r="BQ75" s="744" t="str">
        <f t="shared" si="73"/>
        <v/>
      </c>
      <c r="BR75" s="744" t="str">
        <f t="shared" si="74"/>
        <v/>
      </c>
      <c r="BS75" s="744" t="str">
        <f t="shared" si="75"/>
        <v/>
      </c>
      <c r="BT75" s="744" t="str">
        <f t="shared" si="76"/>
        <v/>
      </c>
      <c r="BU75" s="744" t="str">
        <f t="shared" si="77"/>
        <v/>
      </c>
      <c r="BV75" s="744" t="str">
        <f t="shared" si="78"/>
        <v/>
      </c>
      <c r="BW75" s="744" t="str">
        <f t="shared" si="79"/>
        <v/>
      </c>
      <c r="BX75" s="744" t="str">
        <f t="shared" si="80"/>
        <v/>
      </c>
      <c r="BY75" s="744" t="str">
        <f t="shared" si="81"/>
        <v/>
      </c>
      <c r="BZ75" s="744" t="str">
        <f t="shared" si="82"/>
        <v/>
      </c>
      <c r="CA75" s="744" t="str">
        <f t="shared" si="83"/>
        <v/>
      </c>
      <c r="CB75" s="744" t="str">
        <f t="shared" si="84"/>
        <v/>
      </c>
      <c r="CC75" s="744" t="str">
        <f t="shared" si="85"/>
        <v/>
      </c>
      <c r="CD75" s="744" t="str">
        <f t="shared" si="86"/>
        <v/>
      </c>
      <c r="CE75" s="744" t="str">
        <f t="shared" si="87"/>
        <v/>
      </c>
      <c r="CF75" s="744" t="str">
        <f t="shared" si="88"/>
        <v/>
      </c>
      <c r="CG75" s="744" t="str">
        <f t="shared" si="89"/>
        <v/>
      </c>
      <c r="CH75" s="744" t="str">
        <f t="shared" si="90"/>
        <v/>
      </c>
      <c r="CI75" s="744" t="str">
        <f t="shared" si="91"/>
        <v/>
      </c>
      <c r="CJ75" s="744" t="str">
        <f t="shared" si="92"/>
        <v/>
      </c>
      <c r="CK75" s="744" t="str">
        <f t="shared" si="93"/>
        <v/>
      </c>
      <c r="CL75" s="744" t="str">
        <f t="shared" si="94"/>
        <v/>
      </c>
      <c r="CM75" s="744" t="str">
        <f t="shared" si="95"/>
        <v/>
      </c>
      <c r="CN75" s="744" t="str">
        <f t="shared" si="96"/>
        <v/>
      </c>
      <c r="CO75" s="744" t="str">
        <f t="shared" si="97"/>
        <v/>
      </c>
      <c r="CP75" s="744" t="str">
        <f t="shared" si="98"/>
        <v/>
      </c>
      <c r="CQ75" s="744" t="str">
        <f t="shared" si="99"/>
        <v/>
      </c>
      <c r="CR75" s="744" t="str">
        <f t="shared" si="100"/>
        <v/>
      </c>
      <c r="CS75" s="744" t="str">
        <f t="shared" si="101"/>
        <v/>
      </c>
      <c r="CT75" s="744" t="str">
        <f t="shared" si="102"/>
        <v/>
      </c>
      <c r="CU75" s="744" t="str">
        <f t="shared" si="103"/>
        <v/>
      </c>
      <c r="CV75" s="744" t="str">
        <f t="shared" si="104"/>
        <v/>
      </c>
      <c r="CW75" s="744" t="str">
        <f t="shared" si="105"/>
        <v/>
      </c>
      <c r="CX75" s="744">
        <f t="shared" si="106"/>
        <v>0.34607500000000002</v>
      </c>
    </row>
    <row r="76" spans="1:102">
      <c r="A76" s="630">
        <v>72</v>
      </c>
      <c r="B76" s="630" t="s">
        <v>3</v>
      </c>
      <c r="C76" s="631" t="s">
        <v>249</v>
      </c>
      <c r="D76" s="630" t="s">
        <v>1391</v>
      </c>
      <c r="E76" s="632" t="s">
        <v>1393</v>
      </c>
      <c r="F76" s="1067">
        <v>0.2</v>
      </c>
      <c r="G76" s="1066">
        <v>1</v>
      </c>
      <c r="H76" s="1070">
        <v>0.16400000000000001</v>
      </c>
      <c r="I76" s="1070">
        <v>0.111848</v>
      </c>
      <c r="J76" s="1070"/>
      <c r="K76" s="1070"/>
      <c r="L76" s="1072">
        <v>8.3918800000000002E-2</v>
      </c>
      <c r="M76" s="1070"/>
      <c r="N76" s="1070"/>
      <c r="O76" s="1070"/>
      <c r="P76" s="1073">
        <v>3.7063999999999999</v>
      </c>
      <c r="Q76" s="1070">
        <v>1.0168E-2</v>
      </c>
      <c r="R76" s="1070"/>
      <c r="S76" s="1070"/>
      <c r="T76" s="1070"/>
      <c r="U76" s="1070"/>
      <c r="V76" s="1066">
        <v>0.59040000000000004</v>
      </c>
      <c r="W76" s="1070">
        <v>0</v>
      </c>
      <c r="X76" s="1070">
        <v>0</v>
      </c>
      <c r="Y76" s="1070">
        <v>0</v>
      </c>
      <c r="Z76" s="1070">
        <v>0</v>
      </c>
      <c r="AA76" s="1070">
        <v>0</v>
      </c>
      <c r="AB76" s="1070">
        <v>0</v>
      </c>
      <c r="AC76" s="1070">
        <v>0</v>
      </c>
      <c r="AD76" s="1070">
        <v>0</v>
      </c>
      <c r="AE76" s="1070">
        <v>0</v>
      </c>
      <c r="AF76" s="1070">
        <v>0</v>
      </c>
      <c r="AG76" s="1070">
        <v>0</v>
      </c>
      <c r="AH76" s="1073">
        <v>0</v>
      </c>
      <c r="AI76" s="1070"/>
      <c r="AJ76" s="1070"/>
      <c r="AK76" s="1070"/>
      <c r="AL76" s="1082"/>
      <c r="AM76" s="1069"/>
      <c r="AN76" s="1070"/>
      <c r="AO76" s="1070"/>
      <c r="AP76" s="1070"/>
      <c r="AQ76" s="1070"/>
      <c r="AR76" s="1069"/>
      <c r="AS76" s="1282"/>
      <c r="AT76" s="1282"/>
      <c r="AU76" s="1069"/>
      <c r="AV76" s="1069"/>
      <c r="AW76" s="1069"/>
      <c r="AX76" s="1070"/>
      <c r="AY76" s="1069"/>
      <c r="AZ76" s="1078">
        <f t="shared" si="59"/>
        <v>0.16400000000000001</v>
      </c>
      <c r="BA76" s="59">
        <v>72</v>
      </c>
      <c r="BB76" s="59">
        <f t="shared" si="60"/>
        <v>72</v>
      </c>
      <c r="BC76" s="60" t="str">
        <f t="shared" si="61"/>
        <v>Capim Capiaçu (90 dias)</v>
      </c>
      <c r="BD76" s="61" t="str">
        <f ca="1">IFERROR(IF(SEARCH('Calcular Dieta'!A$3,$BC$5:$BC$310)&gt;=1,BC76,"Não encontrado"),"Não encontrado")</f>
        <v>Capim Capiaçu (90 dias)</v>
      </c>
      <c r="BE76" s="741">
        <f ca="1">COUNTIF(BD$5:BD76,"&lt;&gt;"&amp;"Não encontrado")</f>
        <v>72</v>
      </c>
      <c r="BF76" s="742" t="str">
        <f t="shared" ca="1" si="62"/>
        <v>CAPIM CAPIAÇU (90 DIAS)</v>
      </c>
      <c r="BG76" s="744">
        <f t="shared" si="63"/>
        <v>0.11192400000000001</v>
      </c>
      <c r="BH76" s="744" t="str">
        <f t="shared" si="64"/>
        <v/>
      </c>
      <c r="BI76" s="744" t="str">
        <f t="shared" si="65"/>
        <v/>
      </c>
      <c r="BJ76" s="744">
        <f t="shared" si="66"/>
        <v>8.3994800000000008E-2</v>
      </c>
      <c r="BK76" s="744" t="str">
        <f t="shared" si="67"/>
        <v/>
      </c>
      <c r="BL76" s="744" t="str">
        <f t="shared" si="68"/>
        <v/>
      </c>
      <c r="BM76" s="744" t="str">
        <f t="shared" si="69"/>
        <v/>
      </c>
      <c r="BN76" s="744">
        <f t="shared" si="70"/>
        <v>3.7064759999999999</v>
      </c>
      <c r="BO76" s="744">
        <f t="shared" si="71"/>
        <v>1.0244E-2</v>
      </c>
      <c r="BP76" s="744" t="str">
        <f t="shared" si="72"/>
        <v/>
      </c>
      <c r="BQ76" s="744" t="str">
        <f t="shared" si="73"/>
        <v/>
      </c>
      <c r="BR76" s="744" t="str">
        <f t="shared" si="74"/>
        <v/>
      </c>
      <c r="BS76" s="744" t="str">
        <f t="shared" si="75"/>
        <v/>
      </c>
      <c r="BT76" s="744">
        <f t="shared" si="76"/>
        <v>0.590476</v>
      </c>
      <c r="BU76" s="744" t="str">
        <f t="shared" si="77"/>
        <v/>
      </c>
      <c r="BV76" s="744" t="str">
        <f t="shared" si="78"/>
        <v/>
      </c>
      <c r="BW76" s="744" t="str">
        <f t="shared" si="79"/>
        <v/>
      </c>
      <c r="BX76" s="744" t="str">
        <f t="shared" si="80"/>
        <v/>
      </c>
      <c r="BY76" s="744" t="str">
        <f t="shared" si="81"/>
        <v/>
      </c>
      <c r="BZ76" s="744" t="str">
        <f t="shared" si="82"/>
        <v/>
      </c>
      <c r="CA76" s="744" t="str">
        <f t="shared" si="83"/>
        <v/>
      </c>
      <c r="CB76" s="744" t="str">
        <f t="shared" si="84"/>
        <v/>
      </c>
      <c r="CC76" s="744" t="str">
        <f t="shared" si="85"/>
        <v/>
      </c>
      <c r="CD76" s="744" t="str">
        <f t="shared" si="86"/>
        <v/>
      </c>
      <c r="CE76" s="744" t="str">
        <f t="shared" si="87"/>
        <v/>
      </c>
      <c r="CF76" s="744" t="str">
        <f t="shared" si="88"/>
        <v/>
      </c>
      <c r="CG76" s="744" t="str">
        <f t="shared" si="89"/>
        <v/>
      </c>
      <c r="CH76" s="744" t="str">
        <f t="shared" si="90"/>
        <v/>
      </c>
      <c r="CI76" s="744" t="str">
        <f t="shared" si="91"/>
        <v/>
      </c>
      <c r="CJ76" s="744" t="str">
        <f t="shared" si="92"/>
        <v/>
      </c>
      <c r="CK76" s="744" t="str">
        <f t="shared" si="93"/>
        <v/>
      </c>
      <c r="CL76" s="744" t="str">
        <f t="shared" si="94"/>
        <v/>
      </c>
      <c r="CM76" s="744" t="str">
        <f t="shared" si="95"/>
        <v/>
      </c>
      <c r="CN76" s="744" t="str">
        <f t="shared" si="96"/>
        <v/>
      </c>
      <c r="CO76" s="744" t="str">
        <f t="shared" si="97"/>
        <v/>
      </c>
      <c r="CP76" s="744" t="str">
        <f t="shared" si="98"/>
        <v/>
      </c>
      <c r="CQ76" s="744" t="str">
        <f t="shared" si="99"/>
        <v/>
      </c>
      <c r="CR76" s="744" t="str">
        <f t="shared" si="100"/>
        <v/>
      </c>
      <c r="CS76" s="744" t="str">
        <f t="shared" si="101"/>
        <v/>
      </c>
      <c r="CT76" s="744" t="str">
        <f t="shared" si="102"/>
        <v/>
      </c>
      <c r="CU76" s="744" t="str">
        <f t="shared" si="103"/>
        <v/>
      </c>
      <c r="CV76" s="744" t="str">
        <f t="shared" si="104"/>
        <v/>
      </c>
      <c r="CW76" s="744" t="str">
        <f t="shared" si="105"/>
        <v/>
      </c>
      <c r="CX76" s="744">
        <f t="shared" si="106"/>
        <v>0.164076</v>
      </c>
    </row>
    <row r="77" spans="1:102">
      <c r="A77" s="633">
        <v>73</v>
      </c>
      <c r="B77" s="630" t="s">
        <v>3</v>
      </c>
      <c r="C77" s="631" t="s">
        <v>249</v>
      </c>
      <c r="D77" s="630" t="s">
        <v>1390</v>
      </c>
      <c r="E77" s="632" t="s">
        <v>147</v>
      </c>
      <c r="F77" s="1067">
        <v>0.2</v>
      </c>
      <c r="G77" s="1066">
        <v>1</v>
      </c>
      <c r="H77" s="1070">
        <v>0.32619999999999999</v>
      </c>
      <c r="I77" s="1070">
        <v>0.23926769999999997</v>
      </c>
      <c r="J77" s="1070">
        <v>0.1138</v>
      </c>
      <c r="K77" s="1070">
        <v>4.0057359999999993E-2</v>
      </c>
      <c r="L77" s="1072">
        <v>0.21333479999999999</v>
      </c>
      <c r="M77" s="1070"/>
      <c r="N77" s="1070"/>
      <c r="O77" s="1070"/>
      <c r="P77" s="1073">
        <v>8.1550000000000011</v>
      </c>
      <c r="Q77" s="1070">
        <v>39.66592</v>
      </c>
      <c r="R77" s="1070"/>
      <c r="S77" s="1070"/>
      <c r="T77" s="1070"/>
      <c r="U77" s="1070"/>
      <c r="V77" s="1066">
        <v>1.5005200000000001</v>
      </c>
      <c r="W77" s="1070">
        <v>0.52192000000000005</v>
      </c>
      <c r="X77" s="1070">
        <v>0.61978</v>
      </c>
      <c r="Y77" s="1070"/>
      <c r="Z77" s="1070">
        <v>5.0560999999999998</v>
      </c>
      <c r="AA77" s="1070">
        <v>0.58716000000000002</v>
      </c>
      <c r="AB77" s="1070"/>
      <c r="AC77" s="1070"/>
      <c r="AD77" s="1070">
        <v>173.28</v>
      </c>
      <c r="AE77" s="1070"/>
      <c r="AF77" s="1070"/>
      <c r="AG77" s="1070"/>
      <c r="AH77" s="1073"/>
      <c r="AI77" s="1070"/>
      <c r="AJ77" s="1070"/>
      <c r="AK77" s="1070"/>
      <c r="AL77" s="1082"/>
      <c r="AM77" s="1069"/>
      <c r="AN77" s="1070"/>
      <c r="AO77" s="1070"/>
      <c r="AP77" s="1070"/>
      <c r="AQ77" s="1070"/>
      <c r="AR77" s="1069"/>
      <c r="AS77" s="1282"/>
      <c r="AT77" s="1282"/>
      <c r="AU77" s="1069"/>
      <c r="AV77" s="1069"/>
      <c r="AW77" s="1069"/>
      <c r="AX77" s="1070"/>
      <c r="AY77" s="1070"/>
      <c r="AZ77" s="1078">
        <f t="shared" si="59"/>
        <v>0.32619999999999999</v>
      </c>
      <c r="BA77" s="59">
        <v>73</v>
      </c>
      <c r="BB77" s="59">
        <f t="shared" si="60"/>
        <v>73</v>
      </c>
      <c r="BC77" s="60" t="str">
        <f t="shared" si="61"/>
        <v>Capim Coast Cross</v>
      </c>
      <c r="BD77" s="61" t="str">
        <f ca="1">IFERROR(IF(SEARCH('Calcular Dieta'!A$3,$BC$5:$BC$310)&gt;=1,BC77,"Não encontrado"),"Não encontrado")</f>
        <v>Capim Coast Cross</v>
      </c>
      <c r="BE77" s="741">
        <f ca="1">COUNTIF(BD$5:BD77,"&lt;&gt;"&amp;"Não encontrado")</f>
        <v>73</v>
      </c>
      <c r="BF77" s="742" t="str">
        <f t="shared" ca="1" si="62"/>
        <v>CAPIM COAST CROSS</v>
      </c>
      <c r="BG77" s="744">
        <f t="shared" si="63"/>
        <v>0.23934469999999997</v>
      </c>
      <c r="BH77" s="744">
        <f t="shared" si="64"/>
        <v>0.11387699999999999</v>
      </c>
      <c r="BI77" s="744">
        <f t="shared" si="65"/>
        <v>4.0134359999999994E-2</v>
      </c>
      <c r="BJ77" s="744">
        <f t="shared" si="66"/>
        <v>0.21341179999999998</v>
      </c>
      <c r="BK77" s="744" t="str">
        <f t="shared" si="67"/>
        <v/>
      </c>
      <c r="BL77" s="744" t="str">
        <f t="shared" si="68"/>
        <v/>
      </c>
      <c r="BM77" s="744" t="str">
        <f t="shared" si="69"/>
        <v/>
      </c>
      <c r="BN77" s="744">
        <f t="shared" si="70"/>
        <v>8.1550770000000004</v>
      </c>
      <c r="BO77" s="744">
        <f t="shared" si="71"/>
        <v>39.665996999999997</v>
      </c>
      <c r="BP77" s="744" t="str">
        <f t="shared" si="72"/>
        <v/>
      </c>
      <c r="BQ77" s="744" t="str">
        <f t="shared" si="73"/>
        <v/>
      </c>
      <c r="BR77" s="744" t="str">
        <f t="shared" si="74"/>
        <v/>
      </c>
      <c r="BS77" s="744" t="str">
        <f t="shared" si="75"/>
        <v/>
      </c>
      <c r="BT77" s="744">
        <f t="shared" si="76"/>
        <v>1.5005970000000002</v>
      </c>
      <c r="BU77" s="744">
        <f t="shared" si="77"/>
        <v>0.52199700000000004</v>
      </c>
      <c r="BV77" s="744">
        <f t="shared" si="78"/>
        <v>0.61985699999999999</v>
      </c>
      <c r="BW77" s="744" t="str">
        <f t="shared" si="79"/>
        <v/>
      </c>
      <c r="BX77" s="744">
        <f t="shared" si="80"/>
        <v>5.0561769999999999</v>
      </c>
      <c r="BY77" s="744">
        <f t="shared" si="81"/>
        <v>0.58723700000000001</v>
      </c>
      <c r="BZ77" s="744" t="str">
        <f t="shared" si="82"/>
        <v/>
      </c>
      <c r="CA77" s="744" t="str">
        <f t="shared" si="83"/>
        <v/>
      </c>
      <c r="CB77" s="744">
        <f t="shared" si="84"/>
        <v>173.28007700000001</v>
      </c>
      <c r="CC77" s="744" t="str">
        <f t="shared" si="85"/>
        <v/>
      </c>
      <c r="CD77" s="744" t="str">
        <f t="shared" si="86"/>
        <v/>
      </c>
      <c r="CE77" s="744" t="str">
        <f t="shared" si="87"/>
        <v/>
      </c>
      <c r="CF77" s="744" t="str">
        <f t="shared" si="88"/>
        <v/>
      </c>
      <c r="CG77" s="744" t="str">
        <f t="shared" si="89"/>
        <v/>
      </c>
      <c r="CH77" s="744" t="str">
        <f t="shared" si="90"/>
        <v/>
      </c>
      <c r="CI77" s="744" t="str">
        <f t="shared" si="91"/>
        <v/>
      </c>
      <c r="CJ77" s="744" t="str">
        <f t="shared" si="92"/>
        <v/>
      </c>
      <c r="CK77" s="744" t="str">
        <f t="shared" si="93"/>
        <v/>
      </c>
      <c r="CL77" s="744" t="str">
        <f t="shared" si="94"/>
        <v/>
      </c>
      <c r="CM77" s="744" t="str">
        <f t="shared" si="95"/>
        <v/>
      </c>
      <c r="CN77" s="744" t="str">
        <f t="shared" si="96"/>
        <v/>
      </c>
      <c r="CO77" s="744" t="str">
        <f t="shared" si="97"/>
        <v/>
      </c>
      <c r="CP77" s="744" t="str">
        <f t="shared" si="98"/>
        <v/>
      </c>
      <c r="CQ77" s="744" t="str">
        <f t="shared" si="99"/>
        <v/>
      </c>
      <c r="CR77" s="744" t="str">
        <f t="shared" si="100"/>
        <v/>
      </c>
      <c r="CS77" s="744" t="str">
        <f t="shared" si="101"/>
        <v/>
      </c>
      <c r="CT77" s="744" t="str">
        <f t="shared" si="102"/>
        <v/>
      </c>
      <c r="CU77" s="744" t="str">
        <f t="shared" si="103"/>
        <v/>
      </c>
      <c r="CV77" s="744" t="str">
        <f t="shared" si="104"/>
        <v/>
      </c>
      <c r="CW77" s="744" t="str">
        <f t="shared" si="105"/>
        <v/>
      </c>
      <c r="CX77" s="744">
        <f t="shared" si="106"/>
        <v>0.32627699999999998</v>
      </c>
    </row>
    <row r="78" spans="1:102">
      <c r="A78" s="630">
        <v>74</v>
      </c>
      <c r="B78" s="630" t="s">
        <v>3</v>
      </c>
      <c r="C78" s="631" t="s">
        <v>248</v>
      </c>
      <c r="D78" s="630" t="s">
        <v>1390</v>
      </c>
      <c r="E78" s="632" t="s">
        <v>148</v>
      </c>
      <c r="F78" s="1067">
        <v>0.6</v>
      </c>
      <c r="G78" s="1066">
        <v>1</v>
      </c>
      <c r="H78" s="1070">
        <v>0.88879999999999992</v>
      </c>
      <c r="I78" s="1070">
        <v>0.69841903999999988</v>
      </c>
      <c r="J78" s="1070">
        <v>0.35410000000000003</v>
      </c>
      <c r="K78" s="1070">
        <v>6.2482639999999999E-2</v>
      </c>
      <c r="L78" s="1072">
        <v>0.47124175999999995</v>
      </c>
      <c r="M78" s="1070"/>
      <c r="N78" s="1070">
        <v>1.88</v>
      </c>
      <c r="O78" s="1070"/>
      <c r="P78" s="1073">
        <v>13.243119999999999</v>
      </c>
      <c r="Q78" s="1070">
        <v>76.347920000000002</v>
      </c>
      <c r="R78" s="1070">
        <v>31.9968</v>
      </c>
      <c r="S78" s="1070"/>
      <c r="T78" s="1070">
        <v>18.487039999999997</v>
      </c>
      <c r="U78" s="1070"/>
      <c r="V78" s="1066">
        <v>4.1773599999999993</v>
      </c>
      <c r="W78" s="1070">
        <v>1.9553599999999998</v>
      </c>
      <c r="X78" s="1070">
        <v>1.3331999999999999</v>
      </c>
      <c r="Y78" s="1070">
        <v>0.17776</v>
      </c>
      <c r="Z78" s="1070">
        <v>14.576319999999997</v>
      </c>
      <c r="AA78" s="1070">
        <v>1.5109600000000001</v>
      </c>
      <c r="AB78" s="1070">
        <v>6</v>
      </c>
      <c r="AC78" s="1070">
        <v>23.5</v>
      </c>
      <c r="AD78" s="1070">
        <v>224</v>
      </c>
      <c r="AE78" s="1070"/>
      <c r="AF78" s="1070"/>
      <c r="AG78" s="1070"/>
      <c r="AH78" s="1073"/>
      <c r="AI78" s="1070"/>
      <c r="AJ78" s="1070"/>
      <c r="AK78" s="1070"/>
      <c r="AL78" s="1082"/>
      <c r="AM78" s="1069"/>
      <c r="AN78" s="1070"/>
      <c r="AO78" s="1070"/>
      <c r="AP78" s="1070"/>
      <c r="AQ78" s="1070"/>
      <c r="AR78" s="1069"/>
      <c r="AS78" s="1282"/>
      <c r="AT78" s="1282"/>
      <c r="AU78" s="1069"/>
      <c r="AV78" s="1069"/>
      <c r="AW78" s="1069"/>
      <c r="AX78" s="1070"/>
      <c r="AY78" s="1070"/>
      <c r="AZ78" s="1078">
        <f t="shared" si="59"/>
        <v>0.88879999999999992</v>
      </c>
      <c r="BA78" s="59">
        <v>74</v>
      </c>
      <c r="BB78" s="59">
        <f t="shared" si="60"/>
        <v>74</v>
      </c>
      <c r="BC78" s="60" t="str">
        <f t="shared" si="61"/>
        <v>Capim Coast Cross, Feno</v>
      </c>
      <c r="BD78" s="61" t="str">
        <f ca="1">IFERROR(IF(SEARCH('Calcular Dieta'!A$3,$BC$5:$BC$310)&gt;=1,BC78,"Não encontrado"),"Não encontrado")</f>
        <v>Capim Coast Cross, Feno</v>
      </c>
      <c r="BE78" s="741">
        <f ca="1">COUNTIF(BD$5:BD78,"&lt;&gt;"&amp;"Não encontrado")</f>
        <v>74</v>
      </c>
      <c r="BF78" s="742" t="str">
        <f t="shared" ca="1" si="62"/>
        <v>CAPIM COAST CROSS, FENO</v>
      </c>
      <c r="BG78" s="744">
        <f t="shared" si="63"/>
        <v>0.6984970399999999</v>
      </c>
      <c r="BH78" s="744">
        <f t="shared" si="64"/>
        <v>0.35417800000000005</v>
      </c>
      <c r="BI78" s="744">
        <f t="shared" si="65"/>
        <v>6.2560640000000001E-2</v>
      </c>
      <c r="BJ78" s="744">
        <f t="shared" si="66"/>
        <v>0.47131975999999998</v>
      </c>
      <c r="BK78" s="744" t="str">
        <f t="shared" si="67"/>
        <v/>
      </c>
      <c r="BL78" s="744">
        <f t="shared" si="68"/>
        <v>1.8800779999999999</v>
      </c>
      <c r="BM78" s="744" t="str">
        <f t="shared" si="69"/>
        <v/>
      </c>
      <c r="BN78" s="744">
        <f t="shared" si="70"/>
        <v>13.243198</v>
      </c>
      <c r="BO78" s="744">
        <f t="shared" si="71"/>
        <v>76.347998000000004</v>
      </c>
      <c r="BP78" s="744">
        <f t="shared" si="72"/>
        <v>31.996877999999999</v>
      </c>
      <c r="BQ78" s="744" t="str">
        <f t="shared" si="73"/>
        <v/>
      </c>
      <c r="BR78" s="744">
        <f t="shared" si="74"/>
        <v>18.487117999999995</v>
      </c>
      <c r="BS78" s="744" t="str">
        <f t="shared" si="75"/>
        <v/>
      </c>
      <c r="BT78" s="744">
        <f t="shared" si="76"/>
        <v>4.1774379999999995</v>
      </c>
      <c r="BU78" s="744">
        <f t="shared" si="77"/>
        <v>1.9554379999999998</v>
      </c>
      <c r="BV78" s="744">
        <f t="shared" si="78"/>
        <v>1.333278</v>
      </c>
      <c r="BW78" s="744">
        <f t="shared" si="79"/>
        <v>0.177838</v>
      </c>
      <c r="BX78" s="744">
        <f t="shared" si="80"/>
        <v>14.576397999999998</v>
      </c>
      <c r="BY78" s="744">
        <f t="shared" si="81"/>
        <v>1.5110380000000001</v>
      </c>
      <c r="BZ78" s="744">
        <f t="shared" si="82"/>
        <v>6.0000780000000002</v>
      </c>
      <c r="CA78" s="744">
        <f t="shared" si="83"/>
        <v>23.500077999999998</v>
      </c>
      <c r="CB78" s="744">
        <f t="shared" si="84"/>
        <v>224.000078</v>
      </c>
      <c r="CC78" s="744" t="str">
        <f t="shared" si="85"/>
        <v/>
      </c>
      <c r="CD78" s="744" t="str">
        <f t="shared" si="86"/>
        <v/>
      </c>
      <c r="CE78" s="744" t="str">
        <f t="shared" si="87"/>
        <v/>
      </c>
      <c r="CF78" s="744" t="str">
        <f t="shared" si="88"/>
        <v/>
      </c>
      <c r="CG78" s="744" t="str">
        <f t="shared" si="89"/>
        <v/>
      </c>
      <c r="CH78" s="744" t="str">
        <f t="shared" si="90"/>
        <v/>
      </c>
      <c r="CI78" s="744" t="str">
        <f t="shared" si="91"/>
        <v/>
      </c>
      <c r="CJ78" s="744" t="str">
        <f t="shared" si="92"/>
        <v/>
      </c>
      <c r="CK78" s="744" t="str">
        <f t="shared" si="93"/>
        <v/>
      </c>
      <c r="CL78" s="744" t="str">
        <f t="shared" si="94"/>
        <v/>
      </c>
      <c r="CM78" s="744" t="str">
        <f t="shared" si="95"/>
        <v/>
      </c>
      <c r="CN78" s="744" t="str">
        <f t="shared" si="96"/>
        <v/>
      </c>
      <c r="CO78" s="744" t="str">
        <f t="shared" si="97"/>
        <v/>
      </c>
      <c r="CP78" s="744" t="str">
        <f t="shared" si="98"/>
        <v/>
      </c>
      <c r="CQ78" s="744" t="str">
        <f t="shared" si="99"/>
        <v/>
      </c>
      <c r="CR78" s="744" t="str">
        <f t="shared" si="100"/>
        <v/>
      </c>
      <c r="CS78" s="744" t="str">
        <f t="shared" si="101"/>
        <v/>
      </c>
      <c r="CT78" s="744" t="str">
        <f t="shared" si="102"/>
        <v/>
      </c>
      <c r="CU78" s="744" t="str">
        <f t="shared" si="103"/>
        <v/>
      </c>
      <c r="CV78" s="744" t="str">
        <f t="shared" si="104"/>
        <v/>
      </c>
      <c r="CW78" s="744" t="str">
        <f t="shared" si="105"/>
        <v/>
      </c>
      <c r="CX78" s="744">
        <f t="shared" si="106"/>
        <v>0.88887799999999995</v>
      </c>
    </row>
    <row r="79" spans="1:102">
      <c r="A79" s="633">
        <v>75</v>
      </c>
      <c r="B79" s="630" t="s">
        <v>3</v>
      </c>
      <c r="C79" s="631" t="s">
        <v>249</v>
      </c>
      <c r="D79" s="630" t="s">
        <v>1392</v>
      </c>
      <c r="E79" s="632" t="s">
        <v>149</v>
      </c>
      <c r="F79" s="1067">
        <v>0.2</v>
      </c>
      <c r="G79" s="1066">
        <v>1</v>
      </c>
      <c r="H79" s="1070">
        <v>0.24</v>
      </c>
      <c r="I79" s="1070">
        <v>0.16799999999999998</v>
      </c>
      <c r="J79" s="1070">
        <v>0.10079999999999999</v>
      </c>
      <c r="K79" s="1070"/>
      <c r="L79" s="1072">
        <v>0.12959999999999999</v>
      </c>
      <c r="M79" s="1070">
        <v>0.57140639999999998</v>
      </c>
      <c r="N79" s="1070"/>
      <c r="O79" s="1070"/>
      <c r="P79" s="1073">
        <v>4.32</v>
      </c>
      <c r="Q79" s="1070">
        <v>24</v>
      </c>
      <c r="R79" s="1070">
        <v>8.4</v>
      </c>
      <c r="S79" s="1070"/>
      <c r="T79" s="1070"/>
      <c r="U79" s="1070"/>
      <c r="V79" s="1066">
        <v>1.08</v>
      </c>
      <c r="W79" s="1070">
        <v>0.36</v>
      </c>
      <c r="X79" s="1070">
        <v>0.57599999999999996</v>
      </c>
      <c r="Y79" s="1070">
        <v>2.4E-2</v>
      </c>
      <c r="Z79" s="1070">
        <v>4.08</v>
      </c>
      <c r="AA79" s="1070">
        <v>0.36</v>
      </c>
      <c r="AB79" s="1070">
        <v>2.4</v>
      </c>
      <c r="AC79" s="1070">
        <v>8.16</v>
      </c>
      <c r="AD79" s="1070">
        <v>36.96</v>
      </c>
      <c r="AE79" s="1070">
        <v>36</v>
      </c>
      <c r="AF79" s="1070">
        <v>0.06</v>
      </c>
      <c r="AG79" s="1070">
        <v>2.1599999999999998E-2</v>
      </c>
      <c r="AH79" s="1073">
        <v>9.5999999999999992E-3</v>
      </c>
      <c r="AI79" s="1070"/>
      <c r="AJ79" s="1070"/>
      <c r="AK79" s="1070"/>
      <c r="AL79" s="1082">
        <v>3600</v>
      </c>
      <c r="AM79" s="1069"/>
      <c r="AN79" s="1070"/>
      <c r="AO79" s="1070"/>
      <c r="AP79" s="1070"/>
      <c r="AQ79" s="1070"/>
      <c r="AR79" s="1069"/>
      <c r="AS79" s="1282"/>
      <c r="AT79" s="1282"/>
      <c r="AU79" s="1069"/>
      <c r="AV79" s="1069"/>
      <c r="AW79" s="1069"/>
      <c r="AX79" s="1070"/>
      <c r="AY79" s="1070"/>
      <c r="AZ79" s="1078">
        <f t="shared" si="59"/>
        <v>0.24</v>
      </c>
      <c r="BA79" s="59">
        <v>75</v>
      </c>
      <c r="BB79" s="59">
        <f t="shared" si="60"/>
        <v>75</v>
      </c>
      <c r="BC79" s="60" t="str">
        <f t="shared" si="61"/>
        <v>Capim Colonião</v>
      </c>
      <c r="BD79" s="61" t="str">
        <f ca="1">IFERROR(IF(SEARCH('Calcular Dieta'!A$3,$BC$5:$BC$310)&gt;=1,BC79,"Não encontrado"),"Não encontrado")</f>
        <v>Capim Colonião</v>
      </c>
      <c r="BE79" s="741">
        <f ca="1">COUNTIF(BD$5:BD79,"&lt;&gt;"&amp;"Não encontrado")</f>
        <v>75</v>
      </c>
      <c r="BF79" s="742" t="str">
        <f t="shared" ca="1" si="62"/>
        <v>CAPIM COLONIÃO</v>
      </c>
      <c r="BG79" s="744">
        <f t="shared" si="63"/>
        <v>0.16807899999999998</v>
      </c>
      <c r="BH79" s="744">
        <f t="shared" si="64"/>
        <v>0.10087899999999998</v>
      </c>
      <c r="BI79" s="744" t="str">
        <f t="shared" si="65"/>
        <v/>
      </c>
      <c r="BJ79" s="744">
        <f t="shared" si="66"/>
        <v>0.12967899999999999</v>
      </c>
      <c r="BK79" s="744">
        <f t="shared" si="67"/>
        <v>0.57148540000000003</v>
      </c>
      <c r="BL79" s="744" t="str">
        <f t="shared" si="68"/>
        <v/>
      </c>
      <c r="BM79" s="744" t="str">
        <f t="shared" si="69"/>
        <v/>
      </c>
      <c r="BN79" s="744">
        <f t="shared" si="70"/>
        <v>4.3200790000000007</v>
      </c>
      <c r="BO79" s="744">
        <f t="shared" si="71"/>
        <v>24.000078999999999</v>
      </c>
      <c r="BP79" s="744">
        <f t="shared" si="72"/>
        <v>8.4000789999999999</v>
      </c>
      <c r="BQ79" s="744" t="str">
        <f t="shared" si="73"/>
        <v/>
      </c>
      <c r="BR79" s="744" t="str">
        <f t="shared" si="74"/>
        <v/>
      </c>
      <c r="BS79" s="744" t="str">
        <f t="shared" si="75"/>
        <v/>
      </c>
      <c r="BT79" s="744">
        <f t="shared" si="76"/>
        <v>1.080079</v>
      </c>
      <c r="BU79" s="744">
        <f t="shared" si="77"/>
        <v>0.36007899999999998</v>
      </c>
      <c r="BV79" s="744">
        <f t="shared" si="78"/>
        <v>0.57607900000000001</v>
      </c>
      <c r="BW79" s="744">
        <f t="shared" si="79"/>
        <v>2.4079E-2</v>
      </c>
      <c r="BX79" s="744">
        <f t="shared" si="80"/>
        <v>4.0800790000000005</v>
      </c>
      <c r="BY79" s="744">
        <f t="shared" si="81"/>
        <v>0.36007899999999998</v>
      </c>
      <c r="BZ79" s="744">
        <f t="shared" si="82"/>
        <v>2.4000789999999999</v>
      </c>
      <c r="CA79" s="744">
        <f t="shared" si="83"/>
        <v>8.1600789999999996</v>
      </c>
      <c r="CB79" s="744">
        <f t="shared" si="84"/>
        <v>36.960079</v>
      </c>
      <c r="CC79" s="744">
        <f t="shared" si="85"/>
        <v>36.000078999999999</v>
      </c>
      <c r="CD79" s="744">
        <f t="shared" si="86"/>
        <v>6.0079E-2</v>
      </c>
      <c r="CE79" s="744">
        <f t="shared" si="87"/>
        <v>2.1678999999999997E-2</v>
      </c>
      <c r="CF79" s="744">
        <f t="shared" si="88"/>
        <v>9.6789999999999984E-3</v>
      </c>
      <c r="CG79" s="744" t="str">
        <f t="shared" si="89"/>
        <v/>
      </c>
      <c r="CH79" s="744" t="str">
        <f t="shared" si="90"/>
        <v/>
      </c>
      <c r="CI79" s="744" t="str">
        <f t="shared" si="91"/>
        <v/>
      </c>
      <c r="CJ79" s="744">
        <f t="shared" si="92"/>
        <v>3600.0000789999999</v>
      </c>
      <c r="CK79" s="744" t="str">
        <f t="shared" si="93"/>
        <v/>
      </c>
      <c r="CL79" s="744" t="str">
        <f t="shared" si="94"/>
        <v/>
      </c>
      <c r="CM79" s="744" t="str">
        <f t="shared" si="95"/>
        <v/>
      </c>
      <c r="CN79" s="744" t="str">
        <f t="shared" si="96"/>
        <v/>
      </c>
      <c r="CO79" s="744" t="str">
        <f t="shared" si="97"/>
        <v/>
      </c>
      <c r="CP79" s="744" t="str">
        <f t="shared" si="98"/>
        <v/>
      </c>
      <c r="CQ79" s="744" t="str">
        <f t="shared" si="99"/>
        <v/>
      </c>
      <c r="CR79" s="744" t="str">
        <f t="shared" si="100"/>
        <v/>
      </c>
      <c r="CS79" s="744" t="str">
        <f t="shared" si="101"/>
        <v/>
      </c>
      <c r="CT79" s="744" t="str">
        <f t="shared" si="102"/>
        <v/>
      </c>
      <c r="CU79" s="744" t="str">
        <f t="shared" si="103"/>
        <v/>
      </c>
      <c r="CV79" s="744" t="str">
        <f t="shared" si="104"/>
        <v/>
      </c>
      <c r="CW79" s="744" t="str">
        <f t="shared" si="105"/>
        <v/>
      </c>
      <c r="CX79" s="744">
        <f t="shared" si="106"/>
        <v>0.24007899999999999</v>
      </c>
    </row>
    <row r="80" spans="1:102">
      <c r="A80" s="630">
        <v>76</v>
      </c>
      <c r="B80" s="635" t="s">
        <v>3</v>
      </c>
      <c r="C80" s="631" t="s">
        <v>249</v>
      </c>
      <c r="D80" s="635" t="s">
        <v>1390</v>
      </c>
      <c r="E80" s="636" t="s">
        <v>150</v>
      </c>
      <c r="F80" s="1067">
        <v>0.2</v>
      </c>
      <c r="G80" s="1066">
        <v>1</v>
      </c>
      <c r="H80" s="1071">
        <v>0.2944</v>
      </c>
      <c r="I80" s="1071">
        <v>0.20675712000000002</v>
      </c>
      <c r="J80" s="1071">
        <v>0.12670000000000001</v>
      </c>
      <c r="K80" s="1071"/>
      <c r="L80" s="1075"/>
      <c r="M80" s="1071"/>
      <c r="N80" s="1071"/>
      <c r="O80" s="1071"/>
      <c r="P80" s="1077">
        <v>3.73888</v>
      </c>
      <c r="Q80" s="1071">
        <v>43.217919999999992</v>
      </c>
      <c r="R80" s="1071"/>
      <c r="S80" s="1071"/>
      <c r="T80" s="1071"/>
      <c r="U80" s="1071"/>
      <c r="V80" s="1080"/>
      <c r="W80" s="1071"/>
      <c r="X80" s="1071"/>
      <c r="Y80" s="1071"/>
      <c r="Z80" s="1071"/>
      <c r="AA80" s="1071"/>
      <c r="AB80" s="1071"/>
      <c r="AC80" s="1071"/>
      <c r="AD80" s="1071">
        <v>281.86</v>
      </c>
      <c r="AE80" s="1071"/>
      <c r="AF80" s="1071"/>
      <c r="AG80" s="1071"/>
      <c r="AH80" s="1077"/>
      <c r="AI80" s="1071"/>
      <c r="AJ80" s="1071"/>
      <c r="AK80" s="1071"/>
      <c r="AL80" s="1083"/>
      <c r="AM80" s="1069"/>
      <c r="AN80" s="1071"/>
      <c r="AO80" s="1071"/>
      <c r="AP80" s="1071"/>
      <c r="AQ80" s="1070"/>
      <c r="AR80" s="1069"/>
      <c r="AS80" s="1282"/>
      <c r="AT80" s="1282"/>
      <c r="AU80" s="1069"/>
      <c r="AV80" s="1069"/>
      <c r="AW80" s="1069"/>
      <c r="AX80" s="1070"/>
      <c r="AY80" s="1070"/>
      <c r="AZ80" s="1078">
        <f t="shared" si="59"/>
        <v>0.2944</v>
      </c>
      <c r="BA80" s="59">
        <v>76</v>
      </c>
      <c r="BB80" s="59">
        <f t="shared" si="60"/>
        <v>76</v>
      </c>
      <c r="BC80" s="60" t="str">
        <f t="shared" si="61"/>
        <v>Capim Colonião Outono</v>
      </c>
      <c r="BD80" s="61" t="str">
        <f ca="1">IFERROR(IF(SEARCH('Calcular Dieta'!A$3,$BC$5:$BC$310)&gt;=1,BC80,"Não encontrado"),"Não encontrado")</f>
        <v>Capim Colonião Outono</v>
      </c>
      <c r="BE80" s="741">
        <f ca="1">COUNTIF(BD$5:BD80,"&lt;&gt;"&amp;"Não encontrado")</f>
        <v>76</v>
      </c>
      <c r="BF80" s="742" t="str">
        <f t="shared" ca="1" si="62"/>
        <v>CAPIM COLONIÃO OUTONO</v>
      </c>
      <c r="BG80" s="744">
        <f t="shared" si="63"/>
        <v>0.20683712000000001</v>
      </c>
      <c r="BH80" s="744">
        <f t="shared" si="64"/>
        <v>0.12678</v>
      </c>
      <c r="BI80" s="744" t="str">
        <f t="shared" si="65"/>
        <v/>
      </c>
      <c r="BJ80" s="744" t="str">
        <f t="shared" si="66"/>
        <v/>
      </c>
      <c r="BK80" s="744" t="str">
        <f t="shared" si="67"/>
        <v/>
      </c>
      <c r="BL80" s="744" t="str">
        <f t="shared" si="68"/>
        <v/>
      </c>
      <c r="BM80" s="744" t="str">
        <f t="shared" si="69"/>
        <v/>
      </c>
      <c r="BN80" s="744">
        <f t="shared" si="70"/>
        <v>3.7389600000000001</v>
      </c>
      <c r="BO80" s="744">
        <f t="shared" si="71"/>
        <v>43.217999999999989</v>
      </c>
      <c r="BP80" s="744" t="str">
        <f t="shared" si="72"/>
        <v/>
      </c>
      <c r="BQ80" s="744" t="str">
        <f t="shared" si="73"/>
        <v/>
      </c>
      <c r="BR80" s="744" t="str">
        <f t="shared" si="74"/>
        <v/>
      </c>
      <c r="BS80" s="744" t="str">
        <f t="shared" si="75"/>
        <v/>
      </c>
      <c r="BT80" s="744" t="str">
        <f t="shared" si="76"/>
        <v/>
      </c>
      <c r="BU80" s="744" t="str">
        <f t="shared" si="77"/>
        <v/>
      </c>
      <c r="BV80" s="744" t="str">
        <f t="shared" si="78"/>
        <v/>
      </c>
      <c r="BW80" s="744" t="str">
        <f t="shared" si="79"/>
        <v/>
      </c>
      <c r="BX80" s="744" t="str">
        <f t="shared" si="80"/>
        <v/>
      </c>
      <c r="BY80" s="744" t="str">
        <f t="shared" si="81"/>
        <v/>
      </c>
      <c r="BZ80" s="744" t="str">
        <f t="shared" si="82"/>
        <v/>
      </c>
      <c r="CA80" s="744" t="str">
        <f t="shared" si="83"/>
        <v/>
      </c>
      <c r="CB80" s="744">
        <f t="shared" si="84"/>
        <v>281.86008000000004</v>
      </c>
      <c r="CC80" s="744" t="str">
        <f t="shared" si="85"/>
        <v/>
      </c>
      <c r="CD80" s="744" t="str">
        <f t="shared" si="86"/>
        <v/>
      </c>
      <c r="CE80" s="744" t="str">
        <f t="shared" si="87"/>
        <v/>
      </c>
      <c r="CF80" s="744" t="str">
        <f t="shared" si="88"/>
        <v/>
      </c>
      <c r="CG80" s="744" t="str">
        <f t="shared" si="89"/>
        <v/>
      </c>
      <c r="CH80" s="744" t="str">
        <f t="shared" si="90"/>
        <v/>
      </c>
      <c r="CI80" s="744" t="str">
        <f t="shared" si="91"/>
        <v/>
      </c>
      <c r="CJ80" s="744" t="str">
        <f t="shared" si="92"/>
        <v/>
      </c>
      <c r="CK80" s="744" t="str">
        <f t="shared" si="93"/>
        <v/>
      </c>
      <c r="CL80" s="744" t="str">
        <f t="shared" si="94"/>
        <v/>
      </c>
      <c r="CM80" s="744" t="str">
        <f t="shared" si="95"/>
        <v/>
      </c>
      <c r="CN80" s="744" t="str">
        <f t="shared" si="96"/>
        <v/>
      </c>
      <c r="CO80" s="744" t="str">
        <f t="shared" si="97"/>
        <v/>
      </c>
      <c r="CP80" s="744" t="str">
        <f t="shared" si="98"/>
        <v/>
      </c>
      <c r="CQ80" s="744" t="str">
        <f t="shared" si="99"/>
        <v/>
      </c>
      <c r="CR80" s="744" t="str">
        <f t="shared" si="100"/>
        <v/>
      </c>
      <c r="CS80" s="744" t="str">
        <f t="shared" si="101"/>
        <v/>
      </c>
      <c r="CT80" s="744" t="str">
        <f t="shared" si="102"/>
        <v/>
      </c>
      <c r="CU80" s="744" t="str">
        <f t="shared" si="103"/>
        <v/>
      </c>
      <c r="CV80" s="744" t="str">
        <f t="shared" si="104"/>
        <v/>
      </c>
      <c r="CW80" s="744" t="str">
        <f t="shared" si="105"/>
        <v/>
      </c>
      <c r="CX80" s="744">
        <f t="shared" si="106"/>
        <v>0.29448000000000002</v>
      </c>
    </row>
    <row r="81" spans="1:102">
      <c r="A81" s="633">
        <v>77</v>
      </c>
      <c r="B81" s="630" t="s">
        <v>3</v>
      </c>
      <c r="C81" s="631" t="s">
        <v>249</v>
      </c>
      <c r="D81" s="630" t="s">
        <v>1390</v>
      </c>
      <c r="E81" s="632" t="s">
        <v>151</v>
      </c>
      <c r="F81" s="1067">
        <v>0.2</v>
      </c>
      <c r="G81" s="1066">
        <v>1</v>
      </c>
      <c r="H81" s="1070">
        <v>0.23379999999999998</v>
      </c>
      <c r="I81" s="1070">
        <v>0.17542013999999997</v>
      </c>
      <c r="J81" s="1070">
        <v>0.12670000000000001</v>
      </c>
      <c r="K81" s="1070"/>
      <c r="L81" s="1072"/>
      <c r="M81" s="1070"/>
      <c r="N81" s="1070"/>
      <c r="O81" s="1070"/>
      <c r="P81" s="1073">
        <v>3.6706600000000003</v>
      </c>
      <c r="Q81" s="1070">
        <v>34.158179999999994</v>
      </c>
      <c r="R81" s="1070"/>
      <c r="S81" s="1070"/>
      <c r="T81" s="1070"/>
      <c r="U81" s="1070"/>
      <c r="V81" s="1066"/>
      <c r="W81" s="1070"/>
      <c r="X81" s="1070"/>
      <c r="Y81" s="1070"/>
      <c r="Z81" s="1070"/>
      <c r="AA81" s="1070"/>
      <c r="AB81" s="1070"/>
      <c r="AC81" s="1070"/>
      <c r="AD81" s="1070">
        <v>281.86</v>
      </c>
      <c r="AE81" s="1070"/>
      <c r="AF81" s="1070"/>
      <c r="AG81" s="1070"/>
      <c r="AH81" s="1073"/>
      <c r="AI81" s="1070"/>
      <c r="AJ81" s="1070"/>
      <c r="AK81" s="1070"/>
      <c r="AL81" s="1082"/>
      <c r="AM81" s="1069"/>
      <c r="AN81" s="1070"/>
      <c r="AO81" s="1070"/>
      <c r="AP81" s="1070"/>
      <c r="AQ81" s="1071"/>
      <c r="AR81" s="1069"/>
      <c r="AS81" s="1282"/>
      <c r="AT81" s="1282"/>
      <c r="AU81" s="1069"/>
      <c r="AV81" s="1069"/>
      <c r="AW81" s="1069"/>
      <c r="AX81" s="1070"/>
      <c r="AY81" s="1070"/>
      <c r="AZ81" s="1078">
        <f t="shared" si="59"/>
        <v>0.23379999999999998</v>
      </c>
      <c r="BA81" s="59">
        <v>77</v>
      </c>
      <c r="BB81" s="59">
        <f t="shared" si="60"/>
        <v>77</v>
      </c>
      <c r="BC81" s="60" t="str">
        <f t="shared" si="61"/>
        <v>Capim Colonião Primavera</v>
      </c>
      <c r="BD81" s="61" t="str">
        <f ca="1">IFERROR(IF(SEARCH('Calcular Dieta'!A$3,$BC$5:$BC$310)&gt;=1,BC81,"Não encontrado"),"Não encontrado")</f>
        <v>Capim Colonião Primavera</v>
      </c>
      <c r="BE81" s="741">
        <f ca="1">COUNTIF(BD$5:BD81,"&lt;&gt;"&amp;"Não encontrado")</f>
        <v>77</v>
      </c>
      <c r="BF81" s="742" t="str">
        <f t="shared" ca="1" si="62"/>
        <v>CAPIM COLONIÃO PRIMAVERA</v>
      </c>
      <c r="BG81" s="744">
        <f t="shared" si="63"/>
        <v>0.17550113999999997</v>
      </c>
      <c r="BH81" s="744">
        <f t="shared" si="64"/>
        <v>0.126781</v>
      </c>
      <c r="BI81" s="744" t="str">
        <f t="shared" si="65"/>
        <v/>
      </c>
      <c r="BJ81" s="744" t="str">
        <f t="shared" si="66"/>
        <v/>
      </c>
      <c r="BK81" s="744" t="str">
        <f t="shared" si="67"/>
        <v/>
      </c>
      <c r="BL81" s="744" t="str">
        <f t="shared" si="68"/>
        <v/>
      </c>
      <c r="BM81" s="744" t="str">
        <f t="shared" si="69"/>
        <v/>
      </c>
      <c r="BN81" s="744">
        <f t="shared" si="70"/>
        <v>3.6707410000000005</v>
      </c>
      <c r="BO81" s="744">
        <f t="shared" si="71"/>
        <v>34.158260999999996</v>
      </c>
      <c r="BP81" s="744" t="str">
        <f t="shared" si="72"/>
        <v/>
      </c>
      <c r="BQ81" s="744" t="str">
        <f t="shared" si="73"/>
        <v/>
      </c>
      <c r="BR81" s="744" t="str">
        <f t="shared" si="74"/>
        <v/>
      </c>
      <c r="BS81" s="744" t="str">
        <f t="shared" si="75"/>
        <v/>
      </c>
      <c r="BT81" s="744" t="str">
        <f t="shared" si="76"/>
        <v/>
      </c>
      <c r="BU81" s="744" t="str">
        <f t="shared" si="77"/>
        <v/>
      </c>
      <c r="BV81" s="744" t="str">
        <f t="shared" si="78"/>
        <v/>
      </c>
      <c r="BW81" s="744" t="str">
        <f t="shared" si="79"/>
        <v/>
      </c>
      <c r="BX81" s="744" t="str">
        <f t="shared" si="80"/>
        <v/>
      </c>
      <c r="BY81" s="744" t="str">
        <f t="shared" si="81"/>
        <v/>
      </c>
      <c r="BZ81" s="744" t="str">
        <f t="shared" si="82"/>
        <v/>
      </c>
      <c r="CA81" s="744" t="str">
        <f t="shared" si="83"/>
        <v/>
      </c>
      <c r="CB81" s="744">
        <f t="shared" si="84"/>
        <v>281.86008100000004</v>
      </c>
      <c r="CC81" s="744" t="str">
        <f t="shared" si="85"/>
        <v/>
      </c>
      <c r="CD81" s="744" t="str">
        <f t="shared" si="86"/>
        <v/>
      </c>
      <c r="CE81" s="744" t="str">
        <f t="shared" si="87"/>
        <v/>
      </c>
      <c r="CF81" s="744" t="str">
        <f t="shared" si="88"/>
        <v/>
      </c>
      <c r="CG81" s="744" t="str">
        <f t="shared" si="89"/>
        <v/>
      </c>
      <c r="CH81" s="744" t="str">
        <f t="shared" si="90"/>
        <v/>
      </c>
      <c r="CI81" s="744" t="str">
        <f t="shared" si="91"/>
        <v/>
      </c>
      <c r="CJ81" s="744" t="str">
        <f t="shared" si="92"/>
        <v/>
      </c>
      <c r="CK81" s="744" t="str">
        <f t="shared" si="93"/>
        <v/>
      </c>
      <c r="CL81" s="744" t="str">
        <f t="shared" si="94"/>
        <v/>
      </c>
      <c r="CM81" s="744" t="str">
        <f t="shared" si="95"/>
        <v/>
      </c>
      <c r="CN81" s="744" t="str">
        <f t="shared" si="96"/>
        <v/>
      </c>
      <c r="CO81" s="744" t="str">
        <f t="shared" si="97"/>
        <v/>
      </c>
      <c r="CP81" s="744" t="str">
        <f t="shared" si="98"/>
        <v/>
      </c>
      <c r="CQ81" s="744" t="str">
        <f t="shared" si="99"/>
        <v/>
      </c>
      <c r="CR81" s="744" t="str">
        <f t="shared" si="100"/>
        <v/>
      </c>
      <c r="CS81" s="744" t="str">
        <f t="shared" si="101"/>
        <v/>
      </c>
      <c r="CT81" s="744" t="str">
        <f t="shared" si="102"/>
        <v/>
      </c>
      <c r="CU81" s="744" t="str">
        <f t="shared" si="103"/>
        <v/>
      </c>
      <c r="CV81" s="744" t="str">
        <f t="shared" si="104"/>
        <v/>
      </c>
      <c r="CW81" s="744" t="str">
        <f t="shared" si="105"/>
        <v/>
      </c>
      <c r="CX81" s="744">
        <f t="shared" si="106"/>
        <v>0.23388099999999998</v>
      </c>
    </row>
    <row r="82" spans="1:102">
      <c r="A82" s="630">
        <v>78</v>
      </c>
      <c r="B82" s="630" t="s">
        <v>3</v>
      </c>
      <c r="C82" s="631" t="s">
        <v>249</v>
      </c>
      <c r="D82" s="630" t="s">
        <v>1390</v>
      </c>
      <c r="E82" s="632" t="s">
        <v>152</v>
      </c>
      <c r="F82" s="1067">
        <v>0.2</v>
      </c>
      <c r="G82" s="1066">
        <v>1</v>
      </c>
      <c r="H82" s="1070">
        <v>0.26690000000000003</v>
      </c>
      <c r="I82" s="1070">
        <v>0.19048653000000002</v>
      </c>
      <c r="J82" s="1070">
        <v>0.12670000000000001</v>
      </c>
      <c r="K82" s="1070"/>
      <c r="L82" s="1072"/>
      <c r="M82" s="1070"/>
      <c r="N82" s="1070"/>
      <c r="O82" s="1070"/>
      <c r="P82" s="1073">
        <v>6.9927800000000016</v>
      </c>
      <c r="Q82" s="1070">
        <v>44.118570000000005</v>
      </c>
      <c r="R82" s="1070"/>
      <c r="S82" s="1070"/>
      <c r="T82" s="1070"/>
      <c r="U82" s="1070"/>
      <c r="V82" s="1066"/>
      <c r="W82" s="1070"/>
      <c r="X82" s="1070"/>
      <c r="Y82" s="1070"/>
      <c r="Z82" s="1070"/>
      <c r="AA82" s="1070"/>
      <c r="AB82" s="1070"/>
      <c r="AC82" s="1070"/>
      <c r="AD82" s="1070">
        <v>281.86</v>
      </c>
      <c r="AE82" s="1070"/>
      <c r="AF82" s="1070"/>
      <c r="AG82" s="1070"/>
      <c r="AH82" s="1073"/>
      <c r="AI82" s="1070"/>
      <c r="AJ82" s="1070"/>
      <c r="AK82" s="1070"/>
      <c r="AL82" s="1082"/>
      <c r="AM82" s="1069"/>
      <c r="AN82" s="1070"/>
      <c r="AO82" s="1070"/>
      <c r="AP82" s="1070"/>
      <c r="AQ82" s="1070"/>
      <c r="AR82" s="1069"/>
      <c r="AS82" s="1282"/>
      <c r="AT82" s="1282"/>
      <c r="AU82" s="1069"/>
      <c r="AV82" s="1069"/>
      <c r="AW82" s="1069"/>
      <c r="AX82" s="1071"/>
      <c r="AY82" s="1070"/>
      <c r="AZ82" s="1078">
        <f t="shared" si="59"/>
        <v>0.26690000000000003</v>
      </c>
      <c r="BA82" s="59">
        <v>78</v>
      </c>
      <c r="BB82" s="59">
        <f t="shared" si="60"/>
        <v>78</v>
      </c>
      <c r="BC82" s="60" t="str">
        <f t="shared" si="61"/>
        <v>Capim Colonião Verão</v>
      </c>
      <c r="BD82" s="61" t="str">
        <f ca="1">IFERROR(IF(SEARCH('Calcular Dieta'!A$3,$BC$5:$BC$310)&gt;=1,BC82,"Não encontrado"),"Não encontrado")</f>
        <v>Capim Colonião Verão</v>
      </c>
      <c r="BE82" s="741">
        <f ca="1">COUNTIF(BD$5:BD82,"&lt;&gt;"&amp;"Não encontrado")</f>
        <v>78</v>
      </c>
      <c r="BF82" s="742" t="str">
        <f t="shared" ca="1" si="62"/>
        <v>CAPIM COLONIÃO VERÃO</v>
      </c>
      <c r="BG82" s="744">
        <f t="shared" si="63"/>
        <v>0.19056853000000001</v>
      </c>
      <c r="BH82" s="744">
        <f t="shared" si="64"/>
        <v>0.12678200000000001</v>
      </c>
      <c r="BI82" s="744" t="str">
        <f t="shared" si="65"/>
        <v/>
      </c>
      <c r="BJ82" s="744" t="str">
        <f t="shared" si="66"/>
        <v/>
      </c>
      <c r="BK82" s="744" t="str">
        <f t="shared" si="67"/>
        <v/>
      </c>
      <c r="BL82" s="744" t="str">
        <f t="shared" si="68"/>
        <v/>
      </c>
      <c r="BM82" s="744" t="str">
        <f t="shared" si="69"/>
        <v/>
      </c>
      <c r="BN82" s="744">
        <f t="shared" si="70"/>
        <v>6.9928620000000015</v>
      </c>
      <c r="BO82" s="744">
        <f t="shared" si="71"/>
        <v>44.118652000000004</v>
      </c>
      <c r="BP82" s="744" t="str">
        <f t="shared" si="72"/>
        <v/>
      </c>
      <c r="BQ82" s="744" t="str">
        <f t="shared" si="73"/>
        <v/>
      </c>
      <c r="BR82" s="744" t="str">
        <f t="shared" si="74"/>
        <v/>
      </c>
      <c r="BS82" s="744" t="str">
        <f t="shared" si="75"/>
        <v/>
      </c>
      <c r="BT82" s="744" t="str">
        <f t="shared" si="76"/>
        <v/>
      </c>
      <c r="BU82" s="744" t="str">
        <f t="shared" si="77"/>
        <v/>
      </c>
      <c r="BV82" s="744" t="str">
        <f t="shared" si="78"/>
        <v/>
      </c>
      <c r="BW82" s="744" t="str">
        <f t="shared" si="79"/>
        <v/>
      </c>
      <c r="BX82" s="744" t="str">
        <f t="shared" si="80"/>
        <v/>
      </c>
      <c r="BY82" s="744" t="str">
        <f t="shared" si="81"/>
        <v/>
      </c>
      <c r="BZ82" s="744" t="str">
        <f t="shared" si="82"/>
        <v/>
      </c>
      <c r="CA82" s="744" t="str">
        <f t="shared" si="83"/>
        <v/>
      </c>
      <c r="CB82" s="744">
        <f t="shared" si="84"/>
        <v>281.86008200000003</v>
      </c>
      <c r="CC82" s="744" t="str">
        <f t="shared" si="85"/>
        <v/>
      </c>
      <c r="CD82" s="744" t="str">
        <f t="shared" si="86"/>
        <v/>
      </c>
      <c r="CE82" s="744" t="str">
        <f t="shared" si="87"/>
        <v/>
      </c>
      <c r="CF82" s="744" t="str">
        <f t="shared" si="88"/>
        <v/>
      </c>
      <c r="CG82" s="744" t="str">
        <f t="shared" si="89"/>
        <v/>
      </c>
      <c r="CH82" s="744" t="str">
        <f t="shared" si="90"/>
        <v/>
      </c>
      <c r="CI82" s="744" t="str">
        <f t="shared" si="91"/>
        <v/>
      </c>
      <c r="CJ82" s="744" t="str">
        <f t="shared" si="92"/>
        <v/>
      </c>
      <c r="CK82" s="744" t="str">
        <f t="shared" si="93"/>
        <v/>
      </c>
      <c r="CL82" s="744" t="str">
        <f t="shared" si="94"/>
        <v/>
      </c>
      <c r="CM82" s="744" t="str">
        <f t="shared" si="95"/>
        <v/>
      </c>
      <c r="CN82" s="744" t="str">
        <f t="shared" si="96"/>
        <v/>
      </c>
      <c r="CO82" s="744" t="str">
        <f t="shared" si="97"/>
        <v/>
      </c>
      <c r="CP82" s="744" t="str">
        <f t="shared" si="98"/>
        <v/>
      </c>
      <c r="CQ82" s="744" t="str">
        <f t="shared" si="99"/>
        <v/>
      </c>
      <c r="CR82" s="744" t="str">
        <f t="shared" si="100"/>
        <v/>
      </c>
      <c r="CS82" s="744" t="str">
        <f t="shared" si="101"/>
        <v/>
      </c>
      <c r="CT82" s="744" t="str">
        <f t="shared" si="102"/>
        <v/>
      </c>
      <c r="CU82" s="744" t="str">
        <f t="shared" si="103"/>
        <v/>
      </c>
      <c r="CV82" s="744" t="str">
        <f t="shared" si="104"/>
        <v/>
      </c>
      <c r="CW82" s="744" t="str">
        <f t="shared" si="105"/>
        <v/>
      </c>
      <c r="CX82" s="744">
        <f t="shared" si="106"/>
        <v>0.26698200000000005</v>
      </c>
    </row>
    <row r="83" spans="1:102">
      <c r="A83" s="633">
        <v>79</v>
      </c>
      <c r="B83" s="630" t="s">
        <v>3</v>
      </c>
      <c r="C83" s="631" t="s">
        <v>249</v>
      </c>
      <c r="D83" s="630" t="s">
        <v>1390</v>
      </c>
      <c r="E83" s="632" t="s">
        <v>153</v>
      </c>
      <c r="F83" s="1067">
        <v>0.2</v>
      </c>
      <c r="G83" s="1066">
        <v>1</v>
      </c>
      <c r="H83" s="1070">
        <v>0.2165</v>
      </c>
      <c r="I83" s="1070">
        <v>0.1644101</v>
      </c>
      <c r="J83" s="1070">
        <v>0.1003</v>
      </c>
      <c r="K83" s="1070">
        <v>2.4486150000000002E-2</v>
      </c>
      <c r="L83" s="1072">
        <v>0.10822835</v>
      </c>
      <c r="M83" s="1070"/>
      <c r="N83" s="1070">
        <v>1.73</v>
      </c>
      <c r="O83" s="1070"/>
      <c r="P83" s="1073">
        <v>4.8928999999999991</v>
      </c>
      <c r="Q83" s="1070">
        <v>15.155000000000001</v>
      </c>
      <c r="R83" s="1070">
        <v>10.062920000000002</v>
      </c>
      <c r="S83" s="1279">
        <v>5.0920799999999993</v>
      </c>
      <c r="T83" s="1070">
        <v>10.282667500000001</v>
      </c>
      <c r="U83" s="1070"/>
      <c r="V83" s="1066">
        <v>0.77939999999999998</v>
      </c>
      <c r="W83" s="1070">
        <v>0.49794999999999995</v>
      </c>
      <c r="X83" s="1070">
        <v>0.38969999999999999</v>
      </c>
      <c r="Y83" s="1070">
        <v>6.4949999999999994E-2</v>
      </c>
      <c r="Z83" s="1070">
        <v>5.0444499999999994</v>
      </c>
      <c r="AA83" s="1070">
        <v>0.23815000000000003</v>
      </c>
      <c r="AB83" s="1070">
        <v>7.2</v>
      </c>
      <c r="AC83" s="1070">
        <v>20</v>
      </c>
      <c r="AD83" s="1070">
        <v>153.5</v>
      </c>
      <c r="AE83" s="1070">
        <v>81</v>
      </c>
      <c r="AF83" s="1070"/>
      <c r="AG83" s="1070">
        <v>0.17</v>
      </c>
      <c r="AH83" s="1073"/>
      <c r="AI83" s="1070"/>
      <c r="AJ83" s="1070"/>
      <c r="AK83" s="1070"/>
      <c r="AL83" s="1082"/>
      <c r="AM83" s="1069"/>
      <c r="AN83" s="1070"/>
      <c r="AO83" s="1070"/>
      <c r="AP83" s="1070"/>
      <c r="AQ83" s="1070"/>
      <c r="AR83" s="1069"/>
      <c r="AS83" s="1282"/>
      <c r="AT83" s="1282"/>
      <c r="AU83" s="1069"/>
      <c r="AV83" s="1069"/>
      <c r="AW83" s="1069"/>
      <c r="AX83" s="1070"/>
      <c r="AY83" s="1071"/>
      <c r="AZ83" s="1078">
        <f t="shared" si="59"/>
        <v>0.2165</v>
      </c>
      <c r="BA83" s="59">
        <v>79</v>
      </c>
      <c r="BB83" s="59">
        <f t="shared" si="60"/>
        <v>79</v>
      </c>
      <c r="BC83" s="60" t="str">
        <f t="shared" si="61"/>
        <v>Capim Elefante</v>
      </c>
      <c r="BD83" s="61" t="str">
        <f ca="1">IFERROR(IF(SEARCH('Calcular Dieta'!A$3,$BC$5:$BC$310)&gt;=1,BC83,"Não encontrado"),"Não encontrado")</f>
        <v>Capim Elefante</v>
      </c>
      <c r="BE83" s="741">
        <f ca="1">COUNTIF(BD$5:BD83,"&lt;&gt;"&amp;"Não encontrado")</f>
        <v>79</v>
      </c>
      <c r="BF83" s="742" t="str">
        <f t="shared" ca="1" si="62"/>
        <v>CAPIM ELEFANTE</v>
      </c>
      <c r="BG83" s="744">
        <f t="shared" si="63"/>
        <v>0.1644931</v>
      </c>
      <c r="BH83" s="744">
        <f t="shared" si="64"/>
        <v>0.100383</v>
      </c>
      <c r="BI83" s="744">
        <f t="shared" si="65"/>
        <v>2.4569150000000001E-2</v>
      </c>
      <c r="BJ83" s="744">
        <f t="shared" si="66"/>
        <v>0.10831135</v>
      </c>
      <c r="BK83" s="744" t="str">
        <f t="shared" si="67"/>
        <v/>
      </c>
      <c r="BL83" s="744">
        <f t="shared" si="68"/>
        <v>1.730083</v>
      </c>
      <c r="BM83" s="744" t="str">
        <f t="shared" si="69"/>
        <v/>
      </c>
      <c r="BN83" s="744">
        <f t="shared" si="70"/>
        <v>4.8929829999999992</v>
      </c>
      <c r="BO83" s="744">
        <f t="shared" si="71"/>
        <v>15.155083000000001</v>
      </c>
      <c r="BP83" s="744">
        <f t="shared" si="72"/>
        <v>10.063003000000002</v>
      </c>
      <c r="BQ83" s="744">
        <f t="shared" si="73"/>
        <v>5.0921629999999993</v>
      </c>
      <c r="BR83" s="744">
        <f t="shared" si="74"/>
        <v>10.282750500000001</v>
      </c>
      <c r="BS83" s="744" t="str">
        <f t="shared" si="75"/>
        <v/>
      </c>
      <c r="BT83" s="744">
        <f t="shared" si="76"/>
        <v>0.77948300000000004</v>
      </c>
      <c r="BU83" s="744">
        <f t="shared" si="77"/>
        <v>0.49803299999999995</v>
      </c>
      <c r="BV83" s="744">
        <f t="shared" si="78"/>
        <v>0.38978299999999999</v>
      </c>
      <c r="BW83" s="744">
        <f t="shared" si="79"/>
        <v>6.5032999999999994E-2</v>
      </c>
      <c r="BX83" s="744">
        <f t="shared" si="80"/>
        <v>5.0445329999999995</v>
      </c>
      <c r="BY83" s="744">
        <f t="shared" si="81"/>
        <v>0.23823300000000003</v>
      </c>
      <c r="BZ83" s="744">
        <f t="shared" si="82"/>
        <v>7.2000830000000002</v>
      </c>
      <c r="CA83" s="744">
        <f t="shared" si="83"/>
        <v>20.000083</v>
      </c>
      <c r="CB83" s="744">
        <f t="shared" si="84"/>
        <v>153.50008299999999</v>
      </c>
      <c r="CC83" s="744">
        <f t="shared" si="85"/>
        <v>81.000083000000004</v>
      </c>
      <c r="CD83" s="744" t="str">
        <f t="shared" si="86"/>
        <v/>
      </c>
      <c r="CE83" s="744">
        <f t="shared" si="87"/>
        <v>0.17008300000000001</v>
      </c>
      <c r="CF83" s="744" t="str">
        <f t="shared" si="88"/>
        <v/>
      </c>
      <c r="CG83" s="744" t="str">
        <f t="shared" si="89"/>
        <v/>
      </c>
      <c r="CH83" s="744" t="str">
        <f t="shared" si="90"/>
        <v/>
      </c>
      <c r="CI83" s="744" t="str">
        <f t="shared" si="91"/>
        <v/>
      </c>
      <c r="CJ83" s="744" t="str">
        <f t="shared" si="92"/>
        <v/>
      </c>
      <c r="CK83" s="744" t="str">
        <f t="shared" si="93"/>
        <v/>
      </c>
      <c r="CL83" s="744" t="str">
        <f t="shared" si="94"/>
        <v/>
      </c>
      <c r="CM83" s="744" t="str">
        <f t="shared" si="95"/>
        <v/>
      </c>
      <c r="CN83" s="744" t="str">
        <f t="shared" si="96"/>
        <v/>
      </c>
      <c r="CO83" s="744" t="str">
        <f t="shared" si="97"/>
        <v/>
      </c>
      <c r="CP83" s="744" t="str">
        <f t="shared" si="98"/>
        <v/>
      </c>
      <c r="CQ83" s="744" t="str">
        <f t="shared" si="99"/>
        <v/>
      </c>
      <c r="CR83" s="744" t="str">
        <f t="shared" si="100"/>
        <v/>
      </c>
      <c r="CS83" s="744" t="str">
        <f t="shared" si="101"/>
        <v/>
      </c>
      <c r="CT83" s="744" t="str">
        <f t="shared" si="102"/>
        <v/>
      </c>
      <c r="CU83" s="744" t="str">
        <f t="shared" si="103"/>
        <v/>
      </c>
      <c r="CV83" s="744" t="str">
        <f t="shared" si="104"/>
        <v/>
      </c>
      <c r="CW83" s="744" t="str">
        <f t="shared" si="105"/>
        <v/>
      </c>
      <c r="CX83" s="744">
        <f t="shared" si="106"/>
        <v>0.216583</v>
      </c>
    </row>
    <row r="84" spans="1:102">
      <c r="A84" s="630">
        <v>80</v>
      </c>
      <c r="B84" s="630" t="s">
        <v>3</v>
      </c>
      <c r="C84" s="631" t="s">
        <v>249</v>
      </c>
      <c r="D84" s="630" t="s">
        <v>1390</v>
      </c>
      <c r="E84" s="632" t="s">
        <v>154</v>
      </c>
      <c r="F84" s="1067">
        <v>0.2</v>
      </c>
      <c r="G84" s="1066">
        <v>1</v>
      </c>
      <c r="H84" s="1070">
        <v>0.12089999999999999</v>
      </c>
      <c r="I84" s="1070">
        <v>7.6046099999999991E-2</v>
      </c>
      <c r="J84" s="1070">
        <v>5.5800000000000002E-2</v>
      </c>
      <c r="K84" s="1070">
        <v>5.1503399999999998E-3</v>
      </c>
      <c r="L84" s="1072">
        <v>6.4633139999999992E-2</v>
      </c>
      <c r="M84" s="1070"/>
      <c r="N84" s="1070">
        <v>1.93</v>
      </c>
      <c r="O84" s="1070"/>
      <c r="P84" s="1073">
        <v>1.6925999999999999</v>
      </c>
      <c r="Q84" s="1070">
        <v>13.55289</v>
      </c>
      <c r="R84" s="1070">
        <v>8.9466000000000001</v>
      </c>
      <c r="S84" s="1070">
        <v>4.6062899999999996</v>
      </c>
      <c r="T84" s="1070">
        <v>9.2125799999999991</v>
      </c>
      <c r="U84" s="1070"/>
      <c r="V84" s="1066"/>
      <c r="W84" s="1070"/>
      <c r="X84" s="1070"/>
      <c r="Y84" s="1070"/>
      <c r="Z84" s="1070"/>
      <c r="AA84" s="1070"/>
      <c r="AB84" s="1070"/>
      <c r="AC84" s="1070"/>
      <c r="AD84" s="1070">
        <v>152.4</v>
      </c>
      <c r="AE84" s="1070"/>
      <c r="AF84" s="1070"/>
      <c r="AG84" s="1070"/>
      <c r="AH84" s="1073"/>
      <c r="AI84" s="1070"/>
      <c r="AJ84" s="1070"/>
      <c r="AK84" s="1070"/>
      <c r="AL84" s="1082"/>
      <c r="AM84" s="1069"/>
      <c r="AN84" s="1070"/>
      <c r="AO84" s="1070"/>
      <c r="AP84" s="1070"/>
      <c r="AQ84" s="1070"/>
      <c r="AR84" s="1069"/>
      <c r="AS84" s="1282"/>
      <c r="AT84" s="1282"/>
      <c r="AU84" s="1069"/>
      <c r="AV84" s="1069"/>
      <c r="AW84" s="1069"/>
      <c r="AX84" s="1070"/>
      <c r="AY84" s="1070"/>
      <c r="AZ84" s="1078">
        <f t="shared" si="59"/>
        <v>0.12089999999999999</v>
      </c>
      <c r="BA84" s="59">
        <v>80</v>
      </c>
      <c r="BB84" s="59">
        <f t="shared" si="60"/>
        <v>80</v>
      </c>
      <c r="BC84" s="60" t="str">
        <f t="shared" si="61"/>
        <v>Capim Elefante (26 A 30 Dias)</v>
      </c>
      <c r="BD84" s="61" t="str">
        <f ca="1">IFERROR(IF(SEARCH('Calcular Dieta'!A$3,$BC$5:$BC$310)&gt;=1,BC84,"Não encontrado"),"Não encontrado")</f>
        <v>Capim Elefante (26 A 30 Dias)</v>
      </c>
      <c r="BE84" s="741">
        <f ca="1">COUNTIF(BD$5:BD84,"&lt;&gt;"&amp;"Não encontrado")</f>
        <v>80</v>
      </c>
      <c r="BF84" s="742" t="str">
        <f t="shared" ca="1" si="62"/>
        <v>CAPIM ELEFANTE (26 A 30 DIAS)</v>
      </c>
      <c r="BG84" s="744">
        <f t="shared" si="63"/>
        <v>7.6130099999999992E-2</v>
      </c>
      <c r="BH84" s="744">
        <f t="shared" si="64"/>
        <v>5.5884000000000003E-2</v>
      </c>
      <c r="BI84" s="744">
        <f t="shared" si="65"/>
        <v>5.2343399999999997E-3</v>
      </c>
      <c r="BJ84" s="744">
        <f t="shared" si="66"/>
        <v>6.4717139999999992E-2</v>
      </c>
      <c r="BK84" s="744" t="str">
        <f t="shared" si="67"/>
        <v/>
      </c>
      <c r="BL84" s="744">
        <f t="shared" si="68"/>
        <v>1.9300839999999999</v>
      </c>
      <c r="BM84" s="744" t="str">
        <f t="shared" si="69"/>
        <v/>
      </c>
      <c r="BN84" s="744">
        <f t="shared" si="70"/>
        <v>1.6926839999999999</v>
      </c>
      <c r="BO84" s="744">
        <f t="shared" si="71"/>
        <v>13.552973999999999</v>
      </c>
      <c r="BP84" s="744">
        <f t="shared" si="72"/>
        <v>8.9466839999999994</v>
      </c>
      <c r="BQ84" s="744">
        <f t="shared" si="73"/>
        <v>4.6063739999999997</v>
      </c>
      <c r="BR84" s="744">
        <f t="shared" si="74"/>
        <v>9.2126639999999984</v>
      </c>
      <c r="BS84" s="744" t="str">
        <f t="shared" si="75"/>
        <v/>
      </c>
      <c r="BT84" s="744" t="str">
        <f t="shared" si="76"/>
        <v/>
      </c>
      <c r="BU84" s="744" t="str">
        <f t="shared" si="77"/>
        <v/>
      </c>
      <c r="BV84" s="744" t="str">
        <f t="shared" si="78"/>
        <v/>
      </c>
      <c r="BW84" s="744" t="str">
        <f t="shared" si="79"/>
        <v/>
      </c>
      <c r="BX84" s="744" t="str">
        <f t="shared" si="80"/>
        <v/>
      </c>
      <c r="BY84" s="744" t="str">
        <f t="shared" si="81"/>
        <v/>
      </c>
      <c r="BZ84" s="744" t="str">
        <f t="shared" si="82"/>
        <v/>
      </c>
      <c r="CA84" s="744" t="str">
        <f t="shared" si="83"/>
        <v/>
      </c>
      <c r="CB84" s="744">
        <f t="shared" si="84"/>
        <v>152.40008399999999</v>
      </c>
      <c r="CC84" s="744" t="str">
        <f t="shared" si="85"/>
        <v/>
      </c>
      <c r="CD84" s="744" t="str">
        <f t="shared" si="86"/>
        <v/>
      </c>
      <c r="CE84" s="744" t="str">
        <f t="shared" si="87"/>
        <v/>
      </c>
      <c r="CF84" s="744" t="str">
        <f t="shared" si="88"/>
        <v/>
      </c>
      <c r="CG84" s="744" t="str">
        <f t="shared" si="89"/>
        <v/>
      </c>
      <c r="CH84" s="744" t="str">
        <f t="shared" si="90"/>
        <v/>
      </c>
      <c r="CI84" s="744" t="str">
        <f t="shared" si="91"/>
        <v/>
      </c>
      <c r="CJ84" s="744" t="str">
        <f t="shared" si="92"/>
        <v/>
      </c>
      <c r="CK84" s="744" t="str">
        <f t="shared" si="93"/>
        <v/>
      </c>
      <c r="CL84" s="744" t="str">
        <f t="shared" si="94"/>
        <v/>
      </c>
      <c r="CM84" s="744" t="str">
        <f t="shared" si="95"/>
        <v/>
      </c>
      <c r="CN84" s="744" t="str">
        <f t="shared" si="96"/>
        <v/>
      </c>
      <c r="CO84" s="744" t="str">
        <f t="shared" si="97"/>
        <v/>
      </c>
      <c r="CP84" s="744" t="str">
        <f t="shared" si="98"/>
        <v/>
      </c>
      <c r="CQ84" s="744" t="str">
        <f t="shared" si="99"/>
        <v/>
      </c>
      <c r="CR84" s="744" t="str">
        <f t="shared" si="100"/>
        <v/>
      </c>
      <c r="CS84" s="744" t="str">
        <f t="shared" si="101"/>
        <v/>
      </c>
      <c r="CT84" s="744" t="str">
        <f t="shared" si="102"/>
        <v/>
      </c>
      <c r="CU84" s="744" t="str">
        <f t="shared" si="103"/>
        <v/>
      </c>
      <c r="CV84" s="744" t="str">
        <f t="shared" si="104"/>
        <v/>
      </c>
      <c r="CW84" s="744" t="str">
        <f t="shared" si="105"/>
        <v/>
      </c>
      <c r="CX84" s="744">
        <f t="shared" si="106"/>
        <v>0.12098399999999999</v>
      </c>
    </row>
    <row r="85" spans="1:102">
      <c r="A85" s="633">
        <v>81</v>
      </c>
      <c r="B85" s="630" t="s">
        <v>3</v>
      </c>
      <c r="C85" s="631" t="s">
        <v>249</v>
      </c>
      <c r="D85" s="630" t="s">
        <v>1390</v>
      </c>
      <c r="E85" s="632" t="s">
        <v>155</v>
      </c>
      <c r="F85" s="1067">
        <v>0.2</v>
      </c>
      <c r="G85" s="1066">
        <v>1</v>
      </c>
      <c r="H85" s="1070">
        <v>0.16769999999999999</v>
      </c>
      <c r="I85" s="1070">
        <v>0.11351612999999998</v>
      </c>
      <c r="J85" s="1070">
        <v>5.5800000000000002E-2</v>
      </c>
      <c r="K85" s="1070">
        <v>1.3382460000000001E-2</v>
      </c>
      <c r="L85" s="1072">
        <v>9.5085900000000001E-2</v>
      </c>
      <c r="M85" s="1070"/>
      <c r="N85" s="1070">
        <v>2.0699999999999998</v>
      </c>
      <c r="O85" s="1070"/>
      <c r="P85" s="1073">
        <v>4.1086499999999999</v>
      </c>
      <c r="Q85" s="1070">
        <v>20.828340000000001</v>
      </c>
      <c r="R85" s="1070">
        <v>12.795509999999998</v>
      </c>
      <c r="S85" s="1070">
        <v>8.0328299999999988</v>
      </c>
      <c r="T85" s="1070">
        <v>14.455739999999999</v>
      </c>
      <c r="U85" s="1070"/>
      <c r="V85" s="1066">
        <v>0.58694999999999997</v>
      </c>
      <c r="W85" s="1070">
        <v>0.45279000000000003</v>
      </c>
      <c r="X85" s="1070">
        <v>0.46956000000000003</v>
      </c>
      <c r="Y85" s="1070"/>
      <c r="Z85" s="1070">
        <v>3.8235599999999992</v>
      </c>
      <c r="AA85" s="1070"/>
      <c r="AB85" s="1070">
        <v>12.4</v>
      </c>
      <c r="AC85" s="1070">
        <v>46.95</v>
      </c>
      <c r="AD85" s="1070">
        <v>152.4</v>
      </c>
      <c r="AE85" s="1070">
        <v>142.62</v>
      </c>
      <c r="AF85" s="1070"/>
      <c r="AG85" s="1070"/>
      <c r="AH85" s="1073"/>
      <c r="AI85" s="1070"/>
      <c r="AJ85" s="1070"/>
      <c r="AK85" s="1070"/>
      <c r="AL85" s="1082"/>
      <c r="AM85" s="1069"/>
      <c r="AN85" s="1070"/>
      <c r="AO85" s="1070"/>
      <c r="AP85" s="1070"/>
      <c r="AQ85" s="1070"/>
      <c r="AR85" s="1069"/>
      <c r="AS85" s="1282"/>
      <c r="AT85" s="1282"/>
      <c r="AU85" s="1069"/>
      <c r="AV85" s="1069"/>
      <c r="AW85" s="1069"/>
      <c r="AX85" s="1070"/>
      <c r="AY85" s="1070"/>
      <c r="AZ85" s="1078">
        <f t="shared" si="59"/>
        <v>0.16769999999999999</v>
      </c>
      <c r="BA85" s="59">
        <v>81</v>
      </c>
      <c r="BB85" s="59">
        <f t="shared" si="60"/>
        <v>81</v>
      </c>
      <c r="BC85" s="60" t="str">
        <f t="shared" si="61"/>
        <v>Capim Elefante (36 A 45 Dias)</v>
      </c>
      <c r="BD85" s="61" t="str">
        <f ca="1">IFERROR(IF(SEARCH('Calcular Dieta'!A$3,$BC$5:$BC$310)&gt;=1,BC85,"Não encontrado"),"Não encontrado")</f>
        <v>Capim Elefante (36 A 45 Dias)</v>
      </c>
      <c r="BE85" s="741">
        <f ca="1">COUNTIF(BD$5:BD85,"&lt;&gt;"&amp;"Não encontrado")</f>
        <v>81</v>
      </c>
      <c r="BF85" s="742" t="str">
        <f t="shared" ca="1" si="62"/>
        <v>CAPIM ELEFANTE (36 A 45 DIAS)</v>
      </c>
      <c r="BG85" s="744">
        <f t="shared" si="63"/>
        <v>0.11360112999999998</v>
      </c>
      <c r="BH85" s="744">
        <f t="shared" si="64"/>
        <v>5.5885000000000004E-2</v>
      </c>
      <c r="BI85" s="744">
        <f t="shared" si="65"/>
        <v>1.3467460000000001E-2</v>
      </c>
      <c r="BJ85" s="744">
        <f t="shared" si="66"/>
        <v>9.5170900000000003E-2</v>
      </c>
      <c r="BK85" s="744" t="str">
        <f t="shared" si="67"/>
        <v/>
      </c>
      <c r="BL85" s="744">
        <f t="shared" si="68"/>
        <v>2.0700849999999997</v>
      </c>
      <c r="BM85" s="744" t="str">
        <f t="shared" si="69"/>
        <v/>
      </c>
      <c r="BN85" s="744">
        <f t="shared" si="70"/>
        <v>4.1087350000000002</v>
      </c>
      <c r="BO85" s="744">
        <f t="shared" si="71"/>
        <v>20.828424999999999</v>
      </c>
      <c r="BP85" s="744">
        <f t="shared" si="72"/>
        <v>12.795594999999999</v>
      </c>
      <c r="BQ85" s="744">
        <f t="shared" si="73"/>
        <v>8.0329149999999991</v>
      </c>
      <c r="BR85" s="744">
        <f t="shared" si="74"/>
        <v>14.455824999999999</v>
      </c>
      <c r="BS85" s="744" t="str">
        <f t="shared" si="75"/>
        <v/>
      </c>
      <c r="BT85" s="744">
        <f t="shared" si="76"/>
        <v>0.58703499999999997</v>
      </c>
      <c r="BU85" s="744">
        <f t="shared" si="77"/>
        <v>0.45287500000000003</v>
      </c>
      <c r="BV85" s="744">
        <f t="shared" si="78"/>
        <v>0.46964500000000003</v>
      </c>
      <c r="BW85" s="744" t="str">
        <f t="shared" si="79"/>
        <v/>
      </c>
      <c r="BX85" s="744">
        <f t="shared" si="80"/>
        <v>3.8236449999999991</v>
      </c>
      <c r="BY85" s="744" t="str">
        <f t="shared" si="81"/>
        <v/>
      </c>
      <c r="BZ85" s="744">
        <f t="shared" si="82"/>
        <v>12.400085000000001</v>
      </c>
      <c r="CA85" s="744">
        <f t="shared" si="83"/>
        <v>46.950085000000001</v>
      </c>
      <c r="CB85" s="744">
        <f t="shared" si="84"/>
        <v>152.40008500000002</v>
      </c>
      <c r="CC85" s="744">
        <f t="shared" si="85"/>
        <v>142.62008500000002</v>
      </c>
      <c r="CD85" s="744" t="str">
        <f t="shared" si="86"/>
        <v/>
      </c>
      <c r="CE85" s="744" t="str">
        <f t="shared" si="87"/>
        <v/>
      </c>
      <c r="CF85" s="744" t="str">
        <f t="shared" si="88"/>
        <v/>
      </c>
      <c r="CG85" s="744" t="str">
        <f t="shared" si="89"/>
        <v/>
      </c>
      <c r="CH85" s="744" t="str">
        <f t="shared" si="90"/>
        <v/>
      </c>
      <c r="CI85" s="744" t="str">
        <f t="shared" si="91"/>
        <v/>
      </c>
      <c r="CJ85" s="744" t="str">
        <f t="shared" si="92"/>
        <v/>
      </c>
      <c r="CK85" s="744" t="str">
        <f t="shared" si="93"/>
        <v/>
      </c>
      <c r="CL85" s="744" t="str">
        <f t="shared" si="94"/>
        <v/>
      </c>
      <c r="CM85" s="744" t="str">
        <f t="shared" si="95"/>
        <v/>
      </c>
      <c r="CN85" s="744" t="str">
        <f t="shared" si="96"/>
        <v/>
      </c>
      <c r="CO85" s="744" t="str">
        <f t="shared" si="97"/>
        <v/>
      </c>
      <c r="CP85" s="744" t="str">
        <f t="shared" si="98"/>
        <v/>
      </c>
      <c r="CQ85" s="744" t="str">
        <f t="shared" si="99"/>
        <v/>
      </c>
      <c r="CR85" s="744" t="str">
        <f t="shared" si="100"/>
        <v/>
      </c>
      <c r="CS85" s="744" t="str">
        <f t="shared" si="101"/>
        <v/>
      </c>
      <c r="CT85" s="744" t="str">
        <f t="shared" si="102"/>
        <v/>
      </c>
      <c r="CU85" s="744" t="str">
        <f t="shared" si="103"/>
        <v/>
      </c>
      <c r="CV85" s="744" t="str">
        <f t="shared" si="104"/>
        <v/>
      </c>
      <c r="CW85" s="744" t="str">
        <f t="shared" si="105"/>
        <v/>
      </c>
      <c r="CX85" s="744">
        <f t="shared" si="106"/>
        <v>0.16778499999999999</v>
      </c>
    </row>
    <row r="86" spans="1:102">
      <c r="A86" s="630">
        <v>82</v>
      </c>
      <c r="B86" s="630" t="s">
        <v>3</v>
      </c>
      <c r="C86" s="631" t="s">
        <v>249</v>
      </c>
      <c r="D86" s="630" t="s">
        <v>1392</v>
      </c>
      <c r="E86" s="632" t="s">
        <v>156</v>
      </c>
      <c r="F86" s="1067">
        <v>0.2</v>
      </c>
      <c r="G86" s="1066">
        <v>1</v>
      </c>
      <c r="H86" s="1070">
        <v>0.255</v>
      </c>
      <c r="I86" s="1070">
        <v>0.18104999999999999</v>
      </c>
      <c r="J86" s="1070">
        <v>0.1275</v>
      </c>
      <c r="K86" s="1070"/>
      <c r="L86" s="1072">
        <v>0.13387500000000002</v>
      </c>
      <c r="M86" s="1070">
        <v>0.59025487500000007</v>
      </c>
      <c r="N86" s="1070"/>
      <c r="O86" s="1070"/>
      <c r="P86" s="1073">
        <v>5.9924999999999997</v>
      </c>
      <c r="Q86" s="1070">
        <v>12.0105</v>
      </c>
      <c r="R86" s="1070">
        <v>7.9269300000000005</v>
      </c>
      <c r="S86" s="1070"/>
      <c r="T86" s="1070"/>
      <c r="U86" s="1070"/>
      <c r="V86" s="1066">
        <v>1.1475</v>
      </c>
      <c r="W86" s="1070">
        <v>0.38250000000000001</v>
      </c>
      <c r="X86" s="1070">
        <v>0.91799999999999993</v>
      </c>
      <c r="Y86" s="1070">
        <v>2.5500000000000002E-2</v>
      </c>
      <c r="Z86" s="1070">
        <v>3.06</v>
      </c>
      <c r="AA86" s="1070">
        <v>0.255</v>
      </c>
      <c r="AB86" s="1070">
        <v>1.2749999999999999</v>
      </c>
      <c r="AC86" s="1070">
        <v>10.199999999999999</v>
      </c>
      <c r="AD86" s="1070">
        <v>29.324999999999999</v>
      </c>
      <c r="AE86" s="1070">
        <v>33.15</v>
      </c>
      <c r="AF86" s="1070">
        <v>0.10200000000000001</v>
      </c>
      <c r="AG86" s="1070">
        <v>1.5299999999999999E-2</v>
      </c>
      <c r="AH86" s="1073">
        <v>1.0200000000000001E-2</v>
      </c>
      <c r="AI86" s="1070"/>
      <c r="AJ86" s="1070"/>
      <c r="AK86" s="1070"/>
      <c r="AL86" s="1082">
        <v>3825</v>
      </c>
      <c r="AM86" s="1069"/>
      <c r="AN86" s="1070"/>
      <c r="AO86" s="1070"/>
      <c r="AP86" s="1070"/>
      <c r="AQ86" s="1070"/>
      <c r="AR86" s="1069"/>
      <c r="AS86" s="1282"/>
      <c r="AT86" s="1282"/>
      <c r="AU86" s="1069"/>
      <c r="AV86" s="1069"/>
      <c r="AW86" s="1069"/>
      <c r="AX86" s="1070"/>
      <c r="AY86" s="1070"/>
      <c r="AZ86" s="1078">
        <f t="shared" si="59"/>
        <v>0.255</v>
      </c>
      <c r="BA86" s="59">
        <v>82</v>
      </c>
      <c r="BB86" s="59">
        <f t="shared" si="60"/>
        <v>82</v>
      </c>
      <c r="BC86" s="60" t="str">
        <f t="shared" si="61"/>
        <v>Capim Elefante (Média)</v>
      </c>
      <c r="BD86" s="61" t="str">
        <f ca="1">IFERROR(IF(SEARCH('Calcular Dieta'!A$3,$BC$5:$BC$310)&gt;=1,BC86,"Não encontrado"),"Não encontrado")</f>
        <v>Capim Elefante (Média)</v>
      </c>
      <c r="BE86" s="741">
        <f ca="1">COUNTIF(BD$5:BD86,"&lt;&gt;"&amp;"Não encontrado")</f>
        <v>82</v>
      </c>
      <c r="BF86" s="742" t="str">
        <f t="shared" ca="1" si="62"/>
        <v>CAPIM ELEFANTE (MÉDIA)</v>
      </c>
      <c r="BG86" s="744">
        <f t="shared" si="63"/>
        <v>0.18113599999999999</v>
      </c>
      <c r="BH86" s="744">
        <f t="shared" si="64"/>
        <v>0.127586</v>
      </c>
      <c r="BI86" s="744" t="str">
        <f t="shared" si="65"/>
        <v/>
      </c>
      <c r="BJ86" s="744">
        <f t="shared" si="66"/>
        <v>0.13396100000000002</v>
      </c>
      <c r="BK86" s="744">
        <f t="shared" si="67"/>
        <v>0.5903408750000001</v>
      </c>
      <c r="BL86" s="744" t="str">
        <f t="shared" si="68"/>
        <v/>
      </c>
      <c r="BM86" s="744" t="str">
        <f t="shared" si="69"/>
        <v/>
      </c>
      <c r="BN86" s="744">
        <f t="shared" si="70"/>
        <v>5.9925859999999993</v>
      </c>
      <c r="BO86" s="744">
        <f t="shared" si="71"/>
        <v>12.010586</v>
      </c>
      <c r="BP86" s="744">
        <f t="shared" si="72"/>
        <v>7.9270160000000001</v>
      </c>
      <c r="BQ86" s="744" t="str">
        <f t="shared" si="73"/>
        <v/>
      </c>
      <c r="BR86" s="744" t="str">
        <f t="shared" si="74"/>
        <v/>
      </c>
      <c r="BS86" s="744" t="str">
        <f t="shared" si="75"/>
        <v/>
      </c>
      <c r="BT86" s="744">
        <f t="shared" si="76"/>
        <v>1.147586</v>
      </c>
      <c r="BU86" s="744">
        <f t="shared" si="77"/>
        <v>0.38258599999999998</v>
      </c>
      <c r="BV86" s="744">
        <f t="shared" si="78"/>
        <v>0.91808599999999996</v>
      </c>
      <c r="BW86" s="744">
        <f t="shared" si="79"/>
        <v>2.5586000000000001E-2</v>
      </c>
      <c r="BX86" s="744">
        <f t="shared" si="80"/>
        <v>3.0600860000000001</v>
      </c>
      <c r="BY86" s="744">
        <f t="shared" si="81"/>
        <v>0.25508599999999998</v>
      </c>
      <c r="BZ86" s="744">
        <f t="shared" si="82"/>
        <v>1.2750859999999999</v>
      </c>
      <c r="CA86" s="744">
        <f t="shared" si="83"/>
        <v>10.200085999999999</v>
      </c>
      <c r="CB86" s="744">
        <f t="shared" si="84"/>
        <v>29.325085999999999</v>
      </c>
      <c r="CC86" s="744">
        <f t="shared" si="85"/>
        <v>33.150086000000002</v>
      </c>
      <c r="CD86" s="744">
        <f t="shared" si="86"/>
        <v>0.10208600000000001</v>
      </c>
      <c r="CE86" s="744">
        <f t="shared" si="87"/>
        <v>1.5385999999999999E-2</v>
      </c>
      <c r="CF86" s="744">
        <f t="shared" si="88"/>
        <v>1.0286E-2</v>
      </c>
      <c r="CG86" s="744" t="str">
        <f t="shared" si="89"/>
        <v/>
      </c>
      <c r="CH86" s="744" t="str">
        <f t="shared" si="90"/>
        <v/>
      </c>
      <c r="CI86" s="744" t="str">
        <f t="shared" si="91"/>
        <v/>
      </c>
      <c r="CJ86" s="744">
        <f t="shared" si="92"/>
        <v>3825.000086</v>
      </c>
      <c r="CK86" s="744" t="str">
        <f t="shared" si="93"/>
        <v/>
      </c>
      <c r="CL86" s="744" t="str">
        <f t="shared" si="94"/>
        <v/>
      </c>
      <c r="CM86" s="744" t="str">
        <f t="shared" si="95"/>
        <v/>
      </c>
      <c r="CN86" s="744" t="str">
        <f t="shared" si="96"/>
        <v/>
      </c>
      <c r="CO86" s="744" t="str">
        <f t="shared" si="97"/>
        <v/>
      </c>
      <c r="CP86" s="744" t="str">
        <f t="shared" si="98"/>
        <v/>
      </c>
      <c r="CQ86" s="744" t="str">
        <f t="shared" si="99"/>
        <v/>
      </c>
      <c r="CR86" s="744" t="str">
        <f t="shared" si="100"/>
        <v/>
      </c>
      <c r="CS86" s="744" t="str">
        <f t="shared" si="101"/>
        <v/>
      </c>
      <c r="CT86" s="744" t="str">
        <f t="shared" si="102"/>
        <v/>
      </c>
      <c r="CU86" s="744" t="str">
        <f t="shared" si="103"/>
        <v/>
      </c>
      <c r="CV86" s="744" t="str">
        <f t="shared" si="104"/>
        <v/>
      </c>
      <c r="CW86" s="744" t="str">
        <f t="shared" si="105"/>
        <v/>
      </c>
      <c r="CX86" s="744">
        <f t="shared" si="106"/>
        <v>0.25508599999999998</v>
      </c>
    </row>
    <row r="87" spans="1:102">
      <c r="A87" s="633">
        <v>83</v>
      </c>
      <c r="B87" s="630" t="s">
        <v>3</v>
      </c>
      <c r="C87" s="631" t="s">
        <v>249</v>
      </c>
      <c r="D87" s="630" t="s">
        <v>1390</v>
      </c>
      <c r="E87" s="632" t="s">
        <v>157</v>
      </c>
      <c r="F87" s="1067">
        <v>0.2</v>
      </c>
      <c r="G87" s="1066">
        <v>1</v>
      </c>
      <c r="H87" s="1070">
        <v>0.20379999999999998</v>
      </c>
      <c r="I87" s="1070">
        <v>0.14239506000000002</v>
      </c>
      <c r="J87" s="1070">
        <v>8.2900000000000001E-2</v>
      </c>
      <c r="K87" s="1070">
        <v>1.5386899999999998E-2</v>
      </c>
      <c r="L87" s="1072">
        <v>0.10265405999999998</v>
      </c>
      <c r="M87" s="1070"/>
      <c r="N87" s="1070">
        <v>1.77</v>
      </c>
      <c r="O87" s="1070"/>
      <c r="P87" s="1073">
        <v>6.9699599999999995</v>
      </c>
      <c r="Q87" s="1070">
        <v>17.302619999999997</v>
      </c>
      <c r="R87" s="1070"/>
      <c r="S87" s="1070"/>
      <c r="T87" s="1070"/>
      <c r="U87" s="1070"/>
      <c r="V87" s="1066">
        <v>1.1616599999999997</v>
      </c>
      <c r="W87" s="1070">
        <v>0.36683999999999994</v>
      </c>
      <c r="X87" s="1070">
        <v>0.85595999999999994</v>
      </c>
      <c r="Y87" s="1070"/>
      <c r="Z87" s="1070">
        <v>3.2404199999999999</v>
      </c>
      <c r="AA87" s="1070"/>
      <c r="AB87" s="1070"/>
      <c r="AC87" s="1070"/>
      <c r="AD87" s="1070">
        <v>102.37</v>
      </c>
      <c r="AE87" s="1070"/>
      <c r="AF87" s="1070"/>
      <c r="AG87" s="1070"/>
      <c r="AH87" s="1073"/>
      <c r="AI87" s="1070"/>
      <c r="AJ87" s="1070"/>
      <c r="AK87" s="1070"/>
      <c r="AL87" s="1082"/>
      <c r="AM87" s="1069"/>
      <c r="AN87" s="1070"/>
      <c r="AO87" s="1070"/>
      <c r="AP87" s="1070"/>
      <c r="AQ87" s="1070"/>
      <c r="AR87" s="1069"/>
      <c r="AS87" s="1282"/>
      <c r="AT87" s="1282"/>
      <c r="AU87" s="1069"/>
      <c r="AV87" s="1069"/>
      <c r="AW87" s="1069"/>
      <c r="AX87" s="1070"/>
      <c r="AY87" s="1070"/>
      <c r="AZ87" s="1078">
        <f t="shared" si="59"/>
        <v>0.20379999999999998</v>
      </c>
      <c r="BA87" s="59">
        <v>83</v>
      </c>
      <c r="BB87" s="59">
        <f t="shared" si="60"/>
        <v>83</v>
      </c>
      <c r="BC87" s="60" t="str">
        <f t="shared" si="61"/>
        <v>Capim Elefante Anão (61 A 90 Dias)</v>
      </c>
      <c r="BD87" s="61" t="str">
        <f ca="1">IFERROR(IF(SEARCH('Calcular Dieta'!A$3,$BC$5:$BC$310)&gt;=1,BC87,"Não encontrado"),"Não encontrado")</f>
        <v>Capim Elefante Anão (61 A 90 Dias)</v>
      </c>
      <c r="BE87" s="741">
        <f ca="1">COUNTIF(BD$5:BD87,"&lt;&gt;"&amp;"Não encontrado")</f>
        <v>83</v>
      </c>
      <c r="BF87" s="742" t="str">
        <f t="shared" ca="1" si="62"/>
        <v>CAPIM ELEFANTE ANÃO (61 A 90 DIAS)</v>
      </c>
      <c r="BG87" s="744">
        <f t="shared" si="63"/>
        <v>0.14248206000000002</v>
      </c>
      <c r="BH87" s="744">
        <f t="shared" si="64"/>
        <v>8.2987000000000005E-2</v>
      </c>
      <c r="BI87" s="744">
        <f t="shared" si="65"/>
        <v>1.5473899999999999E-2</v>
      </c>
      <c r="BJ87" s="744">
        <f t="shared" si="66"/>
        <v>0.10274105999999998</v>
      </c>
      <c r="BK87" s="744" t="str">
        <f t="shared" si="67"/>
        <v/>
      </c>
      <c r="BL87" s="744">
        <f t="shared" si="68"/>
        <v>1.770087</v>
      </c>
      <c r="BM87" s="744" t="str">
        <f t="shared" si="69"/>
        <v/>
      </c>
      <c r="BN87" s="744">
        <f t="shared" si="70"/>
        <v>6.9700469999999992</v>
      </c>
      <c r="BO87" s="744">
        <f t="shared" si="71"/>
        <v>17.302706999999998</v>
      </c>
      <c r="BP87" s="744" t="str">
        <f t="shared" si="72"/>
        <v/>
      </c>
      <c r="BQ87" s="744" t="str">
        <f t="shared" si="73"/>
        <v/>
      </c>
      <c r="BR87" s="744" t="str">
        <f t="shared" si="74"/>
        <v/>
      </c>
      <c r="BS87" s="744" t="str">
        <f t="shared" si="75"/>
        <v/>
      </c>
      <c r="BT87" s="744">
        <f t="shared" si="76"/>
        <v>1.1617469999999996</v>
      </c>
      <c r="BU87" s="744">
        <f t="shared" si="77"/>
        <v>0.36692699999999995</v>
      </c>
      <c r="BV87" s="744">
        <f t="shared" si="78"/>
        <v>0.85604699999999989</v>
      </c>
      <c r="BW87" s="744" t="str">
        <f t="shared" si="79"/>
        <v/>
      </c>
      <c r="BX87" s="744">
        <f t="shared" si="80"/>
        <v>3.240507</v>
      </c>
      <c r="BY87" s="744" t="str">
        <f t="shared" si="81"/>
        <v/>
      </c>
      <c r="BZ87" s="744" t="str">
        <f t="shared" si="82"/>
        <v/>
      </c>
      <c r="CA87" s="744" t="str">
        <f t="shared" si="83"/>
        <v/>
      </c>
      <c r="CB87" s="744">
        <f t="shared" si="84"/>
        <v>102.370087</v>
      </c>
      <c r="CC87" s="744" t="str">
        <f t="shared" si="85"/>
        <v/>
      </c>
      <c r="CD87" s="744" t="str">
        <f t="shared" si="86"/>
        <v/>
      </c>
      <c r="CE87" s="744" t="str">
        <f t="shared" si="87"/>
        <v/>
      </c>
      <c r="CF87" s="744" t="str">
        <f t="shared" si="88"/>
        <v/>
      </c>
      <c r="CG87" s="744" t="str">
        <f t="shared" si="89"/>
        <v/>
      </c>
      <c r="CH87" s="744" t="str">
        <f t="shared" si="90"/>
        <v/>
      </c>
      <c r="CI87" s="744" t="str">
        <f t="shared" si="91"/>
        <v/>
      </c>
      <c r="CJ87" s="744" t="str">
        <f t="shared" si="92"/>
        <v/>
      </c>
      <c r="CK87" s="744" t="str">
        <f t="shared" si="93"/>
        <v/>
      </c>
      <c r="CL87" s="744" t="str">
        <f t="shared" si="94"/>
        <v/>
      </c>
      <c r="CM87" s="744" t="str">
        <f t="shared" si="95"/>
        <v/>
      </c>
      <c r="CN87" s="744" t="str">
        <f t="shared" si="96"/>
        <v/>
      </c>
      <c r="CO87" s="744" t="str">
        <f t="shared" si="97"/>
        <v/>
      </c>
      <c r="CP87" s="744" t="str">
        <f t="shared" si="98"/>
        <v/>
      </c>
      <c r="CQ87" s="744" t="str">
        <f t="shared" si="99"/>
        <v/>
      </c>
      <c r="CR87" s="744" t="str">
        <f t="shared" si="100"/>
        <v/>
      </c>
      <c r="CS87" s="744" t="str">
        <f t="shared" si="101"/>
        <v/>
      </c>
      <c r="CT87" s="744" t="str">
        <f t="shared" si="102"/>
        <v/>
      </c>
      <c r="CU87" s="744" t="str">
        <f t="shared" si="103"/>
        <v/>
      </c>
      <c r="CV87" s="744" t="str">
        <f t="shared" si="104"/>
        <v/>
      </c>
      <c r="CW87" s="744" t="str">
        <f t="shared" si="105"/>
        <v/>
      </c>
      <c r="CX87" s="744">
        <f t="shared" si="106"/>
        <v>0.20388699999999998</v>
      </c>
    </row>
    <row r="88" spans="1:102">
      <c r="A88" s="630">
        <v>84</v>
      </c>
      <c r="B88" s="630" t="s">
        <v>3</v>
      </c>
      <c r="C88" s="631" t="s">
        <v>249</v>
      </c>
      <c r="D88" s="630" t="s">
        <v>1390</v>
      </c>
      <c r="E88" s="632" t="s">
        <v>158</v>
      </c>
      <c r="F88" s="1067">
        <v>0.2</v>
      </c>
      <c r="G88" s="1066">
        <v>1</v>
      </c>
      <c r="H88" s="1070">
        <v>0.2026</v>
      </c>
      <c r="I88" s="1070">
        <v>0.13746410000000001</v>
      </c>
      <c r="J88" s="1070">
        <v>9.3799999999999994E-2</v>
      </c>
      <c r="K88" s="1070">
        <v>2.526422E-2</v>
      </c>
      <c r="L88" s="1072">
        <v>0.11805502</v>
      </c>
      <c r="M88" s="1070"/>
      <c r="N88" s="1070">
        <v>2.1</v>
      </c>
      <c r="O88" s="1070"/>
      <c r="P88" s="1073">
        <v>5.0447400000000009</v>
      </c>
      <c r="Q88" s="1070">
        <v>19.409079999999999</v>
      </c>
      <c r="R88" s="1070"/>
      <c r="S88" s="1070"/>
      <c r="T88" s="1070"/>
      <c r="U88" s="1070"/>
      <c r="V88" s="1066">
        <v>0.76988000000000001</v>
      </c>
      <c r="W88" s="1070">
        <v>0.56728000000000012</v>
      </c>
      <c r="X88" s="1070">
        <v>0.44572000000000006</v>
      </c>
      <c r="Y88" s="1070">
        <v>8.1040000000000015E-2</v>
      </c>
      <c r="Z88" s="1070">
        <v>5.2473399999999994</v>
      </c>
      <c r="AA88" s="1070"/>
      <c r="AB88" s="1070"/>
      <c r="AC88" s="1070"/>
      <c r="AD88" s="1070"/>
      <c r="AE88" s="1070"/>
      <c r="AF88" s="1070"/>
      <c r="AG88" s="1070"/>
      <c r="AH88" s="1073"/>
      <c r="AI88" s="1070"/>
      <c r="AJ88" s="1070"/>
      <c r="AK88" s="1070"/>
      <c r="AL88" s="1082"/>
      <c r="AM88" s="1069"/>
      <c r="AN88" s="1070"/>
      <c r="AO88" s="1070"/>
      <c r="AP88" s="1070"/>
      <c r="AQ88" s="1070"/>
      <c r="AR88" s="1069"/>
      <c r="AS88" s="1282"/>
      <c r="AT88" s="1282"/>
      <c r="AU88" s="1069"/>
      <c r="AV88" s="1069"/>
      <c r="AW88" s="1069"/>
      <c r="AX88" s="1070"/>
      <c r="AY88" s="1070"/>
      <c r="AZ88" s="1078">
        <f t="shared" si="59"/>
        <v>0.2026</v>
      </c>
      <c r="BA88" s="59">
        <v>84</v>
      </c>
      <c r="BB88" s="59">
        <f t="shared" si="60"/>
        <v>84</v>
      </c>
      <c r="BC88" s="60" t="str">
        <f t="shared" si="61"/>
        <v>Capim Elefante Cameroon</v>
      </c>
      <c r="BD88" s="61" t="str">
        <f ca="1">IFERROR(IF(SEARCH('Calcular Dieta'!A$3,$BC$5:$BC$310)&gt;=1,BC88,"Não encontrado"),"Não encontrado")</f>
        <v>Capim Elefante Cameroon</v>
      </c>
      <c r="BE88" s="741">
        <f ca="1">COUNTIF(BD$5:BD88,"&lt;&gt;"&amp;"Não encontrado")</f>
        <v>84</v>
      </c>
      <c r="BF88" s="742" t="str">
        <f ca="1">IFERROR(UPPER(INDEX($BD$5:$BD$310,MATCH(BA88,$BE$5:$BE$310,0))),"-")</f>
        <v>CAPIM ELEFANTE CAMEROON</v>
      </c>
      <c r="BG88" s="744">
        <f t="shared" si="63"/>
        <v>0.13755210000000001</v>
      </c>
      <c r="BH88" s="744">
        <f t="shared" si="64"/>
        <v>9.3887999999999999E-2</v>
      </c>
      <c r="BI88" s="744">
        <f t="shared" si="65"/>
        <v>2.5352220000000002E-2</v>
      </c>
      <c r="BJ88" s="744">
        <f t="shared" si="66"/>
        <v>0.11814302</v>
      </c>
      <c r="BK88" s="744" t="str">
        <f t="shared" si="67"/>
        <v/>
      </c>
      <c r="BL88" s="744">
        <f t="shared" si="68"/>
        <v>2.100088</v>
      </c>
      <c r="BM88" s="744" t="str">
        <f t="shared" si="69"/>
        <v/>
      </c>
      <c r="BN88" s="744">
        <f t="shared" si="70"/>
        <v>5.0448280000000008</v>
      </c>
      <c r="BO88" s="744">
        <f t="shared" si="71"/>
        <v>19.409168000000001</v>
      </c>
      <c r="BP88" s="744" t="str">
        <f t="shared" si="72"/>
        <v/>
      </c>
      <c r="BQ88" s="744" t="str">
        <f t="shared" si="73"/>
        <v/>
      </c>
      <c r="BR88" s="744" t="str">
        <f t="shared" si="74"/>
        <v/>
      </c>
      <c r="BS88" s="744" t="str">
        <f t="shared" si="75"/>
        <v/>
      </c>
      <c r="BT88" s="744">
        <f t="shared" si="76"/>
        <v>0.76996799999999999</v>
      </c>
      <c r="BU88" s="744">
        <f t="shared" si="77"/>
        <v>0.56736800000000009</v>
      </c>
      <c r="BV88" s="744">
        <f t="shared" si="78"/>
        <v>0.44580800000000004</v>
      </c>
      <c r="BW88" s="744">
        <f t="shared" si="79"/>
        <v>8.112800000000002E-2</v>
      </c>
      <c r="BX88" s="744">
        <f t="shared" si="80"/>
        <v>5.2474279999999993</v>
      </c>
      <c r="BY88" s="744" t="str">
        <f t="shared" si="81"/>
        <v/>
      </c>
      <c r="BZ88" s="744" t="str">
        <f t="shared" si="82"/>
        <v/>
      </c>
      <c r="CA88" s="744" t="str">
        <f t="shared" si="83"/>
        <v/>
      </c>
      <c r="CB88" s="744" t="str">
        <f t="shared" si="84"/>
        <v/>
      </c>
      <c r="CC88" s="744" t="str">
        <f t="shared" si="85"/>
        <v/>
      </c>
      <c r="CD88" s="744" t="str">
        <f t="shared" si="86"/>
        <v/>
      </c>
      <c r="CE88" s="744" t="str">
        <f t="shared" si="87"/>
        <v/>
      </c>
      <c r="CF88" s="744" t="str">
        <f t="shared" si="88"/>
        <v/>
      </c>
      <c r="CG88" s="744" t="str">
        <f t="shared" si="89"/>
        <v/>
      </c>
      <c r="CH88" s="744" t="str">
        <f t="shared" si="90"/>
        <v/>
      </c>
      <c r="CI88" s="744" t="str">
        <f t="shared" si="91"/>
        <v/>
      </c>
      <c r="CJ88" s="744" t="str">
        <f t="shared" si="92"/>
        <v/>
      </c>
      <c r="CK88" s="744" t="str">
        <f t="shared" si="93"/>
        <v/>
      </c>
      <c r="CL88" s="744" t="str">
        <f t="shared" si="94"/>
        <v/>
      </c>
      <c r="CM88" s="744" t="str">
        <f t="shared" si="95"/>
        <v/>
      </c>
      <c r="CN88" s="744" t="str">
        <f t="shared" si="96"/>
        <v/>
      </c>
      <c r="CO88" s="744" t="str">
        <f t="shared" si="97"/>
        <v/>
      </c>
      <c r="CP88" s="744" t="str">
        <f t="shared" si="98"/>
        <v/>
      </c>
      <c r="CQ88" s="744" t="str">
        <f t="shared" si="99"/>
        <v/>
      </c>
      <c r="CR88" s="744" t="str">
        <f t="shared" si="100"/>
        <v/>
      </c>
      <c r="CS88" s="744" t="str">
        <f t="shared" si="101"/>
        <v/>
      </c>
      <c r="CT88" s="744" t="str">
        <f t="shared" si="102"/>
        <v/>
      </c>
      <c r="CU88" s="744" t="str">
        <f t="shared" si="103"/>
        <v/>
      </c>
      <c r="CV88" s="744" t="str">
        <f t="shared" si="104"/>
        <v/>
      </c>
      <c r="CW88" s="744" t="str">
        <f t="shared" si="105"/>
        <v/>
      </c>
      <c r="CX88" s="744">
        <f t="shared" si="106"/>
        <v>0.20268800000000001</v>
      </c>
    </row>
    <row r="89" spans="1:102">
      <c r="A89" s="633">
        <v>85</v>
      </c>
      <c r="B89" s="630" t="s">
        <v>3</v>
      </c>
      <c r="C89" s="631" t="s">
        <v>249</v>
      </c>
      <c r="D89" s="630" t="s">
        <v>1390</v>
      </c>
      <c r="E89" s="632" t="s">
        <v>159</v>
      </c>
      <c r="F89" s="1067">
        <v>0.2</v>
      </c>
      <c r="G89" s="1066">
        <v>1</v>
      </c>
      <c r="H89" s="1070">
        <v>0.1668</v>
      </c>
      <c r="I89" s="1070">
        <v>0.12067979999999999</v>
      </c>
      <c r="J89" s="1070">
        <v>9.3799999999999994E-2</v>
      </c>
      <c r="K89" s="1070">
        <v>1.2309840000000001E-2</v>
      </c>
      <c r="L89" s="1072">
        <v>8.3550120000000005E-2</v>
      </c>
      <c r="M89" s="1070"/>
      <c r="N89" s="1070">
        <v>1.77</v>
      </c>
      <c r="O89" s="1070"/>
      <c r="P89" s="1073">
        <v>4.0198799999999997</v>
      </c>
      <c r="Q89" s="1070">
        <v>14.828520000000001</v>
      </c>
      <c r="R89" s="1070"/>
      <c r="S89" s="1070"/>
      <c r="T89" s="1070"/>
      <c r="U89" s="1070"/>
      <c r="V89" s="1066">
        <v>0.73392000000000013</v>
      </c>
      <c r="W89" s="1070">
        <v>0.31691999999999998</v>
      </c>
      <c r="X89" s="1070"/>
      <c r="Y89" s="1070"/>
      <c r="Z89" s="1070"/>
      <c r="AA89" s="1070"/>
      <c r="AB89" s="1070"/>
      <c r="AC89" s="1070"/>
      <c r="AD89" s="1070"/>
      <c r="AE89" s="1070"/>
      <c r="AF89" s="1070"/>
      <c r="AG89" s="1070"/>
      <c r="AH89" s="1073"/>
      <c r="AI89" s="1070"/>
      <c r="AJ89" s="1070"/>
      <c r="AK89" s="1070"/>
      <c r="AL89" s="1082"/>
      <c r="AM89" s="1069"/>
      <c r="AN89" s="1070"/>
      <c r="AO89" s="1070"/>
      <c r="AP89" s="1070"/>
      <c r="AQ89" s="1070"/>
      <c r="AR89" s="1069"/>
      <c r="AS89" s="1282"/>
      <c r="AT89" s="1282"/>
      <c r="AU89" s="1069"/>
      <c r="AV89" s="1069"/>
      <c r="AW89" s="1069"/>
      <c r="AX89" s="1070"/>
      <c r="AY89" s="1070"/>
      <c r="AZ89" s="1078">
        <f t="shared" si="59"/>
        <v>0.1668</v>
      </c>
      <c r="BA89" s="59">
        <v>85</v>
      </c>
      <c r="BB89" s="59">
        <f t="shared" si="60"/>
        <v>85</v>
      </c>
      <c r="BC89" s="60" t="str">
        <f t="shared" si="61"/>
        <v>Capim Elefante Cameroon (61 A 90 Dias)</v>
      </c>
      <c r="BD89" s="61" t="str">
        <f ca="1">IFERROR(IF(SEARCH('Calcular Dieta'!A$3,$BC$5:$BC$310)&gt;=1,BC89,"Não encontrado"),"Não encontrado")</f>
        <v>Capim Elefante Cameroon (61 A 90 Dias)</v>
      </c>
      <c r="BE89" s="741">
        <f ca="1">COUNTIF(BD$5:BD89,"&lt;&gt;"&amp;"Não encontrado")</f>
        <v>85</v>
      </c>
      <c r="BF89" s="742" t="str">
        <f t="shared" ca="1" si="62"/>
        <v>CAPIM ELEFANTE CAMEROON (61 A 90 DIAS)</v>
      </c>
      <c r="BG89" s="744">
        <f t="shared" si="63"/>
        <v>0.1207688</v>
      </c>
      <c r="BH89" s="744">
        <f t="shared" si="64"/>
        <v>9.3889E-2</v>
      </c>
      <c r="BI89" s="744">
        <f t="shared" si="65"/>
        <v>1.2398840000000001E-2</v>
      </c>
      <c r="BJ89" s="744">
        <f t="shared" si="66"/>
        <v>8.3639120000000011E-2</v>
      </c>
      <c r="BK89" s="744" t="str">
        <f t="shared" si="67"/>
        <v/>
      </c>
      <c r="BL89" s="744">
        <f t="shared" si="68"/>
        <v>1.770089</v>
      </c>
      <c r="BM89" s="744" t="str">
        <f t="shared" si="69"/>
        <v/>
      </c>
      <c r="BN89" s="744">
        <f t="shared" si="70"/>
        <v>4.0199689999999997</v>
      </c>
      <c r="BO89" s="744">
        <f t="shared" si="71"/>
        <v>14.828609</v>
      </c>
      <c r="BP89" s="744" t="str">
        <f t="shared" si="72"/>
        <v/>
      </c>
      <c r="BQ89" s="744" t="str">
        <f t="shared" si="73"/>
        <v/>
      </c>
      <c r="BR89" s="744" t="str">
        <f t="shared" si="74"/>
        <v/>
      </c>
      <c r="BS89" s="744" t="str">
        <f t="shared" si="75"/>
        <v/>
      </c>
      <c r="BT89" s="744">
        <f t="shared" si="76"/>
        <v>0.73400900000000013</v>
      </c>
      <c r="BU89" s="744">
        <f t="shared" si="77"/>
        <v>0.31700899999999999</v>
      </c>
      <c r="BV89" s="744" t="str">
        <f t="shared" si="78"/>
        <v/>
      </c>
      <c r="BW89" s="744" t="str">
        <f t="shared" si="79"/>
        <v/>
      </c>
      <c r="BX89" s="744" t="str">
        <f t="shared" si="80"/>
        <v/>
      </c>
      <c r="BY89" s="744" t="str">
        <f t="shared" si="81"/>
        <v/>
      </c>
      <c r="BZ89" s="744" t="str">
        <f t="shared" si="82"/>
        <v/>
      </c>
      <c r="CA89" s="744" t="str">
        <f t="shared" si="83"/>
        <v/>
      </c>
      <c r="CB89" s="744" t="str">
        <f t="shared" si="84"/>
        <v/>
      </c>
      <c r="CC89" s="744" t="str">
        <f t="shared" si="85"/>
        <v/>
      </c>
      <c r="CD89" s="744" t="str">
        <f t="shared" si="86"/>
        <v/>
      </c>
      <c r="CE89" s="744" t="str">
        <f t="shared" si="87"/>
        <v/>
      </c>
      <c r="CF89" s="744" t="str">
        <f t="shared" si="88"/>
        <v/>
      </c>
      <c r="CG89" s="744" t="str">
        <f t="shared" si="89"/>
        <v/>
      </c>
      <c r="CH89" s="744" t="str">
        <f t="shared" si="90"/>
        <v/>
      </c>
      <c r="CI89" s="744" t="str">
        <f t="shared" si="91"/>
        <v/>
      </c>
      <c r="CJ89" s="744" t="str">
        <f t="shared" si="92"/>
        <v/>
      </c>
      <c r="CK89" s="744" t="str">
        <f t="shared" si="93"/>
        <v/>
      </c>
      <c r="CL89" s="744" t="str">
        <f t="shared" si="94"/>
        <v/>
      </c>
      <c r="CM89" s="744" t="str">
        <f t="shared" si="95"/>
        <v/>
      </c>
      <c r="CN89" s="744" t="str">
        <f t="shared" si="96"/>
        <v/>
      </c>
      <c r="CO89" s="744" t="str">
        <f t="shared" si="97"/>
        <v/>
      </c>
      <c r="CP89" s="744" t="str">
        <f t="shared" si="98"/>
        <v/>
      </c>
      <c r="CQ89" s="744" t="str">
        <f t="shared" si="99"/>
        <v/>
      </c>
      <c r="CR89" s="744" t="str">
        <f t="shared" si="100"/>
        <v/>
      </c>
      <c r="CS89" s="744" t="str">
        <f t="shared" si="101"/>
        <v/>
      </c>
      <c r="CT89" s="744" t="str">
        <f t="shared" si="102"/>
        <v/>
      </c>
      <c r="CU89" s="744" t="str">
        <f t="shared" si="103"/>
        <v/>
      </c>
      <c r="CV89" s="744" t="str">
        <f t="shared" si="104"/>
        <v/>
      </c>
      <c r="CW89" s="744" t="str">
        <f t="shared" si="105"/>
        <v/>
      </c>
      <c r="CX89" s="744">
        <f t="shared" si="106"/>
        <v>0.16688900000000001</v>
      </c>
    </row>
    <row r="90" spans="1:102">
      <c r="A90" s="630">
        <v>86</v>
      </c>
      <c r="B90" s="630" t="s">
        <v>3</v>
      </c>
      <c r="C90" s="631" t="s">
        <v>249</v>
      </c>
      <c r="D90" s="630" t="s">
        <v>1390</v>
      </c>
      <c r="E90" s="632" t="s">
        <v>160</v>
      </c>
      <c r="F90" s="1067">
        <v>0.2</v>
      </c>
      <c r="G90" s="1066">
        <v>1</v>
      </c>
      <c r="H90" s="1070">
        <v>0.26869999999999999</v>
      </c>
      <c r="I90" s="1070">
        <v>0.19461941000000002</v>
      </c>
      <c r="J90" s="1070">
        <v>8.6999999999999994E-2</v>
      </c>
      <c r="K90" s="1070">
        <v>2.1039209999999999E-2</v>
      </c>
      <c r="L90" s="1072">
        <v>0.12988958</v>
      </c>
      <c r="M90" s="1070"/>
      <c r="N90" s="1070">
        <v>1.69</v>
      </c>
      <c r="O90" s="1070"/>
      <c r="P90" s="1073">
        <v>3.4393600000000002</v>
      </c>
      <c r="Q90" s="1070">
        <v>21.925920000000001</v>
      </c>
      <c r="R90" s="1070"/>
      <c r="S90" s="1070"/>
      <c r="T90" s="1070"/>
      <c r="U90" s="1070"/>
      <c r="V90" s="1066"/>
      <c r="W90" s="1070"/>
      <c r="X90" s="1070"/>
      <c r="Y90" s="1070"/>
      <c r="Z90" s="1070"/>
      <c r="AA90" s="1070"/>
      <c r="AB90" s="1070"/>
      <c r="AC90" s="1070"/>
      <c r="AD90" s="1070"/>
      <c r="AE90" s="1070"/>
      <c r="AF90" s="1070"/>
      <c r="AG90" s="1070"/>
      <c r="AH90" s="1073"/>
      <c r="AI90" s="1070"/>
      <c r="AJ90" s="1070"/>
      <c r="AK90" s="1070"/>
      <c r="AL90" s="1082"/>
      <c r="AM90" s="1069"/>
      <c r="AN90" s="1070"/>
      <c r="AO90" s="1070"/>
      <c r="AP90" s="1070"/>
      <c r="AQ90" s="1070"/>
      <c r="AR90" s="1069"/>
      <c r="AS90" s="1282"/>
      <c r="AT90" s="1282"/>
      <c r="AU90" s="1069"/>
      <c r="AV90" s="1069"/>
      <c r="AW90" s="1069"/>
      <c r="AX90" s="1070"/>
      <c r="AY90" s="1070"/>
      <c r="AZ90" s="1078">
        <f t="shared" si="59"/>
        <v>0.26869999999999999</v>
      </c>
      <c r="BA90" s="59">
        <v>86</v>
      </c>
      <c r="BB90" s="59">
        <f t="shared" si="60"/>
        <v>86</v>
      </c>
      <c r="BC90" s="60" t="str">
        <f t="shared" si="61"/>
        <v>Capim Elefante Paraiso (61 A 90 Dias)</v>
      </c>
      <c r="BD90" s="61" t="str">
        <f ca="1">IFERROR(IF(SEARCH('Calcular Dieta'!A$3,$BC$5:$BC$310)&gt;=1,BC90,"Não encontrado"),"Não encontrado")</f>
        <v>Capim Elefante Paraiso (61 A 90 Dias)</v>
      </c>
      <c r="BE90" s="741">
        <f ca="1">COUNTIF(BD$5:BD90,"&lt;&gt;"&amp;"Não encontrado")</f>
        <v>86</v>
      </c>
      <c r="BF90" s="742" t="str">
        <f t="shared" ca="1" si="62"/>
        <v>CAPIM ELEFANTE PARAISO (61 A 90 DIAS)</v>
      </c>
      <c r="BG90" s="744">
        <f t="shared" si="63"/>
        <v>0.19470941000000003</v>
      </c>
      <c r="BH90" s="744">
        <f t="shared" si="64"/>
        <v>8.7090000000000001E-2</v>
      </c>
      <c r="BI90" s="744">
        <f t="shared" si="65"/>
        <v>2.1129209999999999E-2</v>
      </c>
      <c r="BJ90" s="744">
        <f t="shared" si="66"/>
        <v>0.12997958000000001</v>
      </c>
      <c r="BK90" s="744" t="str">
        <f t="shared" si="67"/>
        <v/>
      </c>
      <c r="BL90" s="744">
        <f t="shared" si="68"/>
        <v>1.6900899999999999</v>
      </c>
      <c r="BM90" s="744" t="str">
        <f t="shared" si="69"/>
        <v/>
      </c>
      <c r="BN90" s="744">
        <f t="shared" si="70"/>
        <v>3.4394500000000003</v>
      </c>
      <c r="BO90" s="744">
        <f t="shared" si="71"/>
        <v>21.926010000000002</v>
      </c>
      <c r="BP90" s="744" t="str">
        <f t="shared" si="72"/>
        <v/>
      </c>
      <c r="BQ90" s="744" t="str">
        <f t="shared" si="73"/>
        <v/>
      </c>
      <c r="BR90" s="744" t="str">
        <f t="shared" si="74"/>
        <v/>
      </c>
      <c r="BS90" s="744" t="str">
        <f t="shared" si="75"/>
        <v/>
      </c>
      <c r="BT90" s="744" t="str">
        <f t="shared" si="76"/>
        <v/>
      </c>
      <c r="BU90" s="744" t="str">
        <f t="shared" si="77"/>
        <v/>
      </c>
      <c r="BV90" s="744" t="str">
        <f t="shared" si="78"/>
        <v/>
      </c>
      <c r="BW90" s="744" t="str">
        <f t="shared" si="79"/>
        <v/>
      </c>
      <c r="BX90" s="744" t="str">
        <f t="shared" si="80"/>
        <v/>
      </c>
      <c r="BY90" s="744" t="str">
        <f t="shared" si="81"/>
        <v/>
      </c>
      <c r="BZ90" s="744" t="str">
        <f t="shared" si="82"/>
        <v/>
      </c>
      <c r="CA90" s="744" t="str">
        <f t="shared" si="83"/>
        <v/>
      </c>
      <c r="CB90" s="744" t="str">
        <f t="shared" si="84"/>
        <v/>
      </c>
      <c r="CC90" s="744" t="str">
        <f t="shared" si="85"/>
        <v/>
      </c>
      <c r="CD90" s="744" t="str">
        <f t="shared" si="86"/>
        <v/>
      </c>
      <c r="CE90" s="744" t="str">
        <f t="shared" si="87"/>
        <v/>
      </c>
      <c r="CF90" s="744" t="str">
        <f t="shared" si="88"/>
        <v/>
      </c>
      <c r="CG90" s="744" t="str">
        <f t="shared" si="89"/>
        <v/>
      </c>
      <c r="CH90" s="744" t="str">
        <f t="shared" si="90"/>
        <v/>
      </c>
      <c r="CI90" s="744" t="str">
        <f t="shared" si="91"/>
        <v/>
      </c>
      <c r="CJ90" s="744" t="str">
        <f t="shared" si="92"/>
        <v/>
      </c>
      <c r="CK90" s="744" t="str">
        <f t="shared" si="93"/>
        <v/>
      </c>
      <c r="CL90" s="744" t="str">
        <f t="shared" si="94"/>
        <v/>
      </c>
      <c r="CM90" s="744" t="str">
        <f t="shared" si="95"/>
        <v/>
      </c>
      <c r="CN90" s="744" t="str">
        <f t="shared" si="96"/>
        <v/>
      </c>
      <c r="CO90" s="744" t="str">
        <f t="shared" si="97"/>
        <v/>
      </c>
      <c r="CP90" s="744" t="str">
        <f t="shared" si="98"/>
        <v/>
      </c>
      <c r="CQ90" s="744" t="str">
        <f t="shared" si="99"/>
        <v/>
      </c>
      <c r="CR90" s="744" t="str">
        <f t="shared" si="100"/>
        <v/>
      </c>
      <c r="CS90" s="744" t="str">
        <f t="shared" si="101"/>
        <v/>
      </c>
      <c r="CT90" s="744" t="str">
        <f t="shared" si="102"/>
        <v/>
      </c>
      <c r="CU90" s="744" t="str">
        <f t="shared" si="103"/>
        <v/>
      </c>
      <c r="CV90" s="744" t="str">
        <f t="shared" si="104"/>
        <v/>
      </c>
      <c r="CW90" s="744" t="str">
        <f t="shared" si="105"/>
        <v/>
      </c>
      <c r="CX90" s="744">
        <f t="shared" si="106"/>
        <v>0.26878999999999997</v>
      </c>
    </row>
    <row r="91" spans="1:102">
      <c r="A91" s="633">
        <v>87</v>
      </c>
      <c r="B91" s="630" t="s">
        <v>3</v>
      </c>
      <c r="C91" s="631" t="s">
        <v>248</v>
      </c>
      <c r="D91" s="630" t="s">
        <v>1390</v>
      </c>
      <c r="E91" s="632" t="s">
        <v>161</v>
      </c>
      <c r="F91" s="1067">
        <v>0.6</v>
      </c>
      <c r="G91" s="1066">
        <v>1</v>
      </c>
      <c r="H91" s="1070">
        <v>0.87290000000000001</v>
      </c>
      <c r="I91" s="1070">
        <v>0.67588647000000013</v>
      </c>
      <c r="J91" s="1070">
        <v>0.43759999999999999</v>
      </c>
      <c r="K91" s="1070">
        <v>5.2548579999999998E-2</v>
      </c>
      <c r="L91" s="1072">
        <v>0.45504276999999999</v>
      </c>
      <c r="M91" s="1070"/>
      <c r="N91" s="1070">
        <v>1.81</v>
      </c>
      <c r="O91" s="1070"/>
      <c r="P91" s="1073">
        <v>15.624909999999998</v>
      </c>
      <c r="Q91" s="1070">
        <v>51.937550000000009</v>
      </c>
      <c r="R91" s="1070">
        <v>12.744339999999999</v>
      </c>
      <c r="S91" s="1070">
        <v>38.407600000000009</v>
      </c>
      <c r="T91" s="1070">
        <v>41.113590000000002</v>
      </c>
      <c r="U91" s="1070"/>
      <c r="V91" s="1066">
        <v>2.0949599999999999</v>
      </c>
      <c r="W91" s="1070">
        <v>1.5712199999999998</v>
      </c>
      <c r="X91" s="1070">
        <v>1.5712199999999998</v>
      </c>
      <c r="Y91" s="1070">
        <v>0.26186999999999999</v>
      </c>
      <c r="Z91" s="1070">
        <v>4.0153400000000001</v>
      </c>
      <c r="AA91" s="1070">
        <v>1.2220600000000004</v>
      </c>
      <c r="AB91" s="1070"/>
      <c r="AC91" s="1070"/>
      <c r="AD91" s="1070"/>
      <c r="AE91" s="1070"/>
      <c r="AF91" s="1070"/>
      <c r="AG91" s="1070"/>
      <c r="AH91" s="1073"/>
      <c r="AI91" s="1070"/>
      <c r="AJ91" s="1070"/>
      <c r="AK91" s="1070"/>
      <c r="AL91" s="1082"/>
      <c r="AM91" s="1069"/>
      <c r="AN91" s="1070"/>
      <c r="AO91" s="1070"/>
      <c r="AP91" s="1070"/>
      <c r="AQ91" s="1070"/>
      <c r="AR91" s="1069"/>
      <c r="AS91" s="1282"/>
      <c r="AT91" s="1282"/>
      <c r="AU91" s="1069"/>
      <c r="AV91" s="1069"/>
      <c r="AW91" s="1069"/>
      <c r="AX91" s="1070"/>
      <c r="AY91" s="1070"/>
      <c r="AZ91" s="1078">
        <f t="shared" si="59"/>
        <v>0.87290000000000001</v>
      </c>
      <c r="BA91" s="59">
        <v>87</v>
      </c>
      <c r="BB91" s="59">
        <f t="shared" si="60"/>
        <v>87</v>
      </c>
      <c r="BC91" s="60" t="str">
        <f t="shared" si="61"/>
        <v>Capim Elefante, Feno</v>
      </c>
      <c r="BD91" s="61" t="str">
        <f ca="1">IFERROR(IF(SEARCH('Calcular Dieta'!A$3,$BC$5:$BC$310)&gt;=1,BC91,"Não encontrado"),"Não encontrado")</f>
        <v>Capim Elefante, Feno</v>
      </c>
      <c r="BE91" s="741">
        <f ca="1">COUNTIF(BD$5:BD91,"&lt;&gt;"&amp;"Não encontrado")</f>
        <v>87</v>
      </c>
      <c r="BF91" s="742" t="str">
        <f t="shared" ca="1" si="62"/>
        <v>CAPIM ELEFANTE, FENO</v>
      </c>
      <c r="BG91" s="744">
        <f t="shared" si="63"/>
        <v>0.67597747000000008</v>
      </c>
      <c r="BH91" s="744">
        <f t="shared" si="64"/>
        <v>0.437691</v>
      </c>
      <c r="BI91" s="744">
        <f t="shared" si="65"/>
        <v>5.2639579999999998E-2</v>
      </c>
      <c r="BJ91" s="744">
        <f t="shared" si="66"/>
        <v>0.45513376999999999</v>
      </c>
      <c r="BK91" s="744" t="str">
        <f t="shared" si="67"/>
        <v/>
      </c>
      <c r="BL91" s="744">
        <f t="shared" si="68"/>
        <v>1.8100910000000001</v>
      </c>
      <c r="BM91" s="744" t="str">
        <f t="shared" si="69"/>
        <v/>
      </c>
      <c r="BN91" s="744">
        <f t="shared" si="70"/>
        <v>15.625000999999997</v>
      </c>
      <c r="BO91" s="744">
        <f t="shared" si="71"/>
        <v>51.937641000000006</v>
      </c>
      <c r="BP91" s="744">
        <f t="shared" si="72"/>
        <v>12.744430999999999</v>
      </c>
      <c r="BQ91" s="744">
        <f t="shared" si="73"/>
        <v>38.407691000000007</v>
      </c>
      <c r="BR91" s="744">
        <f t="shared" si="74"/>
        <v>41.113681</v>
      </c>
      <c r="BS91" s="744" t="str">
        <f t="shared" si="75"/>
        <v/>
      </c>
      <c r="BT91" s="744">
        <f t="shared" si="76"/>
        <v>2.0950509999999998</v>
      </c>
      <c r="BU91" s="744">
        <f t="shared" si="77"/>
        <v>1.5713109999999999</v>
      </c>
      <c r="BV91" s="744">
        <f t="shared" si="78"/>
        <v>1.5713109999999999</v>
      </c>
      <c r="BW91" s="744">
        <f t="shared" si="79"/>
        <v>0.261961</v>
      </c>
      <c r="BX91" s="744">
        <f t="shared" si="80"/>
        <v>4.0154310000000004</v>
      </c>
      <c r="BY91" s="744">
        <f t="shared" si="81"/>
        <v>1.2221510000000004</v>
      </c>
      <c r="BZ91" s="744" t="str">
        <f t="shared" si="82"/>
        <v/>
      </c>
      <c r="CA91" s="744" t="str">
        <f t="shared" si="83"/>
        <v/>
      </c>
      <c r="CB91" s="744" t="str">
        <f t="shared" si="84"/>
        <v/>
      </c>
      <c r="CC91" s="744" t="str">
        <f t="shared" si="85"/>
        <v/>
      </c>
      <c r="CD91" s="744" t="str">
        <f t="shared" si="86"/>
        <v/>
      </c>
      <c r="CE91" s="744" t="str">
        <f t="shared" si="87"/>
        <v/>
      </c>
      <c r="CF91" s="744" t="str">
        <f t="shared" si="88"/>
        <v/>
      </c>
      <c r="CG91" s="744" t="str">
        <f t="shared" si="89"/>
        <v/>
      </c>
      <c r="CH91" s="744" t="str">
        <f t="shared" si="90"/>
        <v/>
      </c>
      <c r="CI91" s="744" t="str">
        <f t="shared" si="91"/>
        <v/>
      </c>
      <c r="CJ91" s="744" t="str">
        <f t="shared" si="92"/>
        <v/>
      </c>
      <c r="CK91" s="744" t="str">
        <f t="shared" si="93"/>
        <v/>
      </c>
      <c r="CL91" s="744" t="str">
        <f t="shared" si="94"/>
        <v/>
      </c>
      <c r="CM91" s="744" t="str">
        <f t="shared" si="95"/>
        <v/>
      </c>
      <c r="CN91" s="744" t="str">
        <f t="shared" si="96"/>
        <v/>
      </c>
      <c r="CO91" s="744" t="str">
        <f t="shared" si="97"/>
        <v/>
      </c>
      <c r="CP91" s="744" t="str">
        <f t="shared" si="98"/>
        <v/>
      </c>
      <c r="CQ91" s="744" t="str">
        <f t="shared" si="99"/>
        <v/>
      </c>
      <c r="CR91" s="744" t="str">
        <f t="shared" si="100"/>
        <v/>
      </c>
      <c r="CS91" s="744" t="str">
        <f t="shared" si="101"/>
        <v/>
      </c>
      <c r="CT91" s="744" t="str">
        <f t="shared" si="102"/>
        <v/>
      </c>
      <c r="CU91" s="744" t="str">
        <f t="shared" si="103"/>
        <v/>
      </c>
      <c r="CV91" s="744" t="str">
        <f t="shared" si="104"/>
        <v/>
      </c>
      <c r="CW91" s="744" t="str">
        <f t="shared" si="105"/>
        <v/>
      </c>
      <c r="CX91" s="744">
        <f t="shared" si="106"/>
        <v>0.87299099999999996</v>
      </c>
    </row>
    <row r="92" spans="1:102">
      <c r="A92" s="630">
        <v>88</v>
      </c>
      <c r="B92" s="630" t="s">
        <v>3</v>
      </c>
      <c r="C92" s="631" t="s">
        <v>249</v>
      </c>
      <c r="D92" s="630" t="s">
        <v>1390</v>
      </c>
      <c r="E92" s="632" t="s">
        <v>162</v>
      </c>
      <c r="F92" s="1067">
        <v>0.2</v>
      </c>
      <c r="G92" s="1066">
        <v>1</v>
      </c>
      <c r="H92" s="1070">
        <v>0.2772</v>
      </c>
      <c r="I92" s="1070">
        <v>0.20038788000000002</v>
      </c>
      <c r="J92" s="1070">
        <v>0.1206</v>
      </c>
      <c r="K92" s="1070">
        <v>3.5841959999999999E-2</v>
      </c>
      <c r="L92" s="1072">
        <v>0.15975036000000001</v>
      </c>
      <c r="M92" s="1070"/>
      <c r="N92" s="1070">
        <v>2.0499999999999998</v>
      </c>
      <c r="O92" s="1070"/>
      <c r="P92" s="1073">
        <v>3.6036000000000001</v>
      </c>
      <c r="Q92" s="1070">
        <v>19.18224</v>
      </c>
      <c r="R92" s="1070"/>
      <c r="S92" s="1070"/>
      <c r="T92" s="1070"/>
      <c r="U92" s="1070"/>
      <c r="V92" s="1066">
        <v>0.66527999999999998</v>
      </c>
      <c r="W92" s="1070">
        <v>0.19404000000000005</v>
      </c>
      <c r="X92" s="1070">
        <v>0.38808000000000009</v>
      </c>
      <c r="Y92" s="1070">
        <v>5.5440000000000003E-2</v>
      </c>
      <c r="Z92" s="1070">
        <v>1.8849600000000002</v>
      </c>
      <c r="AA92" s="1070"/>
      <c r="AB92" s="1070"/>
      <c r="AC92" s="1070"/>
      <c r="AD92" s="1070"/>
      <c r="AE92" s="1070"/>
      <c r="AF92" s="1070"/>
      <c r="AG92" s="1070"/>
      <c r="AH92" s="1073"/>
      <c r="AI92" s="1070"/>
      <c r="AJ92" s="1070"/>
      <c r="AK92" s="1070"/>
      <c r="AL92" s="1082"/>
      <c r="AM92" s="1069"/>
      <c r="AN92" s="1070"/>
      <c r="AO92" s="1070"/>
      <c r="AP92" s="1070"/>
      <c r="AQ92" s="1070"/>
      <c r="AR92" s="1069"/>
      <c r="AS92" s="1282"/>
      <c r="AT92" s="1282"/>
      <c r="AU92" s="1069"/>
      <c r="AV92" s="1069"/>
      <c r="AW92" s="1069"/>
      <c r="AX92" s="1070"/>
      <c r="AY92" s="1070"/>
      <c r="AZ92" s="1078">
        <f t="shared" si="59"/>
        <v>0.2772</v>
      </c>
      <c r="BA92" s="59">
        <v>88</v>
      </c>
      <c r="BB92" s="59">
        <f t="shared" si="60"/>
        <v>88</v>
      </c>
      <c r="BC92" s="60" t="str">
        <f t="shared" si="61"/>
        <v>Capim Gordura</v>
      </c>
      <c r="BD92" s="61" t="str">
        <f ca="1">IFERROR(IF(SEARCH('Calcular Dieta'!A$3,$BC$5:$BC$310)&gt;=1,BC92,"Não encontrado"),"Não encontrado")</f>
        <v>Capim Gordura</v>
      </c>
      <c r="BE92" s="741">
        <f ca="1">COUNTIF(BD$5:BD92,"&lt;&gt;"&amp;"Não encontrado")</f>
        <v>88</v>
      </c>
      <c r="BF92" s="742" t="str">
        <f t="shared" ca="1" si="62"/>
        <v>CAPIM GORDURA</v>
      </c>
      <c r="BG92" s="744">
        <f t="shared" si="63"/>
        <v>0.20047988000000003</v>
      </c>
      <c r="BH92" s="744">
        <f t="shared" si="64"/>
        <v>0.12069199999999999</v>
      </c>
      <c r="BI92" s="744">
        <f t="shared" si="65"/>
        <v>3.5933960000000001E-2</v>
      </c>
      <c r="BJ92" s="744">
        <f t="shared" si="66"/>
        <v>0.15984236000000002</v>
      </c>
      <c r="BK92" s="744" t="str">
        <f t="shared" si="67"/>
        <v/>
      </c>
      <c r="BL92" s="744">
        <f t="shared" si="68"/>
        <v>2.0500919999999998</v>
      </c>
      <c r="BM92" s="744" t="str">
        <f t="shared" si="69"/>
        <v/>
      </c>
      <c r="BN92" s="744">
        <f t="shared" si="70"/>
        <v>3.6036920000000001</v>
      </c>
      <c r="BO92" s="744">
        <f t="shared" si="71"/>
        <v>19.182331999999999</v>
      </c>
      <c r="BP92" s="744" t="str">
        <f t="shared" si="72"/>
        <v/>
      </c>
      <c r="BQ92" s="744" t="str">
        <f t="shared" si="73"/>
        <v/>
      </c>
      <c r="BR92" s="744" t="str">
        <f t="shared" si="74"/>
        <v/>
      </c>
      <c r="BS92" s="744" t="str">
        <f t="shared" si="75"/>
        <v/>
      </c>
      <c r="BT92" s="744">
        <f t="shared" si="76"/>
        <v>0.66537199999999996</v>
      </c>
      <c r="BU92" s="744">
        <f t="shared" si="77"/>
        <v>0.19413200000000005</v>
      </c>
      <c r="BV92" s="744">
        <f t="shared" si="78"/>
        <v>0.38817200000000007</v>
      </c>
      <c r="BW92" s="744">
        <f t="shared" si="79"/>
        <v>5.5532000000000005E-2</v>
      </c>
      <c r="BX92" s="744">
        <f t="shared" si="80"/>
        <v>1.8850520000000002</v>
      </c>
      <c r="BY92" s="744" t="str">
        <f t="shared" si="81"/>
        <v/>
      </c>
      <c r="BZ92" s="744" t="str">
        <f t="shared" si="82"/>
        <v/>
      </c>
      <c r="CA92" s="744" t="str">
        <f t="shared" si="83"/>
        <v/>
      </c>
      <c r="CB92" s="744" t="str">
        <f t="shared" si="84"/>
        <v/>
      </c>
      <c r="CC92" s="744" t="str">
        <f t="shared" si="85"/>
        <v/>
      </c>
      <c r="CD92" s="744" t="str">
        <f t="shared" si="86"/>
        <v/>
      </c>
      <c r="CE92" s="744" t="str">
        <f t="shared" si="87"/>
        <v/>
      </c>
      <c r="CF92" s="744" t="str">
        <f t="shared" si="88"/>
        <v/>
      </c>
      <c r="CG92" s="744" t="str">
        <f t="shared" si="89"/>
        <v/>
      </c>
      <c r="CH92" s="744" t="str">
        <f t="shared" si="90"/>
        <v/>
      </c>
      <c r="CI92" s="744" t="str">
        <f t="shared" si="91"/>
        <v/>
      </c>
      <c r="CJ92" s="744" t="str">
        <f t="shared" si="92"/>
        <v/>
      </c>
      <c r="CK92" s="744" t="str">
        <f t="shared" si="93"/>
        <v/>
      </c>
      <c r="CL92" s="744" t="str">
        <f t="shared" si="94"/>
        <v/>
      </c>
      <c r="CM92" s="744" t="str">
        <f t="shared" si="95"/>
        <v/>
      </c>
      <c r="CN92" s="744" t="str">
        <f t="shared" si="96"/>
        <v/>
      </c>
      <c r="CO92" s="744" t="str">
        <f t="shared" si="97"/>
        <v/>
      </c>
      <c r="CP92" s="744" t="str">
        <f t="shared" si="98"/>
        <v/>
      </c>
      <c r="CQ92" s="744" t="str">
        <f t="shared" si="99"/>
        <v/>
      </c>
      <c r="CR92" s="744" t="str">
        <f t="shared" si="100"/>
        <v/>
      </c>
      <c r="CS92" s="744" t="str">
        <f t="shared" si="101"/>
        <v/>
      </c>
      <c r="CT92" s="744" t="str">
        <f t="shared" si="102"/>
        <v/>
      </c>
      <c r="CU92" s="744" t="str">
        <f t="shared" si="103"/>
        <v/>
      </c>
      <c r="CV92" s="744" t="str">
        <f t="shared" si="104"/>
        <v/>
      </c>
      <c r="CW92" s="744" t="str">
        <f t="shared" si="105"/>
        <v/>
      </c>
      <c r="CX92" s="744">
        <f t="shared" si="106"/>
        <v>0.27729199999999998</v>
      </c>
    </row>
    <row r="93" spans="1:102">
      <c r="A93" s="633">
        <v>89</v>
      </c>
      <c r="B93" s="630" t="s">
        <v>3</v>
      </c>
      <c r="C93" s="631" t="s">
        <v>249</v>
      </c>
      <c r="D93" s="630" t="s">
        <v>1390</v>
      </c>
      <c r="E93" s="632" t="s">
        <v>163</v>
      </c>
      <c r="F93" s="1067">
        <v>0.2</v>
      </c>
      <c r="G93" s="1066">
        <v>1</v>
      </c>
      <c r="H93" s="1070">
        <v>0.30760000000000004</v>
      </c>
      <c r="I93" s="1070">
        <v>0.23992800000000003</v>
      </c>
      <c r="J93" s="1070">
        <v>0.16120000000000001</v>
      </c>
      <c r="K93" s="1070">
        <v>1.7194840000000003E-2</v>
      </c>
      <c r="L93" s="1072">
        <v>0.17936156000000003</v>
      </c>
      <c r="M93" s="1070"/>
      <c r="N93" s="1070">
        <v>2.0499999999999998</v>
      </c>
      <c r="O93" s="1070"/>
      <c r="P93" s="1073">
        <v>16.610400000000006</v>
      </c>
      <c r="Q93" s="1070">
        <v>15.964440000000003</v>
      </c>
      <c r="R93" s="1070"/>
      <c r="S93" s="1070"/>
      <c r="T93" s="1070"/>
      <c r="U93" s="1070"/>
      <c r="V93" s="1066">
        <v>1.2611600000000001</v>
      </c>
      <c r="W93" s="1070">
        <v>0.92280000000000006</v>
      </c>
      <c r="X93" s="1070"/>
      <c r="Y93" s="1070"/>
      <c r="Z93" s="1070"/>
      <c r="AA93" s="1070"/>
      <c r="AB93" s="1070"/>
      <c r="AC93" s="1070"/>
      <c r="AD93" s="1070"/>
      <c r="AE93" s="1070"/>
      <c r="AF93" s="1070"/>
      <c r="AG93" s="1070"/>
      <c r="AH93" s="1073"/>
      <c r="AI93" s="1070"/>
      <c r="AJ93" s="1070"/>
      <c r="AK93" s="1070"/>
      <c r="AL93" s="1082"/>
      <c r="AM93" s="1069"/>
      <c r="AN93" s="1070"/>
      <c r="AO93" s="1070"/>
      <c r="AP93" s="1070"/>
      <c r="AQ93" s="1070"/>
      <c r="AR93" s="1069"/>
      <c r="AS93" s="1282"/>
      <c r="AT93" s="1282"/>
      <c r="AU93" s="1069"/>
      <c r="AV93" s="1069"/>
      <c r="AW93" s="1069"/>
      <c r="AX93" s="1070"/>
      <c r="AY93" s="1070"/>
      <c r="AZ93" s="1078">
        <f t="shared" si="59"/>
        <v>0.30760000000000004</v>
      </c>
      <c r="BA93" s="59">
        <v>89</v>
      </c>
      <c r="BB93" s="59">
        <f t="shared" si="60"/>
        <v>89</v>
      </c>
      <c r="BC93" s="60" t="str">
        <f t="shared" si="61"/>
        <v>Capim Gordura (121 A 150 Dias)</v>
      </c>
      <c r="BD93" s="61" t="str">
        <f ca="1">IFERROR(IF(SEARCH('Calcular Dieta'!A$3,$BC$5:$BC$310)&gt;=1,BC93,"Não encontrado"),"Não encontrado")</f>
        <v>Capim Gordura (121 A 150 Dias)</v>
      </c>
      <c r="BE93" s="741">
        <f ca="1">COUNTIF(BD$5:BD93,"&lt;&gt;"&amp;"Não encontrado")</f>
        <v>89</v>
      </c>
      <c r="BF93" s="742" t="str">
        <f t="shared" ca="1" si="62"/>
        <v>CAPIM GORDURA (121 A 150 DIAS)</v>
      </c>
      <c r="BG93" s="744">
        <f t="shared" si="63"/>
        <v>0.24002100000000004</v>
      </c>
      <c r="BH93" s="744">
        <f t="shared" si="64"/>
        <v>0.16129300000000002</v>
      </c>
      <c r="BI93" s="744">
        <f t="shared" si="65"/>
        <v>1.7287840000000002E-2</v>
      </c>
      <c r="BJ93" s="744">
        <f t="shared" si="66"/>
        <v>0.17945456000000004</v>
      </c>
      <c r="BK93" s="744" t="str">
        <f t="shared" si="67"/>
        <v/>
      </c>
      <c r="BL93" s="744">
        <f t="shared" si="68"/>
        <v>2.0500929999999999</v>
      </c>
      <c r="BM93" s="744" t="str">
        <f t="shared" si="69"/>
        <v/>
      </c>
      <c r="BN93" s="744">
        <f t="shared" si="70"/>
        <v>16.610493000000005</v>
      </c>
      <c r="BO93" s="744">
        <f t="shared" si="71"/>
        <v>15.964533000000003</v>
      </c>
      <c r="BP93" s="744" t="str">
        <f t="shared" si="72"/>
        <v/>
      </c>
      <c r="BQ93" s="744" t="str">
        <f t="shared" si="73"/>
        <v/>
      </c>
      <c r="BR93" s="744" t="str">
        <f t="shared" si="74"/>
        <v/>
      </c>
      <c r="BS93" s="744" t="str">
        <f t="shared" si="75"/>
        <v/>
      </c>
      <c r="BT93" s="744">
        <f t="shared" si="76"/>
        <v>1.261253</v>
      </c>
      <c r="BU93" s="744">
        <f t="shared" si="77"/>
        <v>0.92289300000000007</v>
      </c>
      <c r="BV93" s="744" t="str">
        <f t="shared" si="78"/>
        <v/>
      </c>
      <c r="BW93" s="744" t="str">
        <f t="shared" si="79"/>
        <v/>
      </c>
      <c r="BX93" s="744" t="str">
        <f t="shared" si="80"/>
        <v/>
      </c>
      <c r="BY93" s="744" t="str">
        <f t="shared" si="81"/>
        <v/>
      </c>
      <c r="BZ93" s="744" t="str">
        <f t="shared" si="82"/>
        <v/>
      </c>
      <c r="CA93" s="744" t="str">
        <f t="shared" si="83"/>
        <v/>
      </c>
      <c r="CB93" s="744" t="str">
        <f t="shared" si="84"/>
        <v/>
      </c>
      <c r="CC93" s="744" t="str">
        <f t="shared" si="85"/>
        <v/>
      </c>
      <c r="CD93" s="744" t="str">
        <f t="shared" si="86"/>
        <v/>
      </c>
      <c r="CE93" s="744" t="str">
        <f t="shared" si="87"/>
        <v/>
      </c>
      <c r="CF93" s="744" t="str">
        <f t="shared" si="88"/>
        <v/>
      </c>
      <c r="CG93" s="744" t="str">
        <f t="shared" si="89"/>
        <v/>
      </c>
      <c r="CH93" s="744" t="str">
        <f t="shared" si="90"/>
        <v/>
      </c>
      <c r="CI93" s="744" t="str">
        <f t="shared" si="91"/>
        <v/>
      </c>
      <c r="CJ93" s="744" t="str">
        <f t="shared" si="92"/>
        <v/>
      </c>
      <c r="CK93" s="744" t="str">
        <f t="shared" si="93"/>
        <v/>
      </c>
      <c r="CL93" s="744" t="str">
        <f t="shared" si="94"/>
        <v/>
      </c>
      <c r="CM93" s="744" t="str">
        <f t="shared" si="95"/>
        <v/>
      </c>
      <c r="CN93" s="744" t="str">
        <f t="shared" si="96"/>
        <v/>
      </c>
      <c r="CO93" s="744" t="str">
        <f t="shared" si="97"/>
        <v/>
      </c>
      <c r="CP93" s="744" t="str">
        <f t="shared" si="98"/>
        <v/>
      </c>
      <c r="CQ93" s="744" t="str">
        <f t="shared" si="99"/>
        <v/>
      </c>
      <c r="CR93" s="744" t="str">
        <f t="shared" si="100"/>
        <v/>
      </c>
      <c r="CS93" s="744" t="str">
        <f t="shared" si="101"/>
        <v/>
      </c>
      <c r="CT93" s="744" t="str">
        <f t="shared" si="102"/>
        <v/>
      </c>
      <c r="CU93" s="744" t="str">
        <f t="shared" si="103"/>
        <v/>
      </c>
      <c r="CV93" s="744" t="str">
        <f t="shared" si="104"/>
        <v/>
      </c>
      <c r="CW93" s="744" t="str">
        <f t="shared" si="105"/>
        <v/>
      </c>
      <c r="CX93" s="744">
        <f t="shared" si="106"/>
        <v>0.30769300000000005</v>
      </c>
    </row>
    <row r="94" spans="1:102">
      <c r="A94" s="630">
        <v>90</v>
      </c>
      <c r="B94" s="630" t="s">
        <v>3</v>
      </c>
      <c r="C94" s="631" t="s">
        <v>249</v>
      </c>
      <c r="D94" s="630" t="s">
        <v>1390</v>
      </c>
      <c r="E94" s="632" t="s">
        <v>164</v>
      </c>
      <c r="F94" s="1067">
        <v>0.2</v>
      </c>
      <c r="G94" s="1066">
        <v>1</v>
      </c>
      <c r="H94" s="1070">
        <v>0.23149999999999998</v>
      </c>
      <c r="I94" s="1070">
        <v>0.16436499999999998</v>
      </c>
      <c r="J94" s="1070">
        <v>8.8700000000000001E-2</v>
      </c>
      <c r="K94" s="1070">
        <v>1.4445599999999999E-2</v>
      </c>
      <c r="L94" s="1072">
        <v>0.13070489999999998</v>
      </c>
      <c r="M94" s="1070"/>
      <c r="N94" s="1070">
        <v>2.0699999999999998</v>
      </c>
      <c r="O94" s="1070"/>
      <c r="P94" s="1073">
        <v>5.8800999999999988</v>
      </c>
      <c r="Q94" s="1070">
        <v>28.011499999999998</v>
      </c>
      <c r="R94" s="1070"/>
      <c r="S94" s="1070"/>
      <c r="T94" s="1070"/>
      <c r="U94" s="1070"/>
      <c r="V94" s="1066">
        <v>0.92599999999999993</v>
      </c>
      <c r="W94" s="1070">
        <v>0.67134999999999989</v>
      </c>
      <c r="X94" s="1070">
        <v>0.50929999999999997</v>
      </c>
      <c r="Y94" s="1070"/>
      <c r="Z94" s="1070">
        <v>3.9354999999999998</v>
      </c>
      <c r="AA94" s="1070"/>
      <c r="AB94" s="1070"/>
      <c r="AC94" s="1070"/>
      <c r="AD94" s="1070"/>
      <c r="AE94" s="1070"/>
      <c r="AF94" s="1070"/>
      <c r="AG94" s="1070"/>
      <c r="AH94" s="1073"/>
      <c r="AI94" s="1070"/>
      <c r="AJ94" s="1070"/>
      <c r="AK94" s="1070"/>
      <c r="AL94" s="1082"/>
      <c r="AM94" s="1069"/>
      <c r="AN94" s="1070"/>
      <c r="AO94" s="1070"/>
      <c r="AP94" s="1070"/>
      <c r="AQ94" s="1070"/>
      <c r="AR94" s="1069"/>
      <c r="AS94" s="1282"/>
      <c r="AT94" s="1282"/>
      <c r="AU94" s="1069"/>
      <c r="AV94" s="1069"/>
      <c r="AW94" s="1069"/>
      <c r="AX94" s="1070"/>
      <c r="AY94" s="1070"/>
      <c r="AZ94" s="1078">
        <f t="shared" si="59"/>
        <v>0.23149999999999998</v>
      </c>
      <c r="BA94" s="59">
        <v>90</v>
      </c>
      <c r="BB94" s="59">
        <f t="shared" si="60"/>
        <v>90</v>
      </c>
      <c r="BC94" s="60" t="str">
        <f t="shared" si="61"/>
        <v>Capim Gordura (2 A 30 Dias)</v>
      </c>
      <c r="BD94" s="61" t="str">
        <f ca="1">IFERROR(IF(SEARCH('Calcular Dieta'!A$3,$BC$5:$BC$310)&gt;=1,BC94,"Não encontrado"),"Não encontrado")</f>
        <v>Capim Gordura (2 A 30 Dias)</v>
      </c>
      <c r="BE94" s="741">
        <f ca="1">COUNTIF(BD$5:BD94,"&lt;&gt;"&amp;"Não encontrado")</f>
        <v>90</v>
      </c>
      <c r="BF94" s="742" t="str">
        <f t="shared" ca="1" si="62"/>
        <v>CAPIM GORDURA (2 A 30 DIAS)</v>
      </c>
      <c r="BG94" s="744">
        <f t="shared" si="63"/>
        <v>0.16445899999999999</v>
      </c>
      <c r="BH94" s="744">
        <f t="shared" si="64"/>
        <v>8.8793999999999998E-2</v>
      </c>
      <c r="BI94" s="744">
        <f t="shared" si="65"/>
        <v>1.45396E-2</v>
      </c>
      <c r="BJ94" s="744">
        <f t="shared" si="66"/>
        <v>0.1307989</v>
      </c>
      <c r="BK94" s="744" t="str">
        <f t="shared" si="67"/>
        <v/>
      </c>
      <c r="BL94" s="744">
        <f t="shared" si="68"/>
        <v>2.0700939999999997</v>
      </c>
      <c r="BM94" s="744" t="str">
        <f t="shared" si="69"/>
        <v/>
      </c>
      <c r="BN94" s="744">
        <f t="shared" si="70"/>
        <v>5.8801939999999986</v>
      </c>
      <c r="BO94" s="744">
        <f t="shared" si="71"/>
        <v>28.011593999999999</v>
      </c>
      <c r="BP94" s="744" t="str">
        <f t="shared" si="72"/>
        <v/>
      </c>
      <c r="BQ94" s="744" t="str">
        <f t="shared" si="73"/>
        <v/>
      </c>
      <c r="BR94" s="744" t="str">
        <f t="shared" si="74"/>
        <v/>
      </c>
      <c r="BS94" s="744" t="str">
        <f t="shared" si="75"/>
        <v/>
      </c>
      <c r="BT94" s="744">
        <f t="shared" si="76"/>
        <v>0.92609399999999997</v>
      </c>
      <c r="BU94" s="744">
        <f t="shared" si="77"/>
        <v>0.67144399999999993</v>
      </c>
      <c r="BV94" s="744">
        <f t="shared" si="78"/>
        <v>0.50939400000000001</v>
      </c>
      <c r="BW94" s="744" t="str">
        <f t="shared" si="79"/>
        <v/>
      </c>
      <c r="BX94" s="744">
        <f t="shared" si="80"/>
        <v>3.9355939999999996</v>
      </c>
      <c r="BY94" s="744" t="str">
        <f t="shared" si="81"/>
        <v/>
      </c>
      <c r="BZ94" s="744" t="str">
        <f t="shared" si="82"/>
        <v/>
      </c>
      <c r="CA94" s="744" t="str">
        <f t="shared" si="83"/>
        <v/>
      </c>
      <c r="CB94" s="744" t="str">
        <f t="shared" si="84"/>
        <v/>
      </c>
      <c r="CC94" s="744" t="str">
        <f t="shared" si="85"/>
        <v/>
      </c>
      <c r="CD94" s="744" t="str">
        <f t="shared" si="86"/>
        <v/>
      </c>
      <c r="CE94" s="744" t="str">
        <f t="shared" si="87"/>
        <v/>
      </c>
      <c r="CF94" s="744" t="str">
        <f t="shared" si="88"/>
        <v/>
      </c>
      <c r="CG94" s="744" t="str">
        <f t="shared" si="89"/>
        <v/>
      </c>
      <c r="CH94" s="744" t="str">
        <f t="shared" si="90"/>
        <v/>
      </c>
      <c r="CI94" s="744" t="str">
        <f t="shared" si="91"/>
        <v/>
      </c>
      <c r="CJ94" s="744" t="str">
        <f t="shared" si="92"/>
        <v/>
      </c>
      <c r="CK94" s="744" t="str">
        <f t="shared" si="93"/>
        <v/>
      </c>
      <c r="CL94" s="744" t="str">
        <f t="shared" si="94"/>
        <v/>
      </c>
      <c r="CM94" s="744" t="str">
        <f t="shared" si="95"/>
        <v/>
      </c>
      <c r="CN94" s="744" t="str">
        <f t="shared" si="96"/>
        <v/>
      </c>
      <c r="CO94" s="744" t="str">
        <f t="shared" si="97"/>
        <v/>
      </c>
      <c r="CP94" s="744" t="str">
        <f t="shared" si="98"/>
        <v/>
      </c>
      <c r="CQ94" s="744" t="str">
        <f t="shared" si="99"/>
        <v/>
      </c>
      <c r="CR94" s="744" t="str">
        <f t="shared" si="100"/>
        <v/>
      </c>
      <c r="CS94" s="744" t="str">
        <f t="shared" si="101"/>
        <v/>
      </c>
      <c r="CT94" s="744" t="str">
        <f t="shared" si="102"/>
        <v/>
      </c>
      <c r="CU94" s="744" t="str">
        <f t="shared" si="103"/>
        <v/>
      </c>
      <c r="CV94" s="744" t="str">
        <f t="shared" si="104"/>
        <v/>
      </c>
      <c r="CW94" s="744" t="str">
        <f t="shared" si="105"/>
        <v/>
      </c>
      <c r="CX94" s="744">
        <f t="shared" si="106"/>
        <v>0.23159399999999999</v>
      </c>
    </row>
    <row r="95" spans="1:102">
      <c r="A95" s="633">
        <v>91</v>
      </c>
      <c r="B95" s="630" t="s">
        <v>3</v>
      </c>
      <c r="C95" s="631" t="s">
        <v>249</v>
      </c>
      <c r="D95" s="630" t="s">
        <v>1390</v>
      </c>
      <c r="E95" s="632" t="s">
        <v>165</v>
      </c>
      <c r="F95" s="1067">
        <v>0.2</v>
      </c>
      <c r="G95" s="1066">
        <v>1</v>
      </c>
      <c r="H95" s="1070">
        <v>0.24329999999999999</v>
      </c>
      <c r="I95" s="1070">
        <v>0.175176</v>
      </c>
      <c r="J95" s="1070">
        <v>0.1032</v>
      </c>
      <c r="K95" s="1070">
        <v>1.9439669999999999E-2</v>
      </c>
      <c r="L95" s="1072">
        <v>0.14118699000000001</v>
      </c>
      <c r="M95" s="1070"/>
      <c r="N95" s="1070">
        <v>2.08</v>
      </c>
      <c r="O95" s="1070"/>
      <c r="P95" s="1073">
        <v>10.048289999999998</v>
      </c>
      <c r="Q95" s="1070">
        <v>20.875140000000002</v>
      </c>
      <c r="R95" s="1070"/>
      <c r="S95" s="1070"/>
      <c r="T95" s="1070"/>
      <c r="U95" s="1070"/>
      <c r="V95" s="1066">
        <v>0.87587999999999988</v>
      </c>
      <c r="W95" s="1070">
        <v>0.60824999999999996</v>
      </c>
      <c r="X95" s="1070">
        <v>0.53525999999999996</v>
      </c>
      <c r="Y95" s="1070"/>
      <c r="Z95" s="1070">
        <v>4.4767200000000003</v>
      </c>
      <c r="AA95" s="1070"/>
      <c r="AB95" s="1070"/>
      <c r="AC95" s="1070"/>
      <c r="AD95" s="1070"/>
      <c r="AE95" s="1070"/>
      <c r="AF95" s="1070"/>
      <c r="AG95" s="1070"/>
      <c r="AH95" s="1073"/>
      <c r="AI95" s="1070"/>
      <c r="AJ95" s="1070"/>
      <c r="AK95" s="1070"/>
      <c r="AL95" s="1082"/>
      <c r="AM95" s="1069"/>
      <c r="AN95" s="1070"/>
      <c r="AO95" s="1070"/>
      <c r="AP95" s="1070"/>
      <c r="AQ95" s="1070"/>
      <c r="AR95" s="1069"/>
      <c r="AS95" s="1282"/>
      <c r="AT95" s="1282"/>
      <c r="AU95" s="1069"/>
      <c r="AV95" s="1069"/>
      <c r="AW95" s="1069"/>
      <c r="AX95" s="1070"/>
      <c r="AY95" s="1070"/>
      <c r="AZ95" s="1078">
        <f t="shared" si="59"/>
        <v>0.24329999999999999</v>
      </c>
      <c r="BA95" s="59">
        <v>91</v>
      </c>
      <c r="BB95" s="59">
        <f t="shared" si="60"/>
        <v>91</v>
      </c>
      <c r="BC95" s="60" t="str">
        <f t="shared" si="61"/>
        <v>Capim Gordura (46 A 60 Dias)</v>
      </c>
      <c r="BD95" s="61" t="str">
        <f ca="1">IFERROR(IF(SEARCH('Calcular Dieta'!A$3,$BC$5:$BC$310)&gt;=1,BC95,"Não encontrado"),"Não encontrado")</f>
        <v>Capim Gordura (46 A 60 Dias)</v>
      </c>
      <c r="BE95" s="741">
        <f ca="1">COUNTIF(BD$5:BD95,"&lt;&gt;"&amp;"Não encontrado")</f>
        <v>91</v>
      </c>
      <c r="BF95" s="742" t="str">
        <f t="shared" ca="1" si="62"/>
        <v>CAPIM GORDURA (46 A 60 DIAS)</v>
      </c>
      <c r="BG95" s="744">
        <f t="shared" si="63"/>
        <v>0.17527100000000001</v>
      </c>
      <c r="BH95" s="744">
        <f t="shared" si="64"/>
        <v>0.103295</v>
      </c>
      <c r="BI95" s="744">
        <f t="shared" si="65"/>
        <v>1.9534670000000001E-2</v>
      </c>
      <c r="BJ95" s="744">
        <f t="shared" si="66"/>
        <v>0.14128199000000002</v>
      </c>
      <c r="BK95" s="744" t="str">
        <f t="shared" si="67"/>
        <v/>
      </c>
      <c r="BL95" s="744">
        <f t="shared" si="68"/>
        <v>2.080095</v>
      </c>
      <c r="BM95" s="744" t="str">
        <f t="shared" si="69"/>
        <v/>
      </c>
      <c r="BN95" s="744">
        <f t="shared" si="70"/>
        <v>10.048384999999998</v>
      </c>
      <c r="BO95" s="744">
        <f t="shared" si="71"/>
        <v>20.875235000000004</v>
      </c>
      <c r="BP95" s="744" t="str">
        <f t="shared" si="72"/>
        <v/>
      </c>
      <c r="BQ95" s="744" t="str">
        <f t="shared" si="73"/>
        <v/>
      </c>
      <c r="BR95" s="744" t="str">
        <f t="shared" si="74"/>
        <v/>
      </c>
      <c r="BS95" s="744" t="str">
        <f t="shared" si="75"/>
        <v/>
      </c>
      <c r="BT95" s="744">
        <f t="shared" si="76"/>
        <v>0.87597499999999984</v>
      </c>
      <c r="BU95" s="744">
        <f t="shared" si="77"/>
        <v>0.60834499999999991</v>
      </c>
      <c r="BV95" s="744">
        <f t="shared" si="78"/>
        <v>0.53535499999999991</v>
      </c>
      <c r="BW95" s="744" t="str">
        <f t="shared" si="79"/>
        <v/>
      </c>
      <c r="BX95" s="744">
        <f t="shared" si="80"/>
        <v>4.4768150000000002</v>
      </c>
      <c r="BY95" s="744" t="str">
        <f t="shared" si="81"/>
        <v/>
      </c>
      <c r="BZ95" s="744" t="str">
        <f t="shared" si="82"/>
        <v/>
      </c>
      <c r="CA95" s="744" t="str">
        <f t="shared" si="83"/>
        <v/>
      </c>
      <c r="CB95" s="744" t="str">
        <f t="shared" si="84"/>
        <v/>
      </c>
      <c r="CC95" s="744" t="str">
        <f t="shared" si="85"/>
        <v/>
      </c>
      <c r="CD95" s="744" t="str">
        <f t="shared" si="86"/>
        <v/>
      </c>
      <c r="CE95" s="744" t="str">
        <f t="shared" si="87"/>
        <v/>
      </c>
      <c r="CF95" s="744" t="str">
        <f t="shared" si="88"/>
        <v/>
      </c>
      <c r="CG95" s="744" t="str">
        <f t="shared" si="89"/>
        <v/>
      </c>
      <c r="CH95" s="744" t="str">
        <f t="shared" si="90"/>
        <v/>
      </c>
      <c r="CI95" s="744" t="str">
        <f t="shared" si="91"/>
        <v/>
      </c>
      <c r="CJ95" s="744" t="str">
        <f t="shared" si="92"/>
        <v/>
      </c>
      <c r="CK95" s="744" t="str">
        <f t="shared" si="93"/>
        <v/>
      </c>
      <c r="CL95" s="744" t="str">
        <f t="shared" si="94"/>
        <v/>
      </c>
      <c r="CM95" s="744" t="str">
        <f t="shared" si="95"/>
        <v/>
      </c>
      <c r="CN95" s="744" t="str">
        <f t="shared" si="96"/>
        <v/>
      </c>
      <c r="CO95" s="744" t="str">
        <f t="shared" si="97"/>
        <v/>
      </c>
      <c r="CP95" s="744" t="str">
        <f t="shared" si="98"/>
        <v/>
      </c>
      <c r="CQ95" s="744" t="str">
        <f t="shared" si="99"/>
        <v/>
      </c>
      <c r="CR95" s="744" t="str">
        <f t="shared" si="100"/>
        <v/>
      </c>
      <c r="CS95" s="744" t="str">
        <f t="shared" si="101"/>
        <v/>
      </c>
      <c r="CT95" s="744" t="str">
        <f t="shared" si="102"/>
        <v/>
      </c>
      <c r="CU95" s="744" t="str">
        <f t="shared" si="103"/>
        <v/>
      </c>
      <c r="CV95" s="744" t="str">
        <f t="shared" si="104"/>
        <v/>
      </c>
      <c r="CW95" s="744" t="str">
        <f t="shared" si="105"/>
        <v/>
      </c>
      <c r="CX95" s="744">
        <f t="shared" si="106"/>
        <v>0.243395</v>
      </c>
    </row>
    <row r="96" spans="1:102">
      <c r="A96" s="630">
        <v>92</v>
      </c>
      <c r="B96" s="630" t="s">
        <v>3</v>
      </c>
      <c r="C96" s="631" t="s">
        <v>249</v>
      </c>
      <c r="D96" s="630" t="s">
        <v>1390</v>
      </c>
      <c r="E96" s="632" t="s">
        <v>166</v>
      </c>
      <c r="F96" s="1067">
        <v>0.2</v>
      </c>
      <c r="G96" s="1066">
        <v>1</v>
      </c>
      <c r="H96" s="1070">
        <v>0.27429999999999999</v>
      </c>
      <c r="I96" s="1070">
        <v>0.200239</v>
      </c>
      <c r="J96" s="1070">
        <v>0.1227</v>
      </c>
      <c r="K96" s="1070">
        <v>1.8597539999999999E-2</v>
      </c>
      <c r="L96" s="1072">
        <v>0.16161756000000002</v>
      </c>
      <c r="M96" s="1070"/>
      <c r="N96" s="1070">
        <v>2.11</v>
      </c>
      <c r="O96" s="1070"/>
      <c r="P96" s="1073">
        <v>14.23617</v>
      </c>
      <c r="Q96" s="1070">
        <v>22.10858</v>
      </c>
      <c r="R96" s="1070"/>
      <c r="S96" s="1070"/>
      <c r="T96" s="1070"/>
      <c r="U96" s="1070"/>
      <c r="V96" s="1066">
        <v>0.87775999999999998</v>
      </c>
      <c r="W96" s="1070">
        <v>0.49374000000000001</v>
      </c>
      <c r="X96" s="1070">
        <v>0.57602999999999993</v>
      </c>
      <c r="Y96" s="1070"/>
      <c r="Z96" s="1070">
        <v>5.8974499999999992</v>
      </c>
      <c r="AA96" s="1070"/>
      <c r="AB96" s="1070"/>
      <c r="AC96" s="1070"/>
      <c r="AD96" s="1070"/>
      <c r="AE96" s="1070"/>
      <c r="AF96" s="1070"/>
      <c r="AG96" s="1070"/>
      <c r="AH96" s="1073"/>
      <c r="AI96" s="1070"/>
      <c r="AJ96" s="1070"/>
      <c r="AK96" s="1070"/>
      <c r="AL96" s="1082"/>
      <c r="AM96" s="1069"/>
      <c r="AN96" s="1070"/>
      <c r="AO96" s="1070"/>
      <c r="AP96" s="1070"/>
      <c r="AQ96" s="1070"/>
      <c r="AR96" s="1069"/>
      <c r="AS96" s="1282"/>
      <c r="AT96" s="1282"/>
      <c r="AU96" s="1069"/>
      <c r="AV96" s="1069"/>
      <c r="AW96" s="1069"/>
      <c r="AX96" s="1070"/>
      <c r="AY96" s="1070"/>
      <c r="AZ96" s="1078">
        <f t="shared" si="59"/>
        <v>0.27429999999999999</v>
      </c>
      <c r="BA96" s="59">
        <v>92</v>
      </c>
      <c r="BB96" s="59">
        <f t="shared" si="60"/>
        <v>92</v>
      </c>
      <c r="BC96" s="60" t="str">
        <f t="shared" si="61"/>
        <v>Capim Gordura (61 A 90 Dias)</v>
      </c>
      <c r="BD96" s="61" t="str">
        <f ca="1">IFERROR(IF(SEARCH('Calcular Dieta'!A$3,$BC$5:$BC$310)&gt;=1,BC96,"Não encontrado"),"Não encontrado")</f>
        <v>Capim Gordura (61 A 90 Dias)</v>
      </c>
      <c r="BE96" s="741">
        <f ca="1">COUNTIF(BD$5:BD96,"&lt;&gt;"&amp;"Não encontrado")</f>
        <v>92</v>
      </c>
      <c r="BF96" s="742" t="str">
        <f t="shared" ca="1" si="62"/>
        <v>CAPIM GORDURA (61 A 90 DIAS)</v>
      </c>
      <c r="BG96" s="744">
        <f t="shared" si="63"/>
        <v>0.20033500000000001</v>
      </c>
      <c r="BH96" s="744">
        <f t="shared" si="64"/>
        <v>0.122796</v>
      </c>
      <c r="BI96" s="744">
        <f t="shared" si="65"/>
        <v>1.8693539999999998E-2</v>
      </c>
      <c r="BJ96" s="744">
        <f t="shared" si="66"/>
        <v>0.16171356000000003</v>
      </c>
      <c r="BK96" s="744" t="str">
        <f t="shared" si="67"/>
        <v/>
      </c>
      <c r="BL96" s="744">
        <f t="shared" si="68"/>
        <v>2.110096</v>
      </c>
      <c r="BM96" s="744" t="str">
        <f t="shared" si="69"/>
        <v/>
      </c>
      <c r="BN96" s="744">
        <f t="shared" si="70"/>
        <v>14.236265999999999</v>
      </c>
      <c r="BO96" s="744">
        <f t="shared" si="71"/>
        <v>22.108675999999999</v>
      </c>
      <c r="BP96" s="744" t="str">
        <f t="shared" si="72"/>
        <v/>
      </c>
      <c r="BQ96" s="744" t="str">
        <f t="shared" si="73"/>
        <v/>
      </c>
      <c r="BR96" s="744" t="str">
        <f t="shared" si="74"/>
        <v/>
      </c>
      <c r="BS96" s="744" t="str">
        <f t="shared" si="75"/>
        <v/>
      </c>
      <c r="BT96" s="744">
        <f t="shared" si="76"/>
        <v>0.87785599999999997</v>
      </c>
      <c r="BU96" s="744">
        <f t="shared" si="77"/>
        <v>0.493836</v>
      </c>
      <c r="BV96" s="744">
        <f t="shared" si="78"/>
        <v>0.57612599999999992</v>
      </c>
      <c r="BW96" s="744" t="str">
        <f t="shared" si="79"/>
        <v/>
      </c>
      <c r="BX96" s="744">
        <f t="shared" si="80"/>
        <v>5.8975459999999993</v>
      </c>
      <c r="BY96" s="744" t="str">
        <f t="shared" si="81"/>
        <v/>
      </c>
      <c r="BZ96" s="744" t="str">
        <f t="shared" si="82"/>
        <v/>
      </c>
      <c r="CA96" s="744" t="str">
        <f t="shared" si="83"/>
        <v/>
      </c>
      <c r="CB96" s="744" t="str">
        <f t="shared" si="84"/>
        <v/>
      </c>
      <c r="CC96" s="744" t="str">
        <f t="shared" si="85"/>
        <v/>
      </c>
      <c r="CD96" s="744" t="str">
        <f t="shared" si="86"/>
        <v/>
      </c>
      <c r="CE96" s="744" t="str">
        <f t="shared" si="87"/>
        <v/>
      </c>
      <c r="CF96" s="744" t="str">
        <f t="shared" si="88"/>
        <v/>
      </c>
      <c r="CG96" s="744" t="str">
        <f t="shared" si="89"/>
        <v/>
      </c>
      <c r="CH96" s="744" t="str">
        <f t="shared" si="90"/>
        <v/>
      </c>
      <c r="CI96" s="744" t="str">
        <f t="shared" si="91"/>
        <v/>
      </c>
      <c r="CJ96" s="744" t="str">
        <f t="shared" si="92"/>
        <v/>
      </c>
      <c r="CK96" s="744" t="str">
        <f t="shared" si="93"/>
        <v/>
      </c>
      <c r="CL96" s="744" t="str">
        <f t="shared" si="94"/>
        <v/>
      </c>
      <c r="CM96" s="744" t="str">
        <f t="shared" si="95"/>
        <v/>
      </c>
      <c r="CN96" s="744" t="str">
        <f t="shared" si="96"/>
        <v/>
      </c>
      <c r="CO96" s="744" t="str">
        <f t="shared" si="97"/>
        <v/>
      </c>
      <c r="CP96" s="744" t="str">
        <f t="shared" si="98"/>
        <v/>
      </c>
      <c r="CQ96" s="744" t="str">
        <f t="shared" si="99"/>
        <v/>
      </c>
      <c r="CR96" s="744" t="str">
        <f t="shared" si="100"/>
        <v/>
      </c>
      <c r="CS96" s="744" t="str">
        <f t="shared" si="101"/>
        <v/>
      </c>
      <c r="CT96" s="744" t="str">
        <f t="shared" si="102"/>
        <v/>
      </c>
      <c r="CU96" s="744" t="str">
        <f t="shared" si="103"/>
        <v/>
      </c>
      <c r="CV96" s="744" t="str">
        <f t="shared" si="104"/>
        <v/>
      </c>
      <c r="CW96" s="744" t="str">
        <f t="shared" si="105"/>
        <v/>
      </c>
      <c r="CX96" s="744">
        <f t="shared" si="106"/>
        <v>0.27439599999999997</v>
      </c>
    </row>
    <row r="97" spans="1:102">
      <c r="A97" s="633">
        <v>93</v>
      </c>
      <c r="B97" s="630" t="s">
        <v>3</v>
      </c>
      <c r="C97" s="631" t="s">
        <v>249</v>
      </c>
      <c r="D97" s="630" t="s">
        <v>1390</v>
      </c>
      <c r="E97" s="632" t="s">
        <v>167</v>
      </c>
      <c r="F97" s="1067">
        <v>0.2</v>
      </c>
      <c r="G97" s="1066">
        <v>1</v>
      </c>
      <c r="H97" s="1070">
        <v>0.32729999999999998</v>
      </c>
      <c r="I97" s="1070">
        <v>0.24220199999999997</v>
      </c>
      <c r="J97" s="1070">
        <v>0.1396</v>
      </c>
      <c r="K97" s="1070">
        <v>2.6314919999999995E-2</v>
      </c>
      <c r="L97" s="1072">
        <v>0.19258332</v>
      </c>
      <c r="M97" s="1070"/>
      <c r="N97" s="1070">
        <v>2.08</v>
      </c>
      <c r="O97" s="1070"/>
      <c r="P97" s="1073">
        <v>18.394259999999999</v>
      </c>
      <c r="Q97" s="1070">
        <v>18.394259999999999</v>
      </c>
      <c r="R97" s="1070"/>
      <c r="S97" s="1070"/>
      <c r="T97" s="1070"/>
      <c r="U97" s="1070"/>
      <c r="V97" s="1066">
        <v>1.1782799999999998</v>
      </c>
      <c r="W97" s="1070">
        <v>0.75278999999999996</v>
      </c>
      <c r="X97" s="1070">
        <v>0.68732999999999989</v>
      </c>
      <c r="Y97" s="1070"/>
      <c r="Z97" s="1070">
        <v>8.182500000000001</v>
      </c>
      <c r="AA97" s="1070"/>
      <c r="AB97" s="1070"/>
      <c r="AC97" s="1070"/>
      <c r="AD97" s="1070"/>
      <c r="AE97" s="1070"/>
      <c r="AF97" s="1070"/>
      <c r="AG97" s="1070"/>
      <c r="AH97" s="1073"/>
      <c r="AI97" s="1070"/>
      <c r="AJ97" s="1070"/>
      <c r="AK97" s="1070"/>
      <c r="AL97" s="1082"/>
      <c r="AM97" s="1069"/>
      <c r="AN97" s="1070"/>
      <c r="AO97" s="1070"/>
      <c r="AP97" s="1070"/>
      <c r="AQ97" s="1070"/>
      <c r="AR97" s="1069"/>
      <c r="AS97" s="1282"/>
      <c r="AT97" s="1282"/>
      <c r="AU97" s="1069"/>
      <c r="AV97" s="1069"/>
      <c r="AW97" s="1069"/>
      <c r="AX97" s="1070"/>
      <c r="AY97" s="1070"/>
      <c r="AZ97" s="1078">
        <f t="shared" si="59"/>
        <v>0.32729999999999998</v>
      </c>
      <c r="BA97" s="59">
        <v>93</v>
      </c>
      <c r="BB97" s="59">
        <f t="shared" si="60"/>
        <v>93</v>
      </c>
      <c r="BC97" s="60" t="str">
        <f t="shared" si="61"/>
        <v>Capim Gordura (91 A 120 Dias)</v>
      </c>
      <c r="BD97" s="61" t="str">
        <f ca="1">IFERROR(IF(SEARCH('Calcular Dieta'!A$3,$BC$5:$BC$310)&gt;=1,BC97,"Não encontrado"),"Não encontrado")</f>
        <v>Capim Gordura (91 A 120 Dias)</v>
      </c>
      <c r="BE97" s="741">
        <f ca="1">COUNTIF(BD$5:BD97,"&lt;&gt;"&amp;"Não encontrado")</f>
        <v>93</v>
      </c>
      <c r="BF97" s="742" t="str">
        <f t="shared" ca="1" si="62"/>
        <v>CAPIM GORDURA (91 A 120 DIAS)</v>
      </c>
      <c r="BG97" s="744">
        <f t="shared" si="63"/>
        <v>0.24229899999999999</v>
      </c>
      <c r="BH97" s="744">
        <f t="shared" si="64"/>
        <v>0.13969700000000002</v>
      </c>
      <c r="BI97" s="744">
        <f t="shared" si="65"/>
        <v>2.6411919999999995E-2</v>
      </c>
      <c r="BJ97" s="744">
        <f t="shared" si="66"/>
        <v>0.19268032000000002</v>
      </c>
      <c r="BK97" s="744" t="str">
        <f t="shared" si="67"/>
        <v/>
      </c>
      <c r="BL97" s="744">
        <f t="shared" si="68"/>
        <v>2.0800969999999999</v>
      </c>
      <c r="BM97" s="744" t="str">
        <f t="shared" si="69"/>
        <v/>
      </c>
      <c r="BN97" s="744">
        <f t="shared" si="70"/>
        <v>18.394356999999999</v>
      </c>
      <c r="BO97" s="744">
        <f t="shared" si="71"/>
        <v>18.394356999999999</v>
      </c>
      <c r="BP97" s="744" t="str">
        <f t="shared" si="72"/>
        <v/>
      </c>
      <c r="BQ97" s="744" t="str">
        <f t="shared" si="73"/>
        <v/>
      </c>
      <c r="BR97" s="744" t="str">
        <f t="shared" si="74"/>
        <v/>
      </c>
      <c r="BS97" s="744" t="str">
        <f t="shared" si="75"/>
        <v/>
      </c>
      <c r="BT97" s="744">
        <f t="shared" si="76"/>
        <v>1.1783769999999998</v>
      </c>
      <c r="BU97" s="744">
        <f t="shared" si="77"/>
        <v>0.75288699999999997</v>
      </c>
      <c r="BV97" s="744">
        <f t="shared" si="78"/>
        <v>0.6874269999999999</v>
      </c>
      <c r="BW97" s="744" t="str">
        <f t="shared" si="79"/>
        <v/>
      </c>
      <c r="BX97" s="744">
        <f t="shared" si="80"/>
        <v>8.1825970000000012</v>
      </c>
      <c r="BY97" s="744" t="str">
        <f t="shared" si="81"/>
        <v/>
      </c>
      <c r="BZ97" s="744" t="str">
        <f t="shared" si="82"/>
        <v/>
      </c>
      <c r="CA97" s="744" t="str">
        <f t="shared" si="83"/>
        <v/>
      </c>
      <c r="CB97" s="744" t="str">
        <f t="shared" si="84"/>
        <v/>
      </c>
      <c r="CC97" s="744" t="str">
        <f t="shared" si="85"/>
        <v/>
      </c>
      <c r="CD97" s="744" t="str">
        <f t="shared" si="86"/>
        <v/>
      </c>
      <c r="CE97" s="744" t="str">
        <f t="shared" si="87"/>
        <v/>
      </c>
      <c r="CF97" s="744" t="str">
        <f t="shared" si="88"/>
        <v/>
      </c>
      <c r="CG97" s="744" t="str">
        <f t="shared" si="89"/>
        <v/>
      </c>
      <c r="CH97" s="744" t="str">
        <f t="shared" si="90"/>
        <v/>
      </c>
      <c r="CI97" s="744" t="str">
        <f t="shared" si="91"/>
        <v/>
      </c>
      <c r="CJ97" s="744" t="str">
        <f t="shared" si="92"/>
        <v/>
      </c>
      <c r="CK97" s="744" t="str">
        <f t="shared" si="93"/>
        <v/>
      </c>
      <c r="CL97" s="744" t="str">
        <f t="shared" si="94"/>
        <v/>
      </c>
      <c r="CM97" s="744" t="str">
        <f t="shared" si="95"/>
        <v/>
      </c>
      <c r="CN97" s="744" t="str">
        <f t="shared" si="96"/>
        <v/>
      </c>
      <c r="CO97" s="744" t="str">
        <f t="shared" si="97"/>
        <v/>
      </c>
      <c r="CP97" s="744" t="str">
        <f t="shared" si="98"/>
        <v/>
      </c>
      <c r="CQ97" s="744" t="str">
        <f t="shared" si="99"/>
        <v/>
      </c>
      <c r="CR97" s="744" t="str">
        <f t="shared" si="100"/>
        <v/>
      </c>
      <c r="CS97" s="744" t="str">
        <f t="shared" si="101"/>
        <v/>
      </c>
      <c r="CT97" s="744" t="str">
        <f t="shared" si="102"/>
        <v/>
      </c>
      <c r="CU97" s="744" t="str">
        <f t="shared" si="103"/>
        <v/>
      </c>
      <c r="CV97" s="744" t="str">
        <f t="shared" si="104"/>
        <v/>
      </c>
      <c r="CW97" s="744" t="str">
        <f t="shared" si="105"/>
        <v/>
      </c>
      <c r="CX97" s="744">
        <f t="shared" si="106"/>
        <v>0.32739699999999999</v>
      </c>
    </row>
    <row r="98" spans="1:102">
      <c r="A98" s="630">
        <v>94</v>
      </c>
      <c r="B98" s="630" t="s">
        <v>3</v>
      </c>
      <c r="C98" s="631" t="s">
        <v>249</v>
      </c>
      <c r="D98" s="630" t="s">
        <v>1392</v>
      </c>
      <c r="E98" s="632" t="s">
        <v>687</v>
      </c>
      <c r="F98" s="1067">
        <v>0.2</v>
      </c>
      <c r="G98" s="1066">
        <v>1</v>
      </c>
      <c r="H98" s="1070">
        <v>0.26</v>
      </c>
      <c r="I98" s="1070">
        <v>0.182</v>
      </c>
      <c r="J98" s="1070">
        <v>0.11700000000000001</v>
      </c>
      <c r="K98" s="1070"/>
      <c r="L98" s="1072">
        <v>0.1404</v>
      </c>
      <c r="M98" s="1070">
        <v>0.61902360000000001</v>
      </c>
      <c r="N98" s="1070"/>
      <c r="O98" s="1070"/>
      <c r="P98" s="1073">
        <v>7.8</v>
      </c>
      <c r="Q98" s="1070">
        <v>26.000000000000004</v>
      </c>
      <c r="R98" s="1070">
        <v>12.480000000000002</v>
      </c>
      <c r="S98" s="1070"/>
      <c r="T98" s="1070"/>
      <c r="U98" s="1070"/>
      <c r="V98" s="1066">
        <v>0.624</v>
      </c>
      <c r="W98" s="1070">
        <v>0.312</v>
      </c>
      <c r="X98" s="1070">
        <v>0.46799999999999997</v>
      </c>
      <c r="Y98" s="1070">
        <v>2.6000000000000002E-2</v>
      </c>
      <c r="Z98" s="1070">
        <v>2.6</v>
      </c>
      <c r="AA98" s="1070">
        <v>0.33799999999999997</v>
      </c>
      <c r="AB98" s="1070">
        <v>13</v>
      </c>
      <c r="AC98" s="1070">
        <v>10.4</v>
      </c>
      <c r="AD98" s="1070">
        <v>126.62</v>
      </c>
      <c r="AE98" s="1070">
        <v>28.6</v>
      </c>
      <c r="AF98" s="1070">
        <v>6.5000000000000002E-2</v>
      </c>
      <c r="AG98" s="1070">
        <v>2.3400000000000001E-2</v>
      </c>
      <c r="AH98" s="1073">
        <v>1.0400000000000001E-2</v>
      </c>
      <c r="AI98" s="1070"/>
      <c r="AJ98" s="1070"/>
      <c r="AK98" s="1070"/>
      <c r="AL98" s="1082">
        <v>3900</v>
      </c>
      <c r="AM98" s="1069"/>
      <c r="AN98" s="1070"/>
      <c r="AO98" s="1070"/>
      <c r="AP98" s="1070"/>
      <c r="AQ98" s="1070"/>
      <c r="AR98" s="1069"/>
      <c r="AS98" s="1282"/>
      <c r="AT98" s="1282"/>
      <c r="AU98" s="1069"/>
      <c r="AV98" s="1069"/>
      <c r="AW98" s="1069"/>
      <c r="AX98" s="1070"/>
      <c r="AY98" s="1070"/>
      <c r="AZ98" s="1078">
        <f t="shared" si="59"/>
        <v>0.26</v>
      </c>
      <c r="BA98" s="59">
        <v>94</v>
      </c>
      <c r="BB98" s="59">
        <f t="shared" si="60"/>
        <v>94</v>
      </c>
      <c r="BC98" s="60" t="str">
        <f t="shared" si="61"/>
        <v>Capim Gordura (NRC)</v>
      </c>
      <c r="BD98" s="61" t="str">
        <f ca="1">IFERROR(IF(SEARCH('Calcular Dieta'!A$3,$BC$5:$BC$310)&gt;=1,BC98,"Não encontrado"),"Não encontrado")</f>
        <v>Capim Gordura (NRC)</v>
      </c>
      <c r="BE98" s="741">
        <f ca="1">COUNTIF(BD$5:BD98,"&lt;&gt;"&amp;"Não encontrado")</f>
        <v>94</v>
      </c>
      <c r="BF98" s="742" t="str">
        <f t="shared" ca="1" si="62"/>
        <v>CAPIM GORDURA (NRC)</v>
      </c>
      <c r="BG98" s="744">
        <f t="shared" si="63"/>
        <v>0.18209799999999998</v>
      </c>
      <c r="BH98" s="744">
        <f t="shared" si="64"/>
        <v>0.11709800000000001</v>
      </c>
      <c r="BI98" s="744" t="str">
        <f t="shared" si="65"/>
        <v/>
      </c>
      <c r="BJ98" s="744">
        <f t="shared" si="66"/>
        <v>0.14049799999999998</v>
      </c>
      <c r="BK98" s="744">
        <f t="shared" si="67"/>
        <v>0.61912160000000005</v>
      </c>
      <c r="BL98" s="744" t="str">
        <f t="shared" si="68"/>
        <v/>
      </c>
      <c r="BM98" s="744" t="str">
        <f t="shared" si="69"/>
        <v/>
      </c>
      <c r="BN98" s="744">
        <f t="shared" si="70"/>
        <v>7.8000980000000002</v>
      </c>
      <c r="BO98" s="744">
        <f t="shared" si="71"/>
        <v>26.000098000000005</v>
      </c>
      <c r="BP98" s="744">
        <f t="shared" si="72"/>
        <v>12.480098000000002</v>
      </c>
      <c r="BQ98" s="744" t="str">
        <f t="shared" si="73"/>
        <v/>
      </c>
      <c r="BR98" s="744" t="str">
        <f t="shared" si="74"/>
        <v/>
      </c>
      <c r="BS98" s="744" t="str">
        <f t="shared" si="75"/>
        <v/>
      </c>
      <c r="BT98" s="744">
        <f t="shared" si="76"/>
        <v>0.62409800000000004</v>
      </c>
      <c r="BU98" s="744">
        <f t="shared" si="77"/>
        <v>0.31209799999999999</v>
      </c>
      <c r="BV98" s="744">
        <f t="shared" si="78"/>
        <v>0.46809799999999996</v>
      </c>
      <c r="BW98" s="744">
        <f t="shared" si="79"/>
        <v>2.6098000000000003E-2</v>
      </c>
      <c r="BX98" s="744">
        <f t="shared" si="80"/>
        <v>2.600098</v>
      </c>
      <c r="BY98" s="744">
        <f t="shared" si="81"/>
        <v>0.33809799999999995</v>
      </c>
      <c r="BZ98" s="744">
        <f t="shared" si="82"/>
        <v>13.000097999999999</v>
      </c>
      <c r="CA98" s="744">
        <f t="shared" si="83"/>
        <v>10.400098</v>
      </c>
      <c r="CB98" s="744">
        <f t="shared" si="84"/>
        <v>126.620098</v>
      </c>
      <c r="CC98" s="744">
        <f t="shared" si="85"/>
        <v>28.600098000000003</v>
      </c>
      <c r="CD98" s="744">
        <f t="shared" si="86"/>
        <v>6.5098000000000003E-2</v>
      </c>
      <c r="CE98" s="744">
        <f t="shared" si="87"/>
        <v>2.3498000000000002E-2</v>
      </c>
      <c r="CF98" s="744">
        <f t="shared" si="88"/>
        <v>1.0498E-2</v>
      </c>
      <c r="CG98" s="744" t="str">
        <f t="shared" si="89"/>
        <v/>
      </c>
      <c r="CH98" s="744" t="str">
        <f t="shared" si="90"/>
        <v/>
      </c>
      <c r="CI98" s="744" t="str">
        <f t="shared" si="91"/>
        <v/>
      </c>
      <c r="CJ98" s="744">
        <f t="shared" si="92"/>
        <v>3900.000098</v>
      </c>
      <c r="CK98" s="744" t="str">
        <f t="shared" si="93"/>
        <v/>
      </c>
      <c r="CL98" s="744" t="str">
        <f t="shared" si="94"/>
        <v/>
      </c>
      <c r="CM98" s="744" t="str">
        <f t="shared" si="95"/>
        <v/>
      </c>
      <c r="CN98" s="744" t="str">
        <f t="shared" si="96"/>
        <v/>
      </c>
      <c r="CO98" s="744" t="str">
        <f t="shared" si="97"/>
        <v/>
      </c>
      <c r="CP98" s="744" t="str">
        <f t="shared" si="98"/>
        <v/>
      </c>
      <c r="CQ98" s="744" t="str">
        <f t="shared" si="99"/>
        <v/>
      </c>
      <c r="CR98" s="744" t="str">
        <f t="shared" si="100"/>
        <v/>
      </c>
      <c r="CS98" s="744" t="str">
        <f t="shared" si="101"/>
        <v/>
      </c>
      <c r="CT98" s="744" t="str">
        <f t="shared" si="102"/>
        <v/>
      </c>
      <c r="CU98" s="744" t="str">
        <f t="shared" si="103"/>
        <v/>
      </c>
      <c r="CV98" s="744" t="str">
        <f t="shared" si="104"/>
        <v/>
      </c>
      <c r="CW98" s="744" t="str">
        <f t="shared" si="105"/>
        <v/>
      </c>
      <c r="CX98" s="744">
        <f t="shared" si="106"/>
        <v>0.260098</v>
      </c>
    </row>
    <row r="99" spans="1:102">
      <c r="A99" s="633">
        <v>95</v>
      </c>
      <c r="B99" s="630" t="s">
        <v>3</v>
      </c>
      <c r="C99" s="631" t="s">
        <v>249</v>
      </c>
      <c r="D99" s="630" t="s">
        <v>1392</v>
      </c>
      <c r="E99" s="632" t="s">
        <v>168</v>
      </c>
      <c r="F99" s="1067">
        <v>0.2</v>
      </c>
      <c r="G99" s="1066">
        <v>1</v>
      </c>
      <c r="H99" s="1070">
        <v>0.27</v>
      </c>
      <c r="I99" s="1070">
        <v>0.189</v>
      </c>
      <c r="J99" s="1070">
        <v>0.12959999999999999</v>
      </c>
      <c r="K99" s="1070"/>
      <c r="L99" s="1072">
        <v>0.14580000000000001</v>
      </c>
      <c r="M99" s="1070">
        <v>0.64283220000000008</v>
      </c>
      <c r="N99" s="1070"/>
      <c r="O99" s="1070"/>
      <c r="P99" s="1073">
        <v>7.02</v>
      </c>
      <c r="Q99" s="1070">
        <v>24.3</v>
      </c>
      <c r="R99" s="1070">
        <v>8.5050000000000008</v>
      </c>
      <c r="S99" s="1070"/>
      <c r="T99" s="1070"/>
      <c r="U99" s="1070"/>
      <c r="V99" s="1066">
        <v>0.81</v>
      </c>
      <c r="W99" s="1070">
        <v>0.43200000000000005</v>
      </c>
      <c r="X99" s="1070">
        <v>0.8640000000000001</v>
      </c>
      <c r="Y99" s="1070">
        <v>2.7000000000000003E-2</v>
      </c>
      <c r="Z99" s="1070">
        <v>2.7</v>
      </c>
      <c r="AA99" s="1070">
        <v>0.37800000000000006</v>
      </c>
      <c r="AB99" s="1070">
        <v>2.7</v>
      </c>
      <c r="AC99" s="1070">
        <v>10.26</v>
      </c>
      <c r="AD99" s="1070">
        <v>40.5</v>
      </c>
      <c r="AE99" s="1070">
        <v>40.5</v>
      </c>
      <c r="AF99" s="1070">
        <v>6.7500000000000004E-2</v>
      </c>
      <c r="AG99" s="1070">
        <v>2.1600000000000001E-2</v>
      </c>
      <c r="AH99" s="1073">
        <v>1.0800000000000001E-2</v>
      </c>
      <c r="AI99" s="1070"/>
      <c r="AJ99" s="1070"/>
      <c r="AK99" s="1070"/>
      <c r="AL99" s="1082">
        <v>4050</v>
      </c>
      <c r="AM99" s="1069"/>
      <c r="AN99" s="1070"/>
      <c r="AO99" s="1070"/>
      <c r="AP99" s="1070"/>
      <c r="AQ99" s="1070"/>
      <c r="AR99" s="1069"/>
      <c r="AS99" s="1282"/>
      <c r="AT99" s="1282"/>
      <c r="AU99" s="1069"/>
      <c r="AV99" s="1069"/>
      <c r="AW99" s="1069"/>
      <c r="AX99" s="1070"/>
      <c r="AY99" s="1070"/>
      <c r="AZ99" s="1078">
        <f t="shared" si="59"/>
        <v>0.27</v>
      </c>
      <c r="BA99" s="59">
        <v>95</v>
      </c>
      <c r="BB99" s="59">
        <f t="shared" si="60"/>
        <v>95</v>
      </c>
      <c r="BC99" s="60" t="str">
        <f t="shared" si="61"/>
        <v>Capim Jaraguá</v>
      </c>
      <c r="BD99" s="61" t="str">
        <f ca="1">IFERROR(IF(SEARCH('Calcular Dieta'!A$3,$BC$5:$BC$310)&gt;=1,BC99,"Não encontrado"),"Não encontrado")</f>
        <v>Capim Jaraguá</v>
      </c>
      <c r="BE99" s="741">
        <f ca="1">COUNTIF(BD$5:BD99,"&lt;&gt;"&amp;"Não encontrado")</f>
        <v>95</v>
      </c>
      <c r="BF99" s="742" t="str">
        <f t="shared" ca="1" si="62"/>
        <v>CAPIM JARAGUÁ</v>
      </c>
      <c r="BG99" s="744">
        <f t="shared" si="63"/>
        <v>0.18909899999999999</v>
      </c>
      <c r="BH99" s="744">
        <f t="shared" si="64"/>
        <v>0.12969899999999998</v>
      </c>
      <c r="BI99" s="744" t="str">
        <f t="shared" si="65"/>
        <v/>
      </c>
      <c r="BJ99" s="744">
        <f t="shared" si="66"/>
        <v>0.145899</v>
      </c>
      <c r="BK99" s="744">
        <f t="shared" si="67"/>
        <v>0.64293120000000004</v>
      </c>
      <c r="BL99" s="744" t="str">
        <f t="shared" si="68"/>
        <v/>
      </c>
      <c r="BM99" s="744" t="str">
        <f t="shared" si="69"/>
        <v/>
      </c>
      <c r="BN99" s="744">
        <f t="shared" si="70"/>
        <v>7.0200989999999992</v>
      </c>
      <c r="BO99" s="744">
        <f t="shared" si="71"/>
        <v>24.300098999999999</v>
      </c>
      <c r="BP99" s="744">
        <f t="shared" si="72"/>
        <v>8.5050990000000013</v>
      </c>
      <c r="BQ99" s="744" t="str">
        <f t="shared" si="73"/>
        <v/>
      </c>
      <c r="BR99" s="744" t="str">
        <f t="shared" si="74"/>
        <v/>
      </c>
      <c r="BS99" s="744" t="str">
        <f t="shared" si="75"/>
        <v/>
      </c>
      <c r="BT99" s="744">
        <f t="shared" si="76"/>
        <v>0.81009900000000001</v>
      </c>
      <c r="BU99" s="744">
        <f t="shared" si="77"/>
        <v>0.43209900000000007</v>
      </c>
      <c r="BV99" s="744">
        <f t="shared" si="78"/>
        <v>0.86409900000000006</v>
      </c>
      <c r="BW99" s="744">
        <f t="shared" si="79"/>
        <v>2.7099000000000002E-2</v>
      </c>
      <c r="BX99" s="744">
        <f t="shared" si="80"/>
        <v>2.7000990000000002</v>
      </c>
      <c r="BY99" s="744">
        <f t="shared" si="81"/>
        <v>0.37809900000000007</v>
      </c>
      <c r="BZ99" s="744">
        <f t="shared" si="82"/>
        <v>2.7000990000000002</v>
      </c>
      <c r="CA99" s="744">
        <f t="shared" si="83"/>
        <v>10.260099</v>
      </c>
      <c r="CB99" s="744">
        <f t="shared" si="84"/>
        <v>40.500098999999999</v>
      </c>
      <c r="CC99" s="744">
        <f t="shared" si="85"/>
        <v>40.500098999999999</v>
      </c>
      <c r="CD99" s="744">
        <f t="shared" si="86"/>
        <v>6.7599000000000006E-2</v>
      </c>
      <c r="CE99" s="744">
        <f t="shared" si="87"/>
        <v>2.1699E-2</v>
      </c>
      <c r="CF99" s="744">
        <f t="shared" si="88"/>
        <v>1.0899000000000001E-2</v>
      </c>
      <c r="CG99" s="744" t="str">
        <f t="shared" si="89"/>
        <v/>
      </c>
      <c r="CH99" s="744" t="str">
        <f t="shared" si="90"/>
        <v/>
      </c>
      <c r="CI99" s="744" t="str">
        <f t="shared" si="91"/>
        <v/>
      </c>
      <c r="CJ99" s="744">
        <f t="shared" si="92"/>
        <v>4050.0000989999999</v>
      </c>
      <c r="CK99" s="744" t="str">
        <f t="shared" si="93"/>
        <v/>
      </c>
      <c r="CL99" s="744" t="str">
        <f t="shared" si="94"/>
        <v/>
      </c>
      <c r="CM99" s="744" t="str">
        <f t="shared" si="95"/>
        <v/>
      </c>
      <c r="CN99" s="744" t="str">
        <f t="shared" si="96"/>
        <v/>
      </c>
      <c r="CO99" s="744" t="str">
        <f t="shared" si="97"/>
        <v/>
      </c>
      <c r="CP99" s="744" t="str">
        <f t="shared" si="98"/>
        <v/>
      </c>
      <c r="CQ99" s="744" t="str">
        <f t="shared" si="99"/>
        <v/>
      </c>
      <c r="CR99" s="744" t="str">
        <f t="shared" si="100"/>
        <v/>
      </c>
      <c r="CS99" s="744" t="str">
        <f t="shared" si="101"/>
        <v/>
      </c>
      <c r="CT99" s="744" t="str">
        <f t="shared" si="102"/>
        <v/>
      </c>
      <c r="CU99" s="744" t="str">
        <f t="shared" si="103"/>
        <v/>
      </c>
      <c r="CV99" s="744" t="str">
        <f t="shared" si="104"/>
        <v/>
      </c>
      <c r="CW99" s="744" t="str">
        <f t="shared" si="105"/>
        <v/>
      </c>
      <c r="CX99" s="744">
        <f t="shared" si="106"/>
        <v>0.27009900000000003</v>
      </c>
    </row>
    <row r="100" spans="1:102">
      <c r="A100" s="630">
        <v>96</v>
      </c>
      <c r="B100" s="630" t="s">
        <v>3</v>
      </c>
      <c r="C100" s="631" t="s">
        <v>249</v>
      </c>
      <c r="D100" s="630" t="s">
        <v>1390</v>
      </c>
      <c r="E100" s="632" t="s">
        <v>169</v>
      </c>
      <c r="F100" s="1067">
        <v>0.2</v>
      </c>
      <c r="G100" s="1066">
        <v>1</v>
      </c>
      <c r="H100" s="1070">
        <v>0.29480000000000001</v>
      </c>
      <c r="I100" s="1070">
        <v>0.22068728000000001</v>
      </c>
      <c r="J100" s="1070">
        <v>0.1492</v>
      </c>
      <c r="K100" s="1070">
        <v>2.467476E-2</v>
      </c>
      <c r="L100" s="1072">
        <v>0.1521168</v>
      </c>
      <c r="M100" s="1070"/>
      <c r="N100" s="1070">
        <v>1.81</v>
      </c>
      <c r="O100" s="1070"/>
      <c r="P100" s="1073">
        <v>6.0728800000000005</v>
      </c>
      <c r="Q100" s="1070">
        <v>23.55452</v>
      </c>
      <c r="R100" s="1070"/>
      <c r="S100" s="1070"/>
      <c r="T100" s="1070"/>
      <c r="U100" s="1070"/>
      <c r="V100" s="1066"/>
      <c r="W100" s="1070"/>
      <c r="X100" s="1070"/>
      <c r="Y100" s="1070"/>
      <c r="Z100" s="1070"/>
      <c r="AA100" s="1070"/>
      <c r="AB100" s="1070"/>
      <c r="AC100" s="1070"/>
      <c r="AD100" s="1070"/>
      <c r="AE100" s="1070"/>
      <c r="AF100" s="1070"/>
      <c r="AG100" s="1070"/>
      <c r="AH100" s="1073"/>
      <c r="AI100" s="1070"/>
      <c r="AJ100" s="1070"/>
      <c r="AK100" s="1070"/>
      <c r="AL100" s="1082"/>
      <c r="AM100" s="1069"/>
      <c r="AN100" s="1070"/>
      <c r="AO100" s="1070"/>
      <c r="AP100" s="1070"/>
      <c r="AQ100" s="1070"/>
      <c r="AR100" s="1069"/>
      <c r="AS100" s="1282"/>
      <c r="AT100" s="1282"/>
      <c r="AU100" s="1069"/>
      <c r="AV100" s="1069"/>
      <c r="AW100" s="1069"/>
      <c r="AX100" s="1070"/>
      <c r="AY100" s="1070"/>
      <c r="AZ100" s="1078">
        <f t="shared" si="59"/>
        <v>0.29480000000000001</v>
      </c>
      <c r="BA100" s="59">
        <v>96</v>
      </c>
      <c r="BB100" s="59">
        <f t="shared" si="60"/>
        <v>96</v>
      </c>
      <c r="BC100" s="60" t="str">
        <f t="shared" si="61"/>
        <v>Capim Massai (61 A 90 Dias)</v>
      </c>
      <c r="BD100" s="61" t="str">
        <f ca="1">IFERROR(IF(SEARCH('Calcular Dieta'!A$3,$BC$5:$BC$310)&gt;=1,BC100,"Não encontrado"),"Não encontrado")</f>
        <v>Capim Massai (61 A 90 Dias)</v>
      </c>
      <c r="BE100" s="741">
        <f ca="1">COUNTIF(BD$5:BD100,"&lt;&gt;"&amp;"Não encontrado")</f>
        <v>96</v>
      </c>
      <c r="BF100" s="742" t="str">
        <f t="shared" ca="1" si="62"/>
        <v>CAPIM MASSAI (61 A 90 DIAS)</v>
      </c>
      <c r="BG100" s="744">
        <f t="shared" si="63"/>
        <v>0.22078728</v>
      </c>
      <c r="BH100" s="744">
        <f t="shared" si="64"/>
        <v>0.14929999999999999</v>
      </c>
      <c r="BI100" s="744">
        <f t="shared" si="65"/>
        <v>2.477476E-2</v>
      </c>
      <c r="BJ100" s="744">
        <f t="shared" si="66"/>
        <v>0.15221679999999999</v>
      </c>
      <c r="BK100" s="744" t="str">
        <f t="shared" si="67"/>
        <v/>
      </c>
      <c r="BL100" s="744">
        <f t="shared" si="68"/>
        <v>1.8101</v>
      </c>
      <c r="BM100" s="744" t="str">
        <f t="shared" si="69"/>
        <v/>
      </c>
      <c r="BN100" s="744">
        <f t="shared" si="70"/>
        <v>6.0729800000000003</v>
      </c>
      <c r="BO100" s="744">
        <f t="shared" si="71"/>
        <v>23.55462</v>
      </c>
      <c r="BP100" s="744" t="str">
        <f t="shared" si="72"/>
        <v/>
      </c>
      <c r="BQ100" s="744" t="str">
        <f t="shared" si="73"/>
        <v/>
      </c>
      <c r="BR100" s="744" t="str">
        <f t="shared" si="74"/>
        <v/>
      </c>
      <c r="BS100" s="744" t="str">
        <f t="shared" si="75"/>
        <v/>
      </c>
      <c r="BT100" s="744" t="str">
        <f t="shared" si="76"/>
        <v/>
      </c>
      <c r="BU100" s="744" t="str">
        <f t="shared" si="77"/>
        <v/>
      </c>
      <c r="BV100" s="744" t="str">
        <f t="shared" si="78"/>
        <v/>
      </c>
      <c r="BW100" s="744" t="str">
        <f t="shared" si="79"/>
        <v/>
      </c>
      <c r="BX100" s="744" t="str">
        <f t="shared" si="80"/>
        <v/>
      </c>
      <c r="BY100" s="744" t="str">
        <f t="shared" si="81"/>
        <v/>
      </c>
      <c r="BZ100" s="744" t="str">
        <f t="shared" si="82"/>
        <v/>
      </c>
      <c r="CA100" s="744" t="str">
        <f t="shared" si="83"/>
        <v/>
      </c>
      <c r="CB100" s="744" t="str">
        <f t="shared" si="84"/>
        <v/>
      </c>
      <c r="CC100" s="744" t="str">
        <f t="shared" si="85"/>
        <v/>
      </c>
      <c r="CD100" s="744" t="str">
        <f t="shared" si="86"/>
        <v/>
      </c>
      <c r="CE100" s="744" t="str">
        <f t="shared" si="87"/>
        <v/>
      </c>
      <c r="CF100" s="744" t="str">
        <f t="shared" si="88"/>
        <v/>
      </c>
      <c r="CG100" s="744" t="str">
        <f t="shared" si="89"/>
        <v/>
      </c>
      <c r="CH100" s="744" t="str">
        <f t="shared" si="90"/>
        <v/>
      </c>
      <c r="CI100" s="744" t="str">
        <f t="shared" si="91"/>
        <v/>
      </c>
      <c r="CJ100" s="744" t="str">
        <f t="shared" si="92"/>
        <v/>
      </c>
      <c r="CK100" s="744" t="str">
        <f t="shared" si="93"/>
        <v/>
      </c>
      <c r="CL100" s="744" t="str">
        <f t="shared" si="94"/>
        <v/>
      </c>
      <c r="CM100" s="744" t="str">
        <f t="shared" si="95"/>
        <v/>
      </c>
      <c r="CN100" s="744" t="str">
        <f t="shared" si="96"/>
        <v/>
      </c>
      <c r="CO100" s="744" t="str">
        <f t="shared" si="97"/>
        <v/>
      </c>
      <c r="CP100" s="744" t="str">
        <f t="shared" si="98"/>
        <v/>
      </c>
      <c r="CQ100" s="744" t="str">
        <f t="shared" si="99"/>
        <v/>
      </c>
      <c r="CR100" s="744" t="str">
        <f t="shared" si="100"/>
        <v/>
      </c>
      <c r="CS100" s="744" t="str">
        <f t="shared" si="101"/>
        <v/>
      </c>
      <c r="CT100" s="744" t="str">
        <f t="shared" si="102"/>
        <v/>
      </c>
      <c r="CU100" s="744" t="str">
        <f t="shared" si="103"/>
        <v/>
      </c>
      <c r="CV100" s="744" t="str">
        <f t="shared" si="104"/>
        <v/>
      </c>
      <c r="CW100" s="744" t="str">
        <f t="shared" si="105"/>
        <v/>
      </c>
      <c r="CX100" s="744">
        <f t="shared" si="106"/>
        <v>0.2949</v>
      </c>
    </row>
    <row r="101" spans="1:102">
      <c r="A101" s="633">
        <v>97</v>
      </c>
      <c r="B101" s="630" t="s">
        <v>3</v>
      </c>
      <c r="C101" s="631" t="s">
        <v>249</v>
      </c>
      <c r="D101" s="630" t="s">
        <v>1390</v>
      </c>
      <c r="E101" s="632" t="s">
        <v>170</v>
      </c>
      <c r="F101" s="1067">
        <v>0.2</v>
      </c>
      <c r="G101" s="1066">
        <v>1</v>
      </c>
      <c r="H101" s="1070">
        <v>0.27</v>
      </c>
      <c r="I101" s="1070">
        <v>0.18684000000000003</v>
      </c>
      <c r="J101" s="1070">
        <v>0.1305</v>
      </c>
      <c r="K101" s="1070">
        <v>2.7891000000000003E-2</v>
      </c>
      <c r="L101" s="1072">
        <v>0.14353199999999999</v>
      </c>
      <c r="M101" s="1070"/>
      <c r="N101" s="1070">
        <v>1.91</v>
      </c>
      <c r="O101" s="1070"/>
      <c r="P101" s="1073">
        <v>4.6709999999999994</v>
      </c>
      <c r="Q101" s="1070">
        <v>29.835000000000004</v>
      </c>
      <c r="R101" s="1070"/>
      <c r="S101" s="1070"/>
      <c r="T101" s="1070"/>
      <c r="U101" s="1070"/>
      <c r="V101" s="1066">
        <v>1.9980000000000002</v>
      </c>
      <c r="W101" s="1070">
        <v>0.51300000000000001</v>
      </c>
      <c r="X101" s="1070">
        <v>0.54</v>
      </c>
      <c r="Y101" s="1070">
        <v>2.7000000000000003E-2</v>
      </c>
      <c r="Z101" s="1070">
        <v>7.3980000000000006</v>
      </c>
      <c r="AA101" s="1070">
        <v>0.40500000000000003</v>
      </c>
      <c r="AB101" s="1070">
        <v>10.07</v>
      </c>
      <c r="AC101" s="1070">
        <v>26.81</v>
      </c>
      <c r="AD101" s="1070">
        <v>24.94</v>
      </c>
      <c r="AE101" s="1070">
        <v>100</v>
      </c>
      <c r="AF101" s="1070"/>
      <c r="AG101" s="1070">
        <v>0.41</v>
      </c>
      <c r="AH101" s="1073"/>
      <c r="AI101" s="1070"/>
      <c r="AJ101" s="1070"/>
      <c r="AK101" s="1070"/>
      <c r="AL101" s="1082"/>
      <c r="AM101" s="1069"/>
      <c r="AN101" s="1070"/>
      <c r="AO101" s="1070"/>
      <c r="AP101" s="1070"/>
      <c r="AQ101" s="1070"/>
      <c r="AR101" s="1069"/>
      <c r="AS101" s="1282"/>
      <c r="AT101" s="1282"/>
      <c r="AU101" s="1069"/>
      <c r="AV101" s="1069"/>
      <c r="AW101" s="1069"/>
      <c r="AX101" s="1070"/>
      <c r="AY101" s="1070"/>
      <c r="AZ101" s="1078">
        <f t="shared" si="59"/>
        <v>0.27</v>
      </c>
      <c r="BA101" s="59">
        <v>97</v>
      </c>
      <c r="BB101" s="59">
        <f t="shared" si="60"/>
        <v>97</v>
      </c>
      <c r="BC101" s="60" t="str">
        <f t="shared" si="61"/>
        <v>Capim Mombaça</v>
      </c>
      <c r="BD101" s="61" t="str">
        <f ca="1">IFERROR(IF(SEARCH('Calcular Dieta'!A$3,$BC$5:$BC$310)&gt;=1,BC101,"Não encontrado"),"Não encontrado")</f>
        <v>Capim Mombaça</v>
      </c>
      <c r="BE101" s="741">
        <f ca="1">COUNTIF(BD$5:BD101,"&lt;&gt;"&amp;"Não encontrado")</f>
        <v>97</v>
      </c>
      <c r="BF101" s="742" t="str">
        <f t="shared" ca="1" si="62"/>
        <v>CAPIM MOMBAÇA</v>
      </c>
      <c r="BG101" s="744">
        <f t="shared" si="63"/>
        <v>0.18694100000000002</v>
      </c>
      <c r="BH101" s="744">
        <f t="shared" si="64"/>
        <v>0.13060099999999999</v>
      </c>
      <c r="BI101" s="744">
        <f t="shared" si="65"/>
        <v>2.7992000000000003E-2</v>
      </c>
      <c r="BJ101" s="744">
        <f t="shared" si="66"/>
        <v>0.14363299999999998</v>
      </c>
      <c r="BK101" s="744" t="str">
        <f t="shared" si="67"/>
        <v/>
      </c>
      <c r="BL101" s="744">
        <f t="shared" si="68"/>
        <v>1.9101009999999998</v>
      </c>
      <c r="BM101" s="744" t="str">
        <f t="shared" si="69"/>
        <v/>
      </c>
      <c r="BN101" s="744">
        <f t="shared" si="70"/>
        <v>4.6711009999999993</v>
      </c>
      <c r="BO101" s="744">
        <f t="shared" si="71"/>
        <v>29.835101000000005</v>
      </c>
      <c r="BP101" s="744" t="str">
        <f t="shared" si="72"/>
        <v/>
      </c>
      <c r="BQ101" s="744" t="str">
        <f t="shared" si="73"/>
        <v/>
      </c>
      <c r="BR101" s="744" t="str">
        <f t="shared" si="74"/>
        <v/>
      </c>
      <c r="BS101" s="744" t="str">
        <f t="shared" si="75"/>
        <v/>
      </c>
      <c r="BT101" s="744">
        <f t="shared" si="76"/>
        <v>1.9981010000000001</v>
      </c>
      <c r="BU101" s="744">
        <f t="shared" si="77"/>
        <v>0.51310100000000003</v>
      </c>
      <c r="BV101" s="744">
        <f t="shared" si="78"/>
        <v>0.54010100000000005</v>
      </c>
      <c r="BW101" s="744">
        <f t="shared" si="79"/>
        <v>2.7101000000000004E-2</v>
      </c>
      <c r="BX101" s="744">
        <f t="shared" si="80"/>
        <v>7.3981010000000005</v>
      </c>
      <c r="BY101" s="744">
        <f t="shared" si="81"/>
        <v>0.40510100000000004</v>
      </c>
      <c r="BZ101" s="744">
        <f t="shared" si="82"/>
        <v>10.070101000000001</v>
      </c>
      <c r="CA101" s="744">
        <f t="shared" si="83"/>
        <v>26.810101</v>
      </c>
      <c r="CB101" s="744">
        <f t="shared" si="84"/>
        <v>24.940101000000002</v>
      </c>
      <c r="CC101" s="744">
        <f t="shared" si="85"/>
        <v>100.000101</v>
      </c>
      <c r="CD101" s="744" t="str">
        <f t="shared" si="86"/>
        <v/>
      </c>
      <c r="CE101" s="744">
        <f t="shared" si="87"/>
        <v>0.41010099999999999</v>
      </c>
      <c r="CF101" s="744" t="str">
        <f t="shared" si="88"/>
        <v/>
      </c>
      <c r="CG101" s="744" t="str">
        <f t="shared" si="89"/>
        <v/>
      </c>
      <c r="CH101" s="744" t="str">
        <f t="shared" si="90"/>
        <v/>
      </c>
      <c r="CI101" s="744" t="str">
        <f t="shared" si="91"/>
        <v/>
      </c>
      <c r="CJ101" s="744" t="str">
        <f t="shared" si="92"/>
        <v/>
      </c>
      <c r="CK101" s="744" t="str">
        <f t="shared" si="93"/>
        <v/>
      </c>
      <c r="CL101" s="744" t="str">
        <f t="shared" si="94"/>
        <v/>
      </c>
      <c r="CM101" s="744" t="str">
        <f t="shared" si="95"/>
        <v/>
      </c>
      <c r="CN101" s="744" t="str">
        <f t="shared" si="96"/>
        <v/>
      </c>
      <c r="CO101" s="744" t="str">
        <f t="shared" si="97"/>
        <v/>
      </c>
      <c r="CP101" s="744" t="str">
        <f t="shared" si="98"/>
        <v/>
      </c>
      <c r="CQ101" s="744" t="str">
        <f t="shared" si="99"/>
        <v/>
      </c>
      <c r="CR101" s="744" t="str">
        <f t="shared" si="100"/>
        <v/>
      </c>
      <c r="CS101" s="744" t="str">
        <f t="shared" si="101"/>
        <v/>
      </c>
      <c r="CT101" s="744" t="str">
        <f t="shared" si="102"/>
        <v/>
      </c>
      <c r="CU101" s="744" t="str">
        <f t="shared" si="103"/>
        <v/>
      </c>
      <c r="CV101" s="744" t="str">
        <f t="shared" si="104"/>
        <v/>
      </c>
      <c r="CW101" s="744" t="str">
        <f t="shared" si="105"/>
        <v/>
      </c>
      <c r="CX101" s="744">
        <f t="shared" si="106"/>
        <v>0.27010100000000004</v>
      </c>
    </row>
    <row r="102" spans="1:102">
      <c r="A102" s="630">
        <v>98</v>
      </c>
      <c r="B102" s="630" t="s">
        <v>3</v>
      </c>
      <c r="C102" s="631" t="s">
        <v>249</v>
      </c>
      <c r="D102" s="630" t="s">
        <v>1390</v>
      </c>
      <c r="E102" s="632" t="s">
        <v>171</v>
      </c>
      <c r="F102" s="1067">
        <v>0.2</v>
      </c>
      <c r="G102" s="1066">
        <v>1</v>
      </c>
      <c r="H102" s="1070">
        <v>0.26829999999999998</v>
      </c>
      <c r="I102" s="1070">
        <v>0.20315675999999999</v>
      </c>
      <c r="J102" s="1070">
        <v>0.1305</v>
      </c>
      <c r="K102" s="1070">
        <v>1.4917479999999999E-2</v>
      </c>
      <c r="L102" s="1072">
        <v>0.14002576999999999</v>
      </c>
      <c r="M102" s="1070"/>
      <c r="N102" s="1070">
        <v>1.84</v>
      </c>
      <c r="O102" s="1070"/>
      <c r="P102" s="1073">
        <v>3.7830299999999997</v>
      </c>
      <c r="Q102" s="1070">
        <v>22.349389999999996</v>
      </c>
      <c r="R102" s="1070"/>
      <c r="S102" s="1070"/>
      <c r="T102" s="1070"/>
      <c r="U102" s="1070"/>
      <c r="V102" s="1066"/>
      <c r="W102" s="1070">
        <v>0.29513</v>
      </c>
      <c r="X102" s="1070"/>
      <c r="Y102" s="1070"/>
      <c r="Z102" s="1070"/>
      <c r="AA102" s="1070"/>
      <c r="AB102" s="1070"/>
      <c r="AC102" s="1070"/>
      <c r="AD102" s="1070"/>
      <c r="AE102" s="1070"/>
      <c r="AF102" s="1070"/>
      <c r="AG102" s="1070"/>
      <c r="AH102" s="1073"/>
      <c r="AI102" s="1070"/>
      <c r="AJ102" s="1070"/>
      <c r="AK102" s="1070"/>
      <c r="AL102" s="1082"/>
      <c r="AM102" s="1069"/>
      <c r="AN102" s="1070"/>
      <c r="AO102" s="1070"/>
      <c r="AP102" s="1070"/>
      <c r="AQ102" s="1070"/>
      <c r="AR102" s="1069"/>
      <c r="AS102" s="1282"/>
      <c r="AT102" s="1282"/>
      <c r="AU102" s="1069"/>
      <c r="AV102" s="1069"/>
      <c r="AW102" s="1069"/>
      <c r="AX102" s="1070"/>
      <c r="AY102" s="1070"/>
      <c r="AZ102" s="1078">
        <f t="shared" si="59"/>
        <v>0.26829999999999998</v>
      </c>
      <c r="BA102" s="59">
        <v>98</v>
      </c>
      <c r="BB102" s="59">
        <f t="shared" si="60"/>
        <v>98</v>
      </c>
      <c r="BC102" s="60" t="str">
        <f t="shared" si="61"/>
        <v>Capim Mombaça (61 A 90 Dias)</v>
      </c>
      <c r="BD102" s="61" t="str">
        <f ca="1">IFERROR(IF(SEARCH('Calcular Dieta'!A$3,$BC$5:$BC$310)&gt;=1,BC102,"Não encontrado"),"Não encontrado")</f>
        <v>Capim Mombaça (61 A 90 Dias)</v>
      </c>
      <c r="BE102" s="741">
        <f ca="1">COUNTIF(BD$5:BD102,"&lt;&gt;"&amp;"Não encontrado")</f>
        <v>98</v>
      </c>
      <c r="BF102" s="742" t="str">
        <f t="shared" ca="1" si="62"/>
        <v>CAPIM MOMBAÇA (61 A 90 DIAS)</v>
      </c>
      <c r="BG102" s="744">
        <f t="shared" si="63"/>
        <v>0.20325875999999998</v>
      </c>
      <c r="BH102" s="744">
        <f t="shared" si="64"/>
        <v>0.130602</v>
      </c>
      <c r="BI102" s="744">
        <f t="shared" si="65"/>
        <v>1.5019479999999998E-2</v>
      </c>
      <c r="BJ102" s="744">
        <f t="shared" si="66"/>
        <v>0.14012776999999998</v>
      </c>
      <c r="BK102" s="744" t="str">
        <f t="shared" si="67"/>
        <v/>
      </c>
      <c r="BL102" s="744">
        <f t="shared" si="68"/>
        <v>1.8401020000000001</v>
      </c>
      <c r="BM102" s="744" t="str">
        <f t="shared" si="69"/>
        <v/>
      </c>
      <c r="BN102" s="744">
        <f t="shared" si="70"/>
        <v>3.7831319999999997</v>
      </c>
      <c r="BO102" s="744">
        <f t="shared" si="71"/>
        <v>22.349491999999994</v>
      </c>
      <c r="BP102" s="744" t="str">
        <f t="shared" si="72"/>
        <v/>
      </c>
      <c r="BQ102" s="744" t="str">
        <f t="shared" si="73"/>
        <v/>
      </c>
      <c r="BR102" s="744" t="str">
        <f t="shared" si="74"/>
        <v/>
      </c>
      <c r="BS102" s="744" t="str">
        <f t="shared" si="75"/>
        <v/>
      </c>
      <c r="BT102" s="744" t="str">
        <f t="shared" si="76"/>
        <v/>
      </c>
      <c r="BU102" s="744">
        <f t="shared" si="77"/>
        <v>0.29523199999999999</v>
      </c>
      <c r="BV102" s="744" t="str">
        <f t="shared" si="78"/>
        <v/>
      </c>
      <c r="BW102" s="744" t="str">
        <f t="shared" si="79"/>
        <v/>
      </c>
      <c r="BX102" s="744" t="str">
        <f t="shared" si="80"/>
        <v/>
      </c>
      <c r="BY102" s="744" t="str">
        <f t="shared" si="81"/>
        <v/>
      </c>
      <c r="BZ102" s="744" t="str">
        <f t="shared" si="82"/>
        <v/>
      </c>
      <c r="CA102" s="744" t="str">
        <f t="shared" si="83"/>
        <v/>
      </c>
      <c r="CB102" s="744" t="str">
        <f t="shared" si="84"/>
        <v/>
      </c>
      <c r="CC102" s="744" t="str">
        <f t="shared" si="85"/>
        <v/>
      </c>
      <c r="CD102" s="744" t="str">
        <f t="shared" si="86"/>
        <v/>
      </c>
      <c r="CE102" s="744" t="str">
        <f t="shared" si="87"/>
        <v/>
      </c>
      <c r="CF102" s="744" t="str">
        <f t="shared" si="88"/>
        <v/>
      </c>
      <c r="CG102" s="744" t="str">
        <f t="shared" si="89"/>
        <v/>
      </c>
      <c r="CH102" s="744" t="str">
        <f t="shared" si="90"/>
        <v/>
      </c>
      <c r="CI102" s="744" t="str">
        <f t="shared" si="91"/>
        <v/>
      </c>
      <c r="CJ102" s="744" t="str">
        <f t="shared" si="92"/>
        <v/>
      </c>
      <c r="CK102" s="744" t="str">
        <f t="shared" si="93"/>
        <v/>
      </c>
      <c r="CL102" s="744" t="str">
        <f t="shared" si="94"/>
        <v/>
      </c>
      <c r="CM102" s="744" t="str">
        <f t="shared" si="95"/>
        <v/>
      </c>
      <c r="CN102" s="744" t="str">
        <f t="shared" si="96"/>
        <v/>
      </c>
      <c r="CO102" s="744" t="str">
        <f t="shared" si="97"/>
        <v/>
      </c>
      <c r="CP102" s="744" t="str">
        <f t="shared" si="98"/>
        <v/>
      </c>
      <c r="CQ102" s="744" t="str">
        <f t="shared" si="99"/>
        <v/>
      </c>
      <c r="CR102" s="744" t="str">
        <f t="shared" si="100"/>
        <v/>
      </c>
      <c r="CS102" s="744" t="str">
        <f t="shared" si="101"/>
        <v/>
      </c>
      <c r="CT102" s="744" t="str">
        <f t="shared" si="102"/>
        <v/>
      </c>
      <c r="CU102" s="744" t="str">
        <f t="shared" si="103"/>
        <v/>
      </c>
      <c r="CV102" s="744" t="str">
        <f t="shared" si="104"/>
        <v/>
      </c>
      <c r="CW102" s="744" t="str">
        <f t="shared" si="105"/>
        <v/>
      </c>
      <c r="CX102" s="744">
        <f t="shared" si="106"/>
        <v>0.26840199999999997</v>
      </c>
    </row>
    <row r="103" spans="1:102">
      <c r="A103" s="633">
        <v>99</v>
      </c>
      <c r="B103" s="630" t="s">
        <v>3</v>
      </c>
      <c r="C103" s="631" t="s">
        <v>249</v>
      </c>
      <c r="D103" s="630" t="s">
        <v>1392</v>
      </c>
      <c r="E103" s="632" t="s">
        <v>172</v>
      </c>
      <c r="F103" s="1067">
        <v>0.2</v>
      </c>
      <c r="G103" s="1066">
        <v>1</v>
      </c>
      <c r="H103" s="1070">
        <v>0.25</v>
      </c>
      <c r="I103" s="1070">
        <v>0.1825</v>
      </c>
      <c r="J103" s="1070">
        <v>0.09</v>
      </c>
      <c r="K103" s="1070"/>
      <c r="L103" s="1072">
        <v>0.1125</v>
      </c>
      <c r="M103" s="1070">
        <v>0.49601249999999997</v>
      </c>
      <c r="N103" s="1070"/>
      <c r="O103" s="1070"/>
      <c r="P103" s="1073">
        <v>5</v>
      </c>
      <c r="Q103" s="1070">
        <v>17.75</v>
      </c>
      <c r="R103" s="1070">
        <v>8.1650000000000009</v>
      </c>
      <c r="S103" s="1070"/>
      <c r="T103" s="1070"/>
      <c r="U103" s="1070"/>
      <c r="V103" s="1066">
        <v>1.4</v>
      </c>
      <c r="W103" s="1070">
        <v>0.35</v>
      </c>
      <c r="X103" s="1070">
        <v>0.95</v>
      </c>
      <c r="Y103" s="1070">
        <v>2.5000000000000001E-2</v>
      </c>
      <c r="Z103" s="1070">
        <v>2.5</v>
      </c>
      <c r="AA103" s="1070">
        <v>0.25</v>
      </c>
      <c r="AB103" s="1070">
        <v>1</v>
      </c>
      <c r="AC103" s="1070">
        <v>7.5</v>
      </c>
      <c r="AD103" s="1070">
        <v>50</v>
      </c>
      <c r="AE103" s="1070">
        <v>50</v>
      </c>
      <c r="AF103" s="1070">
        <v>6.25E-2</v>
      </c>
      <c r="AG103" s="1070">
        <v>1.4999999999999999E-2</v>
      </c>
      <c r="AH103" s="1073">
        <v>0.01</v>
      </c>
      <c r="AI103" s="1070"/>
      <c r="AJ103" s="1070"/>
      <c r="AK103" s="1070"/>
      <c r="AL103" s="1082">
        <v>3750</v>
      </c>
      <c r="AM103" s="1069"/>
      <c r="AN103" s="1070"/>
      <c r="AO103" s="1070"/>
      <c r="AP103" s="1070"/>
      <c r="AQ103" s="1070"/>
      <c r="AR103" s="1069"/>
      <c r="AS103" s="1282"/>
      <c r="AT103" s="1282"/>
      <c r="AU103" s="1069"/>
      <c r="AV103" s="1069"/>
      <c r="AW103" s="1069"/>
      <c r="AX103" s="1070"/>
      <c r="AY103" s="1070"/>
      <c r="AZ103" s="1078">
        <f t="shared" si="59"/>
        <v>0.25</v>
      </c>
      <c r="BA103" s="59">
        <v>99</v>
      </c>
      <c r="BB103" s="59">
        <f t="shared" si="60"/>
        <v>99</v>
      </c>
      <c r="BC103" s="60" t="str">
        <f t="shared" si="61"/>
        <v>Capim Pangola (Digitária)</v>
      </c>
      <c r="BD103" s="61" t="str">
        <f ca="1">IFERROR(IF(SEARCH('Calcular Dieta'!A$3,$BC$5:$BC$310)&gt;=1,BC103,"Não encontrado"),"Não encontrado")</f>
        <v>Capim Pangola (Digitária)</v>
      </c>
      <c r="BE103" s="741">
        <f ca="1">COUNTIF(BD$5:BD103,"&lt;&gt;"&amp;"Não encontrado")</f>
        <v>99</v>
      </c>
      <c r="BF103" s="742" t="str">
        <f t="shared" ca="1" si="62"/>
        <v>CAPIM PANGOLA (DIGITÁRIA)</v>
      </c>
      <c r="BG103" s="744">
        <f t="shared" si="63"/>
        <v>0.18260299999999999</v>
      </c>
      <c r="BH103" s="744">
        <f t="shared" si="64"/>
        <v>9.0103000000000003E-2</v>
      </c>
      <c r="BI103" s="744" t="str">
        <f t="shared" si="65"/>
        <v/>
      </c>
      <c r="BJ103" s="744">
        <f t="shared" si="66"/>
        <v>0.11260300000000001</v>
      </c>
      <c r="BK103" s="744">
        <f t="shared" si="67"/>
        <v>0.49611549999999999</v>
      </c>
      <c r="BL103" s="744" t="str">
        <f t="shared" si="68"/>
        <v/>
      </c>
      <c r="BM103" s="744" t="str">
        <f t="shared" si="69"/>
        <v/>
      </c>
      <c r="BN103" s="744">
        <f t="shared" si="70"/>
        <v>5.0001030000000002</v>
      </c>
      <c r="BO103" s="744">
        <f t="shared" si="71"/>
        <v>17.750102999999999</v>
      </c>
      <c r="BP103" s="744">
        <f t="shared" si="72"/>
        <v>8.1651030000000002</v>
      </c>
      <c r="BQ103" s="744" t="str">
        <f t="shared" si="73"/>
        <v/>
      </c>
      <c r="BR103" s="744" t="str">
        <f t="shared" si="74"/>
        <v/>
      </c>
      <c r="BS103" s="744" t="str">
        <f t="shared" si="75"/>
        <v/>
      </c>
      <c r="BT103" s="744">
        <f t="shared" si="76"/>
        <v>1.4001029999999999</v>
      </c>
      <c r="BU103" s="744">
        <f t="shared" si="77"/>
        <v>0.350103</v>
      </c>
      <c r="BV103" s="744">
        <f t="shared" si="78"/>
        <v>0.95010299999999992</v>
      </c>
      <c r="BW103" s="744">
        <f t="shared" si="79"/>
        <v>2.5103E-2</v>
      </c>
      <c r="BX103" s="744">
        <f t="shared" si="80"/>
        <v>2.5001030000000002</v>
      </c>
      <c r="BY103" s="744">
        <f t="shared" si="81"/>
        <v>0.25010300000000002</v>
      </c>
      <c r="BZ103" s="744">
        <f t="shared" si="82"/>
        <v>1.000103</v>
      </c>
      <c r="CA103" s="744">
        <f t="shared" si="83"/>
        <v>7.5001030000000002</v>
      </c>
      <c r="CB103" s="744">
        <f t="shared" si="84"/>
        <v>50.000103000000003</v>
      </c>
      <c r="CC103" s="744">
        <f t="shared" si="85"/>
        <v>50.000103000000003</v>
      </c>
      <c r="CD103" s="744">
        <f t="shared" si="86"/>
        <v>6.2603000000000006E-2</v>
      </c>
      <c r="CE103" s="744">
        <f t="shared" si="87"/>
        <v>1.5103E-2</v>
      </c>
      <c r="CF103" s="744">
        <f t="shared" si="88"/>
        <v>1.0103000000000001E-2</v>
      </c>
      <c r="CG103" s="744" t="str">
        <f t="shared" si="89"/>
        <v/>
      </c>
      <c r="CH103" s="744" t="str">
        <f t="shared" si="90"/>
        <v/>
      </c>
      <c r="CI103" s="744" t="str">
        <f t="shared" si="91"/>
        <v/>
      </c>
      <c r="CJ103" s="744">
        <f t="shared" si="92"/>
        <v>3750.0001029999999</v>
      </c>
      <c r="CK103" s="744" t="str">
        <f t="shared" si="93"/>
        <v/>
      </c>
      <c r="CL103" s="744" t="str">
        <f t="shared" si="94"/>
        <v/>
      </c>
      <c r="CM103" s="744" t="str">
        <f t="shared" si="95"/>
        <v/>
      </c>
      <c r="CN103" s="744" t="str">
        <f t="shared" si="96"/>
        <v/>
      </c>
      <c r="CO103" s="744" t="str">
        <f t="shared" si="97"/>
        <v/>
      </c>
      <c r="CP103" s="744" t="str">
        <f t="shared" si="98"/>
        <v/>
      </c>
      <c r="CQ103" s="744" t="str">
        <f t="shared" si="99"/>
        <v/>
      </c>
      <c r="CR103" s="744" t="str">
        <f t="shared" si="100"/>
        <v/>
      </c>
      <c r="CS103" s="744" t="str">
        <f t="shared" si="101"/>
        <v/>
      </c>
      <c r="CT103" s="744" t="str">
        <f t="shared" si="102"/>
        <v/>
      </c>
      <c r="CU103" s="744" t="str">
        <f t="shared" si="103"/>
        <v/>
      </c>
      <c r="CV103" s="744" t="str">
        <f t="shared" si="104"/>
        <v/>
      </c>
      <c r="CW103" s="744" t="str">
        <f t="shared" si="105"/>
        <v/>
      </c>
      <c r="CX103" s="744">
        <f t="shared" si="106"/>
        <v>0.25010300000000002</v>
      </c>
    </row>
    <row r="104" spans="1:102">
      <c r="A104" s="630">
        <v>100</v>
      </c>
      <c r="B104" s="630" t="s">
        <v>3</v>
      </c>
      <c r="C104" s="631" t="s">
        <v>249</v>
      </c>
      <c r="D104" s="630" t="s">
        <v>1390</v>
      </c>
      <c r="E104" s="632" t="s">
        <v>173</v>
      </c>
      <c r="F104" s="1067">
        <v>0.2</v>
      </c>
      <c r="G104" s="1066">
        <v>1</v>
      </c>
      <c r="H104" s="1070">
        <v>0.21739999999999998</v>
      </c>
      <c r="I104" s="1070">
        <v>0.15939767999999999</v>
      </c>
      <c r="J104" s="1070">
        <v>9.4399999999999998E-2</v>
      </c>
      <c r="K104" s="1070">
        <v>2.3805299999999995E-2</v>
      </c>
      <c r="L104" s="1072">
        <v>0.11676554</v>
      </c>
      <c r="M104" s="1070"/>
      <c r="N104" s="1070">
        <v>1.91</v>
      </c>
      <c r="O104" s="1070"/>
      <c r="P104" s="1073">
        <v>3.0218599999999993</v>
      </c>
      <c r="Q104" s="1070">
        <v>19.544260000000001</v>
      </c>
      <c r="R104" s="1070"/>
      <c r="S104" s="1070"/>
      <c r="T104" s="1070"/>
      <c r="U104" s="1070"/>
      <c r="V104" s="1066"/>
      <c r="W104" s="1070"/>
      <c r="X104" s="1070"/>
      <c r="Y104" s="1070"/>
      <c r="Z104" s="1070"/>
      <c r="AA104" s="1070"/>
      <c r="AB104" s="1070"/>
      <c r="AC104" s="1070"/>
      <c r="AD104" s="1070"/>
      <c r="AE104" s="1070"/>
      <c r="AF104" s="1070"/>
      <c r="AG104" s="1070"/>
      <c r="AH104" s="1073"/>
      <c r="AI104" s="1070"/>
      <c r="AJ104" s="1070"/>
      <c r="AK104" s="1070"/>
      <c r="AL104" s="1082"/>
      <c r="AM104" s="1069"/>
      <c r="AN104" s="1070"/>
      <c r="AO104" s="1070"/>
      <c r="AP104" s="1070"/>
      <c r="AQ104" s="1070"/>
      <c r="AR104" s="1069"/>
      <c r="AS104" s="1282"/>
      <c r="AT104" s="1282"/>
      <c r="AU104" s="1069"/>
      <c r="AV104" s="1069"/>
      <c r="AW104" s="1069"/>
      <c r="AX104" s="1070"/>
      <c r="AY104" s="1070"/>
      <c r="AZ104" s="1078">
        <f t="shared" si="59"/>
        <v>0.21739999999999998</v>
      </c>
      <c r="BA104" s="59">
        <v>100</v>
      </c>
      <c r="BB104" s="59">
        <f t="shared" si="60"/>
        <v>100</v>
      </c>
      <c r="BC104" s="60" t="str">
        <f t="shared" si="61"/>
        <v>Capim Setária (61 A 90 Dias)</v>
      </c>
      <c r="BD104" s="61" t="str">
        <f ca="1">IFERROR(IF(SEARCH('Calcular Dieta'!A$3,$BC$5:$BC$310)&gt;=1,BC104,"Não encontrado"),"Não encontrado")</f>
        <v>Capim Setária (61 A 90 Dias)</v>
      </c>
      <c r="BE104" s="62">
        <f ca="1">COUNTIF(BD$5:BD104,"&lt;&gt;"&amp;"Não encontrado")</f>
        <v>100</v>
      </c>
      <c r="BF104" s="63" t="str">
        <f ca="1">IFERROR(UPPER(INDEX($BD$5:$BD$310,MATCH(BA104,$BE$5:$BE$310,0))),"-")</f>
        <v>CAPIM SETÁRIA (61 A 90 DIAS)</v>
      </c>
      <c r="BG104" s="744">
        <f t="shared" si="63"/>
        <v>0.15950167999999998</v>
      </c>
      <c r="BH104" s="744">
        <f t="shared" si="64"/>
        <v>9.4504000000000005E-2</v>
      </c>
      <c r="BI104" s="744">
        <f t="shared" si="65"/>
        <v>2.3909299999999994E-2</v>
      </c>
      <c r="BJ104" s="744">
        <f t="shared" si="66"/>
        <v>0.11686954000000001</v>
      </c>
      <c r="BK104" s="744" t="str">
        <f t="shared" si="67"/>
        <v/>
      </c>
      <c r="BL104" s="744">
        <f t="shared" si="68"/>
        <v>1.910104</v>
      </c>
      <c r="BM104" s="744" t="str">
        <f t="shared" si="69"/>
        <v/>
      </c>
      <c r="BN104" s="744">
        <f t="shared" si="70"/>
        <v>3.0219639999999992</v>
      </c>
      <c r="BO104" s="744">
        <f t="shared" si="71"/>
        <v>19.544364000000002</v>
      </c>
      <c r="BP104" s="744" t="str">
        <f t="shared" si="72"/>
        <v/>
      </c>
      <c r="BQ104" s="744" t="str">
        <f t="shared" si="73"/>
        <v/>
      </c>
      <c r="BR104" s="744" t="str">
        <f t="shared" si="74"/>
        <v/>
      </c>
      <c r="BS104" s="744" t="str">
        <f t="shared" si="75"/>
        <v/>
      </c>
      <c r="BT104" s="744" t="str">
        <f t="shared" si="76"/>
        <v/>
      </c>
      <c r="BU104" s="744" t="str">
        <f t="shared" si="77"/>
        <v/>
      </c>
      <c r="BV104" s="744" t="str">
        <f t="shared" si="78"/>
        <v/>
      </c>
      <c r="BW104" s="744" t="str">
        <f t="shared" si="79"/>
        <v/>
      </c>
      <c r="BX104" s="744" t="str">
        <f t="shared" si="80"/>
        <v/>
      </c>
      <c r="BY104" s="744" t="str">
        <f t="shared" si="81"/>
        <v/>
      </c>
      <c r="BZ104" s="744" t="str">
        <f t="shared" si="82"/>
        <v/>
      </c>
      <c r="CA104" s="744" t="str">
        <f t="shared" si="83"/>
        <v/>
      </c>
      <c r="CB104" s="744" t="str">
        <f t="shared" si="84"/>
        <v/>
      </c>
      <c r="CC104" s="744" t="str">
        <f t="shared" si="85"/>
        <v/>
      </c>
      <c r="CD104" s="744" t="str">
        <f t="shared" si="86"/>
        <v/>
      </c>
      <c r="CE104" s="744" t="str">
        <f t="shared" si="87"/>
        <v/>
      </c>
      <c r="CF104" s="744" t="str">
        <f t="shared" si="88"/>
        <v/>
      </c>
      <c r="CG104" s="744" t="str">
        <f t="shared" si="89"/>
        <v/>
      </c>
      <c r="CH104" s="744" t="str">
        <f t="shared" si="90"/>
        <v/>
      </c>
      <c r="CI104" s="744" t="str">
        <f t="shared" si="91"/>
        <v/>
      </c>
      <c r="CJ104" s="744" t="str">
        <f t="shared" si="92"/>
        <v/>
      </c>
      <c r="CK104" s="744" t="str">
        <f t="shared" si="93"/>
        <v/>
      </c>
      <c r="CL104" s="744" t="str">
        <f t="shared" si="94"/>
        <v/>
      </c>
      <c r="CM104" s="744" t="str">
        <f t="shared" si="95"/>
        <v/>
      </c>
      <c r="CN104" s="744" t="str">
        <f t="shared" si="96"/>
        <v/>
      </c>
      <c r="CO104" s="744" t="str">
        <f t="shared" si="97"/>
        <v/>
      </c>
      <c r="CP104" s="744" t="str">
        <f t="shared" si="98"/>
        <v/>
      </c>
      <c r="CQ104" s="744" t="str">
        <f t="shared" si="99"/>
        <v/>
      </c>
      <c r="CR104" s="744" t="str">
        <f t="shared" si="100"/>
        <v/>
      </c>
      <c r="CS104" s="744" t="str">
        <f t="shared" si="101"/>
        <v/>
      </c>
      <c r="CT104" s="744" t="str">
        <f t="shared" si="102"/>
        <v/>
      </c>
      <c r="CU104" s="744" t="str">
        <f t="shared" si="103"/>
        <v/>
      </c>
      <c r="CV104" s="744" t="str">
        <f t="shared" si="104"/>
        <v/>
      </c>
      <c r="CW104" s="744" t="str">
        <f t="shared" si="105"/>
        <v/>
      </c>
      <c r="CX104" s="744">
        <f t="shared" si="106"/>
        <v>0.21750399999999998</v>
      </c>
    </row>
    <row r="105" spans="1:102">
      <c r="A105" s="633">
        <v>101</v>
      </c>
      <c r="B105" s="630" t="s">
        <v>3</v>
      </c>
      <c r="C105" s="631" t="s">
        <v>249</v>
      </c>
      <c r="D105" s="630" t="s">
        <v>1390</v>
      </c>
      <c r="E105" s="632" t="s">
        <v>174</v>
      </c>
      <c r="F105" s="1067">
        <v>0.2</v>
      </c>
      <c r="G105" s="1066">
        <v>1</v>
      </c>
      <c r="H105" s="1070">
        <v>0.19</v>
      </c>
      <c r="I105" s="1070">
        <v>0.12540000000000001</v>
      </c>
      <c r="J105" s="1070">
        <v>5.8500000000000003E-2</v>
      </c>
      <c r="K105" s="1070">
        <v>1.5960000000000002E-2</v>
      </c>
      <c r="L105" s="1072">
        <v>0.104462</v>
      </c>
      <c r="M105" s="1070"/>
      <c r="N105" s="1070">
        <v>2.0099999999999998</v>
      </c>
      <c r="O105" s="1070"/>
      <c r="P105" s="1073">
        <v>5.5099999999999989</v>
      </c>
      <c r="Q105" s="1070">
        <v>24.414999999999999</v>
      </c>
      <c r="R105" s="1070"/>
      <c r="S105" s="1070"/>
      <c r="T105" s="1070"/>
      <c r="U105" s="1070"/>
      <c r="V105" s="1066"/>
      <c r="W105" s="1070"/>
      <c r="X105" s="1070"/>
      <c r="Y105" s="1070"/>
      <c r="Z105" s="1070"/>
      <c r="AA105" s="1070"/>
      <c r="AB105" s="1070"/>
      <c r="AC105" s="1070"/>
      <c r="AD105" s="1070"/>
      <c r="AE105" s="1070"/>
      <c r="AF105" s="1070"/>
      <c r="AG105" s="1070"/>
      <c r="AH105" s="1073"/>
      <c r="AI105" s="1070"/>
      <c r="AJ105" s="1070"/>
      <c r="AK105" s="1070"/>
      <c r="AL105" s="1082"/>
      <c r="AM105" s="1069"/>
      <c r="AN105" s="1070"/>
      <c r="AO105" s="1070"/>
      <c r="AP105" s="1070"/>
      <c r="AQ105" s="1070"/>
      <c r="AR105" s="1069"/>
      <c r="AS105" s="1282"/>
      <c r="AT105" s="1282"/>
      <c r="AU105" s="1069"/>
      <c r="AV105" s="1069"/>
      <c r="AW105" s="1069"/>
      <c r="AX105" s="1070"/>
      <c r="AY105" s="1070"/>
      <c r="AZ105" s="1078">
        <f t="shared" si="59"/>
        <v>0.19</v>
      </c>
      <c r="BA105" s="59">
        <v>101</v>
      </c>
      <c r="BB105" s="59">
        <f t="shared" si="60"/>
        <v>101</v>
      </c>
      <c r="BC105" s="60" t="str">
        <f t="shared" si="61"/>
        <v>Capim Sudão</v>
      </c>
      <c r="BD105" s="61" t="str">
        <f ca="1">IFERROR(IF(SEARCH('Calcular Dieta'!A$3,$BC$5:$BC$310)&gt;=1,BC105,"Não encontrado"),"Não encontrado")</f>
        <v>Capim Sudão</v>
      </c>
      <c r="BE105" s="62">
        <f ca="1">COUNTIF(BD$5:BD105,"&lt;&gt;"&amp;"Não encontrado")</f>
        <v>101</v>
      </c>
      <c r="BF105" s="63" t="str">
        <f t="shared" ca="1" si="62"/>
        <v>CAPIM SUDÃO</v>
      </c>
      <c r="BG105" s="744">
        <f t="shared" si="63"/>
        <v>0.12550500000000001</v>
      </c>
      <c r="BH105" s="744">
        <f t="shared" si="64"/>
        <v>5.8605000000000004E-2</v>
      </c>
      <c r="BI105" s="744">
        <f t="shared" si="65"/>
        <v>1.6065000000000003E-2</v>
      </c>
      <c r="BJ105" s="744">
        <f t="shared" si="66"/>
        <v>0.10456699999999999</v>
      </c>
      <c r="BK105" s="744" t="str">
        <f t="shared" si="67"/>
        <v/>
      </c>
      <c r="BL105" s="744">
        <f t="shared" si="68"/>
        <v>2.0101049999999998</v>
      </c>
      <c r="BM105" s="744" t="str">
        <f t="shared" si="69"/>
        <v/>
      </c>
      <c r="BN105" s="744">
        <f t="shared" si="70"/>
        <v>5.5101049999999985</v>
      </c>
      <c r="BO105" s="744">
        <f t="shared" si="71"/>
        <v>24.415105000000001</v>
      </c>
      <c r="BP105" s="744" t="str">
        <f t="shared" si="72"/>
        <v/>
      </c>
      <c r="BQ105" s="744" t="str">
        <f t="shared" si="73"/>
        <v/>
      </c>
      <c r="BR105" s="744" t="str">
        <f t="shared" si="74"/>
        <v/>
      </c>
      <c r="BS105" s="744" t="str">
        <f t="shared" si="75"/>
        <v/>
      </c>
      <c r="BT105" s="744" t="str">
        <f t="shared" si="76"/>
        <v/>
      </c>
      <c r="BU105" s="744" t="str">
        <f t="shared" si="77"/>
        <v/>
      </c>
      <c r="BV105" s="744" t="str">
        <f t="shared" si="78"/>
        <v/>
      </c>
      <c r="BW105" s="744" t="str">
        <f t="shared" si="79"/>
        <v/>
      </c>
      <c r="BX105" s="744" t="str">
        <f t="shared" si="80"/>
        <v/>
      </c>
      <c r="BY105" s="744" t="str">
        <f t="shared" si="81"/>
        <v/>
      </c>
      <c r="BZ105" s="744" t="str">
        <f t="shared" si="82"/>
        <v/>
      </c>
      <c r="CA105" s="744" t="str">
        <f t="shared" si="83"/>
        <v/>
      </c>
      <c r="CB105" s="744" t="str">
        <f t="shared" si="84"/>
        <v/>
      </c>
      <c r="CC105" s="744" t="str">
        <f t="shared" si="85"/>
        <v/>
      </c>
      <c r="CD105" s="744" t="str">
        <f t="shared" si="86"/>
        <v/>
      </c>
      <c r="CE105" s="744" t="str">
        <f t="shared" si="87"/>
        <v/>
      </c>
      <c r="CF105" s="744" t="str">
        <f t="shared" si="88"/>
        <v/>
      </c>
      <c r="CG105" s="744" t="str">
        <f t="shared" si="89"/>
        <v/>
      </c>
      <c r="CH105" s="744" t="str">
        <f t="shared" si="90"/>
        <v/>
      </c>
      <c r="CI105" s="744" t="str">
        <f t="shared" si="91"/>
        <v/>
      </c>
      <c r="CJ105" s="744" t="str">
        <f t="shared" si="92"/>
        <v/>
      </c>
      <c r="CK105" s="744" t="str">
        <f t="shared" si="93"/>
        <v/>
      </c>
      <c r="CL105" s="744" t="str">
        <f t="shared" si="94"/>
        <v/>
      </c>
      <c r="CM105" s="744" t="str">
        <f t="shared" si="95"/>
        <v/>
      </c>
      <c r="CN105" s="744" t="str">
        <f t="shared" si="96"/>
        <v/>
      </c>
      <c r="CO105" s="744" t="str">
        <f t="shared" si="97"/>
        <v/>
      </c>
      <c r="CP105" s="744" t="str">
        <f t="shared" si="98"/>
        <v/>
      </c>
      <c r="CQ105" s="744" t="str">
        <f t="shared" si="99"/>
        <v/>
      </c>
      <c r="CR105" s="744" t="str">
        <f t="shared" si="100"/>
        <v/>
      </c>
      <c r="CS105" s="744" t="str">
        <f t="shared" si="101"/>
        <v/>
      </c>
      <c r="CT105" s="744" t="str">
        <f t="shared" si="102"/>
        <v/>
      </c>
      <c r="CU105" s="744" t="str">
        <f t="shared" si="103"/>
        <v/>
      </c>
      <c r="CV105" s="744" t="str">
        <f t="shared" si="104"/>
        <v/>
      </c>
      <c r="CW105" s="744" t="str">
        <f t="shared" si="105"/>
        <v/>
      </c>
      <c r="CX105" s="744">
        <f t="shared" si="106"/>
        <v>0.190105</v>
      </c>
    </row>
    <row r="106" spans="1:102">
      <c r="A106" s="630">
        <v>102</v>
      </c>
      <c r="B106" s="630" t="s">
        <v>3</v>
      </c>
      <c r="C106" s="631" t="s">
        <v>249</v>
      </c>
      <c r="D106" s="630" t="s">
        <v>1390</v>
      </c>
      <c r="E106" s="632" t="s">
        <v>175</v>
      </c>
      <c r="F106" s="1067">
        <v>0.2</v>
      </c>
      <c r="G106" s="1066">
        <v>1</v>
      </c>
      <c r="H106" s="1070">
        <v>0.23440000000000003</v>
      </c>
      <c r="I106" s="1070">
        <v>0.16928368000000002</v>
      </c>
      <c r="J106" s="1070">
        <v>0.1101</v>
      </c>
      <c r="K106" s="1070">
        <v>2.7354480000000004E-2</v>
      </c>
      <c r="L106" s="1072">
        <v>0.11987216000000001</v>
      </c>
      <c r="M106" s="1070"/>
      <c r="N106" s="1070">
        <v>1.81</v>
      </c>
      <c r="O106" s="1070"/>
      <c r="P106" s="1073">
        <v>5.5318400000000008</v>
      </c>
      <c r="Q106" s="1070">
        <v>22.385200000000005</v>
      </c>
      <c r="R106" s="1070">
        <v>13.252038400000005</v>
      </c>
      <c r="S106" s="1279">
        <v>9.1331615999999993</v>
      </c>
      <c r="T106" s="1070">
        <v>15.678594080000002</v>
      </c>
      <c r="U106" s="1070"/>
      <c r="V106" s="1066">
        <v>1.3829600000000002</v>
      </c>
      <c r="W106" s="1070">
        <v>0.32816000000000006</v>
      </c>
      <c r="X106" s="1070">
        <v>0.82040000000000002</v>
      </c>
      <c r="Y106" s="1070">
        <v>2.3440000000000003E-2</v>
      </c>
      <c r="Z106" s="1070">
        <v>3.7738400000000007</v>
      </c>
      <c r="AA106" s="1070">
        <v>0.28128000000000003</v>
      </c>
      <c r="AB106" s="1070">
        <v>6.3</v>
      </c>
      <c r="AC106" s="1070">
        <v>22</v>
      </c>
      <c r="AD106" s="1070"/>
      <c r="AE106" s="1070">
        <v>51</v>
      </c>
      <c r="AF106" s="1070"/>
      <c r="AG106" s="1070">
        <v>0.23</v>
      </c>
      <c r="AH106" s="1073"/>
      <c r="AI106" s="1070"/>
      <c r="AJ106" s="1070"/>
      <c r="AK106" s="1070"/>
      <c r="AL106" s="1082"/>
      <c r="AM106" s="1069"/>
      <c r="AN106" s="1070"/>
      <c r="AO106" s="1070"/>
      <c r="AP106" s="1070"/>
      <c r="AQ106" s="1070"/>
      <c r="AR106" s="1069"/>
      <c r="AS106" s="1282"/>
      <c r="AT106" s="1282"/>
      <c r="AU106" s="1069"/>
      <c r="AV106" s="1069"/>
      <c r="AW106" s="1069"/>
      <c r="AX106" s="1070"/>
      <c r="AY106" s="1070"/>
      <c r="AZ106" s="1078">
        <f t="shared" si="59"/>
        <v>0.23440000000000003</v>
      </c>
      <c r="BA106" s="59">
        <v>102</v>
      </c>
      <c r="BB106" s="59">
        <f t="shared" si="60"/>
        <v>102</v>
      </c>
      <c r="BC106" s="60" t="str">
        <f t="shared" si="61"/>
        <v>Capim Tanzânia</v>
      </c>
      <c r="BD106" s="61" t="str">
        <f ca="1">IFERROR(IF(SEARCH('Calcular Dieta'!A$3,$BC$5:$BC$310)&gt;=1,BC106,"Não encontrado"),"Não encontrado")</f>
        <v>Capim Tanzânia</v>
      </c>
      <c r="BE106" s="62">
        <f ca="1">COUNTIF(BD$5:BD106,"&lt;&gt;"&amp;"Não encontrado")</f>
        <v>102</v>
      </c>
      <c r="BF106" s="63" t="str">
        <f t="shared" ca="1" si="62"/>
        <v>CAPIM TANZÂNIA</v>
      </c>
      <c r="BG106" s="744">
        <f t="shared" si="63"/>
        <v>0.16938968000000001</v>
      </c>
      <c r="BH106" s="744">
        <f t="shared" si="64"/>
        <v>0.110206</v>
      </c>
      <c r="BI106" s="744">
        <f t="shared" si="65"/>
        <v>2.7460480000000002E-2</v>
      </c>
      <c r="BJ106" s="744">
        <f t="shared" si="66"/>
        <v>0.11997816</v>
      </c>
      <c r="BK106" s="744" t="str">
        <f t="shared" si="67"/>
        <v/>
      </c>
      <c r="BL106" s="744">
        <f t="shared" si="68"/>
        <v>1.810106</v>
      </c>
      <c r="BM106" s="744" t="str">
        <f t="shared" si="69"/>
        <v/>
      </c>
      <c r="BN106" s="744">
        <f t="shared" si="70"/>
        <v>5.5319460000000005</v>
      </c>
      <c r="BO106" s="744">
        <f t="shared" si="71"/>
        <v>22.385306000000003</v>
      </c>
      <c r="BP106" s="744">
        <f t="shared" si="72"/>
        <v>13.252144400000006</v>
      </c>
      <c r="BQ106" s="744">
        <f t="shared" si="73"/>
        <v>9.1332675999999999</v>
      </c>
      <c r="BR106" s="744">
        <f t="shared" si="74"/>
        <v>15.678700080000002</v>
      </c>
      <c r="BS106" s="744" t="str">
        <f t="shared" si="75"/>
        <v/>
      </c>
      <c r="BT106" s="744">
        <f t="shared" si="76"/>
        <v>1.3830660000000001</v>
      </c>
      <c r="BU106" s="744">
        <f t="shared" si="77"/>
        <v>0.32826600000000006</v>
      </c>
      <c r="BV106" s="744">
        <f t="shared" si="78"/>
        <v>0.82050600000000007</v>
      </c>
      <c r="BW106" s="744">
        <f t="shared" si="79"/>
        <v>2.3546000000000001E-2</v>
      </c>
      <c r="BX106" s="744">
        <f t="shared" si="80"/>
        <v>3.7739460000000009</v>
      </c>
      <c r="BY106" s="744">
        <f t="shared" si="81"/>
        <v>0.28138600000000002</v>
      </c>
      <c r="BZ106" s="744">
        <f t="shared" si="82"/>
        <v>6.3001059999999995</v>
      </c>
      <c r="CA106" s="744">
        <f t="shared" si="83"/>
        <v>22.000105999999999</v>
      </c>
      <c r="CB106" s="744" t="str">
        <f t="shared" si="84"/>
        <v/>
      </c>
      <c r="CC106" s="744">
        <f t="shared" si="85"/>
        <v>51.000106000000002</v>
      </c>
      <c r="CD106" s="744" t="str">
        <f t="shared" si="86"/>
        <v/>
      </c>
      <c r="CE106" s="744">
        <f t="shared" si="87"/>
        <v>0.230106</v>
      </c>
      <c r="CF106" s="744" t="str">
        <f t="shared" si="88"/>
        <v/>
      </c>
      <c r="CG106" s="744" t="str">
        <f t="shared" si="89"/>
        <v/>
      </c>
      <c r="CH106" s="744" t="str">
        <f t="shared" si="90"/>
        <v/>
      </c>
      <c r="CI106" s="744" t="str">
        <f t="shared" si="91"/>
        <v/>
      </c>
      <c r="CJ106" s="744" t="str">
        <f t="shared" si="92"/>
        <v/>
      </c>
      <c r="CK106" s="744" t="str">
        <f t="shared" si="93"/>
        <v/>
      </c>
      <c r="CL106" s="744" t="str">
        <f t="shared" si="94"/>
        <v/>
      </c>
      <c r="CM106" s="744" t="str">
        <f t="shared" si="95"/>
        <v/>
      </c>
      <c r="CN106" s="744" t="str">
        <f t="shared" si="96"/>
        <v/>
      </c>
      <c r="CO106" s="744" t="str">
        <f t="shared" si="97"/>
        <v/>
      </c>
      <c r="CP106" s="744" t="str">
        <f t="shared" si="98"/>
        <v/>
      </c>
      <c r="CQ106" s="744" t="str">
        <f t="shared" si="99"/>
        <v/>
      </c>
      <c r="CR106" s="744" t="str">
        <f t="shared" si="100"/>
        <v/>
      </c>
      <c r="CS106" s="744" t="str">
        <f t="shared" si="101"/>
        <v/>
      </c>
      <c r="CT106" s="744" t="str">
        <f t="shared" si="102"/>
        <v/>
      </c>
      <c r="CU106" s="744" t="str">
        <f t="shared" si="103"/>
        <v/>
      </c>
      <c r="CV106" s="744" t="str">
        <f t="shared" si="104"/>
        <v/>
      </c>
      <c r="CW106" s="744" t="str">
        <f t="shared" si="105"/>
        <v/>
      </c>
      <c r="CX106" s="744">
        <f t="shared" si="106"/>
        <v>0.23450600000000002</v>
      </c>
    </row>
    <row r="107" spans="1:102">
      <c r="A107" s="633">
        <v>103</v>
      </c>
      <c r="B107" s="630" t="s">
        <v>3</v>
      </c>
      <c r="C107" s="631" t="s">
        <v>249</v>
      </c>
      <c r="D107" s="630" t="s">
        <v>1390</v>
      </c>
      <c r="E107" s="632" t="s">
        <v>176</v>
      </c>
      <c r="F107" s="1067">
        <v>0.2</v>
      </c>
      <c r="G107" s="1066">
        <v>1</v>
      </c>
      <c r="H107" s="1070">
        <v>0.30959999999999999</v>
      </c>
      <c r="I107" s="1070">
        <v>0.23142599999999999</v>
      </c>
      <c r="J107" s="1070">
        <v>0.1101</v>
      </c>
      <c r="K107" s="1070">
        <v>2.188872E-2</v>
      </c>
      <c r="L107" s="1072">
        <v>0.16411896000000001</v>
      </c>
      <c r="M107" s="1070"/>
      <c r="N107" s="1070">
        <v>1.84</v>
      </c>
      <c r="O107" s="1070"/>
      <c r="P107" s="1073">
        <v>5.2632000000000003</v>
      </c>
      <c r="Q107" s="1070">
        <v>17.46144</v>
      </c>
      <c r="R107" s="1070"/>
      <c r="S107" s="1070"/>
      <c r="T107" s="1070"/>
      <c r="U107" s="1070"/>
      <c r="V107" s="1066"/>
      <c r="W107" s="1070"/>
      <c r="X107" s="1070"/>
      <c r="Y107" s="1070"/>
      <c r="Z107" s="1070"/>
      <c r="AA107" s="1070"/>
      <c r="AB107" s="1070"/>
      <c r="AC107" s="1070"/>
      <c r="AD107" s="1070"/>
      <c r="AE107" s="1070"/>
      <c r="AF107" s="1070"/>
      <c r="AG107" s="1070"/>
      <c r="AH107" s="1073"/>
      <c r="AI107" s="1070"/>
      <c r="AJ107" s="1070"/>
      <c r="AK107" s="1070"/>
      <c r="AL107" s="1082"/>
      <c r="AM107" s="1069"/>
      <c r="AN107" s="1070"/>
      <c r="AO107" s="1070"/>
      <c r="AP107" s="1070"/>
      <c r="AQ107" s="1070"/>
      <c r="AR107" s="1069"/>
      <c r="AS107" s="1282"/>
      <c r="AT107" s="1282"/>
      <c r="AU107" s="1069"/>
      <c r="AV107" s="1069"/>
      <c r="AW107" s="1069"/>
      <c r="AX107" s="1070"/>
      <c r="AY107" s="1070"/>
      <c r="AZ107" s="1078">
        <f t="shared" si="59"/>
        <v>0.30959999999999999</v>
      </c>
      <c r="BA107" s="59">
        <v>103</v>
      </c>
      <c r="BB107" s="59">
        <f t="shared" si="60"/>
        <v>103</v>
      </c>
      <c r="BC107" s="60" t="str">
        <f t="shared" si="61"/>
        <v>Capim Tanzânia (61 A 90 Dias)</v>
      </c>
      <c r="BD107" s="61" t="str">
        <f ca="1">IFERROR(IF(SEARCH('Calcular Dieta'!A$3,$BC$5:$BC$310)&gt;=1,BC107,"Não encontrado"),"Não encontrado")</f>
        <v>Capim Tanzânia (61 A 90 Dias)</v>
      </c>
      <c r="BE107" s="62">
        <f ca="1">COUNTIF(BD$5:BD107,"&lt;&gt;"&amp;"Não encontrado")</f>
        <v>103</v>
      </c>
      <c r="BF107" s="63" t="str">
        <f t="shared" ca="1" si="62"/>
        <v>CAPIM TANZÂNIA (61 A 90 DIAS)</v>
      </c>
      <c r="BG107" s="744">
        <f t="shared" si="63"/>
        <v>0.23153299999999999</v>
      </c>
      <c r="BH107" s="744">
        <f t="shared" si="64"/>
        <v>0.110207</v>
      </c>
      <c r="BI107" s="744">
        <f t="shared" si="65"/>
        <v>2.199572E-2</v>
      </c>
      <c r="BJ107" s="744">
        <f t="shared" si="66"/>
        <v>0.16422596</v>
      </c>
      <c r="BK107" s="744" t="str">
        <f t="shared" si="67"/>
        <v/>
      </c>
      <c r="BL107" s="744">
        <f t="shared" si="68"/>
        <v>1.8401070000000002</v>
      </c>
      <c r="BM107" s="744" t="str">
        <f t="shared" si="69"/>
        <v/>
      </c>
      <c r="BN107" s="744">
        <f t="shared" si="70"/>
        <v>5.2633070000000002</v>
      </c>
      <c r="BO107" s="744">
        <f t="shared" si="71"/>
        <v>17.461546999999999</v>
      </c>
      <c r="BP107" s="744" t="str">
        <f t="shared" si="72"/>
        <v/>
      </c>
      <c r="BQ107" s="744" t="str">
        <f t="shared" si="73"/>
        <v/>
      </c>
      <c r="BR107" s="744" t="str">
        <f t="shared" si="74"/>
        <v/>
      </c>
      <c r="BS107" s="744" t="str">
        <f t="shared" si="75"/>
        <v/>
      </c>
      <c r="BT107" s="744" t="str">
        <f t="shared" si="76"/>
        <v/>
      </c>
      <c r="BU107" s="744" t="str">
        <f t="shared" si="77"/>
        <v/>
      </c>
      <c r="BV107" s="744" t="str">
        <f t="shared" si="78"/>
        <v/>
      </c>
      <c r="BW107" s="744" t="str">
        <f t="shared" si="79"/>
        <v/>
      </c>
      <c r="BX107" s="744" t="str">
        <f t="shared" si="80"/>
        <v/>
      </c>
      <c r="BY107" s="744" t="str">
        <f t="shared" si="81"/>
        <v/>
      </c>
      <c r="BZ107" s="744" t="str">
        <f t="shared" si="82"/>
        <v/>
      </c>
      <c r="CA107" s="744" t="str">
        <f t="shared" si="83"/>
        <v/>
      </c>
      <c r="CB107" s="744" t="str">
        <f t="shared" si="84"/>
        <v/>
      </c>
      <c r="CC107" s="744" t="str">
        <f t="shared" si="85"/>
        <v/>
      </c>
      <c r="CD107" s="744" t="str">
        <f t="shared" si="86"/>
        <v/>
      </c>
      <c r="CE107" s="744" t="str">
        <f t="shared" si="87"/>
        <v/>
      </c>
      <c r="CF107" s="744" t="str">
        <f t="shared" si="88"/>
        <v/>
      </c>
      <c r="CG107" s="744" t="str">
        <f t="shared" si="89"/>
        <v/>
      </c>
      <c r="CH107" s="744" t="str">
        <f t="shared" si="90"/>
        <v/>
      </c>
      <c r="CI107" s="744" t="str">
        <f t="shared" si="91"/>
        <v/>
      </c>
      <c r="CJ107" s="744" t="str">
        <f t="shared" si="92"/>
        <v/>
      </c>
      <c r="CK107" s="744" t="str">
        <f t="shared" si="93"/>
        <v/>
      </c>
      <c r="CL107" s="744" t="str">
        <f t="shared" si="94"/>
        <v/>
      </c>
      <c r="CM107" s="744" t="str">
        <f t="shared" si="95"/>
        <v/>
      </c>
      <c r="CN107" s="744" t="str">
        <f t="shared" si="96"/>
        <v/>
      </c>
      <c r="CO107" s="744" t="str">
        <f t="shared" si="97"/>
        <v/>
      </c>
      <c r="CP107" s="744" t="str">
        <f t="shared" si="98"/>
        <v/>
      </c>
      <c r="CQ107" s="744" t="str">
        <f t="shared" si="99"/>
        <v/>
      </c>
      <c r="CR107" s="744" t="str">
        <f t="shared" si="100"/>
        <v/>
      </c>
      <c r="CS107" s="744" t="str">
        <f t="shared" si="101"/>
        <v/>
      </c>
      <c r="CT107" s="744" t="str">
        <f t="shared" si="102"/>
        <v/>
      </c>
      <c r="CU107" s="744" t="str">
        <f t="shared" si="103"/>
        <v/>
      </c>
      <c r="CV107" s="744" t="str">
        <f t="shared" si="104"/>
        <v/>
      </c>
      <c r="CW107" s="744" t="str">
        <f t="shared" si="105"/>
        <v/>
      </c>
      <c r="CX107" s="744">
        <f t="shared" si="106"/>
        <v>0.30970700000000001</v>
      </c>
    </row>
    <row r="108" spans="1:102">
      <c r="A108" s="630">
        <v>104</v>
      </c>
      <c r="B108" s="630" t="s">
        <v>3</v>
      </c>
      <c r="C108" s="631" t="s">
        <v>249</v>
      </c>
      <c r="D108" s="630" t="s">
        <v>1390</v>
      </c>
      <c r="E108" s="632" t="s">
        <v>177</v>
      </c>
      <c r="F108" s="1067">
        <v>0.2</v>
      </c>
      <c r="G108" s="1066">
        <v>1</v>
      </c>
      <c r="H108" s="1070">
        <v>0.23129999999999998</v>
      </c>
      <c r="I108" s="1070">
        <v>0.16066097999999995</v>
      </c>
      <c r="J108" s="1070">
        <v>7.7399999999999997E-2</v>
      </c>
      <c r="K108" s="1070"/>
      <c r="L108" s="1072"/>
      <c r="M108" s="1070"/>
      <c r="N108" s="1070"/>
      <c r="O108" s="1070"/>
      <c r="P108" s="1073">
        <v>6.7308299999999992</v>
      </c>
      <c r="Q108" s="1070">
        <v>30.994199999999999</v>
      </c>
      <c r="R108" s="1070"/>
      <c r="S108" s="1070"/>
      <c r="T108" s="1070"/>
      <c r="U108" s="1070"/>
      <c r="V108" s="1066"/>
      <c r="W108" s="1070">
        <v>0.18504000000000001</v>
      </c>
      <c r="X108" s="1070">
        <v>0.27755999999999992</v>
      </c>
      <c r="Y108" s="1070"/>
      <c r="Z108" s="1070">
        <v>2.38239</v>
      </c>
      <c r="AA108" s="1070">
        <v>0.43946999999999997</v>
      </c>
      <c r="AB108" s="1070"/>
      <c r="AC108" s="1070"/>
      <c r="AD108" s="1070">
        <v>308.14999999999998</v>
      </c>
      <c r="AE108" s="1070"/>
      <c r="AF108" s="1070"/>
      <c r="AG108" s="1070"/>
      <c r="AH108" s="1073"/>
      <c r="AI108" s="1070"/>
      <c r="AJ108" s="1070"/>
      <c r="AK108" s="1070"/>
      <c r="AL108" s="1082"/>
      <c r="AM108" s="1069"/>
      <c r="AN108" s="1070"/>
      <c r="AO108" s="1070"/>
      <c r="AP108" s="1070"/>
      <c r="AQ108" s="1070"/>
      <c r="AR108" s="1069"/>
      <c r="AS108" s="1282"/>
      <c r="AT108" s="1282"/>
      <c r="AU108" s="1069"/>
      <c r="AV108" s="1069"/>
      <c r="AW108" s="1069"/>
      <c r="AX108" s="1070"/>
      <c r="AY108" s="1070"/>
      <c r="AZ108" s="1078">
        <f t="shared" si="59"/>
        <v>0.23129999999999998</v>
      </c>
      <c r="BA108" s="59">
        <v>104</v>
      </c>
      <c r="BB108" s="59">
        <f t="shared" si="60"/>
        <v>104</v>
      </c>
      <c r="BC108" s="60" t="str">
        <f t="shared" si="61"/>
        <v>Capim Tifton 68</v>
      </c>
      <c r="BD108" s="61" t="str">
        <f ca="1">IFERROR(IF(SEARCH('Calcular Dieta'!A$3,$BC$5:$BC$310)&gt;=1,BC108,"Não encontrado"),"Não encontrado")</f>
        <v>Capim Tifton 68</v>
      </c>
      <c r="BE108" s="62">
        <f ca="1">COUNTIF(BD$5:BD108,"&lt;&gt;"&amp;"Não encontrado")</f>
        <v>104</v>
      </c>
      <c r="BF108" s="63" t="str">
        <f t="shared" ca="1" si="62"/>
        <v>CAPIM TIFTON 68</v>
      </c>
      <c r="BG108" s="744">
        <f t="shared" si="63"/>
        <v>0.16076897999999995</v>
      </c>
      <c r="BH108" s="744">
        <f t="shared" si="64"/>
        <v>7.7507999999999994E-2</v>
      </c>
      <c r="BI108" s="744" t="str">
        <f t="shared" si="65"/>
        <v/>
      </c>
      <c r="BJ108" s="744" t="str">
        <f t="shared" si="66"/>
        <v/>
      </c>
      <c r="BK108" s="744" t="str">
        <f t="shared" si="67"/>
        <v/>
      </c>
      <c r="BL108" s="744" t="str">
        <f t="shared" si="68"/>
        <v/>
      </c>
      <c r="BM108" s="744" t="str">
        <f t="shared" si="69"/>
        <v/>
      </c>
      <c r="BN108" s="744">
        <f t="shared" si="70"/>
        <v>6.7309379999999992</v>
      </c>
      <c r="BO108" s="744">
        <f t="shared" si="71"/>
        <v>30.994308</v>
      </c>
      <c r="BP108" s="744" t="str">
        <f t="shared" si="72"/>
        <v/>
      </c>
      <c r="BQ108" s="744" t="str">
        <f t="shared" si="73"/>
        <v/>
      </c>
      <c r="BR108" s="744" t="str">
        <f t="shared" si="74"/>
        <v/>
      </c>
      <c r="BS108" s="744" t="str">
        <f t="shared" si="75"/>
        <v/>
      </c>
      <c r="BT108" s="744" t="str">
        <f t="shared" si="76"/>
        <v/>
      </c>
      <c r="BU108" s="744">
        <f t="shared" si="77"/>
        <v>0.18514800000000001</v>
      </c>
      <c r="BV108" s="744">
        <f t="shared" si="78"/>
        <v>0.27766799999999991</v>
      </c>
      <c r="BW108" s="744" t="str">
        <f t="shared" si="79"/>
        <v/>
      </c>
      <c r="BX108" s="744">
        <f t="shared" si="80"/>
        <v>2.382498</v>
      </c>
      <c r="BY108" s="744">
        <f t="shared" si="81"/>
        <v>0.43957799999999997</v>
      </c>
      <c r="BZ108" s="744" t="str">
        <f t="shared" si="82"/>
        <v/>
      </c>
      <c r="CA108" s="744" t="str">
        <f t="shared" si="83"/>
        <v/>
      </c>
      <c r="CB108" s="744">
        <f t="shared" si="84"/>
        <v>308.15010799999999</v>
      </c>
      <c r="CC108" s="744" t="str">
        <f t="shared" si="85"/>
        <v/>
      </c>
      <c r="CD108" s="744" t="str">
        <f t="shared" si="86"/>
        <v/>
      </c>
      <c r="CE108" s="744" t="str">
        <f t="shared" si="87"/>
        <v/>
      </c>
      <c r="CF108" s="744" t="str">
        <f t="shared" si="88"/>
        <v/>
      </c>
      <c r="CG108" s="744" t="str">
        <f t="shared" si="89"/>
        <v/>
      </c>
      <c r="CH108" s="744" t="str">
        <f t="shared" si="90"/>
        <v/>
      </c>
      <c r="CI108" s="744" t="str">
        <f t="shared" si="91"/>
        <v/>
      </c>
      <c r="CJ108" s="744" t="str">
        <f t="shared" si="92"/>
        <v/>
      </c>
      <c r="CK108" s="744" t="str">
        <f t="shared" si="93"/>
        <v/>
      </c>
      <c r="CL108" s="744" t="str">
        <f t="shared" si="94"/>
        <v/>
      </c>
      <c r="CM108" s="744" t="str">
        <f t="shared" si="95"/>
        <v/>
      </c>
      <c r="CN108" s="744" t="str">
        <f t="shared" si="96"/>
        <v/>
      </c>
      <c r="CO108" s="744" t="str">
        <f t="shared" si="97"/>
        <v/>
      </c>
      <c r="CP108" s="744" t="str">
        <f t="shared" si="98"/>
        <v/>
      </c>
      <c r="CQ108" s="744" t="str">
        <f t="shared" si="99"/>
        <v/>
      </c>
      <c r="CR108" s="744" t="str">
        <f t="shared" si="100"/>
        <v/>
      </c>
      <c r="CS108" s="744" t="str">
        <f t="shared" si="101"/>
        <v/>
      </c>
      <c r="CT108" s="744" t="str">
        <f t="shared" si="102"/>
        <v/>
      </c>
      <c r="CU108" s="744" t="str">
        <f t="shared" si="103"/>
        <v/>
      </c>
      <c r="CV108" s="744" t="str">
        <f t="shared" si="104"/>
        <v/>
      </c>
      <c r="CW108" s="744" t="str">
        <f t="shared" si="105"/>
        <v/>
      </c>
      <c r="CX108" s="744">
        <f t="shared" si="106"/>
        <v>0.23140799999999997</v>
      </c>
    </row>
    <row r="109" spans="1:102">
      <c r="A109" s="633">
        <v>105</v>
      </c>
      <c r="B109" s="630" t="s">
        <v>3</v>
      </c>
      <c r="C109" s="631" t="s">
        <v>249</v>
      </c>
      <c r="D109" s="630" t="s">
        <v>1390</v>
      </c>
      <c r="E109" s="632" t="s">
        <v>178</v>
      </c>
      <c r="F109" s="1067">
        <v>0.2</v>
      </c>
      <c r="G109" s="1066">
        <v>1</v>
      </c>
      <c r="H109" s="1070">
        <v>0.26960000000000001</v>
      </c>
      <c r="I109" s="1070">
        <v>0.20106768</v>
      </c>
      <c r="J109" s="1070">
        <v>0.106</v>
      </c>
      <c r="K109" s="1070">
        <v>2.5719839999999997E-2</v>
      </c>
      <c r="L109" s="1072">
        <v>0.10641112</v>
      </c>
      <c r="M109" s="1070"/>
      <c r="N109" s="1070">
        <v>1.39</v>
      </c>
      <c r="O109" s="1070"/>
      <c r="P109" s="1073">
        <v>5.3920000000000003</v>
      </c>
      <c r="Q109" s="1070">
        <v>34.80536</v>
      </c>
      <c r="R109" s="1279">
        <v>30.65352</v>
      </c>
      <c r="S109" s="1070">
        <v>4.15184</v>
      </c>
      <c r="T109" s="1070">
        <v>3.6396000000000006</v>
      </c>
      <c r="U109" s="1070"/>
      <c r="V109" s="1066">
        <v>1.45584</v>
      </c>
      <c r="W109" s="1070">
        <v>1.3480000000000001</v>
      </c>
      <c r="X109" s="1070">
        <v>0.45832000000000006</v>
      </c>
      <c r="Y109" s="1070"/>
      <c r="Z109" s="1070">
        <v>3.4508800000000002</v>
      </c>
      <c r="AA109" s="1070">
        <v>0.48527999999999999</v>
      </c>
      <c r="AB109" s="1070">
        <v>10.35</v>
      </c>
      <c r="AC109" s="1070">
        <v>32.22</v>
      </c>
      <c r="AD109" s="1070">
        <v>918</v>
      </c>
      <c r="AE109" s="1070">
        <v>305</v>
      </c>
      <c r="AF109" s="1070"/>
      <c r="AG109" s="1070"/>
      <c r="AH109" s="1073"/>
      <c r="AI109" s="1070"/>
      <c r="AJ109" s="1070"/>
      <c r="AK109" s="1070"/>
      <c r="AL109" s="1082"/>
      <c r="AM109" s="1069"/>
      <c r="AN109" s="1070"/>
      <c r="AO109" s="1070"/>
      <c r="AP109" s="1070"/>
      <c r="AQ109" s="1070"/>
      <c r="AR109" s="1069"/>
      <c r="AS109" s="1282"/>
      <c r="AT109" s="1282"/>
      <c r="AU109" s="1069"/>
      <c r="AV109" s="1069"/>
      <c r="AW109" s="1069"/>
      <c r="AX109" s="1070"/>
      <c r="AY109" s="1070"/>
      <c r="AZ109" s="1078">
        <f t="shared" si="59"/>
        <v>0.26960000000000001</v>
      </c>
      <c r="BA109" s="59">
        <v>105</v>
      </c>
      <c r="BB109" s="59">
        <f t="shared" si="60"/>
        <v>105</v>
      </c>
      <c r="BC109" s="60" t="str">
        <f t="shared" si="61"/>
        <v>Capim Tifton 85</v>
      </c>
      <c r="BD109" s="61" t="str">
        <f ca="1">IFERROR(IF(SEARCH('Calcular Dieta'!A$3,$BC$5:$BC$310)&gt;=1,BC109,"Não encontrado"),"Não encontrado")</f>
        <v>Capim Tifton 85</v>
      </c>
      <c r="BE109" s="62">
        <f ca="1">COUNTIF(BD$5:BD109,"&lt;&gt;"&amp;"Não encontrado")</f>
        <v>105</v>
      </c>
      <c r="BF109" s="63" t="str">
        <f t="shared" ca="1" si="62"/>
        <v>CAPIM TIFTON 85</v>
      </c>
      <c r="BG109" s="744">
        <f t="shared" si="63"/>
        <v>0.20117668</v>
      </c>
      <c r="BH109" s="744">
        <f t="shared" si="64"/>
        <v>0.10610899999999999</v>
      </c>
      <c r="BI109" s="744">
        <f t="shared" si="65"/>
        <v>2.5828839999999999E-2</v>
      </c>
      <c r="BJ109" s="744">
        <f t="shared" si="66"/>
        <v>0.10652012</v>
      </c>
      <c r="BK109" s="744" t="str">
        <f t="shared" si="67"/>
        <v/>
      </c>
      <c r="BL109" s="744">
        <f t="shared" si="68"/>
        <v>1.3901089999999998</v>
      </c>
      <c r="BM109" s="744" t="str">
        <f t="shared" si="69"/>
        <v/>
      </c>
      <c r="BN109" s="744">
        <f t="shared" si="70"/>
        <v>5.3921090000000005</v>
      </c>
      <c r="BO109" s="744">
        <f t="shared" si="71"/>
        <v>34.805469000000002</v>
      </c>
      <c r="BP109" s="744">
        <f t="shared" si="72"/>
        <v>30.653628999999999</v>
      </c>
      <c r="BQ109" s="744">
        <f t="shared" si="73"/>
        <v>4.1519490000000001</v>
      </c>
      <c r="BR109" s="744">
        <f t="shared" si="74"/>
        <v>3.6397090000000007</v>
      </c>
      <c r="BS109" s="744" t="str">
        <f t="shared" si="75"/>
        <v/>
      </c>
      <c r="BT109" s="744">
        <f t="shared" si="76"/>
        <v>1.4559489999999999</v>
      </c>
      <c r="BU109" s="744">
        <f t="shared" si="77"/>
        <v>1.348109</v>
      </c>
      <c r="BV109" s="744">
        <f t="shared" si="78"/>
        <v>0.45842900000000009</v>
      </c>
      <c r="BW109" s="744" t="str">
        <f t="shared" si="79"/>
        <v/>
      </c>
      <c r="BX109" s="744">
        <f t="shared" si="80"/>
        <v>3.4509890000000003</v>
      </c>
      <c r="BY109" s="744">
        <f t="shared" si="81"/>
        <v>0.48538900000000001</v>
      </c>
      <c r="BZ109" s="744">
        <f t="shared" si="82"/>
        <v>10.350109</v>
      </c>
      <c r="CA109" s="744">
        <f t="shared" si="83"/>
        <v>32.220109000000001</v>
      </c>
      <c r="CB109" s="744">
        <f t="shared" si="84"/>
        <v>918.00010899999995</v>
      </c>
      <c r="CC109" s="744">
        <f t="shared" si="85"/>
        <v>305.00010900000001</v>
      </c>
      <c r="CD109" s="744" t="str">
        <f t="shared" si="86"/>
        <v/>
      </c>
      <c r="CE109" s="744" t="str">
        <f t="shared" si="87"/>
        <v/>
      </c>
      <c r="CF109" s="744" t="str">
        <f t="shared" si="88"/>
        <v/>
      </c>
      <c r="CG109" s="744" t="str">
        <f t="shared" si="89"/>
        <v/>
      </c>
      <c r="CH109" s="744" t="str">
        <f t="shared" si="90"/>
        <v/>
      </c>
      <c r="CI109" s="744" t="str">
        <f t="shared" si="91"/>
        <v/>
      </c>
      <c r="CJ109" s="744" t="str">
        <f t="shared" si="92"/>
        <v/>
      </c>
      <c r="CK109" s="744" t="str">
        <f t="shared" si="93"/>
        <v/>
      </c>
      <c r="CL109" s="744" t="str">
        <f t="shared" si="94"/>
        <v/>
      </c>
      <c r="CM109" s="744" t="str">
        <f t="shared" si="95"/>
        <v/>
      </c>
      <c r="CN109" s="744" t="str">
        <f t="shared" si="96"/>
        <v/>
      </c>
      <c r="CO109" s="744" t="str">
        <f t="shared" si="97"/>
        <v/>
      </c>
      <c r="CP109" s="744" t="str">
        <f t="shared" si="98"/>
        <v/>
      </c>
      <c r="CQ109" s="744" t="str">
        <f t="shared" si="99"/>
        <v/>
      </c>
      <c r="CR109" s="744" t="str">
        <f t="shared" si="100"/>
        <v/>
      </c>
      <c r="CS109" s="744" t="str">
        <f t="shared" si="101"/>
        <v/>
      </c>
      <c r="CT109" s="744" t="str">
        <f t="shared" si="102"/>
        <v/>
      </c>
      <c r="CU109" s="744" t="str">
        <f t="shared" si="103"/>
        <v/>
      </c>
      <c r="CV109" s="744" t="str">
        <f t="shared" si="104"/>
        <v/>
      </c>
      <c r="CW109" s="744" t="str">
        <f t="shared" si="105"/>
        <v/>
      </c>
      <c r="CX109" s="744">
        <f t="shared" si="106"/>
        <v>0.26970900000000003</v>
      </c>
    </row>
    <row r="110" spans="1:102">
      <c r="A110" s="630">
        <v>106</v>
      </c>
      <c r="B110" s="630" t="s">
        <v>3</v>
      </c>
      <c r="C110" s="631" t="s">
        <v>249</v>
      </c>
      <c r="D110" s="630" t="s">
        <v>1390</v>
      </c>
      <c r="E110" s="632" t="s">
        <v>179</v>
      </c>
      <c r="F110" s="1067">
        <v>0.2</v>
      </c>
      <c r="G110" s="1066">
        <v>1</v>
      </c>
      <c r="H110" s="1070">
        <v>0.1656</v>
      </c>
      <c r="I110" s="1070">
        <v>0.11514168</v>
      </c>
      <c r="J110" s="1070">
        <v>6.3325439999999997E-2</v>
      </c>
      <c r="K110" s="1070">
        <v>1.748736E-2</v>
      </c>
      <c r="L110" s="1072">
        <v>8.0431920000000004E-2</v>
      </c>
      <c r="M110" s="1070"/>
      <c r="N110" s="1070">
        <v>1.81</v>
      </c>
      <c r="O110" s="1070"/>
      <c r="P110" s="1073">
        <v>3.6597599999999999</v>
      </c>
      <c r="Q110" s="1070">
        <v>28.284479999999999</v>
      </c>
      <c r="R110" s="1070"/>
      <c r="S110" s="1070"/>
      <c r="T110" s="1070"/>
      <c r="U110" s="1070"/>
      <c r="V110" s="1066">
        <v>1.1095200000000001</v>
      </c>
      <c r="W110" s="1070">
        <v>1.5731999999999999</v>
      </c>
      <c r="X110" s="1070"/>
      <c r="Y110" s="1070"/>
      <c r="Z110" s="1070"/>
      <c r="AA110" s="1070"/>
      <c r="AB110" s="1070"/>
      <c r="AC110" s="1070"/>
      <c r="AD110" s="1070">
        <v>918</v>
      </c>
      <c r="AE110" s="1070"/>
      <c r="AF110" s="1070"/>
      <c r="AG110" s="1070"/>
      <c r="AH110" s="1073"/>
      <c r="AI110" s="1070"/>
      <c r="AJ110" s="1070"/>
      <c r="AK110" s="1070"/>
      <c r="AL110" s="1082"/>
      <c r="AM110" s="1069"/>
      <c r="AN110" s="1070"/>
      <c r="AO110" s="1070"/>
      <c r="AP110" s="1070"/>
      <c r="AQ110" s="1070"/>
      <c r="AR110" s="1069"/>
      <c r="AS110" s="1282"/>
      <c r="AT110" s="1282"/>
      <c r="AU110" s="1069"/>
      <c r="AV110" s="1069"/>
      <c r="AW110" s="1069"/>
      <c r="AX110" s="1070"/>
      <c r="AY110" s="1070"/>
      <c r="AZ110" s="1078">
        <f t="shared" si="59"/>
        <v>0.1656</v>
      </c>
      <c r="BA110" s="59">
        <v>106</v>
      </c>
      <c r="BB110" s="59">
        <f t="shared" si="60"/>
        <v>106</v>
      </c>
      <c r="BC110" s="60" t="str">
        <f t="shared" si="61"/>
        <v>Capim Tifton 85 (26 A 30 Dias)</v>
      </c>
      <c r="BD110" s="61" t="str">
        <f ca="1">IFERROR(IF(SEARCH('Calcular Dieta'!A$3,$BC$5:$BC$310)&gt;=1,BC110,"Não encontrado"),"Não encontrado")</f>
        <v>Capim Tifton 85 (26 A 30 Dias)</v>
      </c>
      <c r="BE110" s="62">
        <f ca="1">COUNTIF(BD$5:BD110,"&lt;&gt;"&amp;"Não encontrado")</f>
        <v>106</v>
      </c>
      <c r="BF110" s="63" t="str">
        <f t="shared" ca="1" si="62"/>
        <v>CAPIM TIFTON 85 (26 A 30 DIAS)</v>
      </c>
      <c r="BG110" s="744">
        <f t="shared" si="63"/>
        <v>0.11525168</v>
      </c>
      <c r="BH110" s="744">
        <f t="shared" si="64"/>
        <v>6.3435439999999996E-2</v>
      </c>
      <c r="BI110" s="744">
        <f t="shared" si="65"/>
        <v>1.7597359999999999E-2</v>
      </c>
      <c r="BJ110" s="744">
        <f t="shared" si="66"/>
        <v>8.0541920000000003E-2</v>
      </c>
      <c r="BK110" s="744" t="str">
        <f t="shared" si="67"/>
        <v/>
      </c>
      <c r="BL110" s="744">
        <f t="shared" si="68"/>
        <v>1.8101100000000001</v>
      </c>
      <c r="BM110" s="744" t="str">
        <f t="shared" si="69"/>
        <v/>
      </c>
      <c r="BN110" s="744">
        <f t="shared" si="70"/>
        <v>3.6598699999999997</v>
      </c>
      <c r="BO110" s="744">
        <f t="shared" si="71"/>
        <v>28.284589999999998</v>
      </c>
      <c r="BP110" s="744" t="str">
        <f t="shared" si="72"/>
        <v/>
      </c>
      <c r="BQ110" s="744" t="str">
        <f t="shared" si="73"/>
        <v/>
      </c>
      <c r="BR110" s="744" t="str">
        <f t="shared" si="74"/>
        <v/>
      </c>
      <c r="BS110" s="744" t="str">
        <f t="shared" si="75"/>
        <v/>
      </c>
      <c r="BT110" s="744">
        <f t="shared" si="76"/>
        <v>1.1096300000000001</v>
      </c>
      <c r="BU110" s="744">
        <f t="shared" si="77"/>
        <v>1.57331</v>
      </c>
      <c r="BV110" s="744" t="str">
        <f t="shared" si="78"/>
        <v/>
      </c>
      <c r="BW110" s="744" t="str">
        <f t="shared" si="79"/>
        <v/>
      </c>
      <c r="BX110" s="744" t="str">
        <f t="shared" si="80"/>
        <v/>
      </c>
      <c r="BY110" s="744" t="str">
        <f t="shared" si="81"/>
        <v/>
      </c>
      <c r="BZ110" s="744" t="str">
        <f t="shared" si="82"/>
        <v/>
      </c>
      <c r="CA110" s="744" t="str">
        <f t="shared" si="83"/>
        <v/>
      </c>
      <c r="CB110" s="744">
        <f t="shared" si="84"/>
        <v>918.00010999999995</v>
      </c>
      <c r="CC110" s="744" t="str">
        <f t="shared" si="85"/>
        <v/>
      </c>
      <c r="CD110" s="744" t="str">
        <f t="shared" si="86"/>
        <v/>
      </c>
      <c r="CE110" s="744" t="str">
        <f t="shared" si="87"/>
        <v/>
      </c>
      <c r="CF110" s="744" t="str">
        <f t="shared" si="88"/>
        <v/>
      </c>
      <c r="CG110" s="744" t="str">
        <f t="shared" si="89"/>
        <v/>
      </c>
      <c r="CH110" s="744" t="str">
        <f t="shared" si="90"/>
        <v/>
      </c>
      <c r="CI110" s="744" t="str">
        <f t="shared" si="91"/>
        <v/>
      </c>
      <c r="CJ110" s="744" t="str">
        <f t="shared" si="92"/>
        <v/>
      </c>
      <c r="CK110" s="744" t="str">
        <f t="shared" si="93"/>
        <v/>
      </c>
      <c r="CL110" s="744" t="str">
        <f t="shared" si="94"/>
        <v/>
      </c>
      <c r="CM110" s="744" t="str">
        <f t="shared" si="95"/>
        <v/>
      </c>
      <c r="CN110" s="744" t="str">
        <f t="shared" si="96"/>
        <v/>
      </c>
      <c r="CO110" s="744" t="str">
        <f t="shared" si="97"/>
        <v/>
      </c>
      <c r="CP110" s="744" t="str">
        <f t="shared" si="98"/>
        <v/>
      </c>
      <c r="CQ110" s="744" t="str">
        <f t="shared" si="99"/>
        <v/>
      </c>
      <c r="CR110" s="744" t="str">
        <f t="shared" si="100"/>
        <v/>
      </c>
      <c r="CS110" s="744" t="str">
        <f t="shared" si="101"/>
        <v/>
      </c>
      <c r="CT110" s="744" t="str">
        <f t="shared" si="102"/>
        <v/>
      </c>
      <c r="CU110" s="744" t="str">
        <f t="shared" si="103"/>
        <v/>
      </c>
      <c r="CV110" s="744" t="str">
        <f t="shared" si="104"/>
        <v/>
      </c>
      <c r="CW110" s="744" t="str">
        <f t="shared" si="105"/>
        <v/>
      </c>
      <c r="CX110" s="744">
        <f t="shared" si="106"/>
        <v>0.16571</v>
      </c>
    </row>
    <row r="111" spans="1:102">
      <c r="A111" s="633">
        <v>107</v>
      </c>
      <c r="B111" s="630" t="s">
        <v>3</v>
      </c>
      <c r="C111" s="631" t="s">
        <v>249</v>
      </c>
      <c r="D111" s="630" t="s">
        <v>1390</v>
      </c>
      <c r="E111" s="632" t="s">
        <v>180</v>
      </c>
      <c r="F111" s="1067">
        <v>0.2</v>
      </c>
      <c r="G111" s="1066">
        <v>1</v>
      </c>
      <c r="H111" s="1070">
        <v>0.28149999999999997</v>
      </c>
      <c r="I111" s="1070">
        <v>0.21013974999999999</v>
      </c>
      <c r="J111" s="1070">
        <v>0.1178</v>
      </c>
      <c r="K111" s="1070">
        <v>4.0395249999999987E-2</v>
      </c>
      <c r="L111" s="1072">
        <v>0.16239734999999997</v>
      </c>
      <c r="M111" s="1070"/>
      <c r="N111" s="1070">
        <v>2.0699999999999998</v>
      </c>
      <c r="O111" s="1070"/>
      <c r="P111" s="1073">
        <v>5.4611000000000001</v>
      </c>
      <c r="Q111" s="1070">
        <v>24.687549999999998</v>
      </c>
      <c r="R111" s="1070"/>
      <c r="S111" s="1070"/>
      <c r="T111" s="1070"/>
      <c r="U111" s="1070"/>
      <c r="V111" s="1066"/>
      <c r="W111" s="1070"/>
      <c r="X111" s="1070"/>
      <c r="Y111" s="1070"/>
      <c r="Z111" s="1070"/>
      <c r="AA111" s="1070"/>
      <c r="AB111" s="1070"/>
      <c r="AC111" s="1070"/>
      <c r="AD111" s="1070">
        <v>918</v>
      </c>
      <c r="AE111" s="1070"/>
      <c r="AF111" s="1070"/>
      <c r="AG111" s="1070"/>
      <c r="AH111" s="1073"/>
      <c r="AI111" s="1070"/>
      <c r="AJ111" s="1070"/>
      <c r="AK111" s="1070"/>
      <c r="AL111" s="1082"/>
      <c r="AM111" s="1069"/>
      <c r="AN111" s="1070"/>
      <c r="AO111" s="1070"/>
      <c r="AP111" s="1070"/>
      <c r="AQ111" s="1070"/>
      <c r="AR111" s="1069"/>
      <c r="AS111" s="1282"/>
      <c r="AT111" s="1282"/>
      <c r="AU111" s="1069"/>
      <c r="AV111" s="1069"/>
      <c r="AW111" s="1069"/>
      <c r="AX111" s="1070"/>
      <c r="AY111" s="1070"/>
      <c r="AZ111" s="1078">
        <f t="shared" si="59"/>
        <v>0.28149999999999997</v>
      </c>
      <c r="BA111" s="59">
        <v>107</v>
      </c>
      <c r="BB111" s="59">
        <f t="shared" si="60"/>
        <v>107</v>
      </c>
      <c r="BC111" s="60" t="str">
        <f t="shared" si="61"/>
        <v>Capim Tifton 85 (46 A 60 Dias)</v>
      </c>
      <c r="BD111" s="61" t="str">
        <f ca="1">IFERROR(IF(SEARCH('Calcular Dieta'!A$3,$BC$5:$BC$310)&gt;=1,BC111,"Não encontrado"),"Não encontrado")</f>
        <v>Capim Tifton 85 (46 A 60 Dias)</v>
      </c>
      <c r="BE111" s="62">
        <f ca="1">COUNTIF(BD$5:BD111,"&lt;&gt;"&amp;"Não encontrado")</f>
        <v>107</v>
      </c>
      <c r="BF111" s="63" t="str">
        <f t="shared" ca="1" si="62"/>
        <v>CAPIM TIFTON 85 (46 A 60 DIAS)</v>
      </c>
      <c r="BG111" s="744">
        <f t="shared" si="63"/>
        <v>0.21025074999999999</v>
      </c>
      <c r="BH111" s="744">
        <f t="shared" si="64"/>
        <v>0.117911</v>
      </c>
      <c r="BI111" s="744">
        <f t="shared" si="65"/>
        <v>4.0506249999999987E-2</v>
      </c>
      <c r="BJ111" s="744">
        <f t="shared" si="66"/>
        <v>0.16250834999999997</v>
      </c>
      <c r="BK111" s="744" t="str">
        <f t="shared" si="67"/>
        <v/>
      </c>
      <c r="BL111" s="744">
        <f t="shared" si="68"/>
        <v>2.0701109999999998</v>
      </c>
      <c r="BM111" s="744" t="str">
        <f t="shared" si="69"/>
        <v/>
      </c>
      <c r="BN111" s="744">
        <f t="shared" si="70"/>
        <v>5.4612110000000005</v>
      </c>
      <c r="BO111" s="744">
        <f t="shared" si="71"/>
        <v>24.687660999999999</v>
      </c>
      <c r="BP111" s="744" t="str">
        <f t="shared" si="72"/>
        <v/>
      </c>
      <c r="BQ111" s="744" t="str">
        <f t="shared" si="73"/>
        <v/>
      </c>
      <c r="BR111" s="744" t="str">
        <f t="shared" si="74"/>
        <v/>
      </c>
      <c r="BS111" s="744" t="str">
        <f t="shared" si="75"/>
        <v/>
      </c>
      <c r="BT111" s="744" t="str">
        <f t="shared" si="76"/>
        <v/>
      </c>
      <c r="BU111" s="744" t="str">
        <f t="shared" si="77"/>
        <v/>
      </c>
      <c r="BV111" s="744" t="str">
        <f t="shared" si="78"/>
        <v/>
      </c>
      <c r="BW111" s="744" t="str">
        <f t="shared" si="79"/>
        <v/>
      </c>
      <c r="BX111" s="744" t="str">
        <f t="shared" si="80"/>
        <v/>
      </c>
      <c r="BY111" s="744" t="str">
        <f t="shared" si="81"/>
        <v/>
      </c>
      <c r="BZ111" s="744" t="str">
        <f t="shared" si="82"/>
        <v/>
      </c>
      <c r="CA111" s="744" t="str">
        <f t="shared" si="83"/>
        <v/>
      </c>
      <c r="CB111" s="744">
        <f t="shared" si="84"/>
        <v>918.00011099999995</v>
      </c>
      <c r="CC111" s="744" t="str">
        <f t="shared" si="85"/>
        <v/>
      </c>
      <c r="CD111" s="744" t="str">
        <f t="shared" si="86"/>
        <v/>
      </c>
      <c r="CE111" s="744" t="str">
        <f t="shared" si="87"/>
        <v/>
      </c>
      <c r="CF111" s="744" t="str">
        <f t="shared" si="88"/>
        <v/>
      </c>
      <c r="CG111" s="744" t="str">
        <f t="shared" si="89"/>
        <v/>
      </c>
      <c r="CH111" s="744" t="str">
        <f t="shared" si="90"/>
        <v/>
      </c>
      <c r="CI111" s="744" t="str">
        <f t="shared" si="91"/>
        <v/>
      </c>
      <c r="CJ111" s="744" t="str">
        <f t="shared" si="92"/>
        <v/>
      </c>
      <c r="CK111" s="744" t="str">
        <f t="shared" si="93"/>
        <v/>
      </c>
      <c r="CL111" s="744" t="str">
        <f t="shared" si="94"/>
        <v/>
      </c>
      <c r="CM111" s="744" t="str">
        <f t="shared" si="95"/>
        <v/>
      </c>
      <c r="CN111" s="744" t="str">
        <f t="shared" si="96"/>
        <v/>
      </c>
      <c r="CO111" s="744" t="str">
        <f t="shared" si="97"/>
        <v/>
      </c>
      <c r="CP111" s="744" t="str">
        <f t="shared" si="98"/>
        <v/>
      </c>
      <c r="CQ111" s="744" t="str">
        <f t="shared" si="99"/>
        <v/>
      </c>
      <c r="CR111" s="744" t="str">
        <f t="shared" si="100"/>
        <v/>
      </c>
      <c r="CS111" s="744" t="str">
        <f t="shared" si="101"/>
        <v/>
      </c>
      <c r="CT111" s="744" t="str">
        <f t="shared" si="102"/>
        <v/>
      </c>
      <c r="CU111" s="744" t="str">
        <f t="shared" si="103"/>
        <v/>
      </c>
      <c r="CV111" s="744" t="str">
        <f t="shared" si="104"/>
        <v/>
      </c>
      <c r="CW111" s="744" t="str">
        <f t="shared" si="105"/>
        <v/>
      </c>
      <c r="CX111" s="744">
        <f t="shared" si="106"/>
        <v>0.28161099999999994</v>
      </c>
    </row>
    <row r="112" spans="1:102">
      <c r="A112" s="630">
        <v>108</v>
      </c>
      <c r="B112" s="630" t="s">
        <v>3</v>
      </c>
      <c r="C112" s="631" t="s">
        <v>249</v>
      </c>
      <c r="D112" s="630" t="s">
        <v>1390</v>
      </c>
      <c r="E112" s="632" t="s">
        <v>181</v>
      </c>
      <c r="F112" s="1067">
        <v>0.6</v>
      </c>
      <c r="G112" s="1066">
        <v>1</v>
      </c>
      <c r="H112" s="1070">
        <v>0.88659999999999994</v>
      </c>
      <c r="I112" s="1070">
        <v>0.68587375999999989</v>
      </c>
      <c r="J112" s="1070">
        <v>0.35389999999999999</v>
      </c>
      <c r="K112" s="1070">
        <v>7.6158939999999994E-2</v>
      </c>
      <c r="L112" s="1072">
        <v>0.48399494000000004</v>
      </c>
      <c r="M112" s="1070"/>
      <c r="N112" s="1070">
        <v>1.95</v>
      </c>
      <c r="O112" s="1070"/>
      <c r="P112" s="1073">
        <v>14.185599999999999</v>
      </c>
      <c r="Q112" s="1070">
        <v>81.921839999999989</v>
      </c>
      <c r="R112" s="1070">
        <v>20.742609887999997</v>
      </c>
      <c r="S112" s="1070">
        <v>23.667219575999997</v>
      </c>
      <c r="T112" s="1070">
        <v>32.785120368000001</v>
      </c>
      <c r="U112" s="1070"/>
      <c r="V112" s="1066">
        <v>3.6350599999999993</v>
      </c>
      <c r="W112" s="1070">
        <v>2.12784</v>
      </c>
      <c r="X112" s="1070">
        <v>0.79793999999999987</v>
      </c>
      <c r="Y112" s="1070">
        <v>0.17731999999999998</v>
      </c>
      <c r="Z112" s="1070">
        <v>11.703119999999998</v>
      </c>
      <c r="AA112" s="1070">
        <v>2.12784</v>
      </c>
      <c r="AB112" s="1070">
        <v>12.66</v>
      </c>
      <c r="AC112" s="1070">
        <v>50.51</v>
      </c>
      <c r="AD112" s="1070"/>
      <c r="AE112" s="1070">
        <v>142.58000000000001</v>
      </c>
      <c r="AF112" s="1070"/>
      <c r="AG112" s="1070">
        <v>0.13</v>
      </c>
      <c r="AH112" s="1073"/>
      <c r="AI112" s="1070"/>
      <c r="AJ112" s="1070"/>
      <c r="AK112" s="1070"/>
      <c r="AL112" s="1082"/>
      <c r="AM112" s="1069"/>
      <c r="AN112" s="1070"/>
      <c r="AO112" s="1070"/>
      <c r="AP112" s="1070"/>
      <c r="AQ112" s="1070"/>
      <c r="AR112" s="1069"/>
      <c r="AS112" s="1282"/>
      <c r="AT112" s="1282"/>
      <c r="AU112" s="1069"/>
      <c r="AV112" s="1069"/>
      <c r="AW112" s="1069"/>
      <c r="AX112" s="1070"/>
      <c r="AY112" s="1070"/>
      <c r="AZ112" s="1078">
        <f t="shared" si="59"/>
        <v>0.88659999999999994</v>
      </c>
      <c r="BA112" s="59">
        <v>108</v>
      </c>
      <c r="BB112" s="59">
        <f t="shared" si="60"/>
        <v>108</v>
      </c>
      <c r="BC112" s="60" t="str">
        <f t="shared" si="61"/>
        <v>Capim Tifton 85, Feno</v>
      </c>
      <c r="BD112" s="61" t="str">
        <f ca="1">IFERROR(IF(SEARCH('Calcular Dieta'!A$3,$BC$5:$BC$310)&gt;=1,BC112,"Não encontrado"),"Não encontrado")</f>
        <v>Capim Tifton 85, Feno</v>
      </c>
      <c r="BE112" s="62">
        <f ca="1">COUNTIF(BD$5:BD112,"&lt;&gt;"&amp;"Não encontrado")</f>
        <v>108</v>
      </c>
      <c r="BF112" s="63" t="str">
        <f t="shared" ca="1" si="62"/>
        <v>CAPIM TIFTON 85, FENO</v>
      </c>
      <c r="BG112" s="744">
        <f t="shared" si="63"/>
        <v>0.68598575999999989</v>
      </c>
      <c r="BH112" s="744">
        <f t="shared" si="64"/>
        <v>0.35401199999999999</v>
      </c>
      <c r="BI112" s="744">
        <f t="shared" si="65"/>
        <v>7.6270939999999995E-2</v>
      </c>
      <c r="BJ112" s="744">
        <f t="shared" si="66"/>
        <v>0.48410694000000004</v>
      </c>
      <c r="BK112" s="744" t="str">
        <f t="shared" si="67"/>
        <v/>
      </c>
      <c r="BL112" s="744">
        <f t="shared" si="68"/>
        <v>1.9501119999999998</v>
      </c>
      <c r="BM112" s="744" t="str">
        <f t="shared" si="69"/>
        <v/>
      </c>
      <c r="BN112" s="744">
        <f t="shared" si="70"/>
        <v>14.185711999999999</v>
      </c>
      <c r="BO112" s="744">
        <f t="shared" si="71"/>
        <v>81.92195199999999</v>
      </c>
      <c r="BP112" s="744">
        <f t="shared" si="72"/>
        <v>20.742721887999998</v>
      </c>
      <c r="BQ112" s="744">
        <f t="shared" si="73"/>
        <v>23.667331575999999</v>
      </c>
      <c r="BR112" s="744">
        <f t="shared" si="74"/>
        <v>32.785232368000003</v>
      </c>
      <c r="BS112" s="744" t="str">
        <f t="shared" si="75"/>
        <v/>
      </c>
      <c r="BT112" s="744">
        <f t="shared" si="76"/>
        <v>3.6351719999999994</v>
      </c>
      <c r="BU112" s="744">
        <f t="shared" si="77"/>
        <v>2.1279520000000001</v>
      </c>
      <c r="BV112" s="744">
        <f t="shared" si="78"/>
        <v>0.79805199999999987</v>
      </c>
      <c r="BW112" s="744">
        <f t="shared" si="79"/>
        <v>0.17743199999999998</v>
      </c>
      <c r="BX112" s="744">
        <f t="shared" si="80"/>
        <v>11.703231999999998</v>
      </c>
      <c r="BY112" s="744">
        <f t="shared" si="81"/>
        <v>2.1279520000000001</v>
      </c>
      <c r="BZ112" s="744">
        <f t="shared" si="82"/>
        <v>12.660112</v>
      </c>
      <c r="CA112" s="744">
        <f t="shared" si="83"/>
        <v>50.510111999999999</v>
      </c>
      <c r="CB112" s="744" t="str">
        <f t="shared" si="84"/>
        <v/>
      </c>
      <c r="CC112" s="744">
        <f t="shared" si="85"/>
        <v>142.58011200000001</v>
      </c>
      <c r="CD112" s="744" t="str">
        <f t="shared" si="86"/>
        <v/>
      </c>
      <c r="CE112" s="744">
        <f t="shared" si="87"/>
        <v>0.13011200000000001</v>
      </c>
      <c r="CF112" s="744" t="str">
        <f t="shared" si="88"/>
        <v/>
      </c>
      <c r="CG112" s="744" t="str">
        <f t="shared" si="89"/>
        <v/>
      </c>
      <c r="CH112" s="744" t="str">
        <f t="shared" si="90"/>
        <v/>
      </c>
      <c r="CI112" s="744" t="str">
        <f t="shared" si="91"/>
        <v/>
      </c>
      <c r="CJ112" s="744" t="str">
        <f t="shared" si="92"/>
        <v/>
      </c>
      <c r="CK112" s="744" t="str">
        <f t="shared" si="93"/>
        <v/>
      </c>
      <c r="CL112" s="744" t="str">
        <f t="shared" si="94"/>
        <v/>
      </c>
      <c r="CM112" s="744" t="str">
        <f t="shared" si="95"/>
        <v/>
      </c>
      <c r="CN112" s="744" t="str">
        <f t="shared" si="96"/>
        <v/>
      </c>
      <c r="CO112" s="744" t="str">
        <f t="shared" si="97"/>
        <v/>
      </c>
      <c r="CP112" s="744" t="str">
        <f t="shared" si="98"/>
        <v/>
      </c>
      <c r="CQ112" s="744" t="str">
        <f t="shared" si="99"/>
        <v/>
      </c>
      <c r="CR112" s="744" t="str">
        <f t="shared" si="100"/>
        <v/>
      </c>
      <c r="CS112" s="744" t="str">
        <f t="shared" si="101"/>
        <v/>
      </c>
      <c r="CT112" s="744" t="str">
        <f t="shared" si="102"/>
        <v/>
      </c>
      <c r="CU112" s="744" t="str">
        <f t="shared" si="103"/>
        <v/>
      </c>
      <c r="CV112" s="744" t="str">
        <f t="shared" si="104"/>
        <v/>
      </c>
      <c r="CW112" s="744" t="str">
        <f t="shared" si="105"/>
        <v/>
      </c>
      <c r="CX112" s="744">
        <f t="shared" si="106"/>
        <v>0.88671199999999994</v>
      </c>
    </row>
    <row r="113" spans="1:102">
      <c r="A113" s="633">
        <v>109</v>
      </c>
      <c r="B113" s="630" t="s">
        <v>4</v>
      </c>
      <c r="C113" s="631" t="s">
        <v>253</v>
      </c>
      <c r="D113" s="630" t="s">
        <v>1390</v>
      </c>
      <c r="E113" s="632" t="s">
        <v>469</v>
      </c>
      <c r="F113" s="1067">
        <v>1</v>
      </c>
      <c r="G113" s="1066">
        <v>1</v>
      </c>
      <c r="H113" s="1070">
        <v>1</v>
      </c>
      <c r="I113" s="1070"/>
      <c r="J113" s="1070"/>
      <c r="K113" s="1070"/>
      <c r="L113" s="1072"/>
      <c r="M113" s="1070"/>
      <c r="N113" s="1070"/>
      <c r="O113" s="1070"/>
      <c r="P113" s="1073"/>
      <c r="Q113" s="1070"/>
      <c r="R113" s="1070"/>
      <c r="S113" s="1070"/>
      <c r="T113" s="1070"/>
      <c r="U113" s="1070"/>
      <c r="V113" s="1066"/>
      <c r="W113" s="1070"/>
      <c r="X113" s="1070"/>
      <c r="Y113" s="1070"/>
      <c r="Z113" s="1070"/>
      <c r="AA113" s="1070"/>
      <c r="AB113" s="1070"/>
      <c r="AC113" s="1070"/>
      <c r="AD113" s="1070"/>
      <c r="AE113" s="1070"/>
      <c r="AF113" s="1070"/>
      <c r="AG113" s="1070"/>
      <c r="AH113" s="1073"/>
      <c r="AI113" s="1070"/>
      <c r="AJ113" s="1070"/>
      <c r="AK113" s="1070"/>
      <c r="AL113" s="1082"/>
      <c r="AM113" s="1069"/>
      <c r="AN113" s="1070"/>
      <c r="AO113" s="1070"/>
      <c r="AP113" s="1070"/>
      <c r="AQ113" s="1070"/>
      <c r="AR113" s="1069"/>
      <c r="AS113" s="1282"/>
      <c r="AT113" s="1282"/>
      <c r="AU113" s="1069"/>
      <c r="AV113" s="1069"/>
      <c r="AW113" s="1069"/>
      <c r="AX113" s="1070"/>
      <c r="AY113" s="1070"/>
      <c r="AZ113" s="1078">
        <f t="shared" si="59"/>
        <v>1</v>
      </c>
      <c r="BA113" s="59">
        <v>109</v>
      </c>
      <c r="BB113" s="59">
        <f t="shared" si="60"/>
        <v>109</v>
      </c>
      <c r="BC113" s="60" t="str">
        <f t="shared" si="61"/>
        <v>Caulin</v>
      </c>
      <c r="BD113" s="61" t="str">
        <f ca="1">IFERROR(IF(SEARCH('Calcular Dieta'!A$3,$BC$5:$BC$310)&gt;=1,BC113,"Não encontrado"),"Não encontrado")</f>
        <v>Caulin</v>
      </c>
      <c r="BE113" s="62">
        <f ca="1">COUNTIF(BD$5:BD113,"&lt;&gt;"&amp;"Não encontrado")</f>
        <v>109</v>
      </c>
      <c r="BF113" s="63" t="str">
        <f t="shared" ca="1" si="62"/>
        <v>CAULIN</v>
      </c>
      <c r="BG113" s="744" t="str">
        <f t="shared" si="63"/>
        <v/>
      </c>
      <c r="BH113" s="744" t="str">
        <f t="shared" si="64"/>
        <v/>
      </c>
      <c r="BI113" s="744" t="str">
        <f t="shared" si="65"/>
        <v/>
      </c>
      <c r="BJ113" s="744" t="str">
        <f t="shared" si="66"/>
        <v/>
      </c>
      <c r="BK113" s="744" t="str">
        <f t="shared" si="67"/>
        <v/>
      </c>
      <c r="BL113" s="744" t="str">
        <f t="shared" si="68"/>
        <v/>
      </c>
      <c r="BM113" s="744" t="str">
        <f t="shared" si="69"/>
        <v/>
      </c>
      <c r="BN113" s="744" t="str">
        <f t="shared" si="70"/>
        <v/>
      </c>
      <c r="BO113" s="744" t="str">
        <f t="shared" si="71"/>
        <v/>
      </c>
      <c r="BP113" s="744" t="str">
        <f t="shared" si="72"/>
        <v/>
      </c>
      <c r="BQ113" s="744" t="str">
        <f t="shared" si="73"/>
        <v/>
      </c>
      <c r="BR113" s="744" t="str">
        <f t="shared" si="74"/>
        <v/>
      </c>
      <c r="BS113" s="744" t="str">
        <f t="shared" si="75"/>
        <v/>
      </c>
      <c r="BT113" s="744" t="str">
        <f t="shared" si="76"/>
        <v/>
      </c>
      <c r="BU113" s="744" t="str">
        <f t="shared" si="77"/>
        <v/>
      </c>
      <c r="BV113" s="744" t="str">
        <f t="shared" si="78"/>
        <v/>
      </c>
      <c r="BW113" s="744" t="str">
        <f t="shared" si="79"/>
        <v/>
      </c>
      <c r="BX113" s="744" t="str">
        <f t="shared" si="80"/>
        <v/>
      </c>
      <c r="BY113" s="744" t="str">
        <f t="shared" si="81"/>
        <v/>
      </c>
      <c r="BZ113" s="744" t="str">
        <f t="shared" si="82"/>
        <v/>
      </c>
      <c r="CA113" s="744" t="str">
        <f t="shared" si="83"/>
        <v/>
      </c>
      <c r="CB113" s="744" t="str">
        <f t="shared" si="84"/>
        <v/>
      </c>
      <c r="CC113" s="744" t="str">
        <f t="shared" si="85"/>
        <v/>
      </c>
      <c r="CD113" s="744" t="str">
        <f t="shared" si="86"/>
        <v/>
      </c>
      <c r="CE113" s="744" t="str">
        <f t="shared" si="87"/>
        <v/>
      </c>
      <c r="CF113" s="744" t="str">
        <f t="shared" si="88"/>
        <v/>
      </c>
      <c r="CG113" s="744" t="str">
        <f t="shared" si="89"/>
        <v/>
      </c>
      <c r="CH113" s="744" t="str">
        <f t="shared" si="90"/>
        <v/>
      </c>
      <c r="CI113" s="744" t="str">
        <f t="shared" si="91"/>
        <v/>
      </c>
      <c r="CJ113" s="744" t="str">
        <f t="shared" si="92"/>
        <v/>
      </c>
      <c r="CK113" s="744" t="str">
        <f t="shared" si="93"/>
        <v/>
      </c>
      <c r="CL113" s="744" t="str">
        <f t="shared" si="94"/>
        <v/>
      </c>
      <c r="CM113" s="744" t="str">
        <f t="shared" si="95"/>
        <v/>
      </c>
      <c r="CN113" s="744" t="str">
        <f t="shared" si="96"/>
        <v/>
      </c>
      <c r="CO113" s="744" t="str">
        <f t="shared" si="97"/>
        <v/>
      </c>
      <c r="CP113" s="744" t="str">
        <f t="shared" si="98"/>
        <v/>
      </c>
      <c r="CQ113" s="744" t="str">
        <f t="shared" si="99"/>
        <v/>
      </c>
      <c r="CR113" s="744" t="str">
        <f t="shared" si="100"/>
        <v/>
      </c>
      <c r="CS113" s="744" t="str">
        <f t="shared" si="101"/>
        <v/>
      </c>
      <c r="CT113" s="744" t="str">
        <f t="shared" si="102"/>
        <v/>
      </c>
      <c r="CU113" s="744" t="str">
        <f t="shared" si="103"/>
        <v/>
      </c>
      <c r="CV113" s="744" t="str">
        <f t="shared" si="104"/>
        <v/>
      </c>
      <c r="CW113" s="744" t="str">
        <f t="shared" si="105"/>
        <v/>
      </c>
      <c r="CX113" s="744">
        <f t="shared" si="106"/>
        <v>1.000113</v>
      </c>
    </row>
    <row r="114" spans="1:102">
      <c r="A114" s="630">
        <v>110</v>
      </c>
      <c r="B114" s="630" t="s">
        <v>4</v>
      </c>
      <c r="C114" s="631" t="s">
        <v>750</v>
      </c>
      <c r="D114" s="630" t="s">
        <v>1394</v>
      </c>
      <c r="E114" s="632" t="s">
        <v>255</v>
      </c>
      <c r="F114" s="1067">
        <v>0.3</v>
      </c>
      <c r="G114" s="1066">
        <v>1</v>
      </c>
      <c r="H114" s="1070">
        <v>0.23100000000000001</v>
      </c>
      <c r="I114" s="1070">
        <v>0.11749999999999999</v>
      </c>
      <c r="J114" s="1070"/>
      <c r="K114" s="1070"/>
      <c r="L114" s="1072">
        <v>0.16059999999999999</v>
      </c>
      <c r="M114" s="1070"/>
      <c r="N114" s="1070"/>
      <c r="O114" s="1070"/>
      <c r="P114" s="1073"/>
      <c r="Q114" s="1070">
        <v>5.7500000000000002E-2</v>
      </c>
      <c r="R114" s="1070">
        <v>0</v>
      </c>
      <c r="S114" s="1070"/>
      <c r="T114" s="1070"/>
      <c r="U114" s="1070"/>
      <c r="V114" s="1066">
        <v>0</v>
      </c>
      <c r="W114" s="1070">
        <v>0</v>
      </c>
      <c r="X114" s="1070"/>
      <c r="Y114" s="1070"/>
      <c r="Z114" s="1070"/>
      <c r="AA114" s="1070"/>
      <c r="AB114" s="1070"/>
      <c r="AC114" s="1070"/>
      <c r="AD114" s="1070"/>
      <c r="AE114" s="1070"/>
      <c r="AF114" s="1070"/>
      <c r="AG114" s="1070"/>
      <c r="AH114" s="1073"/>
      <c r="AI114" s="1070"/>
      <c r="AJ114" s="1070"/>
      <c r="AK114" s="1070"/>
      <c r="AL114" s="1082"/>
      <c r="AM114" s="1069"/>
      <c r="AN114" s="1070"/>
      <c r="AO114" s="1070"/>
      <c r="AP114" s="1070"/>
      <c r="AQ114" s="1070"/>
      <c r="AR114" s="1069"/>
      <c r="AS114" s="1282"/>
      <c r="AT114" s="1282"/>
      <c r="AU114" s="1069"/>
      <c r="AV114" s="1069"/>
      <c r="AW114" s="1069"/>
      <c r="AX114" s="1070"/>
      <c r="AY114" s="1070"/>
      <c r="AZ114" s="1078">
        <f t="shared" si="59"/>
        <v>0.23100000000000001</v>
      </c>
      <c r="BA114" s="59">
        <v>110</v>
      </c>
      <c r="BB114" s="59">
        <f t="shared" si="60"/>
        <v>110</v>
      </c>
      <c r="BC114" s="60" t="str">
        <f t="shared" si="61"/>
        <v>Cevada</v>
      </c>
      <c r="BD114" s="61" t="str">
        <f ca="1">IFERROR(IF(SEARCH('Calcular Dieta'!A$3,$BC$5:$BC$310)&gt;=1,BC114,"Não encontrado"),"Não encontrado")</f>
        <v>Cevada</v>
      </c>
      <c r="BE114" s="62">
        <f ca="1">COUNTIF(BD$5:BD114,"&lt;&gt;"&amp;"Não encontrado")</f>
        <v>110</v>
      </c>
      <c r="BF114" s="63" t="str">
        <f t="shared" ca="1" si="62"/>
        <v>CEVADA</v>
      </c>
      <c r="BG114" s="744">
        <f t="shared" si="63"/>
        <v>0.117614</v>
      </c>
      <c r="BH114" s="744" t="str">
        <f t="shared" si="64"/>
        <v/>
      </c>
      <c r="BI114" s="744" t="str">
        <f t="shared" si="65"/>
        <v/>
      </c>
      <c r="BJ114" s="744">
        <f t="shared" si="66"/>
        <v>0.160714</v>
      </c>
      <c r="BK114" s="744" t="str">
        <f t="shared" si="67"/>
        <v/>
      </c>
      <c r="BL114" s="744" t="str">
        <f t="shared" si="68"/>
        <v/>
      </c>
      <c r="BM114" s="744" t="str">
        <f t="shared" si="69"/>
        <v/>
      </c>
      <c r="BN114" s="744" t="str">
        <f t="shared" si="70"/>
        <v/>
      </c>
      <c r="BO114" s="744">
        <f t="shared" si="71"/>
        <v>5.7614000000000005E-2</v>
      </c>
      <c r="BP114" s="744" t="str">
        <f t="shared" si="72"/>
        <v/>
      </c>
      <c r="BQ114" s="744" t="str">
        <f t="shared" si="73"/>
        <v/>
      </c>
      <c r="BR114" s="744" t="str">
        <f t="shared" si="74"/>
        <v/>
      </c>
      <c r="BS114" s="744" t="str">
        <f t="shared" si="75"/>
        <v/>
      </c>
      <c r="BT114" s="744" t="str">
        <f t="shared" si="76"/>
        <v/>
      </c>
      <c r="BU114" s="744" t="str">
        <f t="shared" si="77"/>
        <v/>
      </c>
      <c r="BV114" s="744" t="str">
        <f t="shared" si="78"/>
        <v/>
      </c>
      <c r="BW114" s="744" t="str">
        <f t="shared" si="79"/>
        <v/>
      </c>
      <c r="BX114" s="744" t="str">
        <f t="shared" si="80"/>
        <v/>
      </c>
      <c r="BY114" s="744" t="str">
        <f t="shared" si="81"/>
        <v/>
      </c>
      <c r="BZ114" s="744" t="str">
        <f t="shared" si="82"/>
        <v/>
      </c>
      <c r="CA114" s="744" t="str">
        <f t="shared" si="83"/>
        <v/>
      </c>
      <c r="CB114" s="744" t="str">
        <f t="shared" si="84"/>
        <v/>
      </c>
      <c r="CC114" s="744" t="str">
        <f t="shared" si="85"/>
        <v/>
      </c>
      <c r="CD114" s="744" t="str">
        <f t="shared" si="86"/>
        <v/>
      </c>
      <c r="CE114" s="744" t="str">
        <f t="shared" si="87"/>
        <v/>
      </c>
      <c r="CF114" s="744" t="str">
        <f t="shared" si="88"/>
        <v/>
      </c>
      <c r="CG114" s="744" t="str">
        <f t="shared" si="89"/>
        <v/>
      </c>
      <c r="CH114" s="744" t="str">
        <f t="shared" si="90"/>
        <v/>
      </c>
      <c r="CI114" s="744" t="str">
        <f t="shared" si="91"/>
        <v/>
      </c>
      <c r="CJ114" s="744" t="str">
        <f t="shared" si="92"/>
        <v/>
      </c>
      <c r="CK114" s="744" t="str">
        <f t="shared" si="93"/>
        <v/>
      </c>
      <c r="CL114" s="744" t="str">
        <f t="shared" si="94"/>
        <v/>
      </c>
      <c r="CM114" s="744" t="str">
        <f t="shared" si="95"/>
        <v/>
      </c>
      <c r="CN114" s="744" t="str">
        <f t="shared" si="96"/>
        <v/>
      </c>
      <c r="CO114" s="744" t="str">
        <f t="shared" si="97"/>
        <v/>
      </c>
      <c r="CP114" s="744" t="str">
        <f t="shared" si="98"/>
        <v/>
      </c>
      <c r="CQ114" s="744" t="str">
        <f t="shared" si="99"/>
        <v/>
      </c>
      <c r="CR114" s="744" t="str">
        <f t="shared" si="100"/>
        <v/>
      </c>
      <c r="CS114" s="744" t="str">
        <f t="shared" si="101"/>
        <v/>
      </c>
      <c r="CT114" s="744" t="str">
        <f t="shared" si="102"/>
        <v/>
      </c>
      <c r="CU114" s="744" t="str">
        <f t="shared" si="103"/>
        <v/>
      </c>
      <c r="CV114" s="744" t="str">
        <f t="shared" si="104"/>
        <v/>
      </c>
      <c r="CW114" s="744" t="str">
        <f t="shared" si="105"/>
        <v/>
      </c>
      <c r="CX114" s="744">
        <f t="shared" si="106"/>
        <v>0.23111400000000001</v>
      </c>
    </row>
    <row r="115" spans="1:102">
      <c r="A115" s="633">
        <v>111</v>
      </c>
      <c r="B115" s="630" t="s">
        <v>3</v>
      </c>
      <c r="C115" s="631" t="s">
        <v>750</v>
      </c>
      <c r="D115" s="630" t="s">
        <v>1391</v>
      </c>
      <c r="E115" s="632" t="s">
        <v>182</v>
      </c>
      <c r="F115" s="1067">
        <v>1</v>
      </c>
      <c r="G115" s="1066">
        <v>1</v>
      </c>
      <c r="H115" s="1070">
        <v>0.26400000000000001</v>
      </c>
      <c r="I115" s="1070">
        <v>8.7384000000000003E-2</v>
      </c>
      <c r="J115" s="1070">
        <v>7.8672000000000006E-2</v>
      </c>
      <c r="K115" s="1070"/>
      <c r="L115" s="1072">
        <v>0.1920336</v>
      </c>
      <c r="M115" s="1070"/>
      <c r="N115" s="1070"/>
      <c r="O115" s="1070"/>
      <c r="P115" s="1073"/>
      <c r="Q115" s="1070">
        <v>88.308000000000007</v>
      </c>
      <c r="R115" s="1070"/>
      <c r="S115" s="1070"/>
      <c r="T115" s="1070"/>
      <c r="U115" s="1070"/>
      <c r="V115" s="1066"/>
      <c r="W115" s="1070"/>
      <c r="X115" s="1070"/>
      <c r="Y115" s="1070"/>
      <c r="Z115" s="1070"/>
      <c r="AA115" s="1070"/>
      <c r="AB115" s="1070"/>
      <c r="AC115" s="1070"/>
      <c r="AD115" s="1070"/>
      <c r="AE115" s="1070"/>
      <c r="AF115" s="1070"/>
      <c r="AG115" s="1070"/>
      <c r="AH115" s="1073"/>
      <c r="AI115" s="1070"/>
      <c r="AJ115" s="1070"/>
      <c r="AK115" s="1070"/>
      <c r="AL115" s="1082"/>
      <c r="AM115" s="1069"/>
      <c r="AN115" s="1070"/>
      <c r="AO115" s="1070"/>
      <c r="AP115" s="1070"/>
      <c r="AQ115" s="1070"/>
      <c r="AR115" s="1069"/>
      <c r="AS115" s="1282"/>
      <c r="AT115" s="1282"/>
      <c r="AU115" s="1069"/>
      <c r="AV115" s="1069"/>
      <c r="AW115" s="1069"/>
      <c r="AX115" s="1070"/>
      <c r="AY115" s="1070"/>
      <c r="AZ115" s="1078">
        <f t="shared" si="59"/>
        <v>0.26400000000000001</v>
      </c>
      <c r="BA115" s="59">
        <v>111</v>
      </c>
      <c r="BB115" s="59">
        <f t="shared" si="60"/>
        <v>111</v>
      </c>
      <c r="BC115" s="60" t="str">
        <f t="shared" si="61"/>
        <v>Cevada Úmida</v>
      </c>
      <c r="BD115" s="61" t="str">
        <f ca="1">IFERROR(IF(SEARCH('Calcular Dieta'!A$3,$BC$5:$BC$310)&gt;=1,BC115,"Não encontrado"),"Não encontrado")</f>
        <v>Cevada Úmida</v>
      </c>
      <c r="BE115" s="62">
        <f ca="1">COUNTIF(BD$5:BD115,"&lt;&gt;"&amp;"Não encontrado")</f>
        <v>111</v>
      </c>
      <c r="BF115" s="63" t="str">
        <f t="shared" ca="1" si="62"/>
        <v>CEVADA ÚMIDA</v>
      </c>
      <c r="BG115" s="744">
        <f t="shared" si="63"/>
        <v>8.7499000000000007E-2</v>
      </c>
      <c r="BH115" s="744">
        <f t="shared" si="64"/>
        <v>7.878700000000001E-2</v>
      </c>
      <c r="BI115" s="744" t="str">
        <f t="shared" si="65"/>
        <v/>
      </c>
      <c r="BJ115" s="744">
        <f t="shared" si="66"/>
        <v>0.1921486</v>
      </c>
      <c r="BK115" s="744" t="str">
        <f t="shared" si="67"/>
        <v/>
      </c>
      <c r="BL115" s="744" t="str">
        <f t="shared" si="68"/>
        <v/>
      </c>
      <c r="BM115" s="744" t="str">
        <f t="shared" si="69"/>
        <v/>
      </c>
      <c r="BN115" s="744" t="str">
        <f t="shared" si="70"/>
        <v/>
      </c>
      <c r="BO115" s="744">
        <f t="shared" si="71"/>
        <v>88.308115000000001</v>
      </c>
      <c r="BP115" s="744" t="str">
        <f t="shared" si="72"/>
        <v/>
      </c>
      <c r="BQ115" s="744" t="str">
        <f t="shared" si="73"/>
        <v/>
      </c>
      <c r="BR115" s="744" t="str">
        <f t="shared" si="74"/>
        <v/>
      </c>
      <c r="BS115" s="744" t="str">
        <f t="shared" si="75"/>
        <v/>
      </c>
      <c r="BT115" s="744" t="str">
        <f t="shared" si="76"/>
        <v/>
      </c>
      <c r="BU115" s="744" t="str">
        <f t="shared" si="77"/>
        <v/>
      </c>
      <c r="BV115" s="744" t="str">
        <f t="shared" si="78"/>
        <v/>
      </c>
      <c r="BW115" s="744" t="str">
        <f t="shared" si="79"/>
        <v/>
      </c>
      <c r="BX115" s="744" t="str">
        <f t="shared" si="80"/>
        <v/>
      </c>
      <c r="BY115" s="744" t="str">
        <f t="shared" si="81"/>
        <v/>
      </c>
      <c r="BZ115" s="744" t="str">
        <f t="shared" si="82"/>
        <v/>
      </c>
      <c r="CA115" s="744" t="str">
        <f t="shared" si="83"/>
        <v/>
      </c>
      <c r="CB115" s="744" t="str">
        <f t="shared" si="84"/>
        <v/>
      </c>
      <c r="CC115" s="744" t="str">
        <f t="shared" si="85"/>
        <v/>
      </c>
      <c r="CD115" s="744" t="str">
        <f t="shared" si="86"/>
        <v/>
      </c>
      <c r="CE115" s="744" t="str">
        <f t="shared" si="87"/>
        <v/>
      </c>
      <c r="CF115" s="744" t="str">
        <f t="shared" si="88"/>
        <v/>
      </c>
      <c r="CG115" s="744" t="str">
        <f t="shared" si="89"/>
        <v/>
      </c>
      <c r="CH115" s="744" t="str">
        <f t="shared" si="90"/>
        <v/>
      </c>
      <c r="CI115" s="744" t="str">
        <f t="shared" si="91"/>
        <v/>
      </c>
      <c r="CJ115" s="744" t="str">
        <f t="shared" si="92"/>
        <v/>
      </c>
      <c r="CK115" s="744" t="str">
        <f t="shared" si="93"/>
        <v/>
      </c>
      <c r="CL115" s="744" t="str">
        <f t="shared" si="94"/>
        <v/>
      </c>
      <c r="CM115" s="744" t="str">
        <f t="shared" si="95"/>
        <v/>
      </c>
      <c r="CN115" s="744" t="str">
        <f t="shared" si="96"/>
        <v/>
      </c>
      <c r="CO115" s="744" t="str">
        <f t="shared" si="97"/>
        <v/>
      </c>
      <c r="CP115" s="744" t="str">
        <f t="shared" si="98"/>
        <v/>
      </c>
      <c r="CQ115" s="744" t="str">
        <f t="shared" si="99"/>
        <v/>
      </c>
      <c r="CR115" s="744" t="str">
        <f t="shared" si="100"/>
        <v/>
      </c>
      <c r="CS115" s="744" t="str">
        <f t="shared" si="101"/>
        <v/>
      </c>
      <c r="CT115" s="744" t="str">
        <f t="shared" si="102"/>
        <v/>
      </c>
      <c r="CU115" s="744" t="str">
        <f t="shared" si="103"/>
        <v/>
      </c>
      <c r="CV115" s="744" t="str">
        <f t="shared" si="104"/>
        <v/>
      </c>
      <c r="CW115" s="744" t="str">
        <f t="shared" si="105"/>
        <v/>
      </c>
      <c r="CX115" s="744">
        <f t="shared" si="106"/>
        <v>0.26411499999999999</v>
      </c>
    </row>
    <row r="116" spans="1:102">
      <c r="A116" s="630">
        <v>112</v>
      </c>
      <c r="B116" s="630" t="s">
        <v>4</v>
      </c>
      <c r="C116" s="631" t="s">
        <v>252</v>
      </c>
      <c r="D116" s="630" t="s">
        <v>1390</v>
      </c>
      <c r="E116" s="632" t="s">
        <v>183</v>
      </c>
      <c r="F116" s="1067">
        <v>1</v>
      </c>
      <c r="G116" s="1066">
        <v>1</v>
      </c>
      <c r="H116" s="1070">
        <v>0.88379999999999992</v>
      </c>
      <c r="I116" s="1070">
        <v>0.21626585999999998</v>
      </c>
      <c r="J116" s="1070">
        <v>0.2024</v>
      </c>
      <c r="K116" s="1070">
        <v>0.5268331799999999</v>
      </c>
      <c r="L116" s="1072">
        <v>0.69236891999999994</v>
      </c>
      <c r="M116" s="1070"/>
      <c r="N116" s="1070">
        <v>2.87</v>
      </c>
      <c r="O116" s="1070"/>
      <c r="P116" s="1073">
        <v>27.397799999999997</v>
      </c>
      <c r="Q116" s="1070">
        <v>61.247339999999994</v>
      </c>
      <c r="R116" s="1070">
        <v>59.391359999999992</v>
      </c>
      <c r="S116" s="1279">
        <v>1.8559800000000024</v>
      </c>
      <c r="T116" s="1070">
        <v>57.800519999999992</v>
      </c>
      <c r="U116" s="1070"/>
      <c r="V116" s="1066">
        <v>15.996779999999999</v>
      </c>
      <c r="W116" s="1070">
        <v>1.1489399999999999</v>
      </c>
      <c r="X116" s="1070">
        <v>0.53027999999999997</v>
      </c>
      <c r="Y116" s="1070"/>
      <c r="Z116" s="1070"/>
      <c r="AA116" s="1070"/>
      <c r="AB116" s="1070"/>
      <c r="AC116" s="1070"/>
      <c r="AD116" s="1070">
        <v>129.55799999999999</v>
      </c>
      <c r="AE116" s="1070"/>
      <c r="AF116" s="1070"/>
      <c r="AG116" s="1070"/>
      <c r="AH116" s="1073"/>
      <c r="AI116" s="1070"/>
      <c r="AJ116" s="1070"/>
      <c r="AK116" s="1070"/>
      <c r="AL116" s="1082"/>
      <c r="AM116" s="1069"/>
      <c r="AN116" s="1070"/>
      <c r="AO116" s="1070"/>
      <c r="AP116" s="1070"/>
      <c r="AQ116" s="1070"/>
      <c r="AR116" s="1069"/>
      <c r="AS116" s="1282"/>
      <c r="AT116" s="1282"/>
      <c r="AU116" s="1069"/>
      <c r="AV116" s="1069"/>
      <c r="AW116" s="1069"/>
      <c r="AX116" s="1070"/>
      <c r="AY116" s="1070"/>
      <c r="AZ116" s="1078">
        <f t="shared" si="59"/>
        <v>0.88379999999999992</v>
      </c>
      <c r="BA116" s="59">
        <v>112</v>
      </c>
      <c r="BB116" s="59">
        <f t="shared" si="60"/>
        <v>112</v>
      </c>
      <c r="BC116" s="60" t="str">
        <f t="shared" si="61"/>
        <v>Citrus Polpa</v>
      </c>
      <c r="BD116" s="61" t="str">
        <f ca="1">IFERROR(IF(SEARCH('Calcular Dieta'!A$3,$BC$5:$BC$310)&gt;=1,BC116,"Não encontrado"),"Não encontrado")</f>
        <v>Citrus Polpa</v>
      </c>
      <c r="BE116" s="62">
        <f ca="1">COUNTIF(BD$5:BD116,"&lt;&gt;"&amp;"Não encontrado")</f>
        <v>112</v>
      </c>
      <c r="BF116" s="63" t="str">
        <f t="shared" ca="1" si="62"/>
        <v>CITRUS POLPA</v>
      </c>
      <c r="BG116" s="744">
        <f t="shared" si="63"/>
        <v>0.21638185999999998</v>
      </c>
      <c r="BH116" s="744">
        <f t="shared" si="64"/>
        <v>0.202516</v>
      </c>
      <c r="BI116" s="744">
        <f t="shared" si="65"/>
        <v>0.52694917999999991</v>
      </c>
      <c r="BJ116" s="744">
        <f t="shared" si="66"/>
        <v>0.69248491999999995</v>
      </c>
      <c r="BK116" s="744" t="str">
        <f t="shared" si="67"/>
        <v/>
      </c>
      <c r="BL116" s="744">
        <f t="shared" si="68"/>
        <v>2.8701159999999999</v>
      </c>
      <c r="BM116" s="744" t="str">
        <f t="shared" si="69"/>
        <v/>
      </c>
      <c r="BN116" s="744">
        <f t="shared" si="70"/>
        <v>27.397915999999995</v>
      </c>
      <c r="BO116" s="744">
        <f t="shared" si="71"/>
        <v>61.247455999999993</v>
      </c>
      <c r="BP116" s="744">
        <f t="shared" si="72"/>
        <v>59.39147599999999</v>
      </c>
      <c r="BQ116" s="744">
        <f t="shared" si="73"/>
        <v>1.8560960000000024</v>
      </c>
      <c r="BR116" s="744">
        <f t="shared" si="74"/>
        <v>57.80063599999999</v>
      </c>
      <c r="BS116" s="744" t="str">
        <f t="shared" si="75"/>
        <v/>
      </c>
      <c r="BT116" s="744">
        <f t="shared" si="76"/>
        <v>15.996896</v>
      </c>
      <c r="BU116" s="744">
        <f t="shared" si="77"/>
        <v>1.1490559999999999</v>
      </c>
      <c r="BV116" s="744">
        <f t="shared" si="78"/>
        <v>0.53039599999999998</v>
      </c>
      <c r="BW116" s="744" t="str">
        <f t="shared" si="79"/>
        <v/>
      </c>
      <c r="BX116" s="744" t="str">
        <f t="shared" si="80"/>
        <v/>
      </c>
      <c r="BY116" s="744" t="str">
        <f t="shared" si="81"/>
        <v/>
      </c>
      <c r="BZ116" s="744" t="str">
        <f t="shared" si="82"/>
        <v/>
      </c>
      <c r="CA116" s="744" t="str">
        <f t="shared" si="83"/>
        <v/>
      </c>
      <c r="CB116" s="744">
        <f t="shared" si="84"/>
        <v>129.55811599999998</v>
      </c>
      <c r="CC116" s="744" t="str">
        <f t="shared" si="85"/>
        <v/>
      </c>
      <c r="CD116" s="744" t="str">
        <f t="shared" si="86"/>
        <v/>
      </c>
      <c r="CE116" s="744" t="str">
        <f t="shared" si="87"/>
        <v/>
      </c>
      <c r="CF116" s="744" t="str">
        <f t="shared" si="88"/>
        <v/>
      </c>
      <c r="CG116" s="744" t="str">
        <f t="shared" si="89"/>
        <v/>
      </c>
      <c r="CH116" s="744" t="str">
        <f t="shared" si="90"/>
        <v/>
      </c>
      <c r="CI116" s="744" t="str">
        <f t="shared" si="91"/>
        <v/>
      </c>
      <c r="CJ116" s="744" t="str">
        <f t="shared" si="92"/>
        <v/>
      </c>
      <c r="CK116" s="744" t="str">
        <f t="shared" si="93"/>
        <v/>
      </c>
      <c r="CL116" s="744" t="str">
        <f t="shared" si="94"/>
        <v/>
      </c>
      <c r="CM116" s="744" t="str">
        <f t="shared" si="95"/>
        <v/>
      </c>
      <c r="CN116" s="744" t="str">
        <f t="shared" si="96"/>
        <v/>
      </c>
      <c r="CO116" s="744" t="str">
        <f t="shared" si="97"/>
        <v/>
      </c>
      <c r="CP116" s="744" t="str">
        <f t="shared" si="98"/>
        <v/>
      </c>
      <c r="CQ116" s="744" t="str">
        <f t="shared" si="99"/>
        <v/>
      </c>
      <c r="CR116" s="744" t="str">
        <f t="shared" si="100"/>
        <v/>
      </c>
      <c r="CS116" s="744" t="str">
        <f t="shared" si="101"/>
        <v/>
      </c>
      <c r="CT116" s="744" t="str">
        <f t="shared" si="102"/>
        <v/>
      </c>
      <c r="CU116" s="744" t="str">
        <f t="shared" si="103"/>
        <v/>
      </c>
      <c r="CV116" s="744" t="str">
        <f t="shared" si="104"/>
        <v/>
      </c>
      <c r="CW116" s="744" t="str">
        <f t="shared" si="105"/>
        <v/>
      </c>
      <c r="CX116" s="744">
        <f t="shared" si="106"/>
        <v>0.88391599999999992</v>
      </c>
    </row>
    <row r="117" spans="1:102">
      <c r="A117" s="633">
        <v>113</v>
      </c>
      <c r="B117" s="630" t="s">
        <v>4</v>
      </c>
      <c r="C117" s="631" t="s">
        <v>253</v>
      </c>
      <c r="D117" s="630" t="s">
        <v>1390</v>
      </c>
      <c r="E117" s="632" t="s">
        <v>184</v>
      </c>
      <c r="F117" s="1067">
        <v>1</v>
      </c>
      <c r="G117" s="1066">
        <v>1</v>
      </c>
      <c r="H117" s="1070">
        <v>0.75019999999999998</v>
      </c>
      <c r="I117" s="1070"/>
      <c r="J117" s="1070"/>
      <c r="K117" s="1070"/>
      <c r="L117" s="1072"/>
      <c r="M117" s="1070"/>
      <c r="N117" s="1070"/>
      <c r="O117" s="1070"/>
      <c r="P117" s="1073"/>
      <c r="Q117" s="1070"/>
      <c r="R117" s="1070"/>
      <c r="S117" s="1070"/>
      <c r="T117" s="1070"/>
      <c r="U117" s="1070"/>
      <c r="V117" s="1066">
        <v>210.80620000000002</v>
      </c>
      <c r="W117" s="1070"/>
      <c r="X117" s="1070"/>
      <c r="Y117" s="1070"/>
      <c r="Z117" s="1070"/>
      <c r="AA117" s="1070"/>
      <c r="AB117" s="1070"/>
      <c r="AC117" s="1070"/>
      <c r="AD117" s="1070"/>
      <c r="AE117" s="1070"/>
      <c r="AF117" s="1070"/>
      <c r="AG117" s="1070"/>
      <c r="AH117" s="1073"/>
      <c r="AI117" s="1070"/>
      <c r="AJ117" s="1070"/>
      <c r="AK117" s="1070"/>
      <c r="AL117" s="1082"/>
      <c r="AM117" s="1069"/>
      <c r="AN117" s="1070"/>
      <c r="AO117" s="1070"/>
      <c r="AP117" s="1070"/>
      <c r="AQ117" s="1070"/>
      <c r="AR117" s="1069"/>
      <c r="AS117" s="1282"/>
      <c r="AT117" s="1282"/>
      <c r="AU117" s="1069"/>
      <c r="AV117" s="1069"/>
      <c r="AW117" s="1069"/>
      <c r="AX117" s="1070"/>
      <c r="AY117" s="1070"/>
      <c r="AZ117" s="1078">
        <f t="shared" si="59"/>
        <v>0.75019999999999998</v>
      </c>
      <c r="BA117" s="59">
        <v>113</v>
      </c>
      <c r="BB117" s="59">
        <f t="shared" si="60"/>
        <v>113</v>
      </c>
      <c r="BC117" s="60" t="str">
        <f t="shared" si="61"/>
        <v>Cloreto de Calcio</v>
      </c>
      <c r="BD117" s="61" t="str">
        <f ca="1">IFERROR(IF(SEARCH('Calcular Dieta'!A$3,$BC$5:$BC$310)&gt;=1,BC117,"Não encontrado"),"Não encontrado")</f>
        <v>Cloreto de Calcio</v>
      </c>
      <c r="BE117" s="62">
        <f ca="1">COUNTIF(BD$5:BD117,"&lt;&gt;"&amp;"Não encontrado")</f>
        <v>113</v>
      </c>
      <c r="BF117" s="63" t="str">
        <f t="shared" ca="1" si="62"/>
        <v>CLORETO DE CALCIO</v>
      </c>
      <c r="BG117" s="744" t="str">
        <f t="shared" si="63"/>
        <v/>
      </c>
      <c r="BH117" s="744" t="str">
        <f t="shared" si="64"/>
        <v/>
      </c>
      <c r="BI117" s="744" t="str">
        <f t="shared" si="65"/>
        <v/>
      </c>
      <c r="BJ117" s="744" t="str">
        <f t="shared" si="66"/>
        <v/>
      </c>
      <c r="BK117" s="744" t="str">
        <f t="shared" si="67"/>
        <v/>
      </c>
      <c r="BL117" s="744" t="str">
        <f t="shared" si="68"/>
        <v/>
      </c>
      <c r="BM117" s="744" t="str">
        <f t="shared" si="69"/>
        <v/>
      </c>
      <c r="BN117" s="744" t="str">
        <f t="shared" si="70"/>
        <v/>
      </c>
      <c r="BO117" s="744" t="str">
        <f t="shared" si="71"/>
        <v/>
      </c>
      <c r="BP117" s="744" t="str">
        <f t="shared" si="72"/>
        <v/>
      </c>
      <c r="BQ117" s="744" t="str">
        <f t="shared" si="73"/>
        <v/>
      </c>
      <c r="BR117" s="744" t="str">
        <f t="shared" si="74"/>
        <v/>
      </c>
      <c r="BS117" s="744" t="str">
        <f t="shared" si="75"/>
        <v/>
      </c>
      <c r="BT117" s="744">
        <f t="shared" si="76"/>
        <v>210.80631700000001</v>
      </c>
      <c r="BU117" s="744" t="str">
        <f t="shared" si="77"/>
        <v/>
      </c>
      <c r="BV117" s="744" t="str">
        <f t="shared" si="78"/>
        <v/>
      </c>
      <c r="BW117" s="744" t="str">
        <f t="shared" si="79"/>
        <v/>
      </c>
      <c r="BX117" s="744" t="str">
        <f t="shared" si="80"/>
        <v/>
      </c>
      <c r="BY117" s="744" t="str">
        <f t="shared" si="81"/>
        <v/>
      </c>
      <c r="BZ117" s="744" t="str">
        <f t="shared" si="82"/>
        <v/>
      </c>
      <c r="CA117" s="744" t="str">
        <f t="shared" si="83"/>
        <v/>
      </c>
      <c r="CB117" s="744" t="str">
        <f t="shared" si="84"/>
        <v/>
      </c>
      <c r="CC117" s="744" t="str">
        <f t="shared" si="85"/>
        <v/>
      </c>
      <c r="CD117" s="744" t="str">
        <f t="shared" si="86"/>
        <v/>
      </c>
      <c r="CE117" s="744" t="str">
        <f t="shared" si="87"/>
        <v/>
      </c>
      <c r="CF117" s="744" t="str">
        <f t="shared" si="88"/>
        <v/>
      </c>
      <c r="CG117" s="744" t="str">
        <f t="shared" si="89"/>
        <v/>
      </c>
      <c r="CH117" s="744" t="str">
        <f t="shared" si="90"/>
        <v/>
      </c>
      <c r="CI117" s="744" t="str">
        <f t="shared" si="91"/>
        <v/>
      </c>
      <c r="CJ117" s="744" t="str">
        <f t="shared" si="92"/>
        <v/>
      </c>
      <c r="CK117" s="744" t="str">
        <f t="shared" si="93"/>
        <v/>
      </c>
      <c r="CL117" s="744" t="str">
        <f t="shared" si="94"/>
        <v/>
      </c>
      <c r="CM117" s="744" t="str">
        <f t="shared" si="95"/>
        <v/>
      </c>
      <c r="CN117" s="744" t="str">
        <f t="shared" si="96"/>
        <v/>
      </c>
      <c r="CO117" s="744" t="str">
        <f t="shared" si="97"/>
        <v/>
      </c>
      <c r="CP117" s="744" t="str">
        <f t="shared" si="98"/>
        <v/>
      </c>
      <c r="CQ117" s="744" t="str">
        <f t="shared" si="99"/>
        <v/>
      </c>
      <c r="CR117" s="744" t="str">
        <f t="shared" si="100"/>
        <v/>
      </c>
      <c r="CS117" s="744" t="str">
        <f t="shared" si="101"/>
        <v/>
      </c>
      <c r="CT117" s="744" t="str">
        <f t="shared" si="102"/>
        <v/>
      </c>
      <c r="CU117" s="744" t="str">
        <f t="shared" si="103"/>
        <v/>
      </c>
      <c r="CV117" s="744" t="str">
        <f t="shared" si="104"/>
        <v/>
      </c>
      <c r="CW117" s="744" t="str">
        <f t="shared" si="105"/>
        <v/>
      </c>
      <c r="CX117" s="744">
        <f t="shared" si="106"/>
        <v>0.75031700000000001</v>
      </c>
    </row>
    <row r="118" spans="1:102">
      <c r="A118" s="630">
        <v>114</v>
      </c>
      <c r="B118" s="630" t="s">
        <v>4</v>
      </c>
      <c r="C118" s="631" t="s">
        <v>253</v>
      </c>
      <c r="D118" s="630" t="s">
        <v>1390</v>
      </c>
      <c r="E118" s="632" t="s">
        <v>185</v>
      </c>
      <c r="F118" s="1067">
        <v>1</v>
      </c>
      <c r="G118" s="1066">
        <v>1</v>
      </c>
      <c r="H118" s="1070">
        <v>1</v>
      </c>
      <c r="I118" s="1070"/>
      <c r="J118" s="1070"/>
      <c r="K118" s="1070"/>
      <c r="L118" s="1072"/>
      <c r="M118" s="1070"/>
      <c r="N118" s="1070"/>
      <c r="O118" s="1070"/>
      <c r="P118" s="1073"/>
      <c r="Q118" s="1070"/>
      <c r="R118" s="1070"/>
      <c r="S118" s="1070"/>
      <c r="T118" s="1070"/>
      <c r="U118" s="1070"/>
      <c r="V118" s="1066"/>
      <c r="W118" s="1070"/>
      <c r="X118" s="1070"/>
      <c r="Y118" s="1070"/>
      <c r="Z118" s="1070">
        <v>396.2</v>
      </c>
      <c r="AA118" s="1070"/>
      <c r="AB118" s="1070"/>
      <c r="AC118" s="1070"/>
      <c r="AD118" s="1070"/>
      <c r="AE118" s="1070"/>
      <c r="AF118" s="1070"/>
      <c r="AG118" s="1070"/>
      <c r="AH118" s="1073"/>
      <c r="AI118" s="1070"/>
      <c r="AJ118" s="1070"/>
      <c r="AK118" s="1070"/>
      <c r="AL118" s="1082"/>
      <c r="AM118" s="1069"/>
      <c r="AN118" s="1070"/>
      <c r="AO118" s="1070"/>
      <c r="AP118" s="1070"/>
      <c r="AQ118" s="1070"/>
      <c r="AR118" s="1069"/>
      <c r="AS118" s="1282"/>
      <c r="AT118" s="1282"/>
      <c r="AU118" s="1069"/>
      <c r="AV118" s="1069"/>
      <c r="AW118" s="1069"/>
      <c r="AX118" s="1070"/>
      <c r="AY118" s="1070"/>
      <c r="AZ118" s="1078">
        <f t="shared" si="59"/>
        <v>1</v>
      </c>
      <c r="BA118" s="59">
        <v>114</v>
      </c>
      <c r="BB118" s="59">
        <f t="shared" si="60"/>
        <v>114</v>
      </c>
      <c r="BC118" s="60" t="str">
        <f t="shared" si="61"/>
        <v>Cloreto de Potássio</v>
      </c>
      <c r="BD118" s="61" t="str">
        <f ca="1">IFERROR(IF(SEARCH('Calcular Dieta'!A$3,$BC$5:$BC$310)&gt;=1,BC118,"Não encontrado"),"Não encontrado")</f>
        <v>Cloreto de Potássio</v>
      </c>
      <c r="BE118" s="62">
        <f ca="1">COUNTIF(BD$5:BD118,"&lt;&gt;"&amp;"Não encontrado")</f>
        <v>114</v>
      </c>
      <c r="BF118" s="63" t="str">
        <f t="shared" ca="1" si="62"/>
        <v>CLORETO DE POTÁSSIO</v>
      </c>
      <c r="BG118" s="744" t="str">
        <f t="shared" si="63"/>
        <v/>
      </c>
      <c r="BH118" s="744" t="str">
        <f t="shared" si="64"/>
        <v/>
      </c>
      <c r="BI118" s="744" t="str">
        <f t="shared" si="65"/>
        <v/>
      </c>
      <c r="BJ118" s="744" t="str">
        <f t="shared" si="66"/>
        <v/>
      </c>
      <c r="BK118" s="744" t="str">
        <f t="shared" si="67"/>
        <v/>
      </c>
      <c r="BL118" s="744" t="str">
        <f t="shared" si="68"/>
        <v/>
      </c>
      <c r="BM118" s="744" t="str">
        <f t="shared" si="69"/>
        <v/>
      </c>
      <c r="BN118" s="744" t="str">
        <f t="shared" si="70"/>
        <v/>
      </c>
      <c r="BO118" s="744" t="str">
        <f t="shared" si="71"/>
        <v/>
      </c>
      <c r="BP118" s="744" t="str">
        <f t="shared" si="72"/>
        <v/>
      </c>
      <c r="BQ118" s="744" t="str">
        <f t="shared" si="73"/>
        <v/>
      </c>
      <c r="BR118" s="744" t="str">
        <f t="shared" si="74"/>
        <v/>
      </c>
      <c r="BS118" s="744" t="str">
        <f t="shared" si="75"/>
        <v/>
      </c>
      <c r="BT118" s="744" t="str">
        <f t="shared" si="76"/>
        <v/>
      </c>
      <c r="BU118" s="744" t="str">
        <f t="shared" si="77"/>
        <v/>
      </c>
      <c r="BV118" s="744" t="str">
        <f t="shared" si="78"/>
        <v/>
      </c>
      <c r="BW118" s="744" t="str">
        <f t="shared" si="79"/>
        <v/>
      </c>
      <c r="BX118" s="744">
        <f t="shared" si="80"/>
        <v>396.20011799999997</v>
      </c>
      <c r="BY118" s="744" t="str">
        <f t="shared" si="81"/>
        <v/>
      </c>
      <c r="BZ118" s="744" t="str">
        <f t="shared" si="82"/>
        <v/>
      </c>
      <c r="CA118" s="744" t="str">
        <f t="shared" si="83"/>
        <v/>
      </c>
      <c r="CB118" s="744" t="str">
        <f t="shared" si="84"/>
        <v/>
      </c>
      <c r="CC118" s="744" t="str">
        <f t="shared" si="85"/>
        <v/>
      </c>
      <c r="CD118" s="744" t="str">
        <f t="shared" si="86"/>
        <v/>
      </c>
      <c r="CE118" s="744" t="str">
        <f t="shared" si="87"/>
        <v/>
      </c>
      <c r="CF118" s="744" t="str">
        <f t="shared" si="88"/>
        <v/>
      </c>
      <c r="CG118" s="744" t="str">
        <f t="shared" si="89"/>
        <v/>
      </c>
      <c r="CH118" s="744" t="str">
        <f t="shared" si="90"/>
        <v/>
      </c>
      <c r="CI118" s="744" t="str">
        <f t="shared" si="91"/>
        <v/>
      </c>
      <c r="CJ118" s="744" t="str">
        <f t="shared" si="92"/>
        <v/>
      </c>
      <c r="CK118" s="744" t="str">
        <f t="shared" si="93"/>
        <v/>
      </c>
      <c r="CL118" s="744" t="str">
        <f t="shared" si="94"/>
        <v/>
      </c>
      <c r="CM118" s="744" t="str">
        <f t="shared" si="95"/>
        <v/>
      </c>
      <c r="CN118" s="744" t="str">
        <f t="shared" si="96"/>
        <v/>
      </c>
      <c r="CO118" s="744" t="str">
        <f t="shared" si="97"/>
        <v/>
      </c>
      <c r="CP118" s="744" t="str">
        <f t="shared" si="98"/>
        <v/>
      </c>
      <c r="CQ118" s="744" t="str">
        <f t="shared" si="99"/>
        <v/>
      </c>
      <c r="CR118" s="744" t="str">
        <f t="shared" si="100"/>
        <v/>
      </c>
      <c r="CS118" s="744" t="str">
        <f t="shared" si="101"/>
        <v/>
      </c>
      <c r="CT118" s="744" t="str">
        <f t="shared" si="102"/>
        <v/>
      </c>
      <c r="CU118" s="744" t="str">
        <f t="shared" si="103"/>
        <v/>
      </c>
      <c r="CV118" s="744" t="str">
        <f t="shared" si="104"/>
        <v/>
      </c>
      <c r="CW118" s="744" t="str">
        <f t="shared" si="105"/>
        <v/>
      </c>
      <c r="CX118" s="744">
        <f t="shared" si="106"/>
        <v>1.0001180000000001</v>
      </c>
    </row>
    <row r="119" spans="1:102">
      <c r="A119" s="633">
        <v>115</v>
      </c>
      <c r="B119" s="630" t="s">
        <v>4</v>
      </c>
      <c r="C119" s="631" t="s">
        <v>250</v>
      </c>
      <c r="D119" s="630" t="s">
        <v>1392</v>
      </c>
      <c r="E119" s="632" t="s">
        <v>186</v>
      </c>
      <c r="F119" s="1067">
        <v>1</v>
      </c>
      <c r="G119" s="1066">
        <v>1</v>
      </c>
      <c r="H119" s="1070">
        <v>0.9</v>
      </c>
      <c r="I119" s="1070">
        <v>0.45279000000000003</v>
      </c>
      <c r="J119" s="1070">
        <v>0.33588000000000001</v>
      </c>
      <c r="K119" s="1070"/>
      <c r="L119" s="1072">
        <v>0.73799999999999999</v>
      </c>
      <c r="M119" s="1070">
        <v>3.2538419999999997</v>
      </c>
      <c r="N119" s="1070"/>
      <c r="O119" s="1070"/>
      <c r="P119" s="1073">
        <v>81</v>
      </c>
      <c r="Q119" s="1070">
        <v>216.9</v>
      </c>
      <c r="R119" s="1070">
        <v>149.66100000000003</v>
      </c>
      <c r="S119" s="1070"/>
      <c r="T119" s="1070"/>
      <c r="U119" s="1070"/>
      <c r="V119" s="1066">
        <v>1.17</v>
      </c>
      <c r="W119" s="1070">
        <v>5.85</v>
      </c>
      <c r="X119" s="1070">
        <v>2.0699999999999998</v>
      </c>
      <c r="Y119" s="1070">
        <v>0.54</v>
      </c>
      <c r="Z119" s="1070">
        <v>10.53</v>
      </c>
      <c r="AA119" s="1070">
        <v>3.24</v>
      </c>
      <c r="AB119" s="1070">
        <v>18.899999999999999</v>
      </c>
      <c r="AC119" s="1070">
        <v>50.4</v>
      </c>
      <c r="AD119" s="1070">
        <v>360.9</v>
      </c>
      <c r="AE119" s="1070">
        <v>67.5</v>
      </c>
      <c r="AF119" s="1070">
        <v>6.3000000000000014E-2</v>
      </c>
      <c r="AG119" s="1070">
        <v>0.12600000000000003</v>
      </c>
      <c r="AH119" s="1073"/>
      <c r="AI119" s="1070"/>
      <c r="AJ119" s="1070"/>
      <c r="AK119" s="1070"/>
      <c r="AL119" s="1082"/>
      <c r="AM119" s="1069"/>
      <c r="AN119" s="1070"/>
      <c r="AO119" s="1070"/>
      <c r="AP119" s="1070"/>
      <c r="AQ119" s="1070"/>
      <c r="AR119" s="1069"/>
      <c r="AS119" s="1282"/>
      <c r="AT119" s="1282"/>
      <c r="AU119" s="1069"/>
      <c r="AV119" s="1069"/>
      <c r="AW119" s="1069"/>
      <c r="AX119" s="1070"/>
      <c r="AY119" s="1070"/>
      <c r="AZ119" s="1078">
        <f t="shared" si="59"/>
        <v>0.9</v>
      </c>
      <c r="BA119" s="59">
        <v>115</v>
      </c>
      <c r="BB119" s="59">
        <f t="shared" si="60"/>
        <v>115</v>
      </c>
      <c r="BC119" s="60" t="str">
        <f t="shared" si="61"/>
        <v>Coco, Farelo</v>
      </c>
      <c r="BD119" s="61" t="str">
        <f ca="1">IFERROR(IF(SEARCH('Calcular Dieta'!A$3,$BC$5:$BC$310)&gt;=1,BC119,"Não encontrado"),"Não encontrado")</f>
        <v>Coco, Farelo</v>
      </c>
      <c r="BE119" s="62">
        <f ca="1">COUNTIF(BD$5:BD119,"&lt;&gt;"&amp;"Não encontrado")</f>
        <v>115</v>
      </c>
      <c r="BF119" s="63" t="str">
        <f t="shared" ca="1" si="62"/>
        <v>COCO, FARELO</v>
      </c>
      <c r="BG119" s="744">
        <f t="shared" si="63"/>
        <v>0.45290900000000001</v>
      </c>
      <c r="BH119" s="744">
        <f t="shared" si="64"/>
        <v>0.33599899999999999</v>
      </c>
      <c r="BI119" s="744" t="str">
        <f t="shared" si="65"/>
        <v/>
      </c>
      <c r="BJ119" s="744">
        <f t="shared" si="66"/>
        <v>0.73811899999999997</v>
      </c>
      <c r="BK119" s="744">
        <f t="shared" si="67"/>
        <v>3.2539609999999999</v>
      </c>
      <c r="BL119" s="744" t="str">
        <f t="shared" si="68"/>
        <v/>
      </c>
      <c r="BM119" s="744" t="str">
        <f t="shared" si="69"/>
        <v/>
      </c>
      <c r="BN119" s="744">
        <f t="shared" si="70"/>
        <v>81.000118999999998</v>
      </c>
      <c r="BO119" s="744">
        <f t="shared" si="71"/>
        <v>216.90011900000002</v>
      </c>
      <c r="BP119" s="744">
        <f t="shared" si="72"/>
        <v>149.66111900000004</v>
      </c>
      <c r="BQ119" s="744" t="str">
        <f t="shared" si="73"/>
        <v/>
      </c>
      <c r="BR119" s="744" t="str">
        <f t="shared" si="74"/>
        <v/>
      </c>
      <c r="BS119" s="744" t="str">
        <f t="shared" si="75"/>
        <v/>
      </c>
      <c r="BT119" s="744">
        <f t="shared" si="76"/>
        <v>1.1701189999999999</v>
      </c>
      <c r="BU119" s="744">
        <f t="shared" si="77"/>
        <v>5.8501189999999994</v>
      </c>
      <c r="BV119" s="744">
        <f t="shared" si="78"/>
        <v>2.070119</v>
      </c>
      <c r="BW119" s="744">
        <f t="shared" si="79"/>
        <v>0.54011900000000002</v>
      </c>
      <c r="BX119" s="744">
        <f t="shared" si="80"/>
        <v>10.530118999999999</v>
      </c>
      <c r="BY119" s="744">
        <f t="shared" si="81"/>
        <v>3.2401190000000004</v>
      </c>
      <c r="BZ119" s="744">
        <f t="shared" si="82"/>
        <v>18.900119</v>
      </c>
      <c r="CA119" s="744">
        <f t="shared" si="83"/>
        <v>50.400118999999997</v>
      </c>
      <c r="CB119" s="744">
        <f t="shared" si="84"/>
        <v>360.90011899999996</v>
      </c>
      <c r="CC119" s="744">
        <f t="shared" si="85"/>
        <v>67.500118999999998</v>
      </c>
      <c r="CD119" s="744">
        <f t="shared" si="86"/>
        <v>6.3119000000000008E-2</v>
      </c>
      <c r="CE119" s="744">
        <f t="shared" si="87"/>
        <v>0.12611900000000004</v>
      </c>
      <c r="CF119" s="744" t="str">
        <f t="shared" si="88"/>
        <v/>
      </c>
      <c r="CG119" s="744" t="str">
        <f t="shared" si="89"/>
        <v/>
      </c>
      <c r="CH119" s="744" t="str">
        <f t="shared" si="90"/>
        <v/>
      </c>
      <c r="CI119" s="744" t="str">
        <f t="shared" si="91"/>
        <v/>
      </c>
      <c r="CJ119" s="744" t="str">
        <f t="shared" si="92"/>
        <v/>
      </c>
      <c r="CK119" s="744" t="str">
        <f t="shared" si="93"/>
        <v/>
      </c>
      <c r="CL119" s="744" t="str">
        <f t="shared" si="94"/>
        <v/>
      </c>
      <c r="CM119" s="744" t="str">
        <f t="shared" si="95"/>
        <v/>
      </c>
      <c r="CN119" s="744" t="str">
        <f t="shared" si="96"/>
        <v/>
      </c>
      <c r="CO119" s="744" t="str">
        <f t="shared" si="97"/>
        <v/>
      </c>
      <c r="CP119" s="744" t="str">
        <f t="shared" si="98"/>
        <v/>
      </c>
      <c r="CQ119" s="744" t="str">
        <f t="shared" si="99"/>
        <v/>
      </c>
      <c r="CR119" s="744" t="str">
        <f t="shared" si="100"/>
        <v/>
      </c>
      <c r="CS119" s="744" t="str">
        <f t="shared" si="101"/>
        <v/>
      </c>
      <c r="CT119" s="744" t="str">
        <f t="shared" si="102"/>
        <v/>
      </c>
      <c r="CU119" s="744" t="str">
        <f t="shared" si="103"/>
        <v/>
      </c>
      <c r="CV119" s="744" t="str">
        <f t="shared" si="104"/>
        <v/>
      </c>
      <c r="CW119" s="744" t="str">
        <f t="shared" si="105"/>
        <v/>
      </c>
      <c r="CX119" s="744">
        <f t="shared" si="106"/>
        <v>0.900119</v>
      </c>
    </row>
    <row r="120" spans="1:102">
      <c r="A120" s="630">
        <v>116</v>
      </c>
      <c r="B120" s="630" t="s">
        <v>4</v>
      </c>
      <c r="C120" s="631" t="s">
        <v>250</v>
      </c>
      <c r="D120" s="630" t="s">
        <v>1390</v>
      </c>
      <c r="E120" s="632" t="s">
        <v>710</v>
      </c>
      <c r="F120" s="1067">
        <v>1</v>
      </c>
      <c r="G120" s="1066">
        <v>1</v>
      </c>
      <c r="H120" s="1070">
        <v>0.8909999999999999</v>
      </c>
      <c r="I120" s="1070">
        <v>0.31621589999999994</v>
      </c>
      <c r="J120" s="1070">
        <v>0.25840000000000002</v>
      </c>
      <c r="K120" s="1070">
        <v>0.18140759999999997</v>
      </c>
      <c r="L120" s="1072">
        <v>0.65835989999999989</v>
      </c>
      <c r="M120" s="1070"/>
      <c r="N120" s="1070">
        <v>3.05</v>
      </c>
      <c r="O120" s="1070"/>
      <c r="P120" s="1073">
        <v>10.424699999999996</v>
      </c>
      <c r="Q120" s="1070">
        <v>320.13630000000001</v>
      </c>
      <c r="R120" s="1070">
        <v>225.33389999999997</v>
      </c>
      <c r="S120" s="1070">
        <v>94.713300000000004</v>
      </c>
      <c r="T120" s="1070">
        <v>213.30539999999999</v>
      </c>
      <c r="U120" s="1070"/>
      <c r="V120" s="1066">
        <v>2.5838999999999999</v>
      </c>
      <c r="W120" s="1070">
        <v>4.1876999999999986</v>
      </c>
      <c r="X120" s="1070"/>
      <c r="Y120" s="1070"/>
      <c r="Z120" s="1070"/>
      <c r="AA120" s="1070"/>
      <c r="AB120" s="1070"/>
      <c r="AC120" s="1070"/>
      <c r="AD120" s="1070"/>
      <c r="AE120" s="1070"/>
      <c r="AF120" s="1070"/>
      <c r="AG120" s="1070"/>
      <c r="AH120" s="1073"/>
      <c r="AI120" s="1070"/>
      <c r="AJ120" s="1070"/>
      <c r="AK120" s="1070"/>
      <c r="AL120" s="1082"/>
      <c r="AM120" s="1069"/>
      <c r="AN120" s="1070"/>
      <c r="AO120" s="1070"/>
      <c r="AP120" s="1070"/>
      <c r="AQ120" s="1070"/>
      <c r="AR120" s="1069"/>
      <c r="AS120" s="1282"/>
      <c r="AT120" s="1282"/>
      <c r="AU120" s="1069"/>
      <c r="AV120" s="1069"/>
      <c r="AW120" s="1069"/>
      <c r="AX120" s="1070"/>
      <c r="AY120" s="1070"/>
      <c r="AZ120" s="1078">
        <f t="shared" si="59"/>
        <v>0.8909999999999999</v>
      </c>
      <c r="BA120" s="59">
        <v>116</v>
      </c>
      <c r="BB120" s="59">
        <f t="shared" si="60"/>
        <v>116</v>
      </c>
      <c r="BC120" s="60" t="str">
        <f t="shared" si="61"/>
        <v>Crambe, Farelo</v>
      </c>
      <c r="BD120" s="61" t="str">
        <f ca="1">IFERROR(IF(SEARCH('Calcular Dieta'!A$3,$BC$5:$BC$310)&gt;=1,BC120,"Não encontrado"),"Não encontrado")</f>
        <v>Crambe, Farelo</v>
      </c>
      <c r="BE120" s="62">
        <f ca="1">COUNTIF(BD$5:BD120,"&lt;&gt;"&amp;"Não encontrado")</f>
        <v>116</v>
      </c>
      <c r="BF120" s="63" t="str">
        <f t="shared" ca="1" si="62"/>
        <v>CRAMBE, FARELO</v>
      </c>
      <c r="BG120" s="744">
        <f t="shared" si="63"/>
        <v>0.31633589999999995</v>
      </c>
      <c r="BH120" s="744">
        <f t="shared" si="64"/>
        <v>0.25852000000000003</v>
      </c>
      <c r="BI120" s="744">
        <f t="shared" si="65"/>
        <v>0.18152759999999998</v>
      </c>
      <c r="BJ120" s="744">
        <f t="shared" si="66"/>
        <v>0.6584798999999999</v>
      </c>
      <c r="BK120" s="744" t="str">
        <f t="shared" si="67"/>
        <v/>
      </c>
      <c r="BL120" s="744">
        <f t="shared" si="68"/>
        <v>3.0501199999999997</v>
      </c>
      <c r="BM120" s="744" t="str">
        <f t="shared" si="69"/>
        <v/>
      </c>
      <c r="BN120" s="744">
        <f t="shared" si="70"/>
        <v>10.424819999999997</v>
      </c>
      <c r="BO120" s="744">
        <f t="shared" si="71"/>
        <v>320.13641999999999</v>
      </c>
      <c r="BP120" s="744">
        <f t="shared" si="72"/>
        <v>225.33401999999998</v>
      </c>
      <c r="BQ120" s="744">
        <f t="shared" si="73"/>
        <v>94.713419999999999</v>
      </c>
      <c r="BR120" s="744">
        <f t="shared" si="74"/>
        <v>213.30552</v>
      </c>
      <c r="BS120" s="744" t="str">
        <f t="shared" si="75"/>
        <v/>
      </c>
      <c r="BT120" s="744">
        <f t="shared" si="76"/>
        <v>2.5840199999999998</v>
      </c>
      <c r="BU120" s="744">
        <f t="shared" si="77"/>
        <v>4.1878199999999985</v>
      </c>
      <c r="BV120" s="744" t="str">
        <f t="shared" si="78"/>
        <v/>
      </c>
      <c r="BW120" s="744" t="str">
        <f t="shared" si="79"/>
        <v/>
      </c>
      <c r="BX120" s="744" t="str">
        <f t="shared" si="80"/>
        <v/>
      </c>
      <c r="BY120" s="744" t="str">
        <f t="shared" si="81"/>
        <v/>
      </c>
      <c r="BZ120" s="744" t="str">
        <f t="shared" si="82"/>
        <v/>
      </c>
      <c r="CA120" s="744" t="str">
        <f t="shared" si="83"/>
        <v/>
      </c>
      <c r="CB120" s="744" t="str">
        <f t="shared" si="84"/>
        <v/>
      </c>
      <c r="CC120" s="744" t="str">
        <f t="shared" si="85"/>
        <v/>
      </c>
      <c r="CD120" s="744" t="str">
        <f t="shared" si="86"/>
        <v/>
      </c>
      <c r="CE120" s="744" t="str">
        <f t="shared" si="87"/>
        <v/>
      </c>
      <c r="CF120" s="744" t="str">
        <f t="shared" si="88"/>
        <v/>
      </c>
      <c r="CG120" s="744" t="str">
        <f t="shared" si="89"/>
        <v/>
      </c>
      <c r="CH120" s="744" t="str">
        <f t="shared" si="90"/>
        <v/>
      </c>
      <c r="CI120" s="744" t="str">
        <f t="shared" si="91"/>
        <v/>
      </c>
      <c r="CJ120" s="744" t="str">
        <f t="shared" si="92"/>
        <v/>
      </c>
      <c r="CK120" s="744" t="str">
        <f t="shared" si="93"/>
        <v/>
      </c>
      <c r="CL120" s="744" t="str">
        <f t="shared" si="94"/>
        <v/>
      </c>
      <c r="CM120" s="744" t="str">
        <f t="shared" si="95"/>
        <v/>
      </c>
      <c r="CN120" s="744" t="str">
        <f t="shared" si="96"/>
        <v/>
      </c>
      <c r="CO120" s="744" t="str">
        <f t="shared" si="97"/>
        <v/>
      </c>
      <c r="CP120" s="744" t="str">
        <f t="shared" si="98"/>
        <v/>
      </c>
      <c r="CQ120" s="744" t="str">
        <f t="shared" si="99"/>
        <v/>
      </c>
      <c r="CR120" s="744" t="str">
        <f t="shared" si="100"/>
        <v/>
      </c>
      <c r="CS120" s="744" t="str">
        <f t="shared" si="101"/>
        <v/>
      </c>
      <c r="CT120" s="744" t="str">
        <f t="shared" si="102"/>
        <v/>
      </c>
      <c r="CU120" s="744" t="str">
        <f t="shared" si="103"/>
        <v/>
      </c>
      <c r="CV120" s="744" t="str">
        <f t="shared" si="104"/>
        <v/>
      </c>
      <c r="CW120" s="744" t="str">
        <f t="shared" si="105"/>
        <v/>
      </c>
      <c r="CX120" s="744">
        <f t="shared" si="106"/>
        <v>0.89111999999999991</v>
      </c>
    </row>
    <row r="121" spans="1:102">
      <c r="A121" s="633">
        <v>117</v>
      </c>
      <c r="B121" s="630" t="s">
        <v>3</v>
      </c>
      <c r="C121" s="631" t="s">
        <v>249</v>
      </c>
      <c r="D121" s="630" t="s">
        <v>1390</v>
      </c>
      <c r="E121" s="632" t="s">
        <v>187</v>
      </c>
      <c r="F121" s="1067">
        <v>1</v>
      </c>
      <c r="G121" s="1066">
        <v>1</v>
      </c>
      <c r="H121" s="1070">
        <v>0.29100000000000004</v>
      </c>
      <c r="I121" s="1070">
        <v>0.17579310000000001</v>
      </c>
      <c r="J121" s="1070">
        <v>9.3299999999999994E-2</v>
      </c>
      <c r="K121" s="1070">
        <v>7.1906100000000014E-2</v>
      </c>
      <c r="L121" s="1072">
        <v>0.20227410000000004</v>
      </c>
      <c r="M121" s="1070"/>
      <c r="N121" s="1070">
        <v>2.64</v>
      </c>
      <c r="O121" s="1070"/>
      <c r="P121" s="1073">
        <v>14.753700000000004</v>
      </c>
      <c r="Q121" s="1070">
        <v>48.247799999999998</v>
      </c>
      <c r="R121" s="1070">
        <v>25.608000000000004</v>
      </c>
      <c r="S121" s="1070">
        <v>17.489100000000004</v>
      </c>
      <c r="T121" s="1070">
        <v>30.147600000000004</v>
      </c>
      <c r="U121" s="1070"/>
      <c r="V121" s="1066"/>
      <c r="W121" s="1070">
        <v>0.52380000000000004</v>
      </c>
      <c r="X121" s="1070"/>
      <c r="Y121" s="1070"/>
      <c r="Z121" s="1070"/>
      <c r="AA121" s="1070"/>
      <c r="AB121" s="1070"/>
      <c r="AC121" s="1070"/>
      <c r="AD121" s="1070"/>
      <c r="AE121" s="1070"/>
      <c r="AF121" s="1070"/>
      <c r="AG121" s="1070"/>
      <c r="AH121" s="1073"/>
      <c r="AI121" s="1070"/>
      <c r="AJ121" s="1070"/>
      <c r="AK121" s="1070"/>
      <c r="AL121" s="1082"/>
      <c r="AM121" s="1069"/>
      <c r="AN121" s="1070"/>
      <c r="AO121" s="1070"/>
      <c r="AP121" s="1070"/>
      <c r="AQ121" s="1070"/>
      <c r="AR121" s="1069"/>
      <c r="AS121" s="1282"/>
      <c r="AT121" s="1282"/>
      <c r="AU121" s="1069"/>
      <c r="AV121" s="1069"/>
      <c r="AW121" s="1069"/>
      <c r="AX121" s="1070"/>
      <c r="AY121" s="1070"/>
      <c r="AZ121" s="1078">
        <f t="shared" si="59"/>
        <v>0.29100000000000004</v>
      </c>
      <c r="BA121" s="59">
        <v>117</v>
      </c>
      <c r="BB121" s="59">
        <f t="shared" si="60"/>
        <v>117</v>
      </c>
      <c r="BC121" s="60" t="str">
        <f t="shared" si="61"/>
        <v>Cunhã</v>
      </c>
      <c r="BD121" s="61" t="str">
        <f ca="1">IFERROR(IF(SEARCH('Calcular Dieta'!A$3,$BC$5:$BC$310)&gt;=1,BC121,"Não encontrado"),"Não encontrado")</f>
        <v>Cunhã</v>
      </c>
      <c r="BE121" s="62">
        <f ca="1">COUNTIF(BD$5:BD121,"&lt;&gt;"&amp;"Não encontrado")</f>
        <v>117</v>
      </c>
      <c r="BF121" s="63" t="str">
        <f t="shared" ca="1" si="62"/>
        <v>CUNHÃ</v>
      </c>
      <c r="BG121" s="744">
        <f t="shared" si="63"/>
        <v>0.17591410000000002</v>
      </c>
      <c r="BH121" s="744">
        <f t="shared" si="64"/>
        <v>9.342099999999999E-2</v>
      </c>
      <c r="BI121" s="744">
        <f t="shared" si="65"/>
        <v>7.2027100000000011E-2</v>
      </c>
      <c r="BJ121" s="744">
        <f t="shared" si="66"/>
        <v>0.20239510000000005</v>
      </c>
      <c r="BK121" s="744" t="str">
        <f t="shared" si="67"/>
        <v/>
      </c>
      <c r="BL121" s="744">
        <f t="shared" si="68"/>
        <v>2.6401210000000002</v>
      </c>
      <c r="BM121" s="744" t="str">
        <f t="shared" si="69"/>
        <v/>
      </c>
      <c r="BN121" s="744">
        <f t="shared" si="70"/>
        <v>14.753821000000004</v>
      </c>
      <c r="BO121" s="744">
        <f t="shared" si="71"/>
        <v>48.247920999999998</v>
      </c>
      <c r="BP121" s="744">
        <f t="shared" si="72"/>
        <v>25.608121000000004</v>
      </c>
      <c r="BQ121" s="744">
        <f t="shared" si="73"/>
        <v>17.489221000000004</v>
      </c>
      <c r="BR121" s="744">
        <f t="shared" si="74"/>
        <v>30.147721000000004</v>
      </c>
      <c r="BS121" s="744" t="str">
        <f t="shared" si="75"/>
        <v/>
      </c>
      <c r="BT121" s="744" t="str">
        <f t="shared" si="76"/>
        <v/>
      </c>
      <c r="BU121" s="744">
        <f t="shared" si="77"/>
        <v>0.52392100000000008</v>
      </c>
      <c r="BV121" s="744" t="str">
        <f t="shared" si="78"/>
        <v/>
      </c>
      <c r="BW121" s="744" t="str">
        <f t="shared" si="79"/>
        <v/>
      </c>
      <c r="BX121" s="744" t="str">
        <f t="shared" si="80"/>
        <v/>
      </c>
      <c r="BY121" s="744" t="str">
        <f t="shared" si="81"/>
        <v/>
      </c>
      <c r="BZ121" s="744" t="str">
        <f t="shared" si="82"/>
        <v/>
      </c>
      <c r="CA121" s="744" t="str">
        <f t="shared" si="83"/>
        <v/>
      </c>
      <c r="CB121" s="744" t="str">
        <f t="shared" si="84"/>
        <v/>
      </c>
      <c r="CC121" s="744" t="str">
        <f t="shared" si="85"/>
        <v/>
      </c>
      <c r="CD121" s="744" t="str">
        <f t="shared" si="86"/>
        <v/>
      </c>
      <c r="CE121" s="744" t="str">
        <f t="shared" si="87"/>
        <v/>
      </c>
      <c r="CF121" s="744" t="str">
        <f t="shared" si="88"/>
        <v/>
      </c>
      <c r="CG121" s="744" t="str">
        <f t="shared" si="89"/>
        <v/>
      </c>
      <c r="CH121" s="744" t="str">
        <f t="shared" si="90"/>
        <v/>
      </c>
      <c r="CI121" s="744" t="str">
        <f t="shared" si="91"/>
        <v/>
      </c>
      <c r="CJ121" s="744" t="str">
        <f t="shared" si="92"/>
        <v/>
      </c>
      <c r="CK121" s="744" t="str">
        <f t="shared" si="93"/>
        <v/>
      </c>
      <c r="CL121" s="744" t="str">
        <f t="shared" si="94"/>
        <v/>
      </c>
      <c r="CM121" s="744" t="str">
        <f t="shared" si="95"/>
        <v/>
      </c>
      <c r="CN121" s="744" t="str">
        <f t="shared" si="96"/>
        <v/>
      </c>
      <c r="CO121" s="744" t="str">
        <f t="shared" si="97"/>
        <v/>
      </c>
      <c r="CP121" s="744" t="str">
        <f t="shared" si="98"/>
        <v/>
      </c>
      <c r="CQ121" s="744" t="str">
        <f t="shared" si="99"/>
        <v/>
      </c>
      <c r="CR121" s="744" t="str">
        <f t="shared" si="100"/>
        <v/>
      </c>
      <c r="CS121" s="744" t="str">
        <f t="shared" si="101"/>
        <v/>
      </c>
      <c r="CT121" s="744" t="str">
        <f t="shared" si="102"/>
        <v/>
      </c>
      <c r="CU121" s="744" t="str">
        <f t="shared" si="103"/>
        <v/>
      </c>
      <c r="CV121" s="744" t="str">
        <f t="shared" si="104"/>
        <v/>
      </c>
      <c r="CW121" s="744" t="str">
        <f t="shared" si="105"/>
        <v/>
      </c>
      <c r="CX121" s="744">
        <f t="shared" si="106"/>
        <v>0.29112100000000002</v>
      </c>
    </row>
    <row r="122" spans="1:102">
      <c r="A122" s="630">
        <v>118</v>
      </c>
      <c r="B122" s="630" t="s">
        <v>4</v>
      </c>
      <c r="C122" s="631" t="s">
        <v>252</v>
      </c>
      <c r="D122" s="630" t="s">
        <v>1390</v>
      </c>
      <c r="E122" s="632" t="s">
        <v>188</v>
      </c>
      <c r="F122" s="1067">
        <v>1</v>
      </c>
      <c r="G122" s="1066">
        <v>1</v>
      </c>
      <c r="H122" s="1070">
        <v>0.90959999999999996</v>
      </c>
      <c r="I122" s="1070">
        <v>0.66610007999999998</v>
      </c>
      <c r="J122" s="1070">
        <v>0.4128</v>
      </c>
      <c r="K122" s="1070">
        <v>0.10396727999999998</v>
      </c>
      <c r="L122" s="1072">
        <v>0.74832791999999992</v>
      </c>
      <c r="M122" s="1070"/>
      <c r="N122" s="1070">
        <v>3.11</v>
      </c>
      <c r="O122" s="1070"/>
      <c r="P122" s="1073">
        <v>84.683759999999992</v>
      </c>
      <c r="Q122" s="1070">
        <v>139.71455999999998</v>
      </c>
      <c r="R122" s="1070">
        <v>57.395759999999989</v>
      </c>
      <c r="S122" s="1279">
        <v>82.318799999999982</v>
      </c>
      <c r="T122" s="1070">
        <v>105.51359999999998</v>
      </c>
      <c r="U122" s="1070"/>
      <c r="V122" s="1066">
        <v>1.8191999999999999</v>
      </c>
      <c r="W122" s="1070">
        <v>6.8219999999999992</v>
      </c>
      <c r="X122" s="1070">
        <v>3.3655200000000001</v>
      </c>
      <c r="Y122" s="1070"/>
      <c r="Z122" s="1070"/>
      <c r="AA122" s="1070"/>
      <c r="AB122" s="1070"/>
      <c r="AC122" s="1070"/>
      <c r="AD122" s="1070"/>
      <c r="AE122" s="1070"/>
      <c r="AF122" s="1070"/>
      <c r="AG122" s="1070"/>
      <c r="AH122" s="1073"/>
      <c r="AI122" s="1070"/>
      <c r="AJ122" s="1070"/>
      <c r="AK122" s="1070"/>
      <c r="AL122" s="1082"/>
      <c r="AM122" s="1069"/>
      <c r="AN122" s="1070"/>
      <c r="AO122" s="1070"/>
      <c r="AP122" s="1070"/>
      <c r="AQ122" s="1070"/>
      <c r="AR122" s="1069"/>
      <c r="AS122" s="1282"/>
      <c r="AT122" s="1282"/>
      <c r="AU122" s="1069"/>
      <c r="AV122" s="1069"/>
      <c r="AW122" s="1069"/>
      <c r="AX122" s="1070"/>
      <c r="AY122" s="1070"/>
      <c r="AZ122" s="1078">
        <f t="shared" si="59"/>
        <v>0.90959999999999996</v>
      </c>
      <c r="BA122" s="59">
        <v>118</v>
      </c>
      <c r="BB122" s="59">
        <f t="shared" si="60"/>
        <v>118</v>
      </c>
      <c r="BC122" s="60" t="str">
        <f t="shared" si="61"/>
        <v>Dendê, Torta</v>
      </c>
      <c r="BD122" s="61" t="str">
        <f ca="1">IFERROR(IF(SEARCH('Calcular Dieta'!A$3,$BC$5:$BC$310)&gt;=1,BC122,"Não encontrado"),"Não encontrado")</f>
        <v>Dendê, Torta</v>
      </c>
      <c r="BE122" s="62">
        <f ca="1">COUNTIF(BD$5:BD122,"&lt;&gt;"&amp;"Não encontrado")</f>
        <v>118</v>
      </c>
      <c r="BF122" s="63" t="str">
        <f t="shared" ca="1" si="62"/>
        <v>DENDÊ, TORTA</v>
      </c>
      <c r="BG122" s="744">
        <f t="shared" si="63"/>
        <v>0.66622207999999994</v>
      </c>
      <c r="BH122" s="744">
        <f t="shared" si="64"/>
        <v>0.41292200000000001</v>
      </c>
      <c r="BI122" s="744">
        <f t="shared" si="65"/>
        <v>0.10408927999999998</v>
      </c>
      <c r="BJ122" s="744">
        <f t="shared" si="66"/>
        <v>0.74844991999999988</v>
      </c>
      <c r="BK122" s="744" t="str">
        <f t="shared" si="67"/>
        <v/>
      </c>
      <c r="BL122" s="744">
        <f t="shared" si="68"/>
        <v>3.1101220000000001</v>
      </c>
      <c r="BM122" s="744" t="str">
        <f t="shared" si="69"/>
        <v/>
      </c>
      <c r="BN122" s="744">
        <f t="shared" si="70"/>
        <v>84.683881999999997</v>
      </c>
      <c r="BO122" s="744">
        <f t="shared" si="71"/>
        <v>139.71468199999998</v>
      </c>
      <c r="BP122" s="744">
        <f t="shared" si="72"/>
        <v>57.395881999999986</v>
      </c>
      <c r="BQ122" s="744">
        <f t="shared" si="73"/>
        <v>82.318921999999986</v>
      </c>
      <c r="BR122" s="744">
        <f t="shared" si="74"/>
        <v>105.51372199999999</v>
      </c>
      <c r="BS122" s="744" t="str">
        <f t="shared" si="75"/>
        <v/>
      </c>
      <c r="BT122" s="744">
        <f t="shared" si="76"/>
        <v>1.8193219999999999</v>
      </c>
      <c r="BU122" s="744">
        <f t="shared" si="77"/>
        <v>6.8221219999999994</v>
      </c>
      <c r="BV122" s="744">
        <f t="shared" si="78"/>
        <v>3.3656420000000002</v>
      </c>
      <c r="BW122" s="744" t="str">
        <f t="shared" si="79"/>
        <v/>
      </c>
      <c r="BX122" s="744" t="str">
        <f t="shared" si="80"/>
        <v/>
      </c>
      <c r="BY122" s="744" t="str">
        <f t="shared" si="81"/>
        <v/>
      </c>
      <c r="BZ122" s="744" t="str">
        <f t="shared" si="82"/>
        <v/>
      </c>
      <c r="CA122" s="744" t="str">
        <f t="shared" si="83"/>
        <v/>
      </c>
      <c r="CB122" s="744" t="str">
        <f t="shared" si="84"/>
        <v/>
      </c>
      <c r="CC122" s="744" t="str">
        <f t="shared" si="85"/>
        <v/>
      </c>
      <c r="CD122" s="744" t="str">
        <f t="shared" si="86"/>
        <v/>
      </c>
      <c r="CE122" s="744" t="str">
        <f t="shared" si="87"/>
        <v/>
      </c>
      <c r="CF122" s="744" t="str">
        <f t="shared" si="88"/>
        <v/>
      </c>
      <c r="CG122" s="744" t="str">
        <f t="shared" si="89"/>
        <v/>
      </c>
      <c r="CH122" s="744" t="str">
        <f t="shared" si="90"/>
        <v/>
      </c>
      <c r="CI122" s="744" t="str">
        <f t="shared" si="91"/>
        <v/>
      </c>
      <c r="CJ122" s="744" t="str">
        <f t="shared" si="92"/>
        <v/>
      </c>
      <c r="CK122" s="744" t="str">
        <f t="shared" si="93"/>
        <v/>
      </c>
      <c r="CL122" s="744" t="str">
        <f t="shared" si="94"/>
        <v/>
      </c>
      <c r="CM122" s="744" t="str">
        <f t="shared" si="95"/>
        <v/>
      </c>
      <c r="CN122" s="744" t="str">
        <f t="shared" si="96"/>
        <v/>
      </c>
      <c r="CO122" s="744" t="str">
        <f t="shared" si="97"/>
        <v/>
      </c>
      <c r="CP122" s="744" t="str">
        <f t="shared" si="98"/>
        <v/>
      </c>
      <c r="CQ122" s="744" t="str">
        <f t="shared" si="99"/>
        <v/>
      </c>
      <c r="CR122" s="744" t="str">
        <f t="shared" si="100"/>
        <v/>
      </c>
      <c r="CS122" s="744" t="str">
        <f t="shared" si="101"/>
        <v/>
      </c>
      <c r="CT122" s="744" t="str">
        <f t="shared" si="102"/>
        <v/>
      </c>
      <c r="CU122" s="744" t="str">
        <f t="shared" si="103"/>
        <v/>
      </c>
      <c r="CV122" s="744" t="str">
        <f t="shared" si="104"/>
        <v/>
      </c>
      <c r="CW122" s="744" t="str">
        <f t="shared" si="105"/>
        <v/>
      </c>
      <c r="CX122" s="744">
        <f t="shared" si="106"/>
        <v>0.90972199999999992</v>
      </c>
    </row>
    <row r="123" spans="1:102">
      <c r="A123" s="633">
        <v>119</v>
      </c>
      <c r="B123" s="630" t="s">
        <v>4</v>
      </c>
      <c r="C123" s="631" t="s">
        <v>252</v>
      </c>
      <c r="D123" s="630" t="s">
        <v>1390</v>
      </c>
      <c r="E123" s="632" t="s">
        <v>189</v>
      </c>
      <c r="F123" s="1067">
        <v>1</v>
      </c>
      <c r="G123" s="1066">
        <v>1</v>
      </c>
      <c r="H123" s="1070">
        <v>0.77249999999999996</v>
      </c>
      <c r="I123" s="1070">
        <v>0.15218249999999997</v>
      </c>
      <c r="J123" s="1070">
        <v>9.7000000000000003E-2</v>
      </c>
      <c r="K123" s="1070">
        <v>0.526227</v>
      </c>
      <c r="L123" s="1072">
        <v>0.56013975000000005</v>
      </c>
      <c r="M123" s="1070"/>
      <c r="N123" s="1070"/>
      <c r="O123" s="1070"/>
      <c r="P123" s="1073">
        <v>9.65625</v>
      </c>
      <c r="Q123" s="1070">
        <v>86.365499999999997</v>
      </c>
      <c r="R123" s="1070">
        <v>50.521499999999996</v>
      </c>
      <c r="S123" s="1070">
        <v>22.78875</v>
      </c>
      <c r="T123" s="1070">
        <v>49.20825</v>
      </c>
      <c r="U123" s="1070"/>
      <c r="V123" s="1066"/>
      <c r="W123" s="1070"/>
      <c r="X123" s="1070"/>
      <c r="Y123" s="1070"/>
      <c r="Z123" s="1070"/>
      <c r="AA123" s="1070"/>
      <c r="AB123" s="1070"/>
      <c r="AC123" s="1070"/>
      <c r="AD123" s="1070"/>
      <c r="AE123" s="1070"/>
      <c r="AF123" s="1070"/>
      <c r="AG123" s="1070"/>
      <c r="AH123" s="1073"/>
      <c r="AI123" s="1070"/>
      <c r="AJ123" s="1070"/>
      <c r="AK123" s="1070"/>
      <c r="AL123" s="1082"/>
      <c r="AM123" s="1069"/>
      <c r="AN123" s="1070"/>
      <c r="AO123" s="1070"/>
      <c r="AP123" s="1070"/>
      <c r="AQ123" s="1070"/>
      <c r="AR123" s="1069"/>
      <c r="AS123" s="1282"/>
      <c r="AT123" s="1282"/>
      <c r="AU123" s="1069"/>
      <c r="AV123" s="1069"/>
      <c r="AW123" s="1069"/>
      <c r="AX123" s="1070"/>
      <c r="AY123" s="1070"/>
      <c r="AZ123" s="1078">
        <f t="shared" si="59"/>
        <v>0.77249999999999996</v>
      </c>
      <c r="BA123" s="59">
        <v>119</v>
      </c>
      <c r="BB123" s="59">
        <f t="shared" si="60"/>
        <v>119</v>
      </c>
      <c r="BC123" s="60" t="str">
        <f t="shared" si="61"/>
        <v>Faveira, Vagem</v>
      </c>
      <c r="BD123" s="61" t="str">
        <f ca="1">IFERROR(IF(SEARCH('Calcular Dieta'!A$3,$BC$5:$BC$310)&gt;=1,BC123,"Não encontrado"),"Não encontrado")</f>
        <v>Faveira, Vagem</v>
      </c>
      <c r="BE123" s="62">
        <f ca="1">COUNTIF(BD$5:BD123,"&lt;&gt;"&amp;"Não encontrado")</f>
        <v>119</v>
      </c>
      <c r="BF123" s="63" t="str">
        <f t="shared" ca="1" si="62"/>
        <v>FAVEIRA, VAGEM</v>
      </c>
      <c r="BG123" s="744">
        <f t="shared" si="63"/>
        <v>0.15230549999999998</v>
      </c>
      <c r="BH123" s="744">
        <f t="shared" si="64"/>
        <v>9.7123000000000001E-2</v>
      </c>
      <c r="BI123" s="744">
        <f t="shared" si="65"/>
        <v>0.52634999999999998</v>
      </c>
      <c r="BJ123" s="744">
        <f t="shared" si="66"/>
        <v>0.56026275000000003</v>
      </c>
      <c r="BK123" s="744" t="str">
        <f t="shared" si="67"/>
        <v/>
      </c>
      <c r="BL123" s="744" t="str">
        <f t="shared" si="68"/>
        <v/>
      </c>
      <c r="BM123" s="744" t="str">
        <f t="shared" si="69"/>
        <v/>
      </c>
      <c r="BN123" s="744">
        <f t="shared" si="70"/>
        <v>9.6563730000000003</v>
      </c>
      <c r="BO123" s="744">
        <f t="shared" si="71"/>
        <v>86.365622999999999</v>
      </c>
      <c r="BP123" s="744">
        <f t="shared" si="72"/>
        <v>50.521622999999998</v>
      </c>
      <c r="BQ123" s="744">
        <f t="shared" si="73"/>
        <v>22.788872999999999</v>
      </c>
      <c r="BR123" s="744">
        <f t="shared" si="74"/>
        <v>49.208373000000002</v>
      </c>
      <c r="BS123" s="744" t="str">
        <f t="shared" si="75"/>
        <v/>
      </c>
      <c r="BT123" s="744" t="str">
        <f t="shared" si="76"/>
        <v/>
      </c>
      <c r="BU123" s="744" t="str">
        <f t="shared" si="77"/>
        <v/>
      </c>
      <c r="BV123" s="744" t="str">
        <f t="shared" si="78"/>
        <v/>
      </c>
      <c r="BW123" s="744" t="str">
        <f t="shared" si="79"/>
        <v/>
      </c>
      <c r="BX123" s="744" t="str">
        <f t="shared" si="80"/>
        <v/>
      </c>
      <c r="BY123" s="744" t="str">
        <f t="shared" si="81"/>
        <v/>
      </c>
      <c r="BZ123" s="744" t="str">
        <f t="shared" si="82"/>
        <v/>
      </c>
      <c r="CA123" s="744" t="str">
        <f t="shared" si="83"/>
        <v/>
      </c>
      <c r="CB123" s="744" t="str">
        <f t="shared" si="84"/>
        <v/>
      </c>
      <c r="CC123" s="744" t="str">
        <f t="shared" si="85"/>
        <v/>
      </c>
      <c r="CD123" s="744" t="str">
        <f t="shared" si="86"/>
        <v/>
      </c>
      <c r="CE123" s="744" t="str">
        <f t="shared" si="87"/>
        <v/>
      </c>
      <c r="CF123" s="744" t="str">
        <f t="shared" si="88"/>
        <v/>
      </c>
      <c r="CG123" s="744" t="str">
        <f t="shared" si="89"/>
        <v/>
      </c>
      <c r="CH123" s="744" t="str">
        <f t="shared" si="90"/>
        <v/>
      </c>
      <c r="CI123" s="744" t="str">
        <f t="shared" si="91"/>
        <v/>
      </c>
      <c r="CJ123" s="744" t="str">
        <f t="shared" si="92"/>
        <v/>
      </c>
      <c r="CK123" s="744" t="str">
        <f t="shared" si="93"/>
        <v/>
      </c>
      <c r="CL123" s="744" t="str">
        <f t="shared" si="94"/>
        <v/>
      </c>
      <c r="CM123" s="744" t="str">
        <f t="shared" si="95"/>
        <v/>
      </c>
      <c r="CN123" s="744" t="str">
        <f t="shared" si="96"/>
        <v/>
      </c>
      <c r="CO123" s="744" t="str">
        <f t="shared" si="97"/>
        <v/>
      </c>
      <c r="CP123" s="744" t="str">
        <f t="shared" si="98"/>
        <v/>
      </c>
      <c r="CQ123" s="744" t="str">
        <f t="shared" si="99"/>
        <v/>
      </c>
      <c r="CR123" s="744" t="str">
        <f t="shared" si="100"/>
        <v/>
      </c>
      <c r="CS123" s="744" t="str">
        <f t="shared" si="101"/>
        <v/>
      </c>
      <c r="CT123" s="744" t="str">
        <f t="shared" si="102"/>
        <v/>
      </c>
      <c r="CU123" s="744" t="str">
        <f t="shared" si="103"/>
        <v/>
      </c>
      <c r="CV123" s="744" t="str">
        <f t="shared" si="104"/>
        <v/>
      </c>
      <c r="CW123" s="744" t="str">
        <f t="shared" si="105"/>
        <v/>
      </c>
      <c r="CX123" s="744">
        <f t="shared" si="106"/>
        <v>0.77262299999999995</v>
      </c>
    </row>
    <row r="124" spans="1:102">
      <c r="A124" s="630">
        <v>120</v>
      </c>
      <c r="B124" s="630" t="s">
        <v>4</v>
      </c>
      <c r="C124" s="631" t="s">
        <v>250</v>
      </c>
      <c r="D124" s="630" t="s">
        <v>1392</v>
      </c>
      <c r="E124" s="632" t="s">
        <v>54</v>
      </c>
      <c r="F124" s="1067">
        <v>1</v>
      </c>
      <c r="G124" s="1066">
        <v>1</v>
      </c>
      <c r="H124" s="1070">
        <v>0.89</v>
      </c>
      <c r="I124" s="1070">
        <v>7.1199999999999999E-2</v>
      </c>
      <c r="J124" s="1070">
        <v>0.04</v>
      </c>
      <c r="K124" s="1070"/>
      <c r="L124" s="1072">
        <v>0.77964</v>
      </c>
      <c r="M124" s="1070">
        <v>3.4374327599999996</v>
      </c>
      <c r="N124" s="1070"/>
      <c r="O124" s="1070"/>
      <c r="P124" s="1073">
        <v>12.015000000000001</v>
      </c>
      <c r="Q124" s="1070">
        <v>229.62</v>
      </c>
      <c r="R124" s="1070">
        <v>114.81</v>
      </c>
      <c r="S124" s="1070"/>
      <c r="T124" s="1070"/>
      <c r="U124" s="1070"/>
      <c r="V124" s="1066">
        <v>1.335</v>
      </c>
      <c r="W124" s="1070">
        <v>3.2039999999999997</v>
      </c>
      <c r="X124" s="1070">
        <v>1.157</v>
      </c>
      <c r="Y124" s="1070">
        <v>0.17800000000000002</v>
      </c>
      <c r="Z124" s="1070">
        <v>12.727</v>
      </c>
      <c r="AA124" s="1070">
        <v>3.1150000000000002</v>
      </c>
      <c r="AB124" s="1070">
        <v>8.9</v>
      </c>
      <c r="AC124" s="1070">
        <v>22.25</v>
      </c>
      <c r="AD124" s="1070">
        <v>345.32</v>
      </c>
      <c r="AE124" s="1070">
        <v>29.37</v>
      </c>
      <c r="AF124" s="1070">
        <v>0.1424</v>
      </c>
      <c r="AG124" s="1070">
        <v>0.26700000000000002</v>
      </c>
      <c r="AH124" s="1073">
        <v>0.44500000000000001</v>
      </c>
      <c r="AI124" s="1070"/>
      <c r="AJ124" s="1070"/>
      <c r="AK124" s="1070"/>
      <c r="AL124" s="1082"/>
      <c r="AM124" s="1069"/>
      <c r="AN124" s="1070"/>
      <c r="AO124" s="1070"/>
      <c r="AP124" s="1070"/>
      <c r="AQ124" s="1070"/>
      <c r="AR124" s="1069"/>
      <c r="AS124" s="1282"/>
      <c r="AT124" s="1282"/>
      <c r="AU124" s="1069"/>
      <c r="AV124" s="1069"/>
      <c r="AW124" s="1069"/>
      <c r="AX124" s="1070"/>
      <c r="AY124" s="1070"/>
      <c r="AZ124" s="1078">
        <f t="shared" si="59"/>
        <v>0.89</v>
      </c>
      <c r="BA124" s="59">
        <v>120</v>
      </c>
      <c r="BB124" s="59">
        <f t="shared" si="60"/>
        <v>120</v>
      </c>
      <c r="BC124" s="60" t="str">
        <f t="shared" si="61"/>
        <v>Feijão</v>
      </c>
      <c r="BD124" s="61" t="str">
        <f ca="1">IFERROR(IF(SEARCH('Calcular Dieta'!A$3,$BC$5:$BC$310)&gt;=1,BC124,"Não encontrado"),"Não encontrado")</f>
        <v>Feijão</v>
      </c>
      <c r="BE124" s="62">
        <f ca="1">COUNTIF(BD$5:BD124,"&lt;&gt;"&amp;"Não encontrado")</f>
        <v>120</v>
      </c>
      <c r="BF124" s="63" t="str">
        <f t="shared" ca="1" si="62"/>
        <v>FEIJÃO</v>
      </c>
      <c r="BG124" s="744">
        <f t="shared" si="63"/>
        <v>7.1323999999999999E-2</v>
      </c>
      <c r="BH124" s="744">
        <f t="shared" si="64"/>
        <v>4.0124E-2</v>
      </c>
      <c r="BI124" s="744" t="str">
        <f t="shared" si="65"/>
        <v/>
      </c>
      <c r="BJ124" s="744">
        <f t="shared" si="66"/>
        <v>0.77976400000000001</v>
      </c>
      <c r="BK124" s="744">
        <f t="shared" si="67"/>
        <v>3.4375567599999997</v>
      </c>
      <c r="BL124" s="744" t="str">
        <f t="shared" si="68"/>
        <v/>
      </c>
      <c r="BM124" s="744" t="str">
        <f t="shared" si="69"/>
        <v/>
      </c>
      <c r="BN124" s="744">
        <f t="shared" si="70"/>
        <v>12.015124</v>
      </c>
      <c r="BO124" s="744">
        <f t="shared" si="71"/>
        <v>229.620124</v>
      </c>
      <c r="BP124" s="744">
        <f t="shared" si="72"/>
        <v>114.810124</v>
      </c>
      <c r="BQ124" s="744" t="str">
        <f t="shared" si="73"/>
        <v/>
      </c>
      <c r="BR124" s="744" t="str">
        <f t="shared" si="74"/>
        <v/>
      </c>
      <c r="BS124" s="744" t="str">
        <f t="shared" si="75"/>
        <v/>
      </c>
      <c r="BT124" s="744">
        <f t="shared" si="76"/>
        <v>1.335124</v>
      </c>
      <c r="BU124" s="744">
        <f t="shared" si="77"/>
        <v>3.2041239999999998</v>
      </c>
      <c r="BV124" s="744">
        <f t="shared" si="78"/>
        <v>1.157124</v>
      </c>
      <c r="BW124" s="744">
        <f t="shared" si="79"/>
        <v>0.17812400000000003</v>
      </c>
      <c r="BX124" s="744">
        <f t="shared" si="80"/>
        <v>12.727124</v>
      </c>
      <c r="BY124" s="744">
        <f t="shared" si="81"/>
        <v>3.1151240000000002</v>
      </c>
      <c r="BZ124" s="744">
        <f t="shared" si="82"/>
        <v>8.9001239999999999</v>
      </c>
      <c r="CA124" s="744">
        <f t="shared" si="83"/>
        <v>22.250124</v>
      </c>
      <c r="CB124" s="744">
        <f t="shared" si="84"/>
        <v>345.32012400000002</v>
      </c>
      <c r="CC124" s="744">
        <f t="shared" si="85"/>
        <v>29.370124000000001</v>
      </c>
      <c r="CD124" s="744">
        <f t="shared" si="86"/>
        <v>0.14252400000000001</v>
      </c>
      <c r="CE124" s="744">
        <f t="shared" si="87"/>
        <v>0.26712400000000003</v>
      </c>
      <c r="CF124" s="744">
        <f t="shared" si="88"/>
        <v>0.44512400000000002</v>
      </c>
      <c r="CG124" s="744" t="str">
        <f t="shared" si="89"/>
        <v/>
      </c>
      <c r="CH124" s="744" t="str">
        <f t="shared" si="90"/>
        <v/>
      </c>
      <c r="CI124" s="744" t="str">
        <f t="shared" si="91"/>
        <v/>
      </c>
      <c r="CJ124" s="744" t="str">
        <f t="shared" si="92"/>
        <v/>
      </c>
      <c r="CK124" s="744" t="str">
        <f t="shared" si="93"/>
        <v/>
      </c>
      <c r="CL124" s="744" t="str">
        <f t="shared" si="94"/>
        <v/>
      </c>
      <c r="CM124" s="744" t="str">
        <f t="shared" si="95"/>
        <v/>
      </c>
      <c r="CN124" s="744" t="str">
        <f t="shared" si="96"/>
        <v/>
      </c>
      <c r="CO124" s="744" t="str">
        <f t="shared" si="97"/>
        <v/>
      </c>
      <c r="CP124" s="744" t="str">
        <f t="shared" si="98"/>
        <v/>
      </c>
      <c r="CQ124" s="744" t="str">
        <f t="shared" si="99"/>
        <v/>
      </c>
      <c r="CR124" s="744" t="str">
        <f t="shared" si="100"/>
        <v/>
      </c>
      <c r="CS124" s="744" t="str">
        <f t="shared" si="101"/>
        <v/>
      </c>
      <c r="CT124" s="744" t="str">
        <f t="shared" si="102"/>
        <v/>
      </c>
      <c r="CU124" s="744" t="str">
        <f t="shared" si="103"/>
        <v/>
      </c>
      <c r="CV124" s="744" t="str">
        <f t="shared" si="104"/>
        <v/>
      </c>
      <c r="CW124" s="744" t="str">
        <f t="shared" si="105"/>
        <v/>
      </c>
      <c r="CX124" s="744">
        <f t="shared" si="106"/>
        <v>0.89012400000000003</v>
      </c>
    </row>
    <row r="125" spans="1:102">
      <c r="A125" s="633">
        <v>121</v>
      </c>
      <c r="B125" s="630" t="s">
        <v>4</v>
      </c>
      <c r="C125" s="631" t="s">
        <v>250</v>
      </c>
      <c r="D125" s="630" t="s">
        <v>1390</v>
      </c>
      <c r="E125" s="632" t="s">
        <v>190</v>
      </c>
      <c r="F125" s="1067">
        <v>1</v>
      </c>
      <c r="G125" s="1066">
        <v>1</v>
      </c>
      <c r="H125" s="1070">
        <v>0.8962</v>
      </c>
      <c r="I125" s="1070">
        <v>0.22405</v>
      </c>
      <c r="J125" s="1070">
        <v>0.1077</v>
      </c>
      <c r="K125" s="1070">
        <v>0.43886913999999999</v>
      </c>
      <c r="L125" s="1072">
        <v>0.7237711200000001</v>
      </c>
      <c r="M125" s="1070"/>
      <c r="N125" s="1070">
        <v>3.17</v>
      </c>
      <c r="O125" s="1070"/>
      <c r="P125" s="1073">
        <v>13.443</v>
      </c>
      <c r="Q125" s="1070">
        <v>216.97002000000001</v>
      </c>
      <c r="R125" s="1070">
        <v>180.22582</v>
      </c>
      <c r="S125" s="1279">
        <v>36.744200000000006</v>
      </c>
      <c r="T125" s="1070">
        <v>136.31202000000002</v>
      </c>
      <c r="U125" s="1070"/>
      <c r="V125" s="1066">
        <v>4.83948</v>
      </c>
      <c r="W125" s="1070">
        <v>3.8536600000000001</v>
      </c>
      <c r="X125" s="1070">
        <v>5.8253000000000004</v>
      </c>
      <c r="Y125" s="1070">
        <v>0.62734000000000012</v>
      </c>
      <c r="Z125" s="1070">
        <v>8.9619999999999997</v>
      </c>
      <c r="AA125" s="1070">
        <v>0.80657999999999996</v>
      </c>
      <c r="AB125" s="1070">
        <v>14.86</v>
      </c>
      <c r="AC125" s="1070">
        <v>43.67</v>
      </c>
      <c r="AD125" s="1070"/>
      <c r="AE125" s="1070">
        <v>33.94</v>
      </c>
      <c r="AF125" s="1070"/>
      <c r="AG125" s="1070">
        <v>0.33</v>
      </c>
      <c r="AH125" s="1073"/>
      <c r="AI125" s="1070"/>
      <c r="AJ125" s="1070"/>
      <c r="AK125" s="1070"/>
      <c r="AL125" s="1082"/>
      <c r="AM125" s="1069"/>
      <c r="AN125" s="1070"/>
      <c r="AO125" s="1070"/>
      <c r="AP125" s="1070"/>
      <c r="AQ125" s="1070"/>
      <c r="AR125" s="1069"/>
      <c r="AS125" s="1282"/>
      <c r="AT125" s="1282"/>
      <c r="AU125" s="1069"/>
      <c r="AV125" s="1069"/>
      <c r="AW125" s="1069"/>
      <c r="AX125" s="1070"/>
      <c r="AY125" s="1070"/>
      <c r="AZ125" s="1078">
        <f t="shared" si="59"/>
        <v>0.8962</v>
      </c>
      <c r="BA125" s="59">
        <v>121</v>
      </c>
      <c r="BB125" s="59">
        <f t="shared" si="60"/>
        <v>121</v>
      </c>
      <c r="BC125" s="60" t="str">
        <f t="shared" si="61"/>
        <v>Feijão Moído</v>
      </c>
      <c r="BD125" s="61" t="str">
        <f ca="1">IFERROR(IF(SEARCH('Calcular Dieta'!A$3,$BC$5:$BC$310)&gt;=1,BC125,"Não encontrado"),"Não encontrado")</f>
        <v>Feijão Moído</v>
      </c>
      <c r="BE125" s="62">
        <f ca="1">COUNTIF(BD$5:BD125,"&lt;&gt;"&amp;"Não encontrado")</f>
        <v>121</v>
      </c>
      <c r="BF125" s="63" t="str">
        <f t="shared" ca="1" si="62"/>
        <v>FEIJÃO MOÍDO</v>
      </c>
      <c r="BG125" s="744">
        <f t="shared" si="63"/>
        <v>0.22417499999999999</v>
      </c>
      <c r="BH125" s="744">
        <f t="shared" si="64"/>
        <v>0.107825</v>
      </c>
      <c r="BI125" s="744">
        <f t="shared" si="65"/>
        <v>0.43899413999999998</v>
      </c>
      <c r="BJ125" s="744">
        <f t="shared" si="66"/>
        <v>0.72389612000000014</v>
      </c>
      <c r="BK125" s="744" t="str">
        <f t="shared" si="67"/>
        <v/>
      </c>
      <c r="BL125" s="744">
        <f t="shared" si="68"/>
        <v>3.1701250000000001</v>
      </c>
      <c r="BM125" s="744" t="str">
        <f t="shared" si="69"/>
        <v/>
      </c>
      <c r="BN125" s="744">
        <f t="shared" si="70"/>
        <v>13.443125</v>
      </c>
      <c r="BO125" s="744">
        <f t="shared" si="71"/>
        <v>216.970145</v>
      </c>
      <c r="BP125" s="744">
        <f t="shared" si="72"/>
        <v>180.225945</v>
      </c>
      <c r="BQ125" s="744">
        <f t="shared" si="73"/>
        <v>36.744325000000003</v>
      </c>
      <c r="BR125" s="744">
        <f t="shared" si="74"/>
        <v>136.31214500000002</v>
      </c>
      <c r="BS125" s="744" t="str">
        <f t="shared" si="75"/>
        <v/>
      </c>
      <c r="BT125" s="744">
        <f t="shared" si="76"/>
        <v>4.8396049999999997</v>
      </c>
      <c r="BU125" s="744">
        <f t="shared" si="77"/>
        <v>3.8537850000000002</v>
      </c>
      <c r="BV125" s="744">
        <f t="shared" si="78"/>
        <v>5.8254250000000001</v>
      </c>
      <c r="BW125" s="744">
        <f t="shared" si="79"/>
        <v>0.62746500000000016</v>
      </c>
      <c r="BX125" s="744">
        <f t="shared" si="80"/>
        <v>8.9621250000000003</v>
      </c>
      <c r="BY125" s="744">
        <f t="shared" si="81"/>
        <v>0.80670500000000001</v>
      </c>
      <c r="BZ125" s="744">
        <f t="shared" si="82"/>
        <v>14.860125</v>
      </c>
      <c r="CA125" s="744">
        <f t="shared" si="83"/>
        <v>43.670124999999999</v>
      </c>
      <c r="CB125" s="744" t="str">
        <f t="shared" si="84"/>
        <v/>
      </c>
      <c r="CC125" s="744">
        <f t="shared" si="85"/>
        <v>33.940124999999995</v>
      </c>
      <c r="CD125" s="744" t="str">
        <f t="shared" si="86"/>
        <v/>
      </c>
      <c r="CE125" s="744">
        <f t="shared" si="87"/>
        <v>0.330125</v>
      </c>
      <c r="CF125" s="744" t="str">
        <f t="shared" si="88"/>
        <v/>
      </c>
      <c r="CG125" s="744" t="str">
        <f t="shared" si="89"/>
        <v/>
      </c>
      <c r="CH125" s="744" t="str">
        <f t="shared" si="90"/>
        <v/>
      </c>
      <c r="CI125" s="744" t="str">
        <f t="shared" si="91"/>
        <v/>
      </c>
      <c r="CJ125" s="744" t="str">
        <f t="shared" si="92"/>
        <v/>
      </c>
      <c r="CK125" s="744" t="str">
        <f t="shared" si="93"/>
        <v/>
      </c>
      <c r="CL125" s="744" t="str">
        <f t="shared" si="94"/>
        <v/>
      </c>
      <c r="CM125" s="744" t="str">
        <f t="shared" si="95"/>
        <v/>
      </c>
      <c r="CN125" s="744" t="str">
        <f t="shared" si="96"/>
        <v/>
      </c>
      <c r="CO125" s="744" t="str">
        <f t="shared" si="97"/>
        <v/>
      </c>
      <c r="CP125" s="744" t="str">
        <f t="shared" si="98"/>
        <v/>
      </c>
      <c r="CQ125" s="744" t="str">
        <f t="shared" si="99"/>
        <v/>
      </c>
      <c r="CR125" s="744" t="str">
        <f t="shared" si="100"/>
        <v/>
      </c>
      <c r="CS125" s="744" t="str">
        <f t="shared" si="101"/>
        <v/>
      </c>
      <c r="CT125" s="744" t="str">
        <f t="shared" si="102"/>
        <v/>
      </c>
      <c r="CU125" s="744" t="str">
        <f t="shared" si="103"/>
        <v/>
      </c>
      <c r="CV125" s="744" t="str">
        <f t="shared" si="104"/>
        <v/>
      </c>
      <c r="CW125" s="744" t="str">
        <f t="shared" si="105"/>
        <v/>
      </c>
      <c r="CX125" s="744">
        <f t="shared" si="106"/>
        <v>0.89632500000000004</v>
      </c>
    </row>
    <row r="126" spans="1:102">
      <c r="A126" s="630">
        <v>122</v>
      </c>
      <c r="B126" s="630" t="s">
        <v>4</v>
      </c>
      <c r="C126" s="631" t="s">
        <v>251</v>
      </c>
      <c r="D126" s="630" t="s">
        <v>1390</v>
      </c>
      <c r="E126" s="632" t="s">
        <v>686</v>
      </c>
      <c r="F126" s="1067">
        <v>7</v>
      </c>
      <c r="G126" s="1066">
        <v>1</v>
      </c>
      <c r="H126" s="1070">
        <v>0.98</v>
      </c>
      <c r="I126" s="1070"/>
      <c r="J126" s="1070"/>
      <c r="K126" s="1070"/>
      <c r="L126" s="1072"/>
      <c r="M126" s="1070"/>
      <c r="N126" s="1070"/>
      <c r="O126" s="1070"/>
      <c r="P126" s="1073"/>
      <c r="Q126" s="1070"/>
      <c r="R126" s="1070"/>
      <c r="S126" s="1070"/>
      <c r="T126" s="1070"/>
      <c r="U126" s="1070"/>
      <c r="V126" s="1066">
        <v>123.08800000000002</v>
      </c>
      <c r="W126" s="1070">
        <v>49</v>
      </c>
      <c r="X126" s="1070">
        <v>15.091999999999999</v>
      </c>
      <c r="Y126" s="1070">
        <v>127.40000000000002</v>
      </c>
      <c r="Z126" s="1070"/>
      <c r="AA126" s="1070">
        <v>196</v>
      </c>
      <c r="AB126" s="1070">
        <v>1000</v>
      </c>
      <c r="AC126" s="1070">
        <v>3600</v>
      </c>
      <c r="AD126" s="1070"/>
      <c r="AE126" s="1070">
        <v>1898</v>
      </c>
      <c r="AF126" s="1070">
        <v>54</v>
      </c>
      <c r="AG126" s="1070">
        <v>50</v>
      </c>
      <c r="AH126" s="1073">
        <v>18</v>
      </c>
      <c r="AI126" s="1070"/>
      <c r="AJ126" s="1070"/>
      <c r="AK126" s="1070"/>
      <c r="AL126" s="1082"/>
      <c r="AM126" s="1069"/>
      <c r="AN126" s="1070"/>
      <c r="AO126" s="1070"/>
      <c r="AP126" s="1070"/>
      <c r="AQ126" s="1070"/>
      <c r="AR126" s="1069"/>
      <c r="AS126" s="1282"/>
      <c r="AT126" s="1282"/>
      <c r="AU126" s="1069"/>
      <c r="AV126" s="1069"/>
      <c r="AW126" s="1069"/>
      <c r="AX126" s="1070"/>
      <c r="AY126" s="1070"/>
      <c r="AZ126" s="1078">
        <f t="shared" si="59"/>
        <v>0.98</v>
      </c>
      <c r="BA126" s="59">
        <v>122</v>
      </c>
      <c r="BB126" s="59">
        <f t="shared" si="60"/>
        <v>122</v>
      </c>
      <c r="BC126" s="60" t="str">
        <f t="shared" si="61"/>
        <v>Flends Nucleo Confinamais VM Plus</v>
      </c>
      <c r="BD126" s="61" t="str">
        <f ca="1">IFERROR(IF(SEARCH('Calcular Dieta'!A$3,$BC$5:$BC$310)&gt;=1,BC126,"Não encontrado"),"Não encontrado")</f>
        <v>Flends Nucleo Confinamais VM Plus</v>
      </c>
      <c r="BE126" s="62">
        <f ca="1">COUNTIF(BD$5:BD126,"&lt;&gt;"&amp;"Não encontrado")</f>
        <v>122</v>
      </c>
      <c r="BF126" s="63" t="str">
        <f t="shared" ca="1" si="62"/>
        <v>FLENDS NUCLEO CONFINAMAIS VM PLUS</v>
      </c>
      <c r="BG126" s="744" t="str">
        <f t="shared" si="63"/>
        <v/>
      </c>
      <c r="BH126" s="744" t="str">
        <f t="shared" si="64"/>
        <v/>
      </c>
      <c r="BI126" s="744" t="str">
        <f t="shared" si="65"/>
        <v/>
      </c>
      <c r="BJ126" s="744" t="str">
        <f t="shared" si="66"/>
        <v/>
      </c>
      <c r="BK126" s="744" t="str">
        <f t="shared" si="67"/>
        <v/>
      </c>
      <c r="BL126" s="744" t="str">
        <f t="shared" si="68"/>
        <v/>
      </c>
      <c r="BM126" s="744" t="str">
        <f t="shared" si="69"/>
        <v/>
      </c>
      <c r="BN126" s="744" t="str">
        <f t="shared" si="70"/>
        <v/>
      </c>
      <c r="BO126" s="744" t="str">
        <f t="shared" si="71"/>
        <v/>
      </c>
      <c r="BP126" s="744" t="str">
        <f t="shared" si="72"/>
        <v/>
      </c>
      <c r="BQ126" s="744" t="str">
        <f t="shared" si="73"/>
        <v/>
      </c>
      <c r="BR126" s="744" t="str">
        <f t="shared" si="74"/>
        <v/>
      </c>
      <c r="BS126" s="744" t="str">
        <f t="shared" si="75"/>
        <v/>
      </c>
      <c r="BT126" s="744">
        <f t="shared" si="76"/>
        <v>123.08812600000002</v>
      </c>
      <c r="BU126" s="744">
        <f t="shared" si="77"/>
        <v>49.000126000000002</v>
      </c>
      <c r="BV126" s="744">
        <f t="shared" si="78"/>
        <v>15.092125999999999</v>
      </c>
      <c r="BW126" s="744">
        <f t="shared" si="79"/>
        <v>127.40012600000001</v>
      </c>
      <c r="BX126" s="744" t="str">
        <f t="shared" si="80"/>
        <v/>
      </c>
      <c r="BY126" s="744">
        <f t="shared" si="81"/>
        <v>196.00012599999999</v>
      </c>
      <c r="BZ126" s="744">
        <f t="shared" si="82"/>
        <v>1000.000126</v>
      </c>
      <c r="CA126" s="744">
        <f t="shared" si="83"/>
        <v>3600.0001259999999</v>
      </c>
      <c r="CB126" s="744" t="str">
        <f t="shared" si="84"/>
        <v/>
      </c>
      <c r="CC126" s="744">
        <f t="shared" si="85"/>
        <v>1898.0001259999999</v>
      </c>
      <c r="CD126" s="744">
        <f t="shared" si="86"/>
        <v>54.000126000000002</v>
      </c>
      <c r="CE126" s="744">
        <f t="shared" si="87"/>
        <v>50.000126000000002</v>
      </c>
      <c r="CF126" s="744">
        <f t="shared" si="88"/>
        <v>18.000126000000002</v>
      </c>
      <c r="CG126" s="744" t="str">
        <f t="shared" si="89"/>
        <v/>
      </c>
      <c r="CH126" s="744" t="str">
        <f t="shared" si="90"/>
        <v/>
      </c>
      <c r="CI126" s="744" t="str">
        <f t="shared" si="91"/>
        <v/>
      </c>
      <c r="CJ126" s="744" t="str">
        <f t="shared" si="92"/>
        <v/>
      </c>
      <c r="CK126" s="744" t="str">
        <f t="shared" si="93"/>
        <v/>
      </c>
      <c r="CL126" s="744" t="str">
        <f t="shared" si="94"/>
        <v/>
      </c>
      <c r="CM126" s="744" t="str">
        <f t="shared" si="95"/>
        <v/>
      </c>
      <c r="CN126" s="744" t="str">
        <f t="shared" si="96"/>
        <v/>
      </c>
      <c r="CO126" s="744" t="str">
        <f t="shared" si="97"/>
        <v/>
      </c>
      <c r="CP126" s="744" t="str">
        <f t="shared" si="98"/>
        <v/>
      </c>
      <c r="CQ126" s="744" t="str">
        <f t="shared" si="99"/>
        <v/>
      </c>
      <c r="CR126" s="744" t="str">
        <f t="shared" si="100"/>
        <v/>
      </c>
      <c r="CS126" s="744" t="str">
        <f t="shared" si="101"/>
        <v/>
      </c>
      <c r="CT126" s="744" t="str">
        <f t="shared" si="102"/>
        <v/>
      </c>
      <c r="CU126" s="744" t="str">
        <f t="shared" si="103"/>
        <v/>
      </c>
      <c r="CV126" s="744" t="str">
        <f t="shared" si="104"/>
        <v/>
      </c>
      <c r="CW126" s="744" t="str">
        <f t="shared" si="105"/>
        <v/>
      </c>
      <c r="CX126" s="744">
        <f t="shared" si="106"/>
        <v>0.98012599999999994</v>
      </c>
    </row>
    <row r="127" spans="1:102">
      <c r="A127" s="633">
        <v>123</v>
      </c>
      <c r="B127" s="630" t="s">
        <v>4</v>
      </c>
      <c r="C127" s="631" t="s">
        <v>253</v>
      </c>
      <c r="D127" s="630" t="s">
        <v>1392</v>
      </c>
      <c r="E127" s="632" t="s">
        <v>57</v>
      </c>
      <c r="F127" s="1067">
        <v>1</v>
      </c>
      <c r="G127" s="1066">
        <v>1</v>
      </c>
      <c r="H127" s="1070">
        <v>1</v>
      </c>
      <c r="I127" s="1070"/>
      <c r="J127" s="1070"/>
      <c r="K127" s="1070"/>
      <c r="L127" s="1072"/>
      <c r="M127" s="1070"/>
      <c r="N127" s="1070"/>
      <c r="O127" s="1070"/>
      <c r="P127" s="1073"/>
      <c r="Q127" s="1070"/>
      <c r="R127" s="1070"/>
      <c r="S127" s="1070"/>
      <c r="T127" s="1070"/>
      <c r="U127" s="1070"/>
      <c r="V127" s="1066"/>
      <c r="W127" s="1070"/>
      <c r="X127" s="1070"/>
      <c r="Y127" s="1070"/>
      <c r="Z127" s="1070"/>
      <c r="AA127" s="1070">
        <v>960</v>
      </c>
      <c r="AB127" s="1070"/>
      <c r="AC127" s="1070"/>
      <c r="AD127" s="1070"/>
      <c r="AE127" s="1070"/>
      <c r="AF127" s="1070"/>
      <c r="AG127" s="1070"/>
      <c r="AH127" s="1073"/>
      <c r="AI127" s="1070"/>
      <c r="AJ127" s="1070"/>
      <c r="AK127" s="1070"/>
      <c r="AL127" s="1082"/>
      <c r="AM127" s="1069"/>
      <c r="AN127" s="1070"/>
      <c r="AO127" s="1070"/>
      <c r="AP127" s="1070"/>
      <c r="AQ127" s="1070"/>
      <c r="AR127" s="1069"/>
      <c r="AS127" s="1282"/>
      <c r="AT127" s="1282"/>
      <c r="AU127" s="1069"/>
      <c r="AV127" s="1069"/>
      <c r="AW127" s="1069"/>
      <c r="AX127" s="1070"/>
      <c r="AY127" s="1070"/>
      <c r="AZ127" s="1078">
        <f t="shared" si="59"/>
        <v>1</v>
      </c>
      <c r="BA127" s="59">
        <v>123</v>
      </c>
      <c r="BB127" s="59">
        <f t="shared" si="60"/>
        <v>123</v>
      </c>
      <c r="BC127" s="60" t="str">
        <f t="shared" si="61"/>
        <v xml:space="preserve">Flor de S </v>
      </c>
      <c r="BD127" s="61" t="str">
        <f ca="1">IFERROR(IF(SEARCH('Calcular Dieta'!A$3,$BC$5:$BC$310)&gt;=1,BC127,"Não encontrado"),"Não encontrado")</f>
        <v xml:space="preserve">Flor de S </v>
      </c>
      <c r="BE127" s="62">
        <f ca="1">COUNTIF(BD$5:BD127,"&lt;&gt;"&amp;"Não encontrado")</f>
        <v>123</v>
      </c>
      <c r="BF127" s="63" t="str">
        <f t="shared" ca="1" si="62"/>
        <v xml:space="preserve">FLOR DE S </v>
      </c>
      <c r="BG127" s="744" t="str">
        <f t="shared" si="63"/>
        <v/>
      </c>
      <c r="BH127" s="744" t="str">
        <f t="shared" si="64"/>
        <v/>
      </c>
      <c r="BI127" s="744" t="str">
        <f t="shared" si="65"/>
        <v/>
      </c>
      <c r="BJ127" s="744" t="str">
        <f t="shared" si="66"/>
        <v/>
      </c>
      <c r="BK127" s="744" t="str">
        <f t="shared" si="67"/>
        <v/>
      </c>
      <c r="BL127" s="744" t="str">
        <f t="shared" si="68"/>
        <v/>
      </c>
      <c r="BM127" s="744" t="str">
        <f t="shared" si="69"/>
        <v/>
      </c>
      <c r="BN127" s="744" t="str">
        <f t="shared" si="70"/>
        <v/>
      </c>
      <c r="BO127" s="744" t="str">
        <f t="shared" si="71"/>
        <v/>
      </c>
      <c r="BP127" s="744" t="str">
        <f t="shared" si="72"/>
        <v/>
      </c>
      <c r="BQ127" s="744" t="str">
        <f t="shared" si="73"/>
        <v/>
      </c>
      <c r="BR127" s="744" t="str">
        <f t="shared" si="74"/>
        <v/>
      </c>
      <c r="BS127" s="744" t="str">
        <f t="shared" si="75"/>
        <v/>
      </c>
      <c r="BT127" s="744" t="str">
        <f t="shared" si="76"/>
        <v/>
      </c>
      <c r="BU127" s="744" t="str">
        <f t="shared" si="77"/>
        <v/>
      </c>
      <c r="BV127" s="744" t="str">
        <f t="shared" si="78"/>
        <v/>
      </c>
      <c r="BW127" s="744" t="str">
        <f t="shared" si="79"/>
        <v/>
      </c>
      <c r="BX127" s="744" t="str">
        <f t="shared" si="80"/>
        <v/>
      </c>
      <c r="BY127" s="744">
        <f t="shared" si="81"/>
        <v>960.00012700000002</v>
      </c>
      <c r="BZ127" s="744" t="str">
        <f t="shared" si="82"/>
        <v/>
      </c>
      <c r="CA127" s="744" t="str">
        <f t="shared" si="83"/>
        <v/>
      </c>
      <c r="CB127" s="744" t="str">
        <f t="shared" si="84"/>
        <v/>
      </c>
      <c r="CC127" s="744" t="str">
        <f t="shared" si="85"/>
        <v/>
      </c>
      <c r="CD127" s="744" t="str">
        <f t="shared" si="86"/>
        <v/>
      </c>
      <c r="CE127" s="744" t="str">
        <f t="shared" si="87"/>
        <v/>
      </c>
      <c r="CF127" s="744" t="str">
        <f t="shared" si="88"/>
        <v/>
      </c>
      <c r="CG127" s="744" t="str">
        <f t="shared" si="89"/>
        <v/>
      </c>
      <c r="CH127" s="744" t="str">
        <f t="shared" si="90"/>
        <v/>
      </c>
      <c r="CI127" s="744" t="str">
        <f t="shared" si="91"/>
        <v/>
      </c>
      <c r="CJ127" s="744" t="str">
        <f t="shared" si="92"/>
        <v/>
      </c>
      <c r="CK127" s="744" t="str">
        <f t="shared" si="93"/>
        <v/>
      </c>
      <c r="CL127" s="744" t="str">
        <f t="shared" si="94"/>
        <v/>
      </c>
      <c r="CM127" s="744" t="str">
        <f t="shared" si="95"/>
        <v/>
      </c>
      <c r="CN127" s="744" t="str">
        <f t="shared" si="96"/>
        <v/>
      </c>
      <c r="CO127" s="744" t="str">
        <f t="shared" si="97"/>
        <v/>
      </c>
      <c r="CP127" s="744" t="str">
        <f t="shared" si="98"/>
        <v/>
      </c>
      <c r="CQ127" s="744" t="str">
        <f t="shared" si="99"/>
        <v/>
      </c>
      <c r="CR127" s="744" t="str">
        <f t="shared" si="100"/>
        <v/>
      </c>
      <c r="CS127" s="744" t="str">
        <f t="shared" si="101"/>
        <v/>
      </c>
      <c r="CT127" s="744" t="str">
        <f t="shared" si="102"/>
        <v/>
      </c>
      <c r="CU127" s="744" t="str">
        <f t="shared" si="103"/>
        <v/>
      </c>
      <c r="CV127" s="744" t="str">
        <f t="shared" si="104"/>
        <v/>
      </c>
      <c r="CW127" s="744" t="str">
        <f t="shared" si="105"/>
        <v/>
      </c>
      <c r="CX127" s="744">
        <f t="shared" si="106"/>
        <v>1.000127</v>
      </c>
    </row>
    <row r="128" spans="1:102">
      <c r="A128" s="630">
        <v>124</v>
      </c>
      <c r="B128" s="630" t="s">
        <v>4</v>
      </c>
      <c r="C128" s="631" t="s">
        <v>251</v>
      </c>
      <c r="D128" s="630" t="s">
        <v>1390</v>
      </c>
      <c r="E128" s="632" t="s">
        <v>191</v>
      </c>
      <c r="F128" s="1067">
        <v>7.5</v>
      </c>
      <c r="G128" s="1066">
        <v>1</v>
      </c>
      <c r="H128" s="1070">
        <v>1</v>
      </c>
      <c r="I128" s="1070"/>
      <c r="J128" s="1070"/>
      <c r="K128" s="1070"/>
      <c r="L128" s="1072"/>
      <c r="M128" s="1070"/>
      <c r="N128" s="1070"/>
      <c r="O128" s="1070"/>
      <c r="P128" s="1073"/>
      <c r="Q128" s="1070">
        <v>1556</v>
      </c>
      <c r="R128" s="1070">
        <v>1000</v>
      </c>
      <c r="S128" s="1070"/>
      <c r="T128" s="1070">
        <v>576.6</v>
      </c>
      <c r="U128" s="1070"/>
      <c r="V128" s="1066">
        <v>100</v>
      </c>
      <c r="W128" s="1070">
        <v>36.000000000000007</v>
      </c>
      <c r="X128" s="1070"/>
      <c r="Y128" s="1070">
        <v>80</v>
      </c>
      <c r="Z128" s="1070"/>
      <c r="AA128" s="1070">
        <v>30</v>
      </c>
      <c r="AB128" s="1070">
        <v>500</v>
      </c>
      <c r="AC128" s="1070">
        <v>2000</v>
      </c>
      <c r="AD128" s="1070"/>
      <c r="AE128" s="1070">
        <v>1000</v>
      </c>
      <c r="AF128" s="1070">
        <v>25</v>
      </c>
      <c r="AG128" s="1070">
        <v>5</v>
      </c>
      <c r="AH128" s="1073">
        <v>5</v>
      </c>
      <c r="AI128" s="1070"/>
      <c r="AJ128" s="1070"/>
      <c r="AK128" s="1070"/>
      <c r="AL128" s="1082"/>
      <c r="AM128" s="1069"/>
      <c r="AN128" s="1070"/>
      <c r="AO128" s="1070"/>
      <c r="AP128" s="1070"/>
      <c r="AQ128" s="1070"/>
      <c r="AR128" s="1069"/>
      <c r="AS128" s="1282"/>
      <c r="AT128" s="1282"/>
      <c r="AU128" s="1069"/>
      <c r="AV128" s="1069"/>
      <c r="AW128" s="1069"/>
      <c r="AX128" s="1070"/>
      <c r="AY128" s="1070"/>
      <c r="AZ128" s="1078">
        <f t="shared" si="59"/>
        <v>1</v>
      </c>
      <c r="BA128" s="59">
        <v>124</v>
      </c>
      <c r="BB128" s="59">
        <f t="shared" si="60"/>
        <v>124</v>
      </c>
      <c r="BC128" s="60" t="str">
        <f t="shared" si="61"/>
        <v>Fosbovi Nucleo Proteico</v>
      </c>
      <c r="BD128" s="61" t="str">
        <f ca="1">IFERROR(IF(SEARCH('Calcular Dieta'!A$3,$BC$5:$BC$310)&gt;=1,BC128,"Não encontrado"),"Não encontrado")</f>
        <v>Fosbovi Nucleo Proteico</v>
      </c>
      <c r="BE128" s="62">
        <f ca="1">COUNTIF(BD$5:BD128,"&lt;&gt;"&amp;"Não encontrado")</f>
        <v>124</v>
      </c>
      <c r="BF128" s="63" t="str">
        <f t="shared" ca="1" si="62"/>
        <v>FOSBOVI NUCLEO PROTEICO</v>
      </c>
      <c r="BG128" s="744" t="str">
        <f t="shared" si="63"/>
        <v/>
      </c>
      <c r="BH128" s="744" t="str">
        <f t="shared" si="64"/>
        <v/>
      </c>
      <c r="BI128" s="744" t="str">
        <f t="shared" si="65"/>
        <v/>
      </c>
      <c r="BJ128" s="744" t="str">
        <f t="shared" si="66"/>
        <v/>
      </c>
      <c r="BK128" s="744" t="str">
        <f t="shared" si="67"/>
        <v/>
      </c>
      <c r="BL128" s="744" t="str">
        <f t="shared" si="68"/>
        <v/>
      </c>
      <c r="BM128" s="744" t="str">
        <f t="shared" si="69"/>
        <v/>
      </c>
      <c r="BN128" s="744" t="str">
        <f t="shared" si="70"/>
        <v/>
      </c>
      <c r="BO128" s="744">
        <f t="shared" si="71"/>
        <v>1556.0001279999999</v>
      </c>
      <c r="BP128" s="744">
        <f t="shared" si="72"/>
        <v>1000.000128</v>
      </c>
      <c r="BQ128" s="744" t="str">
        <f t="shared" si="73"/>
        <v/>
      </c>
      <c r="BR128" s="744">
        <f t="shared" si="74"/>
        <v>576.60012800000004</v>
      </c>
      <c r="BS128" s="744" t="str">
        <f t="shared" si="75"/>
        <v/>
      </c>
      <c r="BT128" s="744">
        <f t="shared" si="76"/>
        <v>100.000128</v>
      </c>
      <c r="BU128" s="744">
        <f t="shared" si="77"/>
        <v>36.000128000000004</v>
      </c>
      <c r="BV128" s="744" t="str">
        <f t="shared" si="78"/>
        <v/>
      </c>
      <c r="BW128" s="744">
        <f t="shared" si="79"/>
        <v>80.000128000000004</v>
      </c>
      <c r="BX128" s="744" t="str">
        <f t="shared" si="80"/>
        <v/>
      </c>
      <c r="BY128" s="744">
        <f t="shared" si="81"/>
        <v>30.000128</v>
      </c>
      <c r="BZ128" s="744">
        <f t="shared" si="82"/>
        <v>500.00012800000002</v>
      </c>
      <c r="CA128" s="744">
        <f t="shared" si="83"/>
        <v>2000.0001279999999</v>
      </c>
      <c r="CB128" s="744" t="str">
        <f t="shared" si="84"/>
        <v/>
      </c>
      <c r="CC128" s="744">
        <f t="shared" si="85"/>
        <v>1000.000128</v>
      </c>
      <c r="CD128" s="744">
        <f t="shared" si="86"/>
        <v>25.000128</v>
      </c>
      <c r="CE128" s="744">
        <f t="shared" si="87"/>
        <v>5.0001280000000001</v>
      </c>
      <c r="CF128" s="744">
        <f t="shared" si="88"/>
        <v>5.0001280000000001</v>
      </c>
      <c r="CG128" s="744" t="str">
        <f t="shared" si="89"/>
        <v/>
      </c>
      <c r="CH128" s="744" t="str">
        <f t="shared" si="90"/>
        <v/>
      </c>
      <c r="CI128" s="744" t="str">
        <f t="shared" si="91"/>
        <v/>
      </c>
      <c r="CJ128" s="744" t="str">
        <f t="shared" si="92"/>
        <v/>
      </c>
      <c r="CK128" s="744" t="str">
        <f t="shared" si="93"/>
        <v/>
      </c>
      <c r="CL128" s="744" t="str">
        <f t="shared" si="94"/>
        <v/>
      </c>
      <c r="CM128" s="744" t="str">
        <f t="shared" si="95"/>
        <v/>
      </c>
      <c r="CN128" s="744" t="str">
        <f t="shared" si="96"/>
        <v/>
      </c>
      <c r="CO128" s="744" t="str">
        <f t="shared" si="97"/>
        <v/>
      </c>
      <c r="CP128" s="744" t="str">
        <f t="shared" si="98"/>
        <v/>
      </c>
      <c r="CQ128" s="744" t="str">
        <f t="shared" si="99"/>
        <v/>
      </c>
      <c r="CR128" s="744" t="str">
        <f t="shared" si="100"/>
        <v/>
      </c>
      <c r="CS128" s="744" t="str">
        <f t="shared" si="101"/>
        <v/>
      </c>
      <c r="CT128" s="744" t="str">
        <f t="shared" si="102"/>
        <v/>
      </c>
      <c r="CU128" s="744" t="str">
        <f t="shared" si="103"/>
        <v/>
      </c>
      <c r="CV128" s="744" t="str">
        <f t="shared" si="104"/>
        <v/>
      </c>
      <c r="CW128" s="744" t="str">
        <f t="shared" si="105"/>
        <v/>
      </c>
      <c r="CX128" s="744">
        <f t="shared" si="106"/>
        <v>1.0001279999999999</v>
      </c>
    </row>
    <row r="129" spans="1:102">
      <c r="A129" s="633">
        <v>125</v>
      </c>
      <c r="B129" s="630" t="s">
        <v>4</v>
      </c>
      <c r="C129" s="631" t="s">
        <v>253</v>
      </c>
      <c r="D129" s="630" t="s">
        <v>1390</v>
      </c>
      <c r="E129" s="632" t="s">
        <v>192</v>
      </c>
      <c r="F129" s="1067">
        <v>1</v>
      </c>
      <c r="G129" s="1066">
        <v>1</v>
      </c>
      <c r="H129" s="1070">
        <v>0.98439999999999994</v>
      </c>
      <c r="I129" s="1070"/>
      <c r="J129" s="1070"/>
      <c r="K129" s="1070"/>
      <c r="L129" s="1072"/>
      <c r="M129" s="1070"/>
      <c r="N129" s="1070"/>
      <c r="O129" s="1070"/>
      <c r="P129" s="1073"/>
      <c r="Q129" s="1070"/>
      <c r="R129" s="1070"/>
      <c r="S129" s="1070"/>
      <c r="T129" s="1070"/>
      <c r="U129" s="1070"/>
      <c r="V129" s="1066">
        <v>237.43727999999999</v>
      </c>
      <c r="W129" s="1070">
        <v>182.40932000000001</v>
      </c>
      <c r="X129" s="1070">
        <v>16.83324</v>
      </c>
      <c r="Y129" s="1070">
        <v>1.2797199999999997</v>
      </c>
      <c r="Z129" s="1070">
        <v>0.78752</v>
      </c>
      <c r="AA129" s="1070"/>
      <c r="AB129" s="1070">
        <v>13.1</v>
      </c>
      <c r="AC129" s="1070">
        <v>14</v>
      </c>
      <c r="AD129" s="1070"/>
      <c r="AE129" s="1070">
        <v>617.14</v>
      </c>
      <c r="AF129" s="1070"/>
      <c r="AG129" s="1070"/>
      <c r="AH129" s="1073"/>
      <c r="AI129" s="1070"/>
      <c r="AJ129" s="1070"/>
      <c r="AK129" s="1070"/>
      <c r="AL129" s="1082"/>
      <c r="AM129" s="1069"/>
      <c r="AN129" s="1070"/>
      <c r="AO129" s="1070"/>
      <c r="AP129" s="1070"/>
      <c r="AQ129" s="1070"/>
      <c r="AR129" s="1069"/>
      <c r="AS129" s="1282"/>
      <c r="AT129" s="1282"/>
      <c r="AU129" s="1069"/>
      <c r="AV129" s="1069"/>
      <c r="AW129" s="1069"/>
      <c r="AX129" s="1070"/>
      <c r="AY129" s="1070"/>
      <c r="AZ129" s="1078">
        <f t="shared" si="59"/>
        <v>0.98439999999999994</v>
      </c>
      <c r="BA129" s="59">
        <v>125</v>
      </c>
      <c r="BB129" s="59">
        <f t="shared" si="60"/>
        <v>125</v>
      </c>
      <c r="BC129" s="60" t="str">
        <f t="shared" si="61"/>
        <v>Fosfato Bicálcico</v>
      </c>
      <c r="BD129" s="61" t="str">
        <f ca="1">IFERROR(IF(SEARCH('Calcular Dieta'!A$3,$BC$5:$BC$310)&gt;=1,BC129,"Não encontrado"),"Não encontrado")</f>
        <v>Fosfato Bicálcico</v>
      </c>
      <c r="BE129" s="62">
        <f ca="1">COUNTIF(BD$5:BD129,"&lt;&gt;"&amp;"Não encontrado")</f>
        <v>125</v>
      </c>
      <c r="BF129" s="63" t="str">
        <f t="shared" ca="1" si="62"/>
        <v>FOSFATO BICÁLCICO</v>
      </c>
      <c r="BG129" s="744" t="str">
        <f t="shared" si="63"/>
        <v/>
      </c>
      <c r="BH129" s="744" t="str">
        <f t="shared" si="64"/>
        <v/>
      </c>
      <c r="BI129" s="744" t="str">
        <f t="shared" si="65"/>
        <v/>
      </c>
      <c r="BJ129" s="744" t="str">
        <f t="shared" si="66"/>
        <v/>
      </c>
      <c r="BK129" s="744" t="str">
        <f t="shared" si="67"/>
        <v/>
      </c>
      <c r="BL129" s="744" t="str">
        <f t="shared" si="68"/>
        <v/>
      </c>
      <c r="BM129" s="744" t="str">
        <f t="shared" si="69"/>
        <v/>
      </c>
      <c r="BN129" s="744" t="str">
        <f t="shared" si="70"/>
        <v/>
      </c>
      <c r="BO129" s="744" t="str">
        <f t="shared" si="71"/>
        <v/>
      </c>
      <c r="BP129" s="744" t="str">
        <f t="shared" si="72"/>
        <v/>
      </c>
      <c r="BQ129" s="744" t="str">
        <f t="shared" si="73"/>
        <v/>
      </c>
      <c r="BR129" s="744" t="str">
        <f t="shared" si="74"/>
        <v/>
      </c>
      <c r="BS129" s="744" t="str">
        <f t="shared" si="75"/>
        <v/>
      </c>
      <c r="BT129" s="744">
        <f t="shared" si="76"/>
        <v>237.43740899999997</v>
      </c>
      <c r="BU129" s="744">
        <f t="shared" si="77"/>
        <v>182.409449</v>
      </c>
      <c r="BV129" s="744">
        <f t="shared" si="78"/>
        <v>16.833369000000001</v>
      </c>
      <c r="BW129" s="744">
        <f t="shared" si="79"/>
        <v>1.2798489999999998</v>
      </c>
      <c r="BX129" s="744">
        <f t="shared" si="80"/>
        <v>0.78764900000000004</v>
      </c>
      <c r="BY129" s="744" t="str">
        <f t="shared" si="81"/>
        <v/>
      </c>
      <c r="BZ129" s="744">
        <f t="shared" si="82"/>
        <v>13.100128999999999</v>
      </c>
      <c r="CA129" s="744">
        <f t="shared" si="83"/>
        <v>14.000128999999999</v>
      </c>
      <c r="CB129" s="744" t="str">
        <f t="shared" si="84"/>
        <v/>
      </c>
      <c r="CC129" s="744">
        <f t="shared" si="85"/>
        <v>617.140129</v>
      </c>
      <c r="CD129" s="744" t="str">
        <f t="shared" si="86"/>
        <v/>
      </c>
      <c r="CE129" s="744" t="str">
        <f t="shared" si="87"/>
        <v/>
      </c>
      <c r="CF129" s="744" t="str">
        <f t="shared" si="88"/>
        <v/>
      </c>
      <c r="CG129" s="744" t="str">
        <f t="shared" si="89"/>
        <v/>
      </c>
      <c r="CH129" s="744" t="str">
        <f t="shared" si="90"/>
        <v/>
      </c>
      <c r="CI129" s="744" t="str">
        <f t="shared" si="91"/>
        <v/>
      </c>
      <c r="CJ129" s="744" t="str">
        <f t="shared" si="92"/>
        <v/>
      </c>
      <c r="CK129" s="744" t="str">
        <f t="shared" si="93"/>
        <v/>
      </c>
      <c r="CL129" s="744" t="str">
        <f t="shared" si="94"/>
        <v/>
      </c>
      <c r="CM129" s="744" t="str">
        <f t="shared" si="95"/>
        <v/>
      </c>
      <c r="CN129" s="744" t="str">
        <f t="shared" si="96"/>
        <v/>
      </c>
      <c r="CO129" s="744" t="str">
        <f t="shared" si="97"/>
        <v/>
      </c>
      <c r="CP129" s="744" t="str">
        <f t="shared" si="98"/>
        <v/>
      </c>
      <c r="CQ129" s="744" t="str">
        <f t="shared" si="99"/>
        <v/>
      </c>
      <c r="CR129" s="744" t="str">
        <f t="shared" si="100"/>
        <v/>
      </c>
      <c r="CS129" s="744" t="str">
        <f t="shared" si="101"/>
        <v/>
      </c>
      <c r="CT129" s="744" t="str">
        <f t="shared" si="102"/>
        <v/>
      </c>
      <c r="CU129" s="744" t="str">
        <f t="shared" si="103"/>
        <v/>
      </c>
      <c r="CV129" s="744" t="str">
        <f t="shared" si="104"/>
        <v/>
      </c>
      <c r="CW129" s="744" t="str">
        <f t="shared" si="105"/>
        <v/>
      </c>
      <c r="CX129" s="744">
        <f t="shared" si="106"/>
        <v>0.98452899999999999</v>
      </c>
    </row>
    <row r="130" spans="1:102">
      <c r="A130" s="630">
        <v>126</v>
      </c>
      <c r="B130" s="630" t="s">
        <v>4</v>
      </c>
      <c r="C130" s="631" t="s">
        <v>250</v>
      </c>
      <c r="D130" s="630" t="s">
        <v>1390</v>
      </c>
      <c r="E130" s="632" t="s">
        <v>193</v>
      </c>
      <c r="F130" s="1067">
        <v>1</v>
      </c>
      <c r="G130" s="1066">
        <v>1</v>
      </c>
      <c r="H130" s="1070">
        <v>0.9022</v>
      </c>
      <c r="I130" s="1070">
        <v>0.39552448000000001</v>
      </c>
      <c r="J130" s="1070">
        <v>0.32050000000000001</v>
      </c>
      <c r="K130" s="1070">
        <v>0.17619966000000001</v>
      </c>
      <c r="L130" s="1072">
        <v>0.6410131</v>
      </c>
      <c r="M130" s="1070"/>
      <c r="N130" s="1070">
        <v>2.88</v>
      </c>
      <c r="O130" s="1070"/>
      <c r="P130" s="1073">
        <v>17.412459999999999</v>
      </c>
      <c r="Q130" s="1070">
        <v>283.92234000000002</v>
      </c>
      <c r="R130" s="1070">
        <v>244.40597999999997</v>
      </c>
      <c r="S130" s="1070">
        <v>39.516359999999999</v>
      </c>
      <c r="T130" s="1070">
        <v>175.65834000000001</v>
      </c>
      <c r="U130" s="1070"/>
      <c r="V130" s="1066">
        <v>2.7065999999999999</v>
      </c>
      <c r="W130" s="1070">
        <v>8.1198000000000015</v>
      </c>
      <c r="X130" s="1070">
        <v>6.04474</v>
      </c>
      <c r="Y130" s="1070">
        <v>1.3532999999999999</v>
      </c>
      <c r="Z130" s="1070">
        <v>10.104640000000002</v>
      </c>
      <c r="AA130" s="1070">
        <v>0.4511</v>
      </c>
      <c r="AB130" s="1070">
        <v>17.899999999999999</v>
      </c>
      <c r="AC130" s="1070">
        <v>101.07</v>
      </c>
      <c r="AD130" s="1070">
        <v>105.02</v>
      </c>
      <c r="AE130" s="1070">
        <v>39.39</v>
      </c>
      <c r="AF130" s="1070"/>
      <c r="AG130" s="1070">
        <v>0.3</v>
      </c>
      <c r="AH130" s="1073"/>
      <c r="AI130" s="1070"/>
      <c r="AJ130" s="1070"/>
      <c r="AK130" s="1070"/>
      <c r="AL130" s="1082"/>
      <c r="AM130" s="1069"/>
      <c r="AN130" s="1070"/>
      <c r="AO130" s="1070"/>
      <c r="AP130" s="1070"/>
      <c r="AQ130" s="1070"/>
      <c r="AR130" s="1069"/>
      <c r="AS130" s="1282"/>
      <c r="AT130" s="1282"/>
      <c r="AU130" s="1069"/>
      <c r="AV130" s="1069"/>
      <c r="AW130" s="1069"/>
      <c r="AX130" s="1070"/>
      <c r="AY130" s="1070"/>
      <c r="AZ130" s="1078">
        <f t="shared" si="59"/>
        <v>0.9022</v>
      </c>
      <c r="BA130" s="59">
        <v>126</v>
      </c>
      <c r="BB130" s="59">
        <f t="shared" si="60"/>
        <v>126</v>
      </c>
      <c r="BC130" s="60" t="str">
        <f t="shared" si="61"/>
        <v>Girassol, Farelo</v>
      </c>
      <c r="BD130" s="61" t="str">
        <f ca="1">IFERROR(IF(SEARCH('Calcular Dieta'!A$3,$BC$5:$BC$310)&gt;=1,BC130,"Não encontrado"),"Não encontrado")</f>
        <v>Girassol, Farelo</v>
      </c>
      <c r="BE130" s="62">
        <f ca="1">COUNTIF(BD$5:BD130,"&lt;&gt;"&amp;"Não encontrado")</f>
        <v>126</v>
      </c>
      <c r="BF130" s="63" t="str">
        <f t="shared" ca="1" si="62"/>
        <v>GIRASSOL, FARELO</v>
      </c>
      <c r="BG130" s="744">
        <f t="shared" si="63"/>
        <v>0.39565448000000003</v>
      </c>
      <c r="BH130" s="744">
        <f t="shared" si="64"/>
        <v>0.32063000000000003</v>
      </c>
      <c r="BI130" s="744">
        <f t="shared" si="65"/>
        <v>0.17632966</v>
      </c>
      <c r="BJ130" s="744">
        <f t="shared" si="66"/>
        <v>0.64114309999999997</v>
      </c>
      <c r="BK130" s="744" t="str">
        <f t="shared" si="67"/>
        <v/>
      </c>
      <c r="BL130" s="744">
        <f t="shared" si="68"/>
        <v>2.8801299999999999</v>
      </c>
      <c r="BM130" s="744" t="str">
        <f t="shared" si="69"/>
        <v/>
      </c>
      <c r="BN130" s="744">
        <f t="shared" si="70"/>
        <v>17.412589999999998</v>
      </c>
      <c r="BO130" s="744">
        <f t="shared" si="71"/>
        <v>283.92247000000003</v>
      </c>
      <c r="BP130" s="744">
        <f t="shared" si="72"/>
        <v>244.40610999999998</v>
      </c>
      <c r="BQ130" s="744">
        <f t="shared" si="73"/>
        <v>39.516489999999997</v>
      </c>
      <c r="BR130" s="744">
        <f t="shared" si="74"/>
        <v>175.65847000000002</v>
      </c>
      <c r="BS130" s="744" t="str">
        <f t="shared" si="75"/>
        <v/>
      </c>
      <c r="BT130" s="744">
        <f t="shared" si="76"/>
        <v>2.7067299999999999</v>
      </c>
      <c r="BU130" s="744">
        <f t="shared" si="77"/>
        <v>8.1199300000000019</v>
      </c>
      <c r="BV130" s="744">
        <f t="shared" si="78"/>
        <v>6.0448700000000004</v>
      </c>
      <c r="BW130" s="744">
        <f t="shared" si="79"/>
        <v>1.3534299999999999</v>
      </c>
      <c r="BX130" s="744">
        <f t="shared" si="80"/>
        <v>10.104770000000002</v>
      </c>
      <c r="BY130" s="744">
        <f t="shared" si="81"/>
        <v>0.45123000000000002</v>
      </c>
      <c r="BZ130" s="744">
        <f t="shared" si="82"/>
        <v>17.900129999999997</v>
      </c>
      <c r="CA130" s="744">
        <f t="shared" si="83"/>
        <v>101.07012999999999</v>
      </c>
      <c r="CB130" s="744">
        <f t="shared" si="84"/>
        <v>105.02012999999999</v>
      </c>
      <c r="CC130" s="744">
        <f t="shared" si="85"/>
        <v>39.390129999999999</v>
      </c>
      <c r="CD130" s="744" t="str">
        <f t="shared" si="86"/>
        <v/>
      </c>
      <c r="CE130" s="744">
        <f t="shared" si="87"/>
        <v>0.30013000000000001</v>
      </c>
      <c r="CF130" s="744" t="str">
        <f t="shared" si="88"/>
        <v/>
      </c>
      <c r="CG130" s="744" t="str">
        <f t="shared" si="89"/>
        <v/>
      </c>
      <c r="CH130" s="744" t="str">
        <f t="shared" si="90"/>
        <v/>
      </c>
      <c r="CI130" s="744" t="str">
        <f t="shared" si="91"/>
        <v/>
      </c>
      <c r="CJ130" s="744" t="str">
        <f t="shared" si="92"/>
        <v/>
      </c>
      <c r="CK130" s="744" t="str">
        <f t="shared" si="93"/>
        <v/>
      </c>
      <c r="CL130" s="744" t="str">
        <f t="shared" si="94"/>
        <v/>
      </c>
      <c r="CM130" s="744" t="str">
        <f t="shared" si="95"/>
        <v/>
      </c>
      <c r="CN130" s="744" t="str">
        <f t="shared" si="96"/>
        <v/>
      </c>
      <c r="CO130" s="744" t="str">
        <f t="shared" si="97"/>
        <v/>
      </c>
      <c r="CP130" s="744" t="str">
        <f t="shared" si="98"/>
        <v/>
      </c>
      <c r="CQ130" s="744" t="str">
        <f t="shared" si="99"/>
        <v/>
      </c>
      <c r="CR130" s="744" t="str">
        <f t="shared" si="100"/>
        <v/>
      </c>
      <c r="CS130" s="744" t="str">
        <f t="shared" si="101"/>
        <v/>
      </c>
      <c r="CT130" s="744" t="str">
        <f t="shared" si="102"/>
        <v/>
      </c>
      <c r="CU130" s="744" t="str">
        <f t="shared" si="103"/>
        <v/>
      </c>
      <c r="CV130" s="744" t="str">
        <f t="shared" si="104"/>
        <v/>
      </c>
      <c r="CW130" s="744" t="str">
        <f t="shared" si="105"/>
        <v/>
      </c>
      <c r="CX130" s="744">
        <f t="shared" si="106"/>
        <v>0.90232999999999997</v>
      </c>
    </row>
    <row r="131" spans="1:102">
      <c r="A131" s="633">
        <v>127</v>
      </c>
      <c r="B131" s="630" t="s">
        <v>4</v>
      </c>
      <c r="C131" s="631" t="s">
        <v>250</v>
      </c>
      <c r="D131" s="630" t="s">
        <v>1392</v>
      </c>
      <c r="E131" s="632" t="s">
        <v>194</v>
      </c>
      <c r="F131" s="1067">
        <v>1</v>
      </c>
      <c r="G131" s="1066">
        <v>1</v>
      </c>
      <c r="H131" s="1070">
        <v>0.89</v>
      </c>
      <c r="I131" s="1070">
        <v>0.35600000000000004</v>
      </c>
      <c r="J131" s="1070">
        <v>0.3115</v>
      </c>
      <c r="K131" s="1070"/>
      <c r="L131" s="1072">
        <v>0.59630000000000005</v>
      </c>
      <c r="M131" s="1070">
        <v>2.6290867000000002</v>
      </c>
      <c r="N131" s="1070"/>
      <c r="O131" s="1070"/>
      <c r="P131" s="1073">
        <v>17.8</v>
      </c>
      <c r="Q131" s="1070">
        <v>329.29999999999995</v>
      </c>
      <c r="R131" s="1070">
        <v>181.11500000000004</v>
      </c>
      <c r="S131" s="1070"/>
      <c r="T131" s="1070"/>
      <c r="U131" s="1070"/>
      <c r="V131" s="1066">
        <v>3.3820000000000001</v>
      </c>
      <c r="W131" s="1070">
        <v>8.8109999999999999</v>
      </c>
      <c r="X131" s="1070">
        <v>4.8949999999999996</v>
      </c>
      <c r="Y131" s="1070">
        <v>0.26699999999999996</v>
      </c>
      <c r="Z131" s="1070">
        <v>10.768999999999998</v>
      </c>
      <c r="AA131" s="1070">
        <v>2.67</v>
      </c>
      <c r="AB131" s="1070">
        <v>24.03</v>
      </c>
      <c r="AC131" s="1070">
        <v>78.319999999999993</v>
      </c>
      <c r="AD131" s="1070">
        <v>22.25</v>
      </c>
      <c r="AE131" s="1070">
        <v>29.37</v>
      </c>
      <c r="AF131" s="1070">
        <v>0.58740000000000003</v>
      </c>
      <c r="AG131" s="1070">
        <v>0.1424</v>
      </c>
      <c r="AH131" s="1073">
        <v>0.44500000000000001</v>
      </c>
      <c r="AI131" s="1070"/>
      <c r="AJ131" s="1070"/>
      <c r="AK131" s="1070"/>
      <c r="AL131" s="1082"/>
      <c r="AM131" s="1069"/>
      <c r="AN131" s="1070"/>
      <c r="AO131" s="1070"/>
      <c r="AP131" s="1070"/>
      <c r="AQ131" s="1070"/>
      <c r="AR131" s="1069"/>
      <c r="AS131" s="1282"/>
      <c r="AT131" s="1282"/>
      <c r="AU131" s="1069"/>
      <c r="AV131" s="1069"/>
      <c r="AW131" s="1069"/>
      <c r="AX131" s="1070"/>
      <c r="AY131" s="1070"/>
      <c r="AZ131" s="1078">
        <f t="shared" si="59"/>
        <v>0.89</v>
      </c>
      <c r="BA131" s="59">
        <v>127</v>
      </c>
      <c r="BB131" s="59">
        <f t="shared" si="60"/>
        <v>127</v>
      </c>
      <c r="BC131" s="60" t="str">
        <f t="shared" si="61"/>
        <v>Girassol, Farelo 34%</v>
      </c>
      <c r="BD131" s="61" t="str">
        <f ca="1">IFERROR(IF(SEARCH('Calcular Dieta'!A$3,$BC$5:$BC$310)&gt;=1,BC131,"Não encontrado"),"Não encontrado")</f>
        <v>Girassol, Farelo 34%</v>
      </c>
      <c r="BE131" s="62">
        <f ca="1">COUNTIF(BD$5:BD131,"&lt;&gt;"&amp;"Não encontrado")</f>
        <v>127</v>
      </c>
      <c r="BF131" s="63" t="str">
        <f t="shared" ca="1" si="62"/>
        <v>GIRASSOL, FARELO 34%</v>
      </c>
      <c r="BG131" s="744">
        <f t="shared" si="63"/>
        <v>0.35613100000000003</v>
      </c>
      <c r="BH131" s="744">
        <f t="shared" si="64"/>
        <v>0.31163099999999999</v>
      </c>
      <c r="BI131" s="744" t="str">
        <f t="shared" si="65"/>
        <v/>
      </c>
      <c r="BJ131" s="744">
        <f t="shared" si="66"/>
        <v>0.59643100000000004</v>
      </c>
      <c r="BK131" s="744">
        <f t="shared" si="67"/>
        <v>2.6292177000000003</v>
      </c>
      <c r="BL131" s="744" t="str">
        <f t="shared" si="68"/>
        <v/>
      </c>
      <c r="BM131" s="744" t="str">
        <f t="shared" si="69"/>
        <v/>
      </c>
      <c r="BN131" s="744">
        <f t="shared" si="70"/>
        <v>17.800131</v>
      </c>
      <c r="BO131" s="744">
        <f t="shared" si="71"/>
        <v>329.30013099999996</v>
      </c>
      <c r="BP131" s="744">
        <f t="shared" si="72"/>
        <v>181.11513100000005</v>
      </c>
      <c r="BQ131" s="744" t="str">
        <f t="shared" si="73"/>
        <v/>
      </c>
      <c r="BR131" s="744" t="str">
        <f t="shared" si="74"/>
        <v/>
      </c>
      <c r="BS131" s="744" t="str">
        <f t="shared" si="75"/>
        <v/>
      </c>
      <c r="BT131" s="744">
        <f t="shared" si="76"/>
        <v>3.3821310000000002</v>
      </c>
      <c r="BU131" s="744">
        <f t="shared" si="77"/>
        <v>8.8111309999999996</v>
      </c>
      <c r="BV131" s="744">
        <f t="shared" si="78"/>
        <v>4.8951309999999992</v>
      </c>
      <c r="BW131" s="744">
        <f t="shared" si="79"/>
        <v>0.26713099999999995</v>
      </c>
      <c r="BX131" s="744">
        <f t="shared" si="80"/>
        <v>10.769130999999998</v>
      </c>
      <c r="BY131" s="744">
        <f t="shared" si="81"/>
        <v>2.670131</v>
      </c>
      <c r="BZ131" s="744">
        <f t="shared" si="82"/>
        <v>24.030131000000001</v>
      </c>
      <c r="CA131" s="744">
        <f t="shared" si="83"/>
        <v>78.320130999999989</v>
      </c>
      <c r="CB131" s="744">
        <f t="shared" si="84"/>
        <v>22.250131</v>
      </c>
      <c r="CC131" s="744">
        <f t="shared" si="85"/>
        <v>29.370131000000001</v>
      </c>
      <c r="CD131" s="744">
        <f t="shared" si="86"/>
        <v>0.58753100000000003</v>
      </c>
      <c r="CE131" s="744">
        <f t="shared" si="87"/>
        <v>0.14253099999999999</v>
      </c>
      <c r="CF131" s="744">
        <f t="shared" si="88"/>
        <v>0.445131</v>
      </c>
      <c r="CG131" s="744" t="str">
        <f t="shared" si="89"/>
        <v/>
      </c>
      <c r="CH131" s="744" t="str">
        <f t="shared" si="90"/>
        <v/>
      </c>
      <c r="CI131" s="744" t="str">
        <f t="shared" si="91"/>
        <v/>
      </c>
      <c r="CJ131" s="744" t="str">
        <f t="shared" si="92"/>
        <v/>
      </c>
      <c r="CK131" s="744" t="str">
        <f t="shared" si="93"/>
        <v/>
      </c>
      <c r="CL131" s="744" t="str">
        <f t="shared" si="94"/>
        <v/>
      </c>
      <c r="CM131" s="744" t="str">
        <f t="shared" si="95"/>
        <v/>
      </c>
      <c r="CN131" s="744" t="str">
        <f t="shared" si="96"/>
        <v/>
      </c>
      <c r="CO131" s="744" t="str">
        <f t="shared" si="97"/>
        <v/>
      </c>
      <c r="CP131" s="744" t="str">
        <f t="shared" si="98"/>
        <v/>
      </c>
      <c r="CQ131" s="744" t="str">
        <f t="shared" si="99"/>
        <v/>
      </c>
      <c r="CR131" s="744" t="str">
        <f t="shared" si="100"/>
        <v/>
      </c>
      <c r="CS131" s="744" t="str">
        <f t="shared" si="101"/>
        <v/>
      </c>
      <c r="CT131" s="744" t="str">
        <f t="shared" si="102"/>
        <v/>
      </c>
      <c r="CU131" s="744" t="str">
        <f t="shared" si="103"/>
        <v/>
      </c>
      <c r="CV131" s="744" t="str">
        <f t="shared" si="104"/>
        <v/>
      </c>
      <c r="CW131" s="744" t="str">
        <f t="shared" si="105"/>
        <v/>
      </c>
      <c r="CX131" s="744">
        <f t="shared" si="106"/>
        <v>0.89013100000000001</v>
      </c>
    </row>
    <row r="132" spans="1:102">
      <c r="A132" s="630">
        <v>128</v>
      </c>
      <c r="B132" s="630" t="s">
        <v>4</v>
      </c>
      <c r="C132" s="631" t="s">
        <v>250</v>
      </c>
      <c r="D132" s="630" t="s">
        <v>1392</v>
      </c>
      <c r="E132" s="632" t="s">
        <v>195</v>
      </c>
      <c r="F132" s="1067">
        <v>1</v>
      </c>
      <c r="G132" s="1066">
        <v>1</v>
      </c>
      <c r="H132" s="1070">
        <v>0.89</v>
      </c>
      <c r="I132" s="1070">
        <v>0.39338000000000001</v>
      </c>
      <c r="J132" s="1070">
        <v>0.28942800000000002</v>
      </c>
      <c r="K132" s="1070"/>
      <c r="L132" s="1072">
        <v>0.58740000000000003</v>
      </c>
      <c r="M132" s="1070">
        <v>2.5898466</v>
      </c>
      <c r="N132" s="1070"/>
      <c r="O132" s="1070"/>
      <c r="P132" s="1073">
        <v>17.8</v>
      </c>
      <c r="Q132" s="1070">
        <v>436.09999999999997</v>
      </c>
      <c r="R132" s="1070">
        <v>239.85500000000002</v>
      </c>
      <c r="S132" s="1070"/>
      <c r="T132" s="1070"/>
      <c r="U132" s="1070"/>
      <c r="V132" s="1066">
        <v>7.2979999999999992</v>
      </c>
      <c r="W132" s="1070">
        <v>11.747999999999999</v>
      </c>
      <c r="X132" s="1070">
        <v>7.2979999999999992</v>
      </c>
      <c r="Y132" s="1070">
        <v>0.26699999999999996</v>
      </c>
      <c r="Z132" s="1070">
        <v>9.7899999999999991</v>
      </c>
      <c r="AA132" s="1070">
        <v>2.67</v>
      </c>
      <c r="AB132" s="1070">
        <v>2.67</v>
      </c>
      <c r="AC132" s="1070">
        <v>78.319999999999993</v>
      </c>
      <c r="AD132" s="1070">
        <v>22.25</v>
      </c>
      <c r="AE132" s="1070">
        <v>22.25</v>
      </c>
      <c r="AF132" s="1070">
        <v>0.58740000000000003</v>
      </c>
      <c r="AG132" s="1070">
        <v>0.1424</v>
      </c>
      <c r="AH132" s="1073">
        <v>0.44500000000000001</v>
      </c>
      <c r="AI132" s="1070"/>
      <c r="AJ132" s="1070"/>
      <c r="AK132" s="1070"/>
      <c r="AL132" s="1082"/>
      <c r="AM132" s="1069"/>
      <c r="AN132" s="1070"/>
      <c r="AO132" s="1070"/>
      <c r="AP132" s="1070"/>
      <c r="AQ132" s="1070"/>
      <c r="AR132" s="1069"/>
      <c r="AS132" s="1282"/>
      <c r="AT132" s="1282"/>
      <c r="AU132" s="1069"/>
      <c r="AV132" s="1069"/>
      <c r="AW132" s="1069"/>
      <c r="AX132" s="1070"/>
      <c r="AY132" s="1070"/>
      <c r="AZ132" s="1078">
        <f t="shared" si="59"/>
        <v>0.89</v>
      </c>
      <c r="BA132" s="59">
        <v>128</v>
      </c>
      <c r="BB132" s="59">
        <f t="shared" si="60"/>
        <v>128</v>
      </c>
      <c r="BC132" s="60" t="str">
        <f t="shared" si="61"/>
        <v>Girassol, Farelo 45%</v>
      </c>
      <c r="BD132" s="61" t="str">
        <f ca="1">IFERROR(IF(SEARCH('Calcular Dieta'!A$3,$BC$5:$BC$310)&gt;=1,BC132,"Não encontrado"),"Não encontrado")</f>
        <v>Girassol, Farelo 45%</v>
      </c>
      <c r="BE132" s="62">
        <f ca="1">COUNTIF(BD$5:BD132,"&lt;&gt;"&amp;"Não encontrado")</f>
        <v>128</v>
      </c>
      <c r="BF132" s="63" t="str">
        <f t="shared" ca="1" si="62"/>
        <v>GIRASSOL, FARELO 45%</v>
      </c>
      <c r="BG132" s="744">
        <f t="shared" si="63"/>
        <v>0.39351200000000003</v>
      </c>
      <c r="BH132" s="744">
        <f t="shared" si="64"/>
        <v>0.28956000000000004</v>
      </c>
      <c r="BI132" s="744" t="str">
        <f t="shared" si="65"/>
        <v/>
      </c>
      <c r="BJ132" s="744">
        <f t="shared" si="66"/>
        <v>0.58753200000000005</v>
      </c>
      <c r="BK132" s="744">
        <f t="shared" si="67"/>
        <v>2.5899785999999998</v>
      </c>
      <c r="BL132" s="744" t="str">
        <f t="shared" si="68"/>
        <v/>
      </c>
      <c r="BM132" s="744" t="str">
        <f t="shared" si="69"/>
        <v/>
      </c>
      <c r="BN132" s="744">
        <f t="shared" si="70"/>
        <v>17.800132000000001</v>
      </c>
      <c r="BO132" s="744">
        <f t="shared" si="71"/>
        <v>436.10013199999997</v>
      </c>
      <c r="BP132" s="744">
        <f t="shared" si="72"/>
        <v>239.85513200000003</v>
      </c>
      <c r="BQ132" s="744" t="str">
        <f t="shared" si="73"/>
        <v/>
      </c>
      <c r="BR132" s="744" t="str">
        <f t="shared" si="74"/>
        <v/>
      </c>
      <c r="BS132" s="744" t="str">
        <f t="shared" si="75"/>
        <v/>
      </c>
      <c r="BT132" s="744">
        <f t="shared" si="76"/>
        <v>7.298131999999999</v>
      </c>
      <c r="BU132" s="744">
        <f t="shared" si="77"/>
        <v>11.748132</v>
      </c>
      <c r="BV132" s="744">
        <f t="shared" si="78"/>
        <v>7.298131999999999</v>
      </c>
      <c r="BW132" s="744">
        <f t="shared" si="79"/>
        <v>0.26713199999999998</v>
      </c>
      <c r="BX132" s="744">
        <f t="shared" si="80"/>
        <v>9.7901319999999998</v>
      </c>
      <c r="BY132" s="744">
        <f t="shared" si="81"/>
        <v>2.6701319999999997</v>
      </c>
      <c r="BZ132" s="744">
        <f t="shared" si="82"/>
        <v>2.6701319999999997</v>
      </c>
      <c r="CA132" s="744">
        <f t="shared" si="83"/>
        <v>78.320131999999987</v>
      </c>
      <c r="CB132" s="744">
        <f t="shared" si="84"/>
        <v>22.250132000000001</v>
      </c>
      <c r="CC132" s="744">
        <f t="shared" si="85"/>
        <v>22.250132000000001</v>
      </c>
      <c r="CD132" s="744">
        <f t="shared" si="86"/>
        <v>0.58753200000000005</v>
      </c>
      <c r="CE132" s="744">
        <f t="shared" si="87"/>
        <v>0.14253199999999999</v>
      </c>
      <c r="CF132" s="744">
        <f t="shared" si="88"/>
        <v>0.44513200000000003</v>
      </c>
      <c r="CG132" s="744" t="str">
        <f t="shared" si="89"/>
        <v/>
      </c>
      <c r="CH132" s="744" t="str">
        <f t="shared" si="90"/>
        <v/>
      </c>
      <c r="CI132" s="744" t="str">
        <f t="shared" si="91"/>
        <v/>
      </c>
      <c r="CJ132" s="744" t="str">
        <f t="shared" si="92"/>
        <v/>
      </c>
      <c r="CK132" s="744" t="str">
        <f t="shared" si="93"/>
        <v/>
      </c>
      <c r="CL132" s="744" t="str">
        <f t="shared" si="94"/>
        <v/>
      </c>
      <c r="CM132" s="744" t="str">
        <f t="shared" si="95"/>
        <v/>
      </c>
      <c r="CN132" s="744" t="str">
        <f t="shared" si="96"/>
        <v/>
      </c>
      <c r="CO132" s="744" t="str">
        <f t="shared" si="97"/>
        <v/>
      </c>
      <c r="CP132" s="744" t="str">
        <f t="shared" si="98"/>
        <v/>
      </c>
      <c r="CQ132" s="744" t="str">
        <f t="shared" si="99"/>
        <v/>
      </c>
      <c r="CR132" s="744" t="str">
        <f t="shared" si="100"/>
        <v/>
      </c>
      <c r="CS132" s="744" t="str">
        <f t="shared" si="101"/>
        <v/>
      </c>
      <c r="CT132" s="744" t="str">
        <f t="shared" si="102"/>
        <v/>
      </c>
      <c r="CU132" s="744" t="str">
        <f t="shared" si="103"/>
        <v/>
      </c>
      <c r="CV132" s="744" t="str">
        <f t="shared" si="104"/>
        <v/>
      </c>
      <c r="CW132" s="744" t="str">
        <f t="shared" si="105"/>
        <v/>
      </c>
      <c r="CX132" s="744">
        <f t="shared" si="106"/>
        <v>0.89013200000000003</v>
      </c>
    </row>
    <row r="133" spans="1:102">
      <c r="A133" s="633">
        <v>129</v>
      </c>
      <c r="B133" s="630" t="s">
        <v>3</v>
      </c>
      <c r="C133" s="631" t="s">
        <v>249</v>
      </c>
      <c r="D133" s="630" t="s">
        <v>1390</v>
      </c>
      <c r="E133" s="632" t="s">
        <v>196</v>
      </c>
      <c r="F133" s="1067">
        <v>1</v>
      </c>
      <c r="G133" s="1066">
        <v>1</v>
      </c>
      <c r="H133" s="1070">
        <v>0.21909999999999999</v>
      </c>
      <c r="I133" s="1070">
        <v>0.11110560999999999</v>
      </c>
      <c r="J133" s="1070">
        <v>7.3999999999999996E-2</v>
      </c>
      <c r="K133" s="1070">
        <v>5.4665449999999997E-2</v>
      </c>
      <c r="L133" s="1072">
        <v>0.12880888999999998</v>
      </c>
      <c r="M133" s="1070"/>
      <c r="N133" s="1070">
        <v>2.2200000000000002</v>
      </c>
      <c r="O133" s="1070"/>
      <c r="P133" s="1073">
        <v>11.809489999999998</v>
      </c>
      <c r="Q133" s="1070">
        <v>37.356550000000006</v>
      </c>
      <c r="R133" s="1070">
        <v>13.124089999999999</v>
      </c>
      <c r="S133" s="1279">
        <v>24.232460000000007</v>
      </c>
      <c r="T133" s="1070">
        <v>29.731870000000001</v>
      </c>
      <c r="U133" s="1070"/>
      <c r="V133" s="1066"/>
      <c r="W133" s="1070"/>
      <c r="X133" s="1070"/>
      <c r="Y133" s="1070"/>
      <c r="Z133" s="1070"/>
      <c r="AA133" s="1070"/>
      <c r="AB133" s="1070"/>
      <c r="AC133" s="1070"/>
      <c r="AD133" s="1070"/>
      <c r="AE133" s="1070"/>
      <c r="AF133" s="1070"/>
      <c r="AG133" s="1070"/>
      <c r="AH133" s="1073"/>
      <c r="AI133" s="1070"/>
      <c r="AJ133" s="1070"/>
      <c r="AK133" s="1070"/>
      <c r="AL133" s="1082"/>
      <c r="AM133" s="1069"/>
      <c r="AN133" s="1070"/>
      <c r="AO133" s="1070"/>
      <c r="AP133" s="1070"/>
      <c r="AQ133" s="1070"/>
      <c r="AR133" s="1069"/>
      <c r="AS133" s="1282"/>
      <c r="AT133" s="1282"/>
      <c r="AU133" s="1069"/>
      <c r="AV133" s="1069"/>
      <c r="AW133" s="1069"/>
      <c r="AX133" s="1070"/>
      <c r="AY133" s="1070"/>
      <c r="AZ133" s="1078">
        <f t="shared" ref="AZ133:AZ196" si="107">(1-AY133)*H133</f>
        <v>0.21909999999999999</v>
      </c>
      <c r="BA133" s="59">
        <v>129</v>
      </c>
      <c r="BB133" s="59">
        <f t="shared" si="60"/>
        <v>129</v>
      </c>
      <c r="BC133" s="60" t="str">
        <f t="shared" si="61"/>
        <v>Gliricídia</v>
      </c>
      <c r="BD133" s="61" t="str">
        <f ca="1">IFERROR(IF(SEARCH('Calcular Dieta'!A$3,$BC$5:$BC$310)&gt;=1,BC133,"Não encontrado"),"Não encontrado")</f>
        <v>Gliricídia</v>
      </c>
      <c r="BE133" s="62">
        <f ca="1">COUNTIF(BD$5:BD133,"&lt;&gt;"&amp;"Não encontrado")</f>
        <v>129</v>
      </c>
      <c r="BF133" s="63" t="str">
        <f t="shared" ca="1" si="62"/>
        <v>GLIRICÍDIA</v>
      </c>
      <c r="BG133" s="744">
        <f t="shared" si="63"/>
        <v>0.11123860999999999</v>
      </c>
      <c r="BH133" s="744">
        <f t="shared" si="64"/>
        <v>7.4132999999999991E-2</v>
      </c>
      <c r="BI133" s="744">
        <f t="shared" si="65"/>
        <v>5.4798449999999999E-2</v>
      </c>
      <c r="BJ133" s="744">
        <f t="shared" si="66"/>
        <v>0.12894188999999998</v>
      </c>
      <c r="BK133" s="744" t="str">
        <f t="shared" si="67"/>
        <v/>
      </c>
      <c r="BL133" s="744">
        <f t="shared" si="68"/>
        <v>2.2201330000000001</v>
      </c>
      <c r="BM133" s="744" t="str">
        <f t="shared" si="69"/>
        <v/>
      </c>
      <c r="BN133" s="744">
        <f t="shared" si="70"/>
        <v>11.809622999999998</v>
      </c>
      <c r="BO133" s="744">
        <f t="shared" si="71"/>
        <v>37.356683000000004</v>
      </c>
      <c r="BP133" s="744">
        <f t="shared" si="72"/>
        <v>13.124222999999999</v>
      </c>
      <c r="BQ133" s="744">
        <f t="shared" si="73"/>
        <v>24.232593000000008</v>
      </c>
      <c r="BR133" s="744">
        <f t="shared" si="74"/>
        <v>29.732003000000002</v>
      </c>
      <c r="BS133" s="744" t="str">
        <f t="shared" si="75"/>
        <v/>
      </c>
      <c r="BT133" s="744" t="str">
        <f t="shared" si="76"/>
        <v/>
      </c>
      <c r="BU133" s="744" t="str">
        <f t="shared" si="77"/>
        <v/>
      </c>
      <c r="BV133" s="744" t="str">
        <f t="shared" si="78"/>
        <v/>
      </c>
      <c r="BW133" s="744" t="str">
        <f t="shared" si="79"/>
        <v/>
      </c>
      <c r="BX133" s="744" t="str">
        <f t="shared" si="80"/>
        <v/>
      </c>
      <c r="BY133" s="744" t="str">
        <f t="shared" si="81"/>
        <v/>
      </c>
      <c r="BZ133" s="744" t="str">
        <f t="shared" si="82"/>
        <v/>
      </c>
      <c r="CA133" s="744" t="str">
        <f t="shared" si="83"/>
        <v/>
      </c>
      <c r="CB133" s="744" t="str">
        <f t="shared" si="84"/>
        <v/>
      </c>
      <c r="CC133" s="744" t="str">
        <f t="shared" si="85"/>
        <v/>
      </c>
      <c r="CD133" s="744" t="str">
        <f t="shared" si="86"/>
        <v/>
      </c>
      <c r="CE133" s="744" t="str">
        <f t="shared" si="87"/>
        <v/>
      </c>
      <c r="CF133" s="744" t="str">
        <f t="shared" si="88"/>
        <v/>
      </c>
      <c r="CG133" s="744" t="str">
        <f t="shared" si="89"/>
        <v/>
      </c>
      <c r="CH133" s="744" t="str">
        <f t="shared" si="90"/>
        <v/>
      </c>
      <c r="CI133" s="744" t="str">
        <f t="shared" si="91"/>
        <v/>
      </c>
      <c r="CJ133" s="744" t="str">
        <f t="shared" si="92"/>
        <v/>
      </c>
      <c r="CK133" s="744" t="str">
        <f t="shared" si="93"/>
        <v/>
      </c>
      <c r="CL133" s="744" t="str">
        <f t="shared" si="94"/>
        <v/>
      </c>
      <c r="CM133" s="744" t="str">
        <f t="shared" si="95"/>
        <v/>
      </c>
      <c r="CN133" s="744" t="str">
        <f t="shared" si="96"/>
        <v/>
      </c>
      <c r="CO133" s="744" t="str">
        <f t="shared" si="97"/>
        <v/>
      </c>
      <c r="CP133" s="744" t="str">
        <f t="shared" si="98"/>
        <v/>
      </c>
      <c r="CQ133" s="744" t="str">
        <f t="shared" si="99"/>
        <v/>
      </c>
      <c r="CR133" s="744" t="str">
        <f t="shared" si="100"/>
        <v/>
      </c>
      <c r="CS133" s="744" t="str">
        <f t="shared" si="101"/>
        <v/>
      </c>
      <c r="CT133" s="744" t="str">
        <f t="shared" si="102"/>
        <v/>
      </c>
      <c r="CU133" s="744" t="str">
        <f t="shared" si="103"/>
        <v/>
      </c>
      <c r="CV133" s="744" t="str">
        <f t="shared" si="104"/>
        <v/>
      </c>
      <c r="CW133" s="744" t="str">
        <f t="shared" si="105"/>
        <v/>
      </c>
      <c r="CX133" s="744">
        <f t="shared" si="106"/>
        <v>0.21923299999999998</v>
      </c>
    </row>
    <row r="134" spans="1:102">
      <c r="A134" s="630">
        <v>130</v>
      </c>
      <c r="B134" s="630" t="s">
        <v>4</v>
      </c>
      <c r="C134" s="631" t="s">
        <v>251</v>
      </c>
      <c r="D134" s="630" t="s">
        <v>1390</v>
      </c>
      <c r="E134" s="632" t="s">
        <v>677</v>
      </c>
      <c r="F134" s="1067">
        <v>5</v>
      </c>
      <c r="G134" s="1066">
        <v>1</v>
      </c>
      <c r="H134" s="1070">
        <v>1</v>
      </c>
      <c r="I134" s="1070"/>
      <c r="J134" s="1070"/>
      <c r="K134" s="1070"/>
      <c r="L134" s="1072"/>
      <c r="M134" s="1070"/>
      <c r="N134" s="1070"/>
      <c r="O134" s="1070"/>
      <c r="P134" s="1073"/>
      <c r="Q134" s="1070"/>
      <c r="R134" s="1070"/>
      <c r="S134" s="1070"/>
      <c r="T134" s="1070"/>
      <c r="U134" s="1070"/>
      <c r="V134" s="1066">
        <v>210</v>
      </c>
      <c r="W134" s="1070">
        <v>45</v>
      </c>
      <c r="X134" s="1070">
        <v>18.000000000000004</v>
      </c>
      <c r="Y134" s="1070">
        <v>70</v>
      </c>
      <c r="Z134" s="1070"/>
      <c r="AA134" s="1070">
        <v>180</v>
      </c>
      <c r="AB134" s="1070">
        <v>900</v>
      </c>
      <c r="AC134" s="1070">
        <v>2900</v>
      </c>
      <c r="AD134" s="1070"/>
      <c r="AE134" s="1070">
        <v>2500</v>
      </c>
      <c r="AF134" s="1070">
        <v>50</v>
      </c>
      <c r="AG134" s="1070">
        <v>30</v>
      </c>
      <c r="AH134" s="1073">
        <v>25</v>
      </c>
      <c r="AI134" s="1070"/>
      <c r="AJ134" s="1070"/>
      <c r="AK134" s="1070"/>
      <c r="AL134" s="1082"/>
      <c r="AM134" s="1069"/>
      <c r="AN134" s="1070"/>
      <c r="AO134" s="1070"/>
      <c r="AP134" s="1070"/>
      <c r="AQ134" s="1070"/>
      <c r="AR134" s="1069"/>
      <c r="AS134" s="1282"/>
      <c r="AT134" s="1282"/>
      <c r="AU134" s="1069"/>
      <c r="AV134" s="1069"/>
      <c r="AW134" s="1069"/>
      <c r="AX134" s="1070"/>
      <c r="AY134" s="1070"/>
      <c r="AZ134" s="1078">
        <f t="shared" si="107"/>
        <v>1</v>
      </c>
      <c r="BA134" s="59">
        <v>130</v>
      </c>
      <c r="BB134" s="59">
        <f t="shared" ref="BB134:BB197" si="108">IF(E134="","",COUNTIF($E$5:$E$310,"&lt;"&amp;E134)+1)</f>
        <v>130</v>
      </c>
      <c r="BC134" s="60" t="str">
        <f t="shared" ref="BC134:BC197" si="109">IFERROR(INDEX($E$5:$E$310,MATCH(BA134,$BB$5:$BB$310,0)),"-")</f>
        <v>Guabi Nucleo 30</v>
      </c>
      <c r="BD134" s="61" t="str">
        <f ca="1">IFERROR(IF(SEARCH('Calcular Dieta'!A$3,$BC$5:$BC$310)&gt;=1,BC134,"Não encontrado"),"Não encontrado")</f>
        <v>Guabi Nucleo 30</v>
      </c>
      <c r="BE134" s="62">
        <f ca="1">COUNTIF(BD$5:BD134,"&lt;&gt;"&amp;"Não encontrado")</f>
        <v>130</v>
      </c>
      <c r="BF134" s="63" t="str">
        <f t="shared" ref="BF134:BF197" ca="1" si="110">IFERROR(UPPER(INDEX($BD$5:$BD$310,MATCH(BA134,$BE$5:$BE$310,0))),"-")</f>
        <v>GUABI NUCLEO 30</v>
      </c>
      <c r="BG134" s="744" t="str">
        <f t="shared" ref="BG134:BG197" si="111">IF(OR(I134="",I134=0),"",I134+(ROW()/1000000))</f>
        <v/>
      </c>
      <c r="BH134" s="744" t="str">
        <f t="shared" ref="BH134:BH197" si="112">IF(OR(J134="",J134=0),"",J134+(ROW()/1000000))</f>
        <v/>
      </c>
      <c r="BI134" s="744" t="str">
        <f t="shared" ref="BI134:BI197" si="113">IF(OR(K134="",K134=0),"",K134+(ROW()/1000000))</f>
        <v/>
      </c>
      <c r="BJ134" s="744" t="str">
        <f t="shared" ref="BJ134:BJ197" si="114">IF(OR(L134="",L134=0),"",L134+(ROW()/1000000))</f>
        <v/>
      </c>
      <c r="BK134" s="744" t="str">
        <f t="shared" ref="BK134:BK197" si="115">IF(OR(M134="",M134=0),"",M134+(ROW()/1000000))</f>
        <v/>
      </c>
      <c r="BL134" s="744" t="str">
        <f t="shared" ref="BL134:BL197" si="116">IF(OR(N134="",N134=0),"",N134+(ROW()/1000000))</f>
        <v/>
      </c>
      <c r="BM134" s="744" t="str">
        <f t="shared" ref="BM134:BM197" si="117">IF(OR(O134="",O134=0),"",O134+(ROW()/1000000))</f>
        <v/>
      </c>
      <c r="BN134" s="744" t="str">
        <f t="shared" ref="BN134:BN197" si="118">IF(OR(P134="",P134=0),"",P134+(ROW()/1000000))</f>
        <v/>
      </c>
      <c r="BO134" s="744" t="str">
        <f t="shared" ref="BO134:BO197" si="119">IF(OR(Q134="",Q134=0),"",Q134+(ROW()/1000000))</f>
        <v/>
      </c>
      <c r="BP134" s="744" t="str">
        <f t="shared" ref="BP134:BP197" si="120">IF(OR(R134="",R134=0),"",R134+(ROW()/1000000))</f>
        <v/>
      </c>
      <c r="BQ134" s="744" t="str">
        <f t="shared" ref="BQ134:BQ197" si="121">IF(OR(S134="",S134=0),"",S134+(ROW()/1000000))</f>
        <v/>
      </c>
      <c r="BR134" s="744" t="str">
        <f t="shared" ref="BR134:BR197" si="122">IF(OR(T134="",T134=0),"",T134+(ROW()/1000000))</f>
        <v/>
      </c>
      <c r="BS134" s="744" t="str">
        <f t="shared" ref="BS134:BS197" si="123">IF(OR(U134="",U134=0),"",U134+(ROW()/1000000))</f>
        <v/>
      </c>
      <c r="BT134" s="744">
        <f t="shared" ref="BT134:BT197" si="124">IF(OR(V134="",V134=0),"",V134+(ROW()/1000000))</f>
        <v>210.000134</v>
      </c>
      <c r="BU134" s="744">
        <f t="shared" ref="BU134:BU197" si="125">IF(OR(W134="",W134=0),"",W134+(ROW()/1000000))</f>
        <v>45.000134000000003</v>
      </c>
      <c r="BV134" s="744">
        <f t="shared" ref="BV134:BV197" si="126">IF(OR(X134="",X134=0),"",X134+(ROW()/1000000))</f>
        <v>18.000134000000003</v>
      </c>
      <c r="BW134" s="744">
        <f t="shared" ref="BW134:BW197" si="127">IF(OR(Y134="",Y134=0),"",Y134+(ROW()/1000000))</f>
        <v>70.000134000000003</v>
      </c>
      <c r="BX134" s="744" t="str">
        <f t="shared" ref="BX134:BX197" si="128">IF(OR(Z134="",Z134=0),"",Z134+(ROW()/1000000))</f>
        <v/>
      </c>
      <c r="BY134" s="744">
        <f t="shared" ref="BY134:BY197" si="129">IF(OR(AA134="",AA134=0),"",AA134+(ROW()/1000000))</f>
        <v>180.000134</v>
      </c>
      <c r="BZ134" s="744">
        <f t="shared" ref="BZ134:BZ197" si="130">IF(OR(AB134="",AB134=0),"",AB134+(ROW()/1000000))</f>
        <v>900.000134</v>
      </c>
      <c r="CA134" s="744">
        <f t="shared" ref="CA134:CA197" si="131">IF(OR(AC134="",AC134=0),"",AC134+(ROW()/1000000))</f>
        <v>2900.0001339999999</v>
      </c>
      <c r="CB134" s="744" t="str">
        <f t="shared" ref="CB134:CB197" si="132">IF(OR(AD134="",AD134=0),"",AD134+(ROW()/1000000))</f>
        <v/>
      </c>
      <c r="CC134" s="744">
        <f t="shared" ref="CC134:CC197" si="133">IF(OR(AE134="",AE134=0),"",AE134+(ROW()/1000000))</f>
        <v>2500.0001339999999</v>
      </c>
      <c r="CD134" s="744">
        <f t="shared" ref="CD134:CD197" si="134">IF(OR(AF134="",AF134=0),"",AF134+(ROW()/1000000))</f>
        <v>50.000134000000003</v>
      </c>
      <c r="CE134" s="744">
        <f t="shared" ref="CE134:CE197" si="135">IF(OR(AG134="",AG134=0),"",AG134+(ROW()/1000000))</f>
        <v>30.000133999999999</v>
      </c>
      <c r="CF134" s="744">
        <f t="shared" ref="CF134:CF197" si="136">IF(OR(AH134="",AH134=0),"",AH134+(ROW()/1000000))</f>
        <v>25.000133999999999</v>
      </c>
      <c r="CG134" s="744" t="str">
        <f t="shared" ref="CG134:CG197" si="137">IF(OR(AI134="",AI134=0),"",AI134+(ROW()/1000000))</f>
        <v/>
      </c>
      <c r="CH134" s="744" t="str">
        <f t="shared" ref="CH134:CH197" si="138">IF(OR(AJ134="",AJ134=0),"",AJ134+(ROW()/1000000))</f>
        <v/>
      </c>
      <c r="CI134" s="744" t="str">
        <f t="shared" ref="CI134:CI197" si="139">IF(OR(AK134="",AK134=0),"",AK134+(ROW()/1000000))</f>
        <v/>
      </c>
      <c r="CJ134" s="744" t="str">
        <f t="shared" ref="CJ134:CJ197" si="140">IF(OR(AL134="",AL134=0),"",AL134+(ROW()/1000000))</f>
        <v/>
      </c>
      <c r="CK134" s="744" t="str">
        <f t="shared" ref="CK134:CK197" si="141">IF(OR(AM134="",AM134=0),"",AM134+(ROW()/1000000))</f>
        <v/>
      </c>
      <c r="CL134" s="744" t="str">
        <f t="shared" ref="CL134:CL197" si="142">IF(OR(AN134="",AN134=0),"",AN134+(ROW()/1000000))</f>
        <v/>
      </c>
      <c r="CM134" s="744" t="str">
        <f t="shared" ref="CM134:CM197" si="143">IF(OR(AO134="",AO134=0),"",AO134+(ROW()/1000000))</f>
        <v/>
      </c>
      <c r="CN134" s="744" t="str">
        <f t="shared" ref="CN134:CN197" si="144">IF(OR(AP134="",AP134=0),"",AP134+(ROW()/1000000))</f>
        <v/>
      </c>
      <c r="CO134" s="744" t="str">
        <f t="shared" ref="CO134:CO197" si="145">IF(OR(AQ134="",AQ134=0),"",AQ134+(ROW()/1000000))</f>
        <v/>
      </c>
      <c r="CP134" s="744" t="str">
        <f t="shared" ref="CP134:CP197" si="146">IF(OR(AR134="",AR134=0),"",AR134+(ROW()/1000000))</f>
        <v/>
      </c>
      <c r="CQ134" s="744" t="str">
        <f t="shared" ref="CQ134:CQ197" si="147">IF(OR(AS134="",AS134=0),"",AS134+(ROW()/1000000))</f>
        <v/>
      </c>
      <c r="CR134" s="744" t="str">
        <f t="shared" ref="CR134:CR197" si="148">IF(OR(AT134="",AT134=0),"",AT134+(ROW()/1000000))</f>
        <v/>
      </c>
      <c r="CS134" s="744" t="str">
        <f t="shared" ref="CS134:CS197" si="149">IF(OR(AU134="",AU134=0),"",AU134+(ROW()/1000000))</f>
        <v/>
      </c>
      <c r="CT134" s="744" t="str">
        <f t="shared" ref="CT134:CT197" si="150">IF(OR(AV134="",AV134=0),"",AV134+(ROW()/1000000))</f>
        <v/>
      </c>
      <c r="CU134" s="744" t="str">
        <f t="shared" ref="CU134:CU197" si="151">IF(OR(AW134="",AW134=0),"",AW134+(ROW()/1000000))</f>
        <v/>
      </c>
      <c r="CV134" s="744" t="str">
        <f t="shared" ref="CV134:CV197" si="152">IF(OR(AX134="",AX134=0),"",AX134+(ROW()/1000000))</f>
        <v/>
      </c>
      <c r="CW134" s="744" t="str">
        <f t="shared" ref="CW134:CW197" si="153">IF(OR(AY134="",AY134=0),"",AY134+(ROW()/1000000))</f>
        <v/>
      </c>
      <c r="CX134" s="744">
        <f t="shared" ref="CX134:CX197" si="154">IF(OR(AZ134="",AZ134=0),"",AZ134+(ROW()/1000000))</f>
        <v>1.0001340000000001</v>
      </c>
    </row>
    <row r="135" spans="1:102">
      <c r="A135" s="633">
        <v>131</v>
      </c>
      <c r="B135" s="630" t="s">
        <v>4</v>
      </c>
      <c r="C135" s="631" t="s">
        <v>250</v>
      </c>
      <c r="D135" s="630" t="s">
        <v>1392</v>
      </c>
      <c r="E135" s="632" t="s">
        <v>197</v>
      </c>
      <c r="F135" s="1067">
        <v>1</v>
      </c>
      <c r="G135" s="1066">
        <v>1</v>
      </c>
      <c r="H135" s="1070">
        <v>0.89</v>
      </c>
      <c r="I135" s="1070">
        <v>7.1199999999999999E-2</v>
      </c>
      <c r="J135" s="1070">
        <v>2.8479999999999998E-2</v>
      </c>
      <c r="K135" s="1070"/>
      <c r="L135" s="1072">
        <v>0.71200000000000008</v>
      </c>
      <c r="M135" s="1070">
        <v>3.139208</v>
      </c>
      <c r="N135" s="1070"/>
      <c r="O135" s="1070"/>
      <c r="P135" s="1073">
        <v>13.35</v>
      </c>
      <c r="Q135" s="1070">
        <v>204.70000000000002</v>
      </c>
      <c r="R135" s="1070">
        <v>102.35000000000001</v>
      </c>
      <c r="S135" s="1070"/>
      <c r="T135" s="1070"/>
      <c r="U135" s="1070"/>
      <c r="V135" s="1066">
        <v>0.89</v>
      </c>
      <c r="W135" s="1070">
        <v>3.1150000000000002</v>
      </c>
      <c r="X135" s="1070">
        <v>1.157</v>
      </c>
      <c r="Y135" s="1070">
        <v>0.17800000000000002</v>
      </c>
      <c r="Z135" s="1070">
        <v>12.727</v>
      </c>
      <c r="AA135" s="1070">
        <v>3.1150000000000002</v>
      </c>
      <c r="AB135" s="1070">
        <v>10.68</v>
      </c>
      <c r="AC135" s="1070">
        <v>24.03</v>
      </c>
      <c r="AD135" s="1070">
        <v>267</v>
      </c>
      <c r="AE135" s="1070">
        <v>36.49</v>
      </c>
      <c r="AF135" s="1070">
        <v>0.1424</v>
      </c>
      <c r="AG135" s="1070">
        <v>0.26700000000000002</v>
      </c>
      <c r="AH135" s="1073">
        <v>0.44500000000000001</v>
      </c>
      <c r="AI135" s="1070"/>
      <c r="AJ135" s="1070"/>
      <c r="AK135" s="1070"/>
      <c r="AL135" s="1082"/>
      <c r="AM135" s="1069"/>
      <c r="AN135" s="1070"/>
      <c r="AO135" s="1070"/>
      <c r="AP135" s="1070"/>
      <c r="AQ135" s="1070"/>
      <c r="AR135" s="1069"/>
      <c r="AS135" s="1282"/>
      <c r="AT135" s="1282"/>
      <c r="AU135" s="1069"/>
      <c r="AV135" s="1069"/>
      <c r="AW135" s="1069"/>
      <c r="AX135" s="1070"/>
      <c r="AY135" s="1070"/>
      <c r="AZ135" s="1078">
        <f t="shared" si="107"/>
        <v>0.89</v>
      </c>
      <c r="BA135" s="59">
        <v>131</v>
      </c>
      <c r="BB135" s="59">
        <f t="shared" si="108"/>
        <v>131</v>
      </c>
      <c r="BC135" s="60" t="str">
        <f t="shared" si="109"/>
        <v>Guandu, Farelo</v>
      </c>
      <c r="BD135" s="61" t="str">
        <f ca="1">IFERROR(IF(SEARCH('Calcular Dieta'!A$3,$BC$5:$BC$310)&gt;=1,BC135,"Não encontrado"),"Não encontrado")</f>
        <v>Guandu, Farelo</v>
      </c>
      <c r="BE135" s="62">
        <f ca="1">COUNTIF(BD$5:BD135,"&lt;&gt;"&amp;"Não encontrado")</f>
        <v>131</v>
      </c>
      <c r="BF135" s="63" t="str">
        <f t="shared" ca="1" si="110"/>
        <v>GUANDU, FARELO</v>
      </c>
      <c r="BG135" s="744">
        <f t="shared" si="111"/>
        <v>7.1334999999999996E-2</v>
      </c>
      <c r="BH135" s="744">
        <f t="shared" si="112"/>
        <v>2.8614999999999998E-2</v>
      </c>
      <c r="BI135" s="744" t="str">
        <f t="shared" si="113"/>
        <v/>
      </c>
      <c r="BJ135" s="744">
        <f t="shared" si="114"/>
        <v>0.71213500000000007</v>
      </c>
      <c r="BK135" s="744">
        <f t="shared" si="115"/>
        <v>3.1393430000000002</v>
      </c>
      <c r="BL135" s="744" t="str">
        <f t="shared" si="116"/>
        <v/>
      </c>
      <c r="BM135" s="744" t="str">
        <f t="shared" si="117"/>
        <v/>
      </c>
      <c r="BN135" s="744">
        <f t="shared" si="118"/>
        <v>13.350135</v>
      </c>
      <c r="BO135" s="744">
        <f t="shared" si="119"/>
        <v>204.70013500000002</v>
      </c>
      <c r="BP135" s="744">
        <f t="shared" si="120"/>
        <v>102.35013500000001</v>
      </c>
      <c r="BQ135" s="744" t="str">
        <f t="shared" si="121"/>
        <v/>
      </c>
      <c r="BR135" s="744" t="str">
        <f t="shared" si="122"/>
        <v/>
      </c>
      <c r="BS135" s="744" t="str">
        <f t="shared" si="123"/>
        <v/>
      </c>
      <c r="BT135" s="744">
        <f t="shared" si="124"/>
        <v>0.89013500000000001</v>
      </c>
      <c r="BU135" s="744">
        <f t="shared" si="125"/>
        <v>3.1151350000000004</v>
      </c>
      <c r="BV135" s="744">
        <f t="shared" si="126"/>
        <v>1.157135</v>
      </c>
      <c r="BW135" s="744">
        <f t="shared" si="127"/>
        <v>0.17813500000000002</v>
      </c>
      <c r="BX135" s="744">
        <f t="shared" si="128"/>
        <v>12.727135000000001</v>
      </c>
      <c r="BY135" s="744">
        <f t="shared" si="129"/>
        <v>3.1151350000000004</v>
      </c>
      <c r="BZ135" s="744">
        <f t="shared" si="130"/>
        <v>10.680135</v>
      </c>
      <c r="CA135" s="744">
        <f t="shared" si="131"/>
        <v>24.030135000000001</v>
      </c>
      <c r="CB135" s="744">
        <f t="shared" si="132"/>
        <v>267.000135</v>
      </c>
      <c r="CC135" s="744">
        <f t="shared" si="133"/>
        <v>36.490135000000002</v>
      </c>
      <c r="CD135" s="744">
        <f t="shared" si="134"/>
        <v>0.142535</v>
      </c>
      <c r="CE135" s="744">
        <f t="shared" si="135"/>
        <v>0.26713500000000001</v>
      </c>
      <c r="CF135" s="744">
        <f t="shared" si="136"/>
        <v>0.445135</v>
      </c>
      <c r="CG135" s="744" t="str">
        <f t="shared" si="137"/>
        <v/>
      </c>
      <c r="CH135" s="744" t="str">
        <f t="shared" si="138"/>
        <v/>
      </c>
      <c r="CI135" s="744" t="str">
        <f t="shared" si="139"/>
        <v/>
      </c>
      <c r="CJ135" s="744" t="str">
        <f t="shared" si="140"/>
        <v/>
      </c>
      <c r="CK135" s="744" t="str">
        <f t="shared" si="141"/>
        <v/>
      </c>
      <c r="CL135" s="744" t="str">
        <f t="shared" si="142"/>
        <v/>
      </c>
      <c r="CM135" s="744" t="str">
        <f t="shared" si="143"/>
        <v/>
      </c>
      <c r="CN135" s="744" t="str">
        <f t="shared" si="144"/>
        <v/>
      </c>
      <c r="CO135" s="744" t="str">
        <f t="shared" si="145"/>
        <v/>
      </c>
      <c r="CP135" s="744" t="str">
        <f t="shared" si="146"/>
        <v/>
      </c>
      <c r="CQ135" s="744" t="str">
        <f t="shared" si="147"/>
        <v/>
      </c>
      <c r="CR135" s="744" t="str">
        <f t="shared" si="148"/>
        <v/>
      </c>
      <c r="CS135" s="744" t="str">
        <f t="shared" si="149"/>
        <v/>
      </c>
      <c r="CT135" s="744" t="str">
        <f t="shared" si="150"/>
        <v/>
      </c>
      <c r="CU135" s="744" t="str">
        <f t="shared" si="151"/>
        <v/>
      </c>
      <c r="CV135" s="744" t="str">
        <f t="shared" si="152"/>
        <v/>
      </c>
      <c r="CW135" s="744" t="str">
        <f t="shared" si="153"/>
        <v/>
      </c>
      <c r="CX135" s="744">
        <f t="shared" si="154"/>
        <v>0.89013500000000001</v>
      </c>
    </row>
    <row r="136" spans="1:102">
      <c r="A136" s="630">
        <v>132</v>
      </c>
      <c r="B136" s="630" t="s">
        <v>4</v>
      </c>
      <c r="C136" s="631" t="s">
        <v>253</v>
      </c>
      <c r="D136" s="630" t="s">
        <v>1390</v>
      </c>
      <c r="E136" s="632" t="s">
        <v>198</v>
      </c>
      <c r="F136" s="1067">
        <v>1</v>
      </c>
      <c r="G136" s="1066">
        <v>1</v>
      </c>
      <c r="H136" s="1070">
        <v>1</v>
      </c>
      <c r="I136" s="1070"/>
      <c r="J136" s="1070"/>
      <c r="K136" s="1070"/>
      <c r="L136" s="1072"/>
      <c r="M136" s="1070"/>
      <c r="N136" s="1070"/>
      <c r="O136" s="1070"/>
      <c r="P136" s="1073"/>
      <c r="Q136" s="1070"/>
      <c r="R136" s="1070"/>
      <c r="S136" s="1070"/>
      <c r="T136" s="1070"/>
      <c r="U136" s="1070"/>
      <c r="V136" s="1066"/>
      <c r="W136" s="1070"/>
      <c r="X136" s="1070"/>
      <c r="Y136" s="1070"/>
      <c r="Z136" s="1070"/>
      <c r="AA136" s="1070"/>
      <c r="AB136" s="1070"/>
      <c r="AC136" s="1070"/>
      <c r="AD136" s="1070"/>
      <c r="AE136" s="1070"/>
      <c r="AF136" s="1070">
        <v>593000</v>
      </c>
      <c r="AG136" s="1070"/>
      <c r="AH136" s="1073"/>
      <c r="AI136" s="1070"/>
      <c r="AJ136" s="1070"/>
      <c r="AK136" s="1070"/>
      <c r="AL136" s="1082"/>
      <c r="AM136" s="1069"/>
      <c r="AN136" s="1070"/>
      <c r="AO136" s="1070"/>
      <c r="AP136" s="1070"/>
      <c r="AQ136" s="1070"/>
      <c r="AR136" s="1069"/>
      <c r="AS136" s="1282"/>
      <c r="AT136" s="1282"/>
      <c r="AU136" s="1069"/>
      <c r="AV136" s="1069"/>
      <c r="AW136" s="1069"/>
      <c r="AX136" s="1070"/>
      <c r="AY136" s="1070"/>
      <c r="AZ136" s="1078">
        <f t="shared" si="107"/>
        <v>1</v>
      </c>
      <c r="BA136" s="59">
        <v>132</v>
      </c>
      <c r="BB136" s="59">
        <f t="shared" si="108"/>
        <v>132</v>
      </c>
      <c r="BC136" s="60" t="str">
        <f t="shared" si="109"/>
        <v>Iodato de Potássio</v>
      </c>
      <c r="BD136" s="61" t="str">
        <f ca="1">IFERROR(IF(SEARCH('Calcular Dieta'!A$3,$BC$5:$BC$310)&gt;=1,BC136,"Não encontrado"),"Não encontrado")</f>
        <v>Iodato de Potássio</v>
      </c>
      <c r="BE136" s="62">
        <f ca="1">COUNTIF(BD$5:BD136,"&lt;&gt;"&amp;"Não encontrado")</f>
        <v>132</v>
      </c>
      <c r="BF136" s="63" t="str">
        <f t="shared" ca="1" si="110"/>
        <v>IODATO DE POTÁSSIO</v>
      </c>
      <c r="BG136" s="744" t="str">
        <f t="shared" si="111"/>
        <v/>
      </c>
      <c r="BH136" s="744" t="str">
        <f t="shared" si="112"/>
        <v/>
      </c>
      <c r="BI136" s="744" t="str">
        <f t="shared" si="113"/>
        <v/>
      </c>
      <c r="BJ136" s="744" t="str">
        <f t="shared" si="114"/>
        <v/>
      </c>
      <c r="BK136" s="744" t="str">
        <f t="shared" si="115"/>
        <v/>
      </c>
      <c r="BL136" s="744" t="str">
        <f t="shared" si="116"/>
        <v/>
      </c>
      <c r="BM136" s="744" t="str">
        <f t="shared" si="117"/>
        <v/>
      </c>
      <c r="BN136" s="744" t="str">
        <f t="shared" si="118"/>
        <v/>
      </c>
      <c r="BO136" s="744" t="str">
        <f t="shared" si="119"/>
        <v/>
      </c>
      <c r="BP136" s="744" t="str">
        <f t="shared" si="120"/>
        <v/>
      </c>
      <c r="BQ136" s="744" t="str">
        <f t="shared" si="121"/>
        <v/>
      </c>
      <c r="BR136" s="744" t="str">
        <f t="shared" si="122"/>
        <v/>
      </c>
      <c r="BS136" s="744" t="str">
        <f t="shared" si="123"/>
        <v/>
      </c>
      <c r="BT136" s="744" t="str">
        <f t="shared" si="124"/>
        <v/>
      </c>
      <c r="BU136" s="744" t="str">
        <f t="shared" si="125"/>
        <v/>
      </c>
      <c r="BV136" s="744" t="str">
        <f t="shared" si="126"/>
        <v/>
      </c>
      <c r="BW136" s="744" t="str">
        <f t="shared" si="127"/>
        <v/>
      </c>
      <c r="BX136" s="744" t="str">
        <f t="shared" si="128"/>
        <v/>
      </c>
      <c r="BY136" s="744" t="str">
        <f t="shared" si="129"/>
        <v/>
      </c>
      <c r="BZ136" s="744" t="str">
        <f t="shared" si="130"/>
        <v/>
      </c>
      <c r="CA136" s="744" t="str">
        <f t="shared" si="131"/>
        <v/>
      </c>
      <c r="CB136" s="744" t="str">
        <f t="shared" si="132"/>
        <v/>
      </c>
      <c r="CC136" s="744" t="str">
        <f t="shared" si="133"/>
        <v/>
      </c>
      <c r="CD136" s="744">
        <f t="shared" si="134"/>
        <v>593000.00013599999</v>
      </c>
      <c r="CE136" s="744" t="str">
        <f t="shared" si="135"/>
        <v/>
      </c>
      <c r="CF136" s="744" t="str">
        <f t="shared" si="136"/>
        <v/>
      </c>
      <c r="CG136" s="744" t="str">
        <f t="shared" si="137"/>
        <v/>
      </c>
      <c r="CH136" s="744" t="str">
        <f t="shared" si="138"/>
        <v/>
      </c>
      <c r="CI136" s="744" t="str">
        <f t="shared" si="139"/>
        <v/>
      </c>
      <c r="CJ136" s="744" t="str">
        <f t="shared" si="140"/>
        <v/>
      </c>
      <c r="CK136" s="744" t="str">
        <f t="shared" si="141"/>
        <v/>
      </c>
      <c r="CL136" s="744" t="str">
        <f t="shared" si="142"/>
        <v/>
      </c>
      <c r="CM136" s="744" t="str">
        <f t="shared" si="143"/>
        <v/>
      </c>
      <c r="CN136" s="744" t="str">
        <f t="shared" si="144"/>
        <v/>
      </c>
      <c r="CO136" s="744" t="str">
        <f t="shared" si="145"/>
        <v/>
      </c>
      <c r="CP136" s="744" t="str">
        <f t="shared" si="146"/>
        <v/>
      </c>
      <c r="CQ136" s="744" t="str">
        <f t="shared" si="147"/>
        <v/>
      </c>
      <c r="CR136" s="744" t="str">
        <f t="shared" si="148"/>
        <v/>
      </c>
      <c r="CS136" s="744" t="str">
        <f t="shared" si="149"/>
        <v/>
      </c>
      <c r="CT136" s="744" t="str">
        <f t="shared" si="150"/>
        <v/>
      </c>
      <c r="CU136" s="744" t="str">
        <f t="shared" si="151"/>
        <v/>
      </c>
      <c r="CV136" s="744" t="str">
        <f t="shared" si="152"/>
        <v/>
      </c>
      <c r="CW136" s="744" t="str">
        <f t="shared" si="153"/>
        <v/>
      </c>
      <c r="CX136" s="744">
        <f t="shared" si="154"/>
        <v>1.0001359999999999</v>
      </c>
    </row>
    <row r="137" spans="1:102">
      <c r="A137" s="633">
        <v>133</v>
      </c>
      <c r="B137" s="630" t="s">
        <v>3</v>
      </c>
      <c r="C137" s="631" t="s">
        <v>248</v>
      </c>
      <c r="D137" s="630" t="s">
        <v>1390</v>
      </c>
      <c r="E137" s="632" t="s">
        <v>721</v>
      </c>
      <c r="F137" s="1067">
        <v>0.6</v>
      </c>
      <c r="G137" s="1066">
        <v>1</v>
      </c>
      <c r="H137" s="1070">
        <v>0.88029999999999997</v>
      </c>
      <c r="I137" s="1070">
        <v>0.47659441999999996</v>
      </c>
      <c r="J137" s="1070">
        <v>0.3367</v>
      </c>
      <c r="K137" s="1070">
        <v>0.13371757000000001</v>
      </c>
      <c r="L137" s="1072">
        <v>0.45485101</v>
      </c>
      <c r="M137" s="1070"/>
      <c r="N137" s="1070">
        <v>1.92</v>
      </c>
      <c r="O137" s="1070"/>
      <c r="P137" s="1073">
        <v>17.606000000000002</v>
      </c>
      <c r="Q137" s="1070">
        <v>139.87967</v>
      </c>
      <c r="R137" s="1070"/>
      <c r="S137" s="1070"/>
      <c r="T137" s="1070"/>
      <c r="U137" s="1070"/>
      <c r="V137" s="1066"/>
      <c r="W137" s="1070"/>
      <c r="X137" s="1070"/>
      <c r="Y137" s="1070"/>
      <c r="Z137" s="1070"/>
      <c r="AA137" s="1070"/>
      <c r="AB137" s="1070"/>
      <c r="AC137" s="1070"/>
      <c r="AD137" s="1070"/>
      <c r="AE137" s="1070"/>
      <c r="AF137" s="1070"/>
      <c r="AG137" s="1070"/>
      <c r="AH137" s="1073"/>
      <c r="AI137" s="1070"/>
      <c r="AJ137" s="1070"/>
      <c r="AK137" s="1070"/>
      <c r="AL137" s="1082"/>
      <c r="AM137" s="1069"/>
      <c r="AN137" s="1070"/>
      <c r="AO137" s="1070"/>
      <c r="AP137" s="1070"/>
      <c r="AQ137" s="1070"/>
      <c r="AR137" s="1069"/>
      <c r="AS137" s="1282"/>
      <c r="AT137" s="1282"/>
      <c r="AU137" s="1069"/>
      <c r="AV137" s="1069"/>
      <c r="AW137" s="1069"/>
      <c r="AX137" s="1070"/>
      <c r="AY137" s="1070"/>
      <c r="AZ137" s="1078">
        <f t="shared" si="107"/>
        <v>0.88029999999999997</v>
      </c>
      <c r="BA137" s="59">
        <v>133</v>
      </c>
      <c r="BB137" s="59">
        <f t="shared" si="108"/>
        <v>133</v>
      </c>
      <c r="BC137" s="60" t="str">
        <f t="shared" si="109"/>
        <v>Jureminha, Feno</v>
      </c>
      <c r="BD137" s="61" t="str">
        <f ca="1">IFERROR(IF(SEARCH('Calcular Dieta'!A$3,$BC$5:$BC$310)&gt;=1,BC137,"Não encontrado"),"Não encontrado")</f>
        <v>Jureminha, Feno</v>
      </c>
      <c r="BE137" s="62">
        <f ca="1">COUNTIF(BD$5:BD137,"&lt;&gt;"&amp;"Não encontrado")</f>
        <v>133</v>
      </c>
      <c r="BF137" s="63" t="str">
        <f t="shared" ca="1" si="110"/>
        <v>JUREMINHA, FENO</v>
      </c>
      <c r="BG137" s="744">
        <f t="shared" si="111"/>
        <v>0.47673141999999996</v>
      </c>
      <c r="BH137" s="744">
        <f t="shared" si="112"/>
        <v>0.336837</v>
      </c>
      <c r="BI137" s="744">
        <f t="shared" si="113"/>
        <v>0.13385457000000001</v>
      </c>
      <c r="BJ137" s="744">
        <f t="shared" si="114"/>
        <v>0.45498801</v>
      </c>
      <c r="BK137" s="744" t="str">
        <f t="shared" si="115"/>
        <v/>
      </c>
      <c r="BL137" s="744">
        <f t="shared" si="116"/>
        <v>1.920137</v>
      </c>
      <c r="BM137" s="744" t="str">
        <f t="shared" si="117"/>
        <v/>
      </c>
      <c r="BN137" s="744">
        <f t="shared" si="118"/>
        <v>17.606137</v>
      </c>
      <c r="BO137" s="744">
        <f t="shared" si="119"/>
        <v>139.879807</v>
      </c>
      <c r="BP137" s="744" t="str">
        <f t="shared" si="120"/>
        <v/>
      </c>
      <c r="BQ137" s="744" t="str">
        <f t="shared" si="121"/>
        <v/>
      </c>
      <c r="BR137" s="744" t="str">
        <f t="shared" si="122"/>
        <v/>
      </c>
      <c r="BS137" s="744" t="str">
        <f t="shared" si="123"/>
        <v/>
      </c>
      <c r="BT137" s="744" t="str">
        <f t="shared" si="124"/>
        <v/>
      </c>
      <c r="BU137" s="744" t="str">
        <f t="shared" si="125"/>
        <v/>
      </c>
      <c r="BV137" s="744" t="str">
        <f t="shared" si="126"/>
        <v/>
      </c>
      <c r="BW137" s="744" t="str">
        <f t="shared" si="127"/>
        <v/>
      </c>
      <c r="BX137" s="744" t="str">
        <f t="shared" si="128"/>
        <v/>
      </c>
      <c r="BY137" s="744" t="str">
        <f t="shared" si="129"/>
        <v/>
      </c>
      <c r="BZ137" s="744" t="str">
        <f t="shared" si="130"/>
        <v/>
      </c>
      <c r="CA137" s="744" t="str">
        <f t="shared" si="131"/>
        <v/>
      </c>
      <c r="CB137" s="744" t="str">
        <f t="shared" si="132"/>
        <v/>
      </c>
      <c r="CC137" s="744" t="str">
        <f t="shared" si="133"/>
        <v/>
      </c>
      <c r="CD137" s="744" t="str">
        <f t="shared" si="134"/>
        <v/>
      </c>
      <c r="CE137" s="744" t="str">
        <f t="shared" si="135"/>
        <v/>
      </c>
      <c r="CF137" s="744" t="str">
        <f t="shared" si="136"/>
        <v/>
      </c>
      <c r="CG137" s="744" t="str">
        <f t="shared" si="137"/>
        <v/>
      </c>
      <c r="CH137" s="744" t="str">
        <f t="shared" si="138"/>
        <v/>
      </c>
      <c r="CI137" s="744" t="str">
        <f t="shared" si="139"/>
        <v/>
      </c>
      <c r="CJ137" s="744" t="str">
        <f t="shared" si="140"/>
        <v/>
      </c>
      <c r="CK137" s="744" t="str">
        <f t="shared" si="141"/>
        <v/>
      </c>
      <c r="CL137" s="744" t="str">
        <f t="shared" si="142"/>
        <v/>
      </c>
      <c r="CM137" s="744" t="str">
        <f t="shared" si="143"/>
        <v/>
      </c>
      <c r="CN137" s="744" t="str">
        <f t="shared" si="144"/>
        <v/>
      </c>
      <c r="CO137" s="744" t="str">
        <f t="shared" si="145"/>
        <v/>
      </c>
      <c r="CP137" s="744" t="str">
        <f t="shared" si="146"/>
        <v/>
      </c>
      <c r="CQ137" s="744" t="str">
        <f t="shared" si="147"/>
        <v/>
      </c>
      <c r="CR137" s="744" t="str">
        <f t="shared" si="148"/>
        <v/>
      </c>
      <c r="CS137" s="744" t="str">
        <f t="shared" si="149"/>
        <v/>
      </c>
      <c r="CT137" s="744" t="str">
        <f t="shared" si="150"/>
        <v/>
      </c>
      <c r="CU137" s="744" t="str">
        <f t="shared" si="151"/>
        <v/>
      </c>
      <c r="CV137" s="744" t="str">
        <f t="shared" si="152"/>
        <v/>
      </c>
      <c r="CW137" s="744" t="str">
        <f t="shared" si="153"/>
        <v/>
      </c>
      <c r="CX137" s="744">
        <f t="shared" si="154"/>
        <v>0.88043700000000003</v>
      </c>
    </row>
    <row r="138" spans="1:102">
      <c r="A138" s="630">
        <v>134</v>
      </c>
      <c r="B138" s="630" t="s">
        <v>3</v>
      </c>
      <c r="C138" s="631" t="s">
        <v>249</v>
      </c>
      <c r="D138" s="630" t="s">
        <v>1390</v>
      </c>
      <c r="E138" s="632" t="s">
        <v>199</v>
      </c>
      <c r="F138" s="1067">
        <v>1</v>
      </c>
      <c r="G138" s="1066">
        <v>1</v>
      </c>
      <c r="H138" s="1070">
        <v>0.31980000000000003</v>
      </c>
      <c r="I138" s="1070">
        <v>0.14343030000000001</v>
      </c>
      <c r="J138" s="1070">
        <v>0.1202</v>
      </c>
      <c r="K138" s="1070">
        <v>9.9649680000000004E-2</v>
      </c>
      <c r="L138" s="1072">
        <v>0.22078992000000003</v>
      </c>
      <c r="M138" s="1070"/>
      <c r="N138" s="1070">
        <v>2.67</v>
      </c>
      <c r="O138" s="1070"/>
      <c r="P138" s="1073">
        <v>12.37626</v>
      </c>
      <c r="Q138" s="1070">
        <v>67.765620000000013</v>
      </c>
      <c r="R138" s="1070">
        <v>8.7305400000000013</v>
      </c>
      <c r="S138" s="1279">
        <v>59.035080000000008</v>
      </c>
      <c r="T138" s="1070">
        <v>65.271180000000015</v>
      </c>
      <c r="U138" s="1070"/>
      <c r="V138" s="1066">
        <v>2.7502800000000005</v>
      </c>
      <c r="W138" s="1070">
        <v>0.57563999999999993</v>
      </c>
      <c r="X138" s="1070">
        <v>0.44772000000000006</v>
      </c>
      <c r="Y138" s="1070"/>
      <c r="Z138" s="1070">
        <v>3.8376000000000006</v>
      </c>
      <c r="AA138" s="1070">
        <v>0.47970000000000007</v>
      </c>
      <c r="AB138" s="1070">
        <v>7</v>
      </c>
      <c r="AC138" s="1070">
        <v>17</v>
      </c>
      <c r="AD138" s="1070"/>
      <c r="AE138" s="1070">
        <v>38</v>
      </c>
      <c r="AF138" s="1070"/>
      <c r="AG138" s="1070"/>
      <c r="AH138" s="1073"/>
      <c r="AI138" s="1070"/>
      <c r="AJ138" s="1070"/>
      <c r="AK138" s="1070"/>
      <c r="AL138" s="1082"/>
      <c r="AM138" s="1069"/>
      <c r="AN138" s="1070"/>
      <c r="AO138" s="1070"/>
      <c r="AP138" s="1070"/>
      <c r="AQ138" s="1070"/>
      <c r="AR138" s="1069"/>
      <c r="AS138" s="1282"/>
      <c r="AT138" s="1282"/>
      <c r="AU138" s="1069"/>
      <c r="AV138" s="1069"/>
      <c r="AW138" s="1069"/>
      <c r="AX138" s="1070"/>
      <c r="AY138" s="1070"/>
      <c r="AZ138" s="1078">
        <f t="shared" si="107"/>
        <v>0.31980000000000003</v>
      </c>
      <c r="BA138" s="59">
        <v>134</v>
      </c>
      <c r="BB138" s="59">
        <f t="shared" si="108"/>
        <v>134</v>
      </c>
      <c r="BC138" s="60" t="str">
        <f t="shared" si="109"/>
        <v>Leucena</v>
      </c>
      <c r="BD138" s="61" t="str">
        <f ca="1">IFERROR(IF(SEARCH('Calcular Dieta'!A$3,$BC$5:$BC$310)&gt;=1,BC138,"Não encontrado"),"Não encontrado")</f>
        <v>Leucena</v>
      </c>
      <c r="BE138" s="62">
        <f ca="1">COUNTIF(BD$5:BD138,"&lt;&gt;"&amp;"Não encontrado")</f>
        <v>134</v>
      </c>
      <c r="BF138" s="63" t="str">
        <f t="shared" ca="1" si="110"/>
        <v>LEUCENA</v>
      </c>
      <c r="BG138" s="744">
        <f t="shared" si="111"/>
        <v>0.14356830000000001</v>
      </c>
      <c r="BH138" s="744">
        <f t="shared" si="112"/>
        <v>0.120338</v>
      </c>
      <c r="BI138" s="744">
        <f t="shared" si="113"/>
        <v>9.9787680000000004E-2</v>
      </c>
      <c r="BJ138" s="744">
        <f t="shared" si="114"/>
        <v>0.22092792000000003</v>
      </c>
      <c r="BK138" s="744" t="str">
        <f t="shared" si="115"/>
        <v/>
      </c>
      <c r="BL138" s="744">
        <f t="shared" si="116"/>
        <v>2.6701380000000001</v>
      </c>
      <c r="BM138" s="744" t="str">
        <f t="shared" si="117"/>
        <v/>
      </c>
      <c r="BN138" s="744">
        <f t="shared" si="118"/>
        <v>12.376398</v>
      </c>
      <c r="BO138" s="744">
        <f t="shared" si="119"/>
        <v>67.765758000000019</v>
      </c>
      <c r="BP138" s="744">
        <f t="shared" si="120"/>
        <v>8.730678000000001</v>
      </c>
      <c r="BQ138" s="744">
        <f t="shared" si="121"/>
        <v>59.035218000000008</v>
      </c>
      <c r="BR138" s="744">
        <f t="shared" si="122"/>
        <v>65.271318000000022</v>
      </c>
      <c r="BS138" s="744" t="str">
        <f t="shared" si="123"/>
        <v/>
      </c>
      <c r="BT138" s="744">
        <f t="shared" si="124"/>
        <v>2.7504180000000007</v>
      </c>
      <c r="BU138" s="744">
        <f t="shared" si="125"/>
        <v>0.5757779999999999</v>
      </c>
      <c r="BV138" s="744">
        <f t="shared" si="126"/>
        <v>0.44785800000000009</v>
      </c>
      <c r="BW138" s="744" t="str">
        <f t="shared" si="127"/>
        <v/>
      </c>
      <c r="BX138" s="744">
        <f t="shared" si="128"/>
        <v>3.8377380000000008</v>
      </c>
      <c r="BY138" s="744">
        <f t="shared" si="129"/>
        <v>0.4798380000000001</v>
      </c>
      <c r="BZ138" s="744">
        <f t="shared" si="130"/>
        <v>7.0001379999999997</v>
      </c>
      <c r="CA138" s="744">
        <f t="shared" si="131"/>
        <v>17.000138</v>
      </c>
      <c r="CB138" s="744" t="str">
        <f t="shared" si="132"/>
        <v/>
      </c>
      <c r="CC138" s="744">
        <f t="shared" si="133"/>
        <v>38.000138</v>
      </c>
      <c r="CD138" s="744" t="str">
        <f t="shared" si="134"/>
        <v/>
      </c>
      <c r="CE138" s="744" t="str">
        <f t="shared" si="135"/>
        <v/>
      </c>
      <c r="CF138" s="744" t="str">
        <f t="shared" si="136"/>
        <v/>
      </c>
      <c r="CG138" s="744" t="str">
        <f t="shared" si="137"/>
        <v/>
      </c>
      <c r="CH138" s="744" t="str">
        <f t="shared" si="138"/>
        <v/>
      </c>
      <c r="CI138" s="744" t="str">
        <f t="shared" si="139"/>
        <v/>
      </c>
      <c r="CJ138" s="744" t="str">
        <f t="shared" si="140"/>
        <v/>
      </c>
      <c r="CK138" s="744" t="str">
        <f t="shared" si="141"/>
        <v/>
      </c>
      <c r="CL138" s="744" t="str">
        <f t="shared" si="142"/>
        <v/>
      </c>
      <c r="CM138" s="744" t="str">
        <f t="shared" si="143"/>
        <v/>
      </c>
      <c r="CN138" s="744" t="str">
        <f t="shared" si="144"/>
        <v/>
      </c>
      <c r="CO138" s="744" t="str">
        <f t="shared" si="145"/>
        <v/>
      </c>
      <c r="CP138" s="744" t="str">
        <f t="shared" si="146"/>
        <v/>
      </c>
      <c r="CQ138" s="744" t="str">
        <f t="shared" si="147"/>
        <v/>
      </c>
      <c r="CR138" s="744" t="str">
        <f t="shared" si="148"/>
        <v/>
      </c>
      <c r="CS138" s="744" t="str">
        <f t="shared" si="149"/>
        <v/>
      </c>
      <c r="CT138" s="744" t="str">
        <f t="shared" si="150"/>
        <v/>
      </c>
      <c r="CU138" s="744" t="str">
        <f t="shared" si="151"/>
        <v/>
      </c>
      <c r="CV138" s="744" t="str">
        <f t="shared" si="152"/>
        <v/>
      </c>
      <c r="CW138" s="744" t="str">
        <f t="shared" si="153"/>
        <v/>
      </c>
      <c r="CX138" s="744">
        <f t="shared" si="154"/>
        <v>0.31993800000000006</v>
      </c>
    </row>
    <row r="139" spans="1:102">
      <c r="A139" s="633">
        <v>135</v>
      </c>
      <c r="B139" s="630" t="s">
        <v>4</v>
      </c>
      <c r="C139" s="631" t="s">
        <v>250</v>
      </c>
      <c r="D139" s="630" t="s">
        <v>1390</v>
      </c>
      <c r="E139" s="632" t="s">
        <v>200</v>
      </c>
      <c r="F139" s="1067">
        <v>1</v>
      </c>
      <c r="G139" s="1066">
        <v>1</v>
      </c>
      <c r="H139" s="1070">
        <v>0.8962</v>
      </c>
      <c r="I139" s="1070">
        <v>0.43510509999999997</v>
      </c>
      <c r="J139" s="1070">
        <v>0.42909999999999998</v>
      </c>
      <c r="K139" s="1070">
        <v>4.059786E-2</v>
      </c>
      <c r="L139" s="1072">
        <v>0.63540580000000002</v>
      </c>
      <c r="M139" s="1070"/>
      <c r="N139" s="1070">
        <v>2.95</v>
      </c>
      <c r="O139" s="1070"/>
      <c r="P139" s="1073">
        <v>24.018160000000002</v>
      </c>
      <c r="Q139" s="1070">
        <v>341.00409999999999</v>
      </c>
      <c r="R139" s="1070">
        <v>221.36139999999997</v>
      </c>
      <c r="S139" s="1070">
        <v>109.42602000000001</v>
      </c>
      <c r="T139" s="1070">
        <v>223.96037999999999</v>
      </c>
      <c r="U139" s="1070"/>
      <c r="V139" s="1066">
        <v>6.2733999999999996</v>
      </c>
      <c r="W139" s="1070">
        <v>6.9007399999999999</v>
      </c>
      <c r="X139" s="1070">
        <v>3.8536600000000001</v>
      </c>
      <c r="Y139" s="1070">
        <v>0.35848000000000002</v>
      </c>
      <c r="Z139" s="1070">
        <v>8.6035199999999996</v>
      </c>
      <c r="AA139" s="1070"/>
      <c r="AB139" s="1070"/>
      <c r="AC139" s="1070"/>
      <c r="AD139" s="1070"/>
      <c r="AE139" s="1070"/>
      <c r="AF139" s="1070"/>
      <c r="AG139" s="1070"/>
      <c r="AH139" s="1073"/>
      <c r="AI139" s="1070"/>
      <c r="AJ139" s="1070"/>
      <c r="AK139" s="1070"/>
      <c r="AL139" s="1082"/>
      <c r="AM139" s="1069"/>
      <c r="AN139" s="1070"/>
      <c r="AO139" s="1070"/>
      <c r="AP139" s="1070"/>
      <c r="AQ139" s="1070"/>
      <c r="AR139" s="1069"/>
      <c r="AS139" s="1282"/>
      <c r="AT139" s="1282"/>
      <c r="AU139" s="1069"/>
      <c r="AV139" s="1069"/>
      <c r="AW139" s="1069"/>
      <c r="AX139" s="1070"/>
      <c r="AY139" s="1070"/>
      <c r="AZ139" s="1078">
        <f t="shared" si="107"/>
        <v>0.8962</v>
      </c>
      <c r="BA139" s="59">
        <v>135</v>
      </c>
      <c r="BB139" s="59">
        <f t="shared" si="108"/>
        <v>135</v>
      </c>
      <c r="BC139" s="60" t="str">
        <f t="shared" si="109"/>
        <v>Mamona, Farelo</v>
      </c>
      <c r="BD139" s="61" t="str">
        <f ca="1">IFERROR(IF(SEARCH('Calcular Dieta'!A$3,$BC$5:$BC$310)&gt;=1,BC139,"Não encontrado"),"Não encontrado")</f>
        <v>Mamona, Farelo</v>
      </c>
      <c r="BE139" s="62">
        <f ca="1">COUNTIF(BD$5:BD139,"&lt;&gt;"&amp;"Não encontrado")</f>
        <v>135</v>
      </c>
      <c r="BF139" s="63" t="str">
        <f t="shared" ca="1" si="110"/>
        <v>MAMONA, FARELO</v>
      </c>
      <c r="BG139" s="744">
        <f t="shared" si="111"/>
        <v>0.43524409999999997</v>
      </c>
      <c r="BH139" s="744">
        <f t="shared" si="112"/>
        <v>0.42923899999999998</v>
      </c>
      <c r="BI139" s="744">
        <f t="shared" si="113"/>
        <v>4.073686E-2</v>
      </c>
      <c r="BJ139" s="744">
        <f t="shared" si="114"/>
        <v>0.63554480000000002</v>
      </c>
      <c r="BK139" s="744" t="str">
        <f t="shared" si="115"/>
        <v/>
      </c>
      <c r="BL139" s="744">
        <f t="shared" si="116"/>
        <v>2.9501390000000001</v>
      </c>
      <c r="BM139" s="744" t="str">
        <f t="shared" si="117"/>
        <v/>
      </c>
      <c r="BN139" s="744">
        <f t="shared" si="118"/>
        <v>24.018299000000003</v>
      </c>
      <c r="BO139" s="744">
        <f t="shared" si="119"/>
        <v>341.00423899999998</v>
      </c>
      <c r="BP139" s="744">
        <f t="shared" si="120"/>
        <v>221.36153899999996</v>
      </c>
      <c r="BQ139" s="744">
        <f t="shared" si="121"/>
        <v>109.42615900000001</v>
      </c>
      <c r="BR139" s="744">
        <f t="shared" si="122"/>
        <v>223.96051899999998</v>
      </c>
      <c r="BS139" s="744" t="str">
        <f t="shared" si="123"/>
        <v/>
      </c>
      <c r="BT139" s="744">
        <f t="shared" si="124"/>
        <v>6.2735389999999995</v>
      </c>
      <c r="BU139" s="744">
        <f t="shared" si="125"/>
        <v>6.9008789999999998</v>
      </c>
      <c r="BV139" s="744">
        <f t="shared" si="126"/>
        <v>3.853799</v>
      </c>
      <c r="BW139" s="744">
        <f t="shared" si="127"/>
        <v>0.35861900000000002</v>
      </c>
      <c r="BX139" s="744">
        <f t="shared" si="128"/>
        <v>8.6036590000000004</v>
      </c>
      <c r="BY139" s="744" t="str">
        <f t="shared" si="129"/>
        <v/>
      </c>
      <c r="BZ139" s="744" t="str">
        <f t="shared" si="130"/>
        <v/>
      </c>
      <c r="CA139" s="744" t="str">
        <f t="shared" si="131"/>
        <v/>
      </c>
      <c r="CB139" s="744" t="str">
        <f t="shared" si="132"/>
        <v/>
      </c>
      <c r="CC139" s="744" t="str">
        <f t="shared" si="133"/>
        <v/>
      </c>
      <c r="CD139" s="744" t="str">
        <f t="shared" si="134"/>
        <v/>
      </c>
      <c r="CE139" s="744" t="str">
        <f t="shared" si="135"/>
        <v/>
      </c>
      <c r="CF139" s="744" t="str">
        <f t="shared" si="136"/>
        <v/>
      </c>
      <c r="CG139" s="744" t="str">
        <f t="shared" si="137"/>
        <v/>
      </c>
      <c r="CH139" s="744" t="str">
        <f t="shared" si="138"/>
        <v/>
      </c>
      <c r="CI139" s="744" t="str">
        <f t="shared" si="139"/>
        <v/>
      </c>
      <c r="CJ139" s="744" t="str">
        <f t="shared" si="140"/>
        <v/>
      </c>
      <c r="CK139" s="744" t="str">
        <f t="shared" si="141"/>
        <v/>
      </c>
      <c r="CL139" s="744" t="str">
        <f t="shared" si="142"/>
        <v/>
      </c>
      <c r="CM139" s="744" t="str">
        <f t="shared" si="143"/>
        <v/>
      </c>
      <c r="CN139" s="744" t="str">
        <f t="shared" si="144"/>
        <v/>
      </c>
      <c r="CO139" s="744" t="str">
        <f t="shared" si="145"/>
        <v/>
      </c>
      <c r="CP139" s="744" t="str">
        <f t="shared" si="146"/>
        <v/>
      </c>
      <c r="CQ139" s="744" t="str">
        <f t="shared" si="147"/>
        <v/>
      </c>
      <c r="CR139" s="744" t="str">
        <f t="shared" si="148"/>
        <v/>
      </c>
      <c r="CS139" s="744" t="str">
        <f t="shared" si="149"/>
        <v/>
      </c>
      <c r="CT139" s="744" t="str">
        <f t="shared" si="150"/>
        <v/>
      </c>
      <c r="CU139" s="744" t="str">
        <f t="shared" si="151"/>
        <v/>
      </c>
      <c r="CV139" s="744" t="str">
        <f t="shared" si="152"/>
        <v/>
      </c>
      <c r="CW139" s="744" t="str">
        <f t="shared" si="153"/>
        <v/>
      </c>
      <c r="CX139" s="744">
        <f t="shared" si="154"/>
        <v>0.896339</v>
      </c>
    </row>
    <row r="140" spans="1:102">
      <c r="A140" s="630">
        <v>136</v>
      </c>
      <c r="B140" s="630" t="s">
        <v>4</v>
      </c>
      <c r="C140" s="631" t="s">
        <v>250</v>
      </c>
      <c r="D140" s="630" t="s">
        <v>1390</v>
      </c>
      <c r="E140" s="632" t="s">
        <v>201</v>
      </c>
      <c r="F140" s="1067">
        <v>1</v>
      </c>
      <c r="G140" s="1066">
        <v>1</v>
      </c>
      <c r="H140" s="1070">
        <v>0.89170000000000005</v>
      </c>
      <c r="I140" s="1070">
        <v>0.42997774</v>
      </c>
      <c r="J140" s="1070">
        <v>0.33010734000000003</v>
      </c>
      <c r="K140" s="1070">
        <v>9.5768580000000006E-2</v>
      </c>
      <c r="L140" s="1072">
        <v>0.61768058999999997</v>
      </c>
      <c r="M140" s="1070"/>
      <c r="N140" s="1070">
        <v>2.87</v>
      </c>
      <c r="O140" s="1070"/>
      <c r="P140" s="1073">
        <v>13.197160000000002</v>
      </c>
      <c r="Q140" s="1070">
        <v>339.82686999999999</v>
      </c>
      <c r="R140" s="1070">
        <v>139.72939</v>
      </c>
      <c r="S140" s="1070">
        <v>126.88891000000002</v>
      </c>
      <c r="T140" s="1070">
        <v>192.25051999999999</v>
      </c>
      <c r="U140" s="1070"/>
      <c r="V140" s="1066">
        <v>13.01882</v>
      </c>
      <c r="W140" s="1070">
        <v>5.7960500000000001</v>
      </c>
      <c r="X140" s="1070">
        <v>3.47763</v>
      </c>
      <c r="Y140" s="1070">
        <v>0.44585000000000002</v>
      </c>
      <c r="Z140" s="1070">
        <v>7.2227700000000015</v>
      </c>
      <c r="AA140" s="1070">
        <v>2.4967600000000005</v>
      </c>
      <c r="AB140" s="1070">
        <v>2.13</v>
      </c>
      <c r="AC140" s="1070">
        <v>8.66</v>
      </c>
      <c r="AD140" s="1070"/>
      <c r="AE140" s="1070">
        <v>9.08</v>
      </c>
      <c r="AF140" s="1070"/>
      <c r="AG140" s="1070">
        <v>1.98</v>
      </c>
      <c r="AH140" s="1073"/>
      <c r="AI140" s="1070"/>
      <c r="AJ140" s="1070"/>
      <c r="AK140" s="1070"/>
      <c r="AL140" s="1082"/>
      <c r="AM140" s="1069"/>
      <c r="AN140" s="1070"/>
      <c r="AO140" s="1070"/>
      <c r="AP140" s="1070"/>
      <c r="AQ140" s="1070"/>
      <c r="AR140" s="1069"/>
      <c r="AS140" s="1282"/>
      <c r="AT140" s="1282"/>
      <c r="AU140" s="1069"/>
      <c r="AV140" s="1069"/>
      <c r="AW140" s="1069"/>
      <c r="AX140" s="1070"/>
      <c r="AY140" s="1070"/>
      <c r="AZ140" s="1078">
        <f t="shared" si="107"/>
        <v>0.89170000000000005</v>
      </c>
      <c r="BA140" s="59">
        <v>136</v>
      </c>
      <c r="BB140" s="59">
        <f t="shared" si="108"/>
        <v>136</v>
      </c>
      <c r="BC140" s="60" t="str">
        <f t="shared" si="109"/>
        <v>Mamona, Farelo Detoxificado</v>
      </c>
      <c r="BD140" s="61" t="str">
        <f ca="1">IFERROR(IF(SEARCH('Calcular Dieta'!A$3,$BC$5:$BC$310)&gt;=1,BC140,"Não encontrado"),"Não encontrado")</f>
        <v>Mamona, Farelo Detoxificado</v>
      </c>
      <c r="BE140" s="62">
        <f ca="1">COUNTIF(BD$5:BD140,"&lt;&gt;"&amp;"Não encontrado")</f>
        <v>136</v>
      </c>
      <c r="BF140" s="63" t="str">
        <f t="shared" ca="1" si="110"/>
        <v>MAMONA, FARELO DETOXIFICADO</v>
      </c>
      <c r="BG140" s="744">
        <f t="shared" si="111"/>
        <v>0.43011773999999997</v>
      </c>
      <c r="BH140" s="744">
        <f t="shared" si="112"/>
        <v>0.33024734</v>
      </c>
      <c r="BI140" s="744">
        <f t="shared" si="113"/>
        <v>9.5908580000000007E-2</v>
      </c>
      <c r="BJ140" s="744">
        <f t="shared" si="114"/>
        <v>0.61782059</v>
      </c>
      <c r="BK140" s="744" t="str">
        <f t="shared" si="115"/>
        <v/>
      </c>
      <c r="BL140" s="744">
        <f t="shared" si="116"/>
        <v>2.8701400000000001</v>
      </c>
      <c r="BM140" s="744" t="str">
        <f t="shared" si="117"/>
        <v/>
      </c>
      <c r="BN140" s="744">
        <f t="shared" si="118"/>
        <v>13.197300000000002</v>
      </c>
      <c r="BO140" s="744">
        <f t="shared" si="119"/>
        <v>339.82700999999997</v>
      </c>
      <c r="BP140" s="744">
        <f t="shared" si="120"/>
        <v>139.72952999999998</v>
      </c>
      <c r="BQ140" s="744">
        <f t="shared" si="121"/>
        <v>126.88905000000003</v>
      </c>
      <c r="BR140" s="744">
        <f t="shared" si="122"/>
        <v>192.25065999999998</v>
      </c>
      <c r="BS140" s="744" t="str">
        <f t="shared" si="123"/>
        <v/>
      </c>
      <c r="BT140" s="744">
        <f t="shared" si="124"/>
        <v>13.01896</v>
      </c>
      <c r="BU140" s="744">
        <f t="shared" si="125"/>
        <v>5.7961900000000002</v>
      </c>
      <c r="BV140" s="744">
        <f t="shared" si="126"/>
        <v>3.47777</v>
      </c>
      <c r="BW140" s="744">
        <f t="shared" si="127"/>
        <v>0.44599</v>
      </c>
      <c r="BX140" s="744">
        <f t="shared" si="128"/>
        <v>7.2229100000000015</v>
      </c>
      <c r="BY140" s="744">
        <f t="shared" si="129"/>
        <v>2.4969000000000006</v>
      </c>
      <c r="BZ140" s="744">
        <f t="shared" si="130"/>
        <v>2.1301399999999999</v>
      </c>
      <c r="CA140" s="744">
        <f t="shared" si="131"/>
        <v>8.6601400000000002</v>
      </c>
      <c r="CB140" s="744" t="str">
        <f t="shared" si="132"/>
        <v/>
      </c>
      <c r="CC140" s="744">
        <f t="shared" si="133"/>
        <v>9.0801400000000001</v>
      </c>
      <c r="CD140" s="744" t="str">
        <f t="shared" si="134"/>
        <v/>
      </c>
      <c r="CE140" s="744">
        <f t="shared" si="135"/>
        <v>1.98014</v>
      </c>
      <c r="CF140" s="744" t="str">
        <f t="shared" si="136"/>
        <v/>
      </c>
      <c r="CG140" s="744" t="str">
        <f t="shared" si="137"/>
        <v/>
      </c>
      <c r="CH140" s="744" t="str">
        <f t="shared" si="138"/>
        <v/>
      </c>
      <c r="CI140" s="744" t="str">
        <f t="shared" si="139"/>
        <v/>
      </c>
      <c r="CJ140" s="744" t="str">
        <f t="shared" si="140"/>
        <v/>
      </c>
      <c r="CK140" s="744" t="str">
        <f t="shared" si="141"/>
        <v/>
      </c>
      <c r="CL140" s="744" t="str">
        <f t="shared" si="142"/>
        <v/>
      </c>
      <c r="CM140" s="744" t="str">
        <f t="shared" si="143"/>
        <v/>
      </c>
      <c r="CN140" s="744" t="str">
        <f t="shared" si="144"/>
        <v/>
      </c>
      <c r="CO140" s="744" t="str">
        <f t="shared" si="145"/>
        <v/>
      </c>
      <c r="CP140" s="744" t="str">
        <f t="shared" si="146"/>
        <v/>
      </c>
      <c r="CQ140" s="744" t="str">
        <f t="shared" si="147"/>
        <v/>
      </c>
      <c r="CR140" s="744" t="str">
        <f t="shared" si="148"/>
        <v/>
      </c>
      <c r="CS140" s="744" t="str">
        <f t="shared" si="149"/>
        <v/>
      </c>
      <c r="CT140" s="744" t="str">
        <f t="shared" si="150"/>
        <v/>
      </c>
      <c r="CU140" s="744" t="str">
        <f t="shared" si="151"/>
        <v/>
      </c>
      <c r="CV140" s="744" t="str">
        <f t="shared" si="152"/>
        <v/>
      </c>
      <c r="CW140" s="744" t="str">
        <f t="shared" si="153"/>
        <v/>
      </c>
      <c r="CX140" s="744">
        <f t="shared" si="154"/>
        <v>0.89184000000000008</v>
      </c>
    </row>
    <row r="141" spans="1:102">
      <c r="A141" s="633">
        <v>137</v>
      </c>
      <c r="B141" s="630" t="s">
        <v>4</v>
      </c>
      <c r="C141" s="631" t="s">
        <v>250</v>
      </c>
      <c r="D141" s="630" t="s">
        <v>1390</v>
      </c>
      <c r="E141" s="632" t="s">
        <v>202</v>
      </c>
      <c r="F141" s="1067">
        <v>1</v>
      </c>
      <c r="G141" s="1066">
        <v>1</v>
      </c>
      <c r="H141" s="1070">
        <v>0.89239999999999997</v>
      </c>
      <c r="I141" s="1070">
        <v>0.50813255999999996</v>
      </c>
      <c r="J141" s="1070">
        <v>0.3962</v>
      </c>
      <c r="K141" s="1070">
        <v>0.12984420000000002</v>
      </c>
      <c r="L141" s="1072">
        <v>0.72784143999999995</v>
      </c>
      <c r="M141" s="1070"/>
      <c r="N141" s="1070">
        <v>3.29</v>
      </c>
      <c r="O141" s="1070"/>
      <c r="P141" s="1073">
        <v>62.824959999999997</v>
      </c>
      <c r="Q141" s="1070">
        <v>283.60472000000004</v>
      </c>
      <c r="R141" s="1070">
        <v>241.66191999999998</v>
      </c>
      <c r="S141" s="1070">
        <v>41.942799999999998</v>
      </c>
      <c r="T141" s="1070">
        <v>176.249</v>
      </c>
      <c r="U141" s="1070"/>
      <c r="V141" s="1066">
        <v>6.425279999999999</v>
      </c>
      <c r="W141" s="1070">
        <v>7.4961599999999988</v>
      </c>
      <c r="X141" s="1070">
        <v>4.7297199999999995</v>
      </c>
      <c r="Y141" s="1070">
        <v>0.44619999999999999</v>
      </c>
      <c r="Z141" s="1070">
        <v>9.90564</v>
      </c>
      <c r="AA141" s="1070"/>
      <c r="AB141" s="1070"/>
      <c r="AC141" s="1070"/>
      <c r="AD141" s="1070"/>
      <c r="AE141" s="1070"/>
      <c r="AF141" s="1070"/>
      <c r="AG141" s="1070"/>
      <c r="AH141" s="1073"/>
      <c r="AI141" s="1070"/>
      <c r="AJ141" s="1070"/>
      <c r="AK141" s="1070"/>
      <c r="AL141" s="1082"/>
      <c r="AM141" s="1069"/>
      <c r="AN141" s="1070"/>
      <c r="AO141" s="1070"/>
      <c r="AP141" s="1070"/>
      <c r="AQ141" s="1070"/>
      <c r="AR141" s="1069"/>
      <c r="AS141" s="1282"/>
      <c r="AT141" s="1282"/>
      <c r="AU141" s="1069"/>
      <c r="AV141" s="1069"/>
      <c r="AW141" s="1069"/>
      <c r="AX141" s="1070"/>
      <c r="AY141" s="1070"/>
      <c r="AZ141" s="1078">
        <f t="shared" si="107"/>
        <v>0.89239999999999997</v>
      </c>
      <c r="BA141" s="59">
        <v>137</v>
      </c>
      <c r="BB141" s="59">
        <f t="shared" si="108"/>
        <v>137</v>
      </c>
      <c r="BC141" s="60" t="str">
        <f t="shared" si="109"/>
        <v>Mamona, Torta</v>
      </c>
      <c r="BD141" s="61" t="str">
        <f ca="1">IFERROR(IF(SEARCH('Calcular Dieta'!A$3,$BC$5:$BC$310)&gt;=1,BC141,"Não encontrado"),"Não encontrado")</f>
        <v>Mamona, Torta</v>
      </c>
      <c r="BE141" s="62">
        <f ca="1">COUNTIF(BD$5:BD141,"&lt;&gt;"&amp;"Não encontrado")</f>
        <v>137</v>
      </c>
      <c r="BF141" s="63" t="str">
        <f t="shared" ca="1" si="110"/>
        <v>MAMONA, TORTA</v>
      </c>
      <c r="BG141" s="744">
        <f t="shared" si="111"/>
        <v>0.5082735599999999</v>
      </c>
      <c r="BH141" s="744">
        <f t="shared" si="112"/>
        <v>0.396341</v>
      </c>
      <c r="BI141" s="744">
        <f t="shared" si="113"/>
        <v>0.12998520000000002</v>
      </c>
      <c r="BJ141" s="744">
        <f t="shared" si="114"/>
        <v>0.7279824399999999</v>
      </c>
      <c r="BK141" s="744" t="str">
        <f t="shared" si="115"/>
        <v/>
      </c>
      <c r="BL141" s="744">
        <f t="shared" si="116"/>
        <v>3.2901410000000002</v>
      </c>
      <c r="BM141" s="744" t="str">
        <f t="shared" si="117"/>
        <v/>
      </c>
      <c r="BN141" s="744">
        <f t="shared" si="118"/>
        <v>62.825100999999997</v>
      </c>
      <c r="BO141" s="744">
        <f t="shared" si="119"/>
        <v>283.60486100000003</v>
      </c>
      <c r="BP141" s="744">
        <f t="shared" si="120"/>
        <v>241.66206099999999</v>
      </c>
      <c r="BQ141" s="744">
        <f t="shared" si="121"/>
        <v>41.942940999999998</v>
      </c>
      <c r="BR141" s="744">
        <f t="shared" si="122"/>
        <v>176.24914100000001</v>
      </c>
      <c r="BS141" s="744" t="str">
        <f t="shared" si="123"/>
        <v/>
      </c>
      <c r="BT141" s="744">
        <f t="shared" si="124"/>
        <v>6.4254209999999992</v>
      </c>
      <c r="BU141" s="744">
        <f t="shared" si="125"/>
        <v>7.496300999999999</v>
      </c>
      <c r="BV141" s="744">
        <f t="shared" si="126"/>
        <v>4.7298609999999996</v>
      </c>
      <c r="BW141" s="744">
        <f t="shared" si="127"/>
        <v>0.44634099999999999</v>
      </c>
      <c r="BX141" s="744">
        <f t="shared" si="128"/>
        <v>9.9057809999999993</v>
      </c>
      <c r="BY141" s="744" t="str">
        <f t="shared" si="129"/>
        <v/>
      </c>
      <c r="BZ141" s="744" t="str">
        <f t="shared" si="130"/>
        <v/>
      </c>
      <c r="CA141" s="744" t="str">
        <f t="shared" si="131"/>
        <v/>
      </c>
      <c r="CB141" s="744" t="str">
        <f t="shared" si="132"/>
        <v/>
      </c>
      <c r="CC141" s="744" t="str">
        <f t="shared" si="133"/>
        <v/>
      </c>
      <c r="CD141" s="744" t="str">
        <f t="shared" si="134"/>
        <v/>
      </c>
      <c r="CE141" s="744" t="str">
        <f t="shared" si="135"/>
        <v/>
      </c>
      <c r="CF141" s="744" t="str">
        <f t="shared" si="136"/>
        <v/>
      </c>
      <c r="CG141" s="744" t="str">
        <f t="shared" si="137"/>
        <v/>
      </c>
      <c r="CH141" s="744" t="str">
        <f t="shared" si="138"/>
        <v/>
      </c>
      <c r="CI141" s="744" t="str">
        <f t="shared" si="139"/>
        <v/>
      </c>
      <c r="CJ141" s="744" t="str">
        <f t="shared" si="140"/>
        <v/>
      </c>
      <c r="CK141" s="744" t="str">
        <f t="shared" si="141"/>
        <v/>
      </c>
      <c r="CL141" s="744" t="str">
        <f t="shared" si="142"/>
        <v/>
      </c>
      <c r="CM141" s="744" t="str">
        <f t="shared" si="143"/>
        <v/>
      </c>
      <c r="CN141" s="744" t="str">
        <f t="shared" si="144"/>
        <v/>
      </c>
      <c r="CO141" s="744" t="str">
        <f t="shared" si="145"/>
        <v/>
      </c>
      <c r="CP141" s="744" t="str">
        <f t="shared" si="146"/>
        <v/>
      </c>
      <c r="CQ141" s="744" t="str">
        <f t="shared" si="147"/>
        <v/>
      </c>
      <c r="CR141" s="744" t="str">
        <f t="shared" si="148"/>
        <v/>
      </c>
      <c r="CS141" s="744" t="str">
        <f t="shared" si="149"/>
        <v/>
      </c>
      <c r="CT141" s="744" t="str">
        <f t="shared" si="150"/>
        <v/>
      </c>
      <c r="CU141" s="744" t="str">
        <f t="shared" si="151"/>
        <v/>
      </c>
      <c r="CV141" s="744" t="str">
        <f t="shared" si="152"/>
        <v/>
      </c>
      <c r="CW141" s="744" t="str">
        <f t="shared" si="153"/>
        <v/>
      </c>
      <c r="CX141" s="744">
        <f t="shared" si="154"/>
        <v>0.89254099999999992</v>
      </c>
    </row>
    <row r="142" spans="1:102">
      <c r="A142" s="630">
        <v>138</v>
      </c>
      <c r="B142" s="630" t="s">
        <v>4</v>
      </c>
      <c r="C142" s="631" t="s">
        <v>250</v>
      </c>
      <c r="D142" s="630" t="s">
        <v>1390</v>
      </c>
      <c r="E142" s="632" t="s">
        <v>203</v>
      </c>
      <c r="F142" s="1067">
        <v>1</v>
      </c>
      <c r="G142" s="1066">
        <v>1</v>
      </c>
      <c r="H142" s="1070">
        <v>0.86280000000000001</v>
      </c>
      <c r="I142" s="1070">
        <v>0.48670547999999997</v>
      </c>
      <c r="J142" s="1070">
        <v>0.37390000000000001</v>
      </c>
      <c r="K142" s="1070">
        <v>2.8903800000000004E-2</v>
      </c>
      <c r="L142" s="1072">
        <v>0.63717779999999991</v>
      </c>
      <c r="M142" s="1070"/>
      <c r="N142" s="1070">
        <v>3.02</v>
      </c>
      <c r="O142" s="1070"/>
      <c r="P142" s="1073">
        <v>47.281440000000003</v>
      </c>
      <c r="Q142" s="1070">
        <v>293.61084</v>
      </c>
      <c r="R142" s="1070"/>
      <c r="S142" s="1070"/>
      <c r="T142" s="1070"/>
      <c r="U142" s="1070"/>
      <c r="V142" s="1066">
        <v>18.463920000000002</v>
      </c>
      <c r="W142" s="1070">
        <v>6.9024000000000001</v>
      </c>
      <c r="X142" s="1070">
        <v>3.7963200000000001</v>
      </c>
      <c r="Y142" s="1070">
        <v>0.60396000000000005</v>
      </c>
      <c r="Z142" s="1070">
        <v>8.3691600000000008</v>
      </c>
      <c r="AA142" s="1070"/>
      <c r="AB142" s="1070"/>
      <c r="AC142" s="1070"/>
      <c r="AD142" s="1070"/>
      <c r="AE142" s="1070"/>
      <c r="AF142" s="1070"/>
      <c r="AG142" s="1070"/>
      <c r="AH142" s="1073"/>
      <c r="AI142" s="1070"/>
      <c r="AJ142" s="1070"/>
      <c r="AK142" s="1070"/>
      <c r="AL142" s="1082"/>
      <c r="AM142" s="1069"/>
      <c r="AN142" s="1070"/>
      <c r="AO142" s="1070"/>
      <c r="AP142" s="1070"/>
      <c r="AQ142" s="1070"/>
      <c r="AR142" s="1069"/>
      <c r="AS142" s="1282"/>
      <c r="AT142" s="1282"/>
      <c r="AU142" s="1069"/>
      <c r="AV142" s="1069"/>
      <c r="AW142" s="1069"/>
      <c r="AX142" s="1070"/>
      <c r="AY142" s="1070"/>
      <c r="AZ142" s="1078">
        <f t="shared" si="107"/>
        <v>0.86280000000000001</v>
      </c>
      <c r="BA142" s="59">
        <v>138</v>
      </c>
      <c r="BB142" s="59">
        <f t="shared" si="108"/>
        <v>138</v>
      </c>
      <c r="BC142" s="60" t="str">
        <f t="shared" si="109"/>
        <v>Mamona, Torta Detoxificada</v>
      </c>
      <c r="BD142" s="61" t="str">
        <f ca="1">IFERROR(IF(SEARCH('Calcular Dieta'!A$3,$BC$5:$BC$310)&gt;=1,BC142,"Não encontrado"),"Não encontrado")</f>
        <v>Mamona, Torta Detoxificada</v>
      </c>
      <c r="BE142" s="62">
        <f ca="1">COUNTIF(BD$5:BD142,"&lt;&gt;"&amp;"Não encontrado")</f>
        <v>138</v>
      </c>
      <c r="BF142" s="63" t="str">
        <f t="shared" ca="1" si="110"/>
        <v>MAMONA, TORTA DETOXIFICADA</v>
      </c>
      <c r="BG142" s="744">
        <f t="shared" si="111"/>
        <v>0.48684747999999994</v>
      </c>
      <c r="BH142" s="744">
        <f t="shared" si="112"/>
        <v>0.37404199999999999</v>
      </c>
      <c r="BI142" s="744">
        <f t="shared" si="113"/>
        <v>2.9045800000000004E-2</v>
      </c>
      <c r="BJ142" s="744">
        <f t="shared" si="114"/>
        <v>0.63731979999999988</v>
      </c>
      <c r="BK142" s="744" t="str">
        <f t="shared" si="115"/>
        <v/>
      </c>
      <c r="BL142" s="744">
        <f t="shared" si="116"/>
        <v>3.0201419999999999</v>
      </c>
      <c r="BM142" s="744" t="str">
        <f t="shared" si="117"/>
        <v/>
      </c>
      <c r="BN142" s="744">
        <f t="shared" si="118"/>
        <v>47.281582</v>
      </c>
      <c r="BO142" s="744">
        <f t="shared" si="119"/>
        <v>293.61098199999998</v>
      </c>
      <c r="BP142" s="744" t="str">
        <f t="shared" si="120"/>
        <v/>
      </c>
      <c r="BQ142" s="744" t="str">
        <f t="shared" si="121"/>
        <v/>
      </c>
      <c r="BR142" s="744" t="str">
        <f t="shared" si="122"/>
        <v/>
      </c>
      <c r="BS142" s="744" t="str">
        <f t="shared" si="123"/>
        <v/>
      </c>
      <c r="BT142" s="744">
        <f t="shared" si="124"/>
        <v>18.464062000000002</v>
      </c>
      <c r="BU142" s="744">
        <f t="shared" si="125"/>
        <v>6.9025420000000004</v>
      </c>
      <c r="BV142" s="744">
        <f t="shared" si="126"/>
        <v>3.796462</v>
      </c>
      <c r="BW142" s="744">
        <f t="shared" si="127"/>
        <v>0.60410200000000003</v>
      </c>
      <c r="BX142" s="744">
        <f t="shared" si="128"/>
        <v>8.3693020000000011</v>
      </c>
      <c r="BY142" s="744" t="str">
        <f t="shared" si="129"/>
        <v/>
      </c>
      <c r="BZ142" s="744" t="str">
        <f t="shared" si="130"/>
        <v/>
      </c>
      <c r="CA142" s="744" t="str">
        <f t="shared" si="131"/>
        <v/>
      </c>
      <c r="CB142" s="744" t="str">
        <f t="shared" si="132"/>
        <v/>
      </c>
      <c r="CC142" s="744" t="str">
        <f t="shared" si="133"/>
        <v/>
      </c>
      <c r="CD142" s="744" t="str">
        <f t="shared" si="134"/>
        <v/>
      </c>
      <c r="CE142" s="744" t="str">
        <f t="shared" si="135"/>
        <v/>
      </c>
      <c r="CF142" s="744" t="str">
        <f t="shared" si="136"/>
        <v/>
      </c>
      <c r="CG142" s="744" t="str">
        <f t="shared" si="137"/>
        <v/>
      </c>
      <c r="CH142" s="744" t="str">
        <f t="shared" si="138"/>
        <v/>
      </c>
      <c r="CI142" s="744" t="str">
        <f t="shared" si="139"/>
        <v/>
      </c>
      <c r="CJ142" s="744" t="str">
        <f t="shared" si="140"/>
        <v/>
      </c>
      <c r="CK142" s="744" t="str">
        <f t="shared" si="141"/>
        <v/>
      </c>
      <c r="CL142" s="744" t="str">
        <f t="shared" si="142"/>
        <v/>
      </c>
      <c r="CM142" s="744" t="str">
        <f t="shared" si="143"/>
        <v/>
      </c>
      <c r="CN142" s="744" t="str">
        <f t="shared" si="144"/>
        <v/>
      </c>
      <c r="CO142" s="744" t="str">
        <f t="shared" si="145"/>
        <v/>
      </c>
      <c r="CP142" s="744" t="str">
        <f t="shared" si="146"/>
        <v/>
      </c>
      <c r="CQ142" s="744" t="str">
        <f t="shared" si="147"/>
        <v/>
      </c>
      <c r="CR142" s="744" t="str">
        <f t="shared" si="148"/>
        <v/>
      </c>
      <c r="CS142" s="744" t="str">
        <f t="shared" si="149"/>
        <v/>
      </c>
      <c r="CT142" s="744" t="str">
        <f t="shared" si="150"/>
        <v/>
      </c>
      <c r="CU142" s="744" t="str">
        <f t="shared" si="151"/>
        <v/>
      </c>
      <c r="CV142" s="744" t="str">
        <f t="shared" si="152"/>
        <v/>
      </c>
      <c r="CW142" s="744" t="str">
        <f t="shared" si="153"/>
        <v/>
      </c>
      <c r="CX142" s="744">
        <f t="shared" si="154"/>
        <v>0.86294199999999999</v>
      </c>
    </row>
    <row r="143" spans="1:102">
      <c r="A143" s="633">
        <v>139</v>
      </c>
      <c r="B143" s="630" t="s">
        <v>3</v>
      </c>
      <c r="C143" s="631" t="s">
        <v>750</v>
      </c>
      <c r="D143" s="630" t="s">
        <v>1390</v>
      </c>
      <c r="E143" s="632" t="s">
        <v>204</v>
      </c>
      <c r="F143" s="1067">
        <v>1</v>
      </c>
      <c r="G143" s="1066">
        <v>1</v>
      </c>
      <c r="H143" s="1070">
        <v>0.88590000000000002</v>
      </c>
      <c r="I143" s="1070">
        <v>0.23121990000000001</v>
      </c>
      <c r="J143" s="1070">
        <v>0.1817</v>
      </c>
      <c r="K143" s="1070">
        <v>0.59461607999999999</v>
      </c>
      <c r="L143" s="1072">
        <v>0.65955255000000002</v>
      </c>
      <c r="M143" s="1070"/>
      <c r="N143" s="1070">
        <v>2.68</v>
      </c>
      <c r="O143" s="1070"/>
      <c r="P143" s="1073">
        <v>10.187849999999999</v>
      </c>
      <c r="Q143" s="1070">
        <v>39.954090000000008</v>
      </c>
      <c r="R143" s="1070">
        <v>22.058910000000001</v>
      </c>
      <c r="S143" s="1279">
        <v>17.895180000000007</v>
      </c>
      <c r="T143" s="1070">
        <v>28.525980000000001</v>
      </c>
      <c r="U143" s="1070"/>
      <c r="V143" s="1066">
        <v>4.2523199999999992</v>
      </c>
      <c r="W143" s="1070">
        <v>0.5315399999999999</v>
      </c>
      <c r="X143" s="1070"/>
      <c r="Y143" s="1070"/>
      <c r="Z143" s="1070"/>
      <c r="AA143" s="1070"/>
      <c r="AB143" s="1070"/>
      <c r="AC143" s="1070"/>
      <c r="AD143" s="1070"/>
      <c r="AE143" s="1070"/>
      <c r="AF143" s="1070"/>
      <c r="AG143" s="1070"/>
      <c r="AH143" s="1073"/>
      <c r="AI143" s="1070"/>
      <c r="AJ143" s="1070"/>
      <c r="AK143" s="1070"/>
      <c r="AL143" s="1082"/>
      <c r="AM143" s="1069"/>
      <c r="AN143" s="1070"/>
      <c r="AO143" s="1070"/>
      <c r="AP143" s="1070"/>
      <c r="AQ143" s="1070"/>
      <c r="AR143" s="1069"/>
      <c r="AS143" s="1282"/>
      <c r="AT143" s="1282"/>
      <c r="AU143" s="1069"/>
      <c r="AV143" s="1069"/>
      <c r="AW143" s="1069"/>
      <c r="AX143" s="1070"/>
      <c r="AY143" s="1070"/>
      <c r="AZ143" s="1078">
        <f t="shared" si="107"/>
        <v>0.88590000000000002</v>
      </c>
      <c r="BA143" s="59">
        <v>139</v>
      </c>
      <c r="BB143" s="59">
        <f t="shared" si="108"/>
        <v>139</v>
      </c>
      <c r="BC143" s="60" t="str">
        <f t="shared" si="109"/>
        <v>Mandioca, Casca</v>
      </c>
      <c r="BD143" s="61" t="str">
        <f ca="1">IFERROR(IF(SEARCH('Calcular Dieta'!A$3,$BC$5:$BC$310)&gt;=1,BC143,"Não encontrado"),"Não encontrado")</f>
        <v>Mandioca, Casca</v>
      </c>
      <c r="BE143" s="62">
        <f ca="1">COUNTIF(BD$5:BD143,"&lt;&gt;"&amp;"Não encontrado")</f>
        <v>139</v>
      </c>
      <c r="BF143" s="63" t="str">
        <f t="shared" ca="1" si="110"/>
        <v>MANDIOCA, CASCA</v>
      </c>
      <c r="BG143" s="744">
        <f t="shared" si="111"/>
        <v>0.23136290000000001</v>
      </c>
      <c r="BH143" s="744">
        <f t="shared" si="112"/>
        <v>0.181843</v>
      </c>
      <c r="BI143" s="744">
        <f t="shared" si="113"/>
        <v>0.59475908</v>
      </c>
      <c r="BJ143" s="744">
        <f t="shared" si="114"/>
        <v>0.65969555000000002</v>
      </c>
      <c r="BK143" s="744" t="str">
        <f t="shared" si="115"/>
        <v/>
      </c>
      <c r="BL143" s="744">
        <f t="shared" si="116"/>
        <v>2.6801430000000002</v>
      </c>
      <c r="BM143" s="744" t="str">
        <f t="shared" si="117"/>
        <v/>
      </c>
      <c r="BN143" s="744">
        <f t="shared" si="118"/>
        <v>10.187992999999999</v>
      </c>
      <c r="BO143" s="744">
        <f t="shared" si="119"/>
        <v>39.954233000000009</v>
      </c>
      <c r="BP143" s="744">
        <f t="shared" si="120"/>
        <v>22.059053000000002</v>
      </c>
      <c r="BQ143" s="744">
        <f t="shared" si="121"/>
        <v>17.895323000000008</v>
      </c>
      <c r="BR143" s="744">
        <f t="shared" si="122"/>
        <v>28.526123000000002</v>
      </c>
      <c r="BS143" s="744" t="str">
        <f t="shared" si="123"/>
        <v/>
      </c>
      <c r="BT143" s="744">
        <f t="shared" si="124"/>
        <v>4.2524629999999988</v>
      </c>
      <c r="BU143" s="744">
        <f t="shared" si="125"/>
        <v>0.53168299999999991</v>
      </c>
      <c r="BV143" s="744" t="str">
        <f t="shared" si="126"/>
        <v/>
      </c>
      <c r="BW143" s="744" t="str">
        <f t="shared" si="127"/>
        <v/>
      </c>
      <c r="BX143" s="744" t="str">
        <f t="shared" si="128"/>
        <v/>
      </c>
      <c r="BY143" s="744" t="str">
        <f t="shared" si="129"/>
        <v/>
      </c>
      <c r="BZ143" s="744" t="str">
        <f t="shared" si="130"/>
        <v/>
      </c>
      <c r="CA143" s="744" t="str">
        <f t="shared" si="131"/>
        <v/>
      </c>
      <c r="CB143" s="744" t="str">
        <f t="shared" si="132"/>
        <v/>
      </c>
      <c r="CC143" s="744" t="str">
        <f t="shared" si="133"/>
        <v/>
      </c>
      <c r="CD143" s="744" t="str">
        <f t="shared" si="134"/>
        <v/>
      </c>
      <c r="CE143" s="744" t="str">
        <f t="shared" si="135"/>
        <v/>
      </c>
      <c r="CF143" s="744" t="str">
        <f t="shared" si="136"/>
        <v/>
      </c>
      <c r="CG143" s="744" t="str">
        <f t="shared" si="137"/>
        <v/>
      </c>
      <c r="CH143" s="744" t="str">
        <f t="shared" si="138"/>
        <v/>
      </c>
      <c r="CI143" s="744" t="str">
        <f t="shared" si="139"/>
        <v/>
      </c>
      <c r="CJ143" s="744" t="str">
        <f t="shared" si="140"/>
        <v/>
      </c>
      <c r="CK143" s="744" t="str">
        <f t="shared" si="141"/>
        <v/>
      </c>
      <c r="CL143" s="744" t="str">
        <f t="shared" si="142"/>
        <v/>
      </c>
      <c r="CM143" s="744" t="str">
        <f t="shared" si="143"/>
        <v/>
      </c>
      <c r="CN143" s="744" t="str">
        <f t="shared" si="144"/>
        <v/>
      </c>
      <c r="CO143" s="744" t="str">
        <f t="shared" si="145"/>
        <v/>
      </c>
      <c r="CP143" s="744" t="str">
        <f t="shared" si="146"/>
        <v/>
      </c>
      <c r="CQ143" s="744" t="str">
        <f t="shared" si="147"/>
        <v/>
      </c>
      <c r="CR143" s="744" t="str">
        <f t="shared" si="148"/>
        <v/>
      </c>
      <c r="CS143" s="744" t="str">
        <f t="shared" si="149"/>
        <v/>
      </c>
      <c r="CT143" s="744" t="str">
        <f t="shared" si="150"/>
        <v/>
      </c>
      <c r="CU143" s="744" t="str">
        <f t="shared" si="151"/>
        <v/>
      </c>
      <c r="CV143" s="744" t="str">
        <f t="shared" si="152"/>
        <v/>
      </c>
      <c r="CW143" s="744" t="str">
        <f t="shared" si="153"/>
        <v/>
      </c>
      <c r="CX143" s="744">
        <f t="shared" si="154"/>
        <v>0.88604300000000003</v>
      </c>
    </row>
    <row r="144" spans="1:102">
      <c r="A144" s="630">
        <v>140</v>
      </c>
      <c r="B144" s="630" t="s">
        <v>4</v>
      </c>
      <c r="C144" s="631" t="s">
        <v>252</v>
      </c>
      <c r="D144" s="630" t="s">
        <v>1392</v>
      </c>
      <c r="E144" s="632" t="s">
        <v>205</v>
      </c>
      <c r="F144" s="1067">
        <v>1</v>
      </c>
      <c r="G144" s="1066">
        <v>1</v>
      </c>
      <c r="H144" s="1070">
        <v>0.873</v>
      </c>
      <c r="I144" s="1070">
        <v>0.1048473</v>
      </c>
      <c r="J144" s="1070">
        <v>5.7181500000000003E-2</v>
      </c>
      <c r="K144" s="1070"/>
      <c r="L144" s="1072">
        <v>0.58491000000000004</v>
      </c>
      <c r="M144" s="1070">
        <v>2.5788681900000001</v>
      </c>
      <c r="N144" s="1070"/>
      <c r="O144" s="1070"/>
      <c r="P144" s="1073">
        <v>3.3173999999999997</v>
      </c>
      <c r="Q144" s="1070">
        <v>30.904199999999999</v>
      </c>
      <c r="R144" s="1070">
        <v>12.36168</v>
      </c>
      <c r="S144" s="1070"/>
      <c r="T144" s="1070"/>
      <c r="U144" s="1070"/>
      <c r="V144" s="1066">
        <v>1.3968</v>
      </c>
      <c r="W144" s="1070">
        <v>0.873</v>
      </c>
      <c r="X144" s="1070">
        <v>1.1348999999999998</v>
      </c>
      <c r="Y144" s="1070">
        <v>0.61110000000000009</v>
      </c>
      <c r="Z144" s="1070">
        <v>3.4047000000000001</v>
      </c>
      <c r="AA144" s="1070">
        <v>0.873</v>
      </c>
      <c r="AB144" s="1070">
        <v>6.1982999999999997</v>
      </c>
      <c r="AC144" s="1070">
        <v>11.349</v>
      </c>
      <c r="AD144" s="1070">
        <v>59.363999999999997</v>
      </c>
      <c r="AE144" s="1070">
        <v>16.587</v>
      </c>
      <c r="AF144" s="1070">
        <v>2.6189999999999998E-2</v>
      </c>
      <c r="AG144" s="1070">
        <v>1.746E-2</v>
      </c>
      <c r="AH144" s="1073">
        <v>4.3650000000000001E-2</v>
      </c>
      <c r="AI144" s="1070"/>
      <c r="AJ144" s="1070"/>
      <c r="AK144" s="1070"/>
      <c r="AL144" s="1082"/>
      <c r="AM144" s="1069"/>
      <c r="AN144" s="1070"/>
      <c r="AO144" s="1070"/>
      <c r="AP144" s="1070"/>
      <c r="AQ144" s="1070"/>
      <c r="AR144" s="1069"/>
      <c r="AS144" s="1282"/>
      <c r="AT144" s="1282"/>
      <c r="AU144" s="1069"/>
      <c r="AV144" s="1069"/>
      <c r="AW144" s="1069"/>
      <c r="AX144" s="1070"/>
      <c r="AY144" s="1070"/>
      <c r="AZ144" s="1078">
        <f t="shared" si="107"/>
        <v>0.873</v>
      </c>
      <c r="BA144" s="59">
        <v>140</v>
      </c>
      <c r="BB144" s="59">
        <f t="shared" si="108"/>
        <v>140</v>
      </c>
      <c r="BC144" s="60" t="str">
        <f t="shared" si="109"/>
        <v>Mandioca, Raspa</v>
      </c>
      <c r="BD144" s="61" t="str">
        <f ca="1">IFERROR(IF(SEARCH('Calcular Dieta'!A$3,$BC$5:$BC$310)&gt;=1,BC144,"Não encontrado"),"Não encontrado")</f>
        <v>Mandioca, Raspa</v>
      </c>
      <c r="BE144" s="62">
        <f ca="1">COUNTIF(BD$5:BD144,"&lt;&gt;"&amp;"Não encontrado")</f>
        <v>140</v>
      </c>
      <c r="BF144" s="63" t="str">
        <f t="shared" ca="1" si="110"/>
        <v>MANDIOCA, RASPA</v>
      </c>
      <c r="BG144" s="744">
        <f t="shared" si="111"/>
        <v>0.10499130000000001</v>
      </c>
      <c r="BH144" s="744">
        <f t="shared" si="112"/>
        <v>5.7325500000000001E-2</v>
      </c>
      <c r="BI144" s="744" t="str">
        <f t="shared" si="113"/>
        <v/>
      </c>
      <c r="BJ144" s="744">
        <f t="shared" si="114"/>
        <v>0.58505400000000007</v>
      </c>
      <c r="BK144" s="744">
        <f t="shared" si="115"/>
        <v>2.5790121900000003</v>
      </c>
      <c r="BL144" s="744" t="str">
        <f t="shared" si="116"/>
        <v/>
      </c>
      <c r="BM144" s="744" t="str">
        <f t="shared" si="117"/>
        <v/>
      </c>
      <c r="BN144" s="744">
        <f t="shared" si="118"/>
        <v>3.3175439999999998</v>
      </c>
      <c r="BO144" s="744">
        <f t="shared" si="119"/>
        <v>30.904343999999998</v>
      </c>
      <c r="BP144" s="744">
        <f t="shared" si="120"/>
        <v>12.361824</v>
      </c>
      <c r="BQ144" s="744" t="str">
        <f t="shared" si="121"/>
        <v/>
      </c>
      <c r="BR144" s="744" t="str">
        <f t="shared" si="122"/>
        <v/>
      </c>
      <c r="BS144" s="744" t="str">
        <f t="shared" si="123"/>
        <v/>
      </c>
      <c r="BT144" s="744">
        <f t="shared" si="124"/>
        <v>1.396944</v>
      </c>
      <c r="BU144" s="744">
        <f t="shared" si="125"/>
        <v>0.87314400000000003</v>
      </c>
      <c r="BV144" s="744">
        <f t="shared" si="126"/>
        <v>1.1350439999999997</v>
      </c>
      <c r="BW144" s="744">
        <f t="shared" si="127"/>
        <v>0.61124400000000012</v>
      </c>
      <c r="BX144" s="744">
        <f t="shared" si="128"/>
        <v>3.4048440000000002</v>
      </c>
      <c r="BY144" s="744">
        <f t="shared" si="129"/>
        <v>0.87314400000000003</v>
      </c>
      <c r="BZ144" s="744">
        <f t="shared" si="130"/>
        <v>6.1984439999999994</v>
      </c>
      <c r="CA144" s="744">
        <f t="shared" si="131"/>
        <v>11.349144000000001</v>
      </c>
      <c r="CB144" s="744">
        <f t="shared" si="132"/>
        <v>59.364143999999996</v>
      </c>
      <c r="CC144" s="744">
        <f t="shared" si="133"/>
        <v>16.587143999999999</v>
      </c>
      <c r="CD144" s="744">
        <f t="shared" si="134"/>
        <v>2.6333999999999996E-2</v>
      </c>
      <c r="CE144" s="744">
        <f t="shared" si="135"/>
        <v>1.7603999999999998E-2</v>
      </c>
      <c r="CF144" s="744">
        <f t="shared" si="136"/>
        <v>4.3794E-2</v>
      </c>
      <c r="CG144" s="744" t="str">
        <f t="shared" si="137"/>
        <v/>
      </c>
      <c r="CH144" s="744" t="str">
        <f t="shared" si="138"/>
        <v/>
      </c>
      <c r="CI144" s="744" t="str">
        <f t="shared" si="139"/>
        <v/>
      </c>
      <c r="CJ144" s="744" t="str">
        <f t="shared" si="140"/>
        <v/>
      </c>
      <c r="CK144" s="744" t="str">
        <f t="shared" si="141"/>
        <v/>
      </c>
      <c r="CL144" s="744" t="str">
        <f t="shared" si="142"/>
        <v/>
      </c>
      <c r="CM144" s="744" t="str">
        <f t="shared" si="143"/>
        <v/>
      </c>
      <c r="CN144" s="744" t="str">
        <f t="shared" si="144"/>
        <v/>
      </c>
      <c r="CO144" s="744" t="str">
        <f t="shared" si="145"/>
        <v/>
      </c>
      <c r="CP144" s="744" t="str">
        <f t="shared" si="146"/>
        <v/>
      </c>
      <c r="CQ144" s="744" t="str">
        <f t="shared" si="147"/>
        <v/>
      </c>
      <c r="CR144" s="744" t="str">
        <f t="shared" si="148"/>
        <v/>
      </c>
      <c r="CS144" s="744" t="str">
        <f t="shared" si="149"/>
        <v/>
      </c>
      <c r="CT144" s="744" t="str">
        <f t="shared" si="150"/>
        <v/>
      </c>
      <c r="CU144" s="744" t="str">
        <f t="shared" si="151"/>
        <v/>
      </c>
      <c r="CV144" s="744" t="str">
        <f t="shared" si="152"/>
        <v/>
      </c>
      <c r="CW144" s="744" t="str">
        <f t="shared" si="153"/>
        <v/>
      </c>
      <c r="CX144" s="744">
        <f t="shared" si="154"/>
        <v>0.87314400000000003</v>
      </c>
    </row>
    <row r="145" spans="1:102">
      <c r="A145" s="633">
        <v>141</v>
      </c>
      <c r="B145" s="630" t="s">
        <v>4</v>
      </c>
      <c r="C145" s="631" t="s">
        <v>252</v>
      </c>
      <c r="D145" s="630" t="s">
        <v>1390</v>
      </c>
      <c r="E145" s="632" t="s">
        <v>206</v>
      </c>
      <c r="F145" s="1067">
        <v>1</v>
      </c>
      <c r="G145" s="1066">
        <v>1</v>
      </c>
      <c r="H145" s="1070">
        <v>0.877</v>
      </c>
      <c r="I145" s="1070">
        <v>0.1053277</v>
      </c>
      <c r="J145" s="1070">
        <v>8.6800000000000002E-2</v>
      </c>
      <c r="K145" s="1070">
        <v>0.69493479999999996</v>
      </c>
      <c r="L145" s="1072">
        <v>0.7211571</v>
      </c>
      <c r="M145" s="1070"/>
      <c r="N145" s="1070">
        <v>2.98</v>
      </c>
      <c r="O145" s="1070"/>
      <c r="P145" s="1073">
        <v>4.6480999999999995</v>
      </c>
      <c r="Q145" s="1070">
        <v>24.731400000000001</v>
      </c>
      <c r="R145" s="1070">
        <v>22.4512</v>
      </c>
      <c r="S145" s="1070">
        <v>2.2802000000000002</v>
      </c>
      <c r="T145" s="1070">
        <v>14.909000000000001</v>
      </c>
      <c r="U145" s="1070"/>
      <c r="V145" s="1066">
        <v>1.8416999999999999</v>
      </c>
      <c r="W145" s="1070">
        <v>0.61390000000000011</v>
      </c>
      <c r="X145" s="1070">
        <v>8.77E-2</v>
      </c>
      <c r="Y145" s="1070">
        <v>8.77E-2</v>
      </c>
      <c r="Z145" s="1070">
        <v>1.5785999999999998</v>
      </c>
      <c r="AA145" s="1070"/>
      <c r="AB145" s="1070">
        <v>7.33</v>
      </c>
      <c r="AC145" s="1070">
        <v>103.78</v>
      </c>
      <c r="AD145" s="1070">
        <v>429.59</v>
      </c>
      <c r="AE145" s="1070">
        <v>40.450000000000003</v>
      </c>
      <c r="AF145" s="1070"/>
      <c r="AG145" s="1070"/>
      <c r="AH145" s="1073"/>
      <c r="AI145" s="1070"/>
      <c r="AJ145" s="1070"/>
      <c r="AK145" s="1070"/>
      <c r="AL145" s="1082"/>
      <c r="AM145" s="1069"/>
      <c r="AN145" s="1070"/>
      <c r="AO145" s="1070"/>
      <c r="AP145" s="1070"/>
      <c r="AQ145" s="1070"/>
      <c r="AR145" s="1069"/>
      <c r="AS145" s="1282"/>
      <c r="AT145" s="1282"/>
      <c r="AU145" s="1069"/>
      <c r="AV145" s="1069"/>
      <c r="AW145" s="1069"/>
      <c r="AX145" s="1070"/>
      <c r="AY145" s="1070"/>
      <c r="AZ145" s="1078">
        <f t="shared" si="107"/>
        <v>0.877</v>
      </c>
      <c r="BA145" s="59">
        <v>141</v>
      </c>
      <c r="BB145" s="59">
        <f t="shared" si="108"/>
        <v>141</v>
      </c>
      <c r="BC145" s="60" t="str">
        <f t="shared" si="109"/>
        <v>Mandioca, Raspa (BRC3.0)</v>
      </c>
      <c r="BD145" s="61" t="str">
        <f ca="1">IFERROR(IF(SEARCH('Calcular Dieta'!A$3,$BC$5:$BC$310)&gt;=1,BC145,"Não encontrado"),"Não encontrado")</f>
        <v>Mandioca, Raspa (BRC3.0)</v>
      </c>
      <c r="BE145" s="62">
        <f ca="1">COUNTIF(BD$5:BD145,"&lt;&gt;"&amp;"Não encontrado")</f>
        <v>141</v>
      </c>
      <c r="BF145" s="63" t="str">
        <f t="shared" ca="1" si="110"/>
        <v>MANDIOCA, RASPA (BRC3.0)</v>
      </c>
      <c r="BG145" s="744">
        <f t="shared" si="111"/>
        <v>0.1054727</v>
      </c>
      <c r="BH145" s="744">
        <f t="shared" si="112"/>
        <v>8.6945000000000008E-2</v>
      </c>
      <c r="BI145" s="744">
        <f t="shared" si="113"/>
        <v>0.69507979999999991</v>
      </c>
      <c r="BJ145" s="744">
        <f t="shared" si="114"/>
        <v>0.72130209999999995</v>
      </c>
      <c r="BK145" s="744" t="str">
        <f t="shared" si="115"/>
        <v/>
      </c>
      <c r="BL145" s="744">
        <f t="shared" si="116"/>
        <v>2.9801449999999998</v>
      </c>
      <c r="BM145" s="744" t="str">
        <f t="shared" si="117"/>
        <v/>
      </c>
      <c r="BN145" s="744">
        <f t="shared" si="118"/>
        <v>4.6482449999999993</v>
      </c>
      <c r="BO145" s="744">
        <f t="shared" si="119"/>
        <v>24.731545000000001</v>
      </c>
      <c r="BP145" s="744">
        <f t="shared" si="120"/>
        <v>22.451345</v>
      </c>
      <c r="BQ145" s="744">
        <f t="shared" si="121"/>
        <v>2.2803450000000001</v>
      </c>
      <c r="BR145" s="744">
        <f t="shared" si="122"/>
        <v>14.909145000000001</v>
      </c>
      <c r="BS145" s="744" t="str">
        <f t="shared" si="123"/>
        <v/>
      </c>
      <c r="BT145" s="744">
        <f t="shared" si="124"/>
        <v>1.841845</v>
      </c>
      <c r="BU145" s="744">
        <f t="shared" si="125"/>
        <v>0.61404500000000006</v>
      </c>
      <c r="BV145" s="744">
        <f t="shared" si="126"/>
        <v>8.7845000000000006E-2</v>
      </c>
      <c r="BW145" s="744">
        <f t="shared" si="127"/>
        <v>8.7845000000000006E-2</v>
      </c>
      <c r="BX145" s="744">
        <f t="shared" si="128"/>
        <v>1.5787449999999998</v>
      </c>
      <c r="BY145" s="744" t="str">
        <f t="shared" si="129"/>
        <v/>
      </c>
      <c r="BZ145" s="744">
        <f t="shared" si="130"/>
        <v>7.3301449999999999</v>
      </c>
      <c r="CA145" s="744">
        <f t="shared" si="131"/>
        <v>103.780145</v>
      </c>
      <c r="CB145" s="744">
        <f t="shared" si="132"/>
        <v>429.59014499999995</v>
      </c>
      <c r="CC145" s="744">
        <f t="shared" si="133"/>
        <v>40.450145000000006</v>
      </c>
      <c r="CD145" s="744" t="str">
        <f t="shared" si="134"/>
        <v/>
      </c>
      <c r="CE145" s="744" t="str">
        <f t="shared" si="135"/>
        <v/>
      </c>
      <c r="CF145" s="744" t="str">
        <f t="shared" si="136"/>
        <v/>
      </c>
      <c r="CG145" s="744" t="str">
        <f t="shared" si="137"/>
        <v/>
      </c>
      <c r="CH145" s="744" t="str">
        <f t="shared" si="138"/>
        <v/>
      </c>
      <c r="CI145" s="744" t="str">
        <f t="shared" si="139"/>
        <v/>
      </c>
      <c r="CJ145" s="744" t="str">
        <f t="shared" si="140"/>
        <v/>
      </c>
      <c r="CK145" s="744" t="str">
        <f t="shared" si="141"/>
        <v/>
      </c>
      <c r="CL145" s="744" t="str">
        <f t="shared" si="142"/>
        <v/>
      </c>
      <c r="CM145" s="744" t="str">
        <f t="shared" si="143"/>
        <v/>
      </c>
      <c r="CN145" s="744" t="str">
        <f t="shared" si="144"/>
        <v/>
      </c>
      <c r="CO145" s="744" t="str">
        <f t="shared" si="145"/>
        <v/>
      </c>
      <c r="CP145" s="744" t="str">
        <f t="shared" si="146"/>
        <v/>
      </c>
      <c r="CQ145" s="744" t="str">
        <f t="shared" si="147"/>
        <v/>
      </c>
      <c r="CR145" s="744" t="str">
        <f t="shared" si="148"/>
        <v/>
      </c>
      <c r="CS145" s="744" t="str">
        <f t="shared" si="149"/>
        <v/>
      </c>
      <c r="CT145" s="744" t="str">
        <f t="shared" si="150"/>
        <v/>
      </c>
      <c r="CU145" s="744" t="str">
        <f t="shared" si="151"/>
        <v/>
      </c>
      <c r="CV145" s="744" t="str">
        <f t="shared" si="152"/>
        <v/>
      </c>
      <c r="CW145" s="744" t="str">
        <f t="shared" si="153"/>
        <v/>
      </c>
      <c r="CX145" s="744">
        <f t="shared" si="154"/>
        <v>0.87714499999999995</v>
      </c>
    </row>
    <row r="146" spans="1:102">
      <c r="A146" s="630">
        <v>142</v>
      </c>
      <c r="B146" s="630" t="s">
        <v>3</v>
      </c>
      <c r="C146" s="631" t="s">
        <v>249</v>
      </c>
      <c r="D146" s="630" t="s">
        <v>1390</v>
      </c>
      <c r="E146" s="632" t="s">
        <v>207</v>
      </c>
      <c r="F146" s="1067">
        <v>1</v>
      </c>
      <c r="G146" s="1066">
        <v>1</v>
      </c>
      <c r="H146" s="1070">
        <v>0.2475</v>
      </c>
      <c r="I146" s="1070">
        <v>0.10887525000000001</v>
      </c>
      <c r="J146" s="1070">
        <v>7.8399999999999997E-2</v>
      </c>
      <c r="K146" s="1070">
        <v>7.6353749999999984E-2</v>
      </c>
      <c r="L146" s="1072">
        <v>0.16151850000000001</v>
      </c>
      <c r="M146" s="1070"/>
      <c r="N146" s="1070">
        <v>2.5</v>
      </c>
      <c r="O146" s="1070"/>
      <c r="P146" s="1073">
        <v>17.547750000000001</v>
      </c>
      <c r="Q146" s="1070">
        <v>47.965499999999999</v>
      </c>
      <c r="R146" s="1070">
        <v>15.66675</v>
      </c>
      <c r="S146" s="1279">
        <v>32.298749999999998</v>
      </c>
      <c r="T146" s="1070">
        <v>40.515750000000004</v>
      </c>
      <c r="U146" s="1070"/>
      <c r="V146" s="1066"/>
      <c r="W146" s="1070">
        <v>0.44550000000000001</v>
      </c>
      <c r="X146" s="1070"/>
      <c r="Y146" s="1070"/>
      <c r="Z146" s="1070"/>
      <c r="AA146" s="1070"/>
      <c r="AB146" s="1070"/>
      <c r="AC146" s="1070"/>
      <c r="AD146" s="1070"/>
      <c r="AE146" s="1070"/>
      <c r="AF146" s="1070"/>
      <c r="AG146" s="1070"/>
      <c r="AH146" s="1073"/>
      <c r="AI146" s="1070"/>
      <c r="AJ146" s="1070"/>
      <c r="AK146" s="1070"/>
      <c r="AL146" s="1082"/>
      <c r="AM146" s="1069"/>
      <c r="AN146" s="1070"/>
      <c r="AO146" s="1070"/>
      <c r="AP146" s="1070"/>
      <c r="AQ146" s="1070"/>
      <c r="AR146" s="1069"/>
      <c r="AS146" s="1282"/>
      <c r="AT146" s="1282"/>
      <c r="AU146" s="1069"/>
      <c r="AV146" s="1069"/>
      <c r="AW146" s="1069"/>
      <c r="AX146" s="1070"/>
      <c r="AY146" s="1070"/>
      <c r="AZ146" s="1078">
        <f t="shared" si="107"/>
        <v>0.2475</v>
      </c>
      <c r="BA146" s="59">
        <v>142</v>
      </c>
      <c r="BB146" s="59">
        <f t="shared" si="108"/>
        <v>142</v>
      </c>
      <c r="BC146" s="60" t="str">
        <f t="shared" si="109"/>
        <v>Maniçoba</v>
      </c>
      <c r="BD146" s="61" t="str">
        <f ca="1">IFERROR(IF(SEARCH('Calcular Dieta'!A$3,$BC$5:$BC$310)&gt;=1,BC146,"Não encontrado"),"Não encontrado")</f>
        <v>Maniçoba</v>
      </c>
      <c r="BE146" s="62">
        <f ca="1">COUNTIF(BD$5:BD146,"&lt;&gt;"&amp;"Não encontrado")</f>
        <v>142</v>
      </c>
      <c r="BF146" s="63" t="str">
        <f t="shared" ca="1" si="110"/>
        <v>MANIÇOBA</v>
      </c>
      <c r="BG146" s="744">
        <f t="shared" si="111"/>
        <v>0.10902125</v>
      </c>
      <c r="BH146" s="744">
        <f t="shared" si="112"/>
        <v>7.8545999999999991E-2</v>
      </c>
      <c r="BI146" s="744">
        <f t="shared" si="113"/>
        <v>7.6499749999999977E-2</v>
      </c>
      <c r="BJ146" s="744">
        <f t="shared" si="114"/>
        <v>0.16166450000000002</v>
      </c>
      <c r="BK146" s="744" t="str">
        <f t="shared" si="115"/>
        <v/>
      </c>
      <c r="BL146" s="744">
        <f t="shared" si="116"/>
        <v>2.500146</v>
      </c>
      <c r="BM146" s="744" t="str">
        <f t="shared" si="117"/>
        <v/>
      </c>
      <c r="BN146" s="744">
        <f t="shared" si="118"/>
        <v>17.547896000000001</v>
      </c>
      <c r="BO146" s="744">
        <f t="shared" si="119"/>
        <v>47.965646</v>
      </c>
      <c r="BP146" s="744">
        <f t="shared" si="120"/>
        <v>15.666896000000001</v>
      </c>
      <c r="BQ146" s="744">
        <f t="shared" si="121"/>
        <v>32.298895999999999</v>
      </c>
      <c r="BR146" s="744">
        <f t="shared" si="122"/>
        <v>40.515896000000005</v>
      </c>
      <c r="BS146" s="744" t="str">
        <f t="shared" si="123"/>
        <v/>
      </c>
      <c r="BT146" s="744" t="str">
        <f t="shared" si="124"/>
        <v/>
      </c>
      <c r="BU146" s="744">
        <f t="shared" si="125"/>
        <v>0.44564599999999999</v>
      </c>
      <c r="BV146" s="744" t="str">
        <f t="shared" si="126"/>
        <v/>
      </c>
      <c r="BW146" s="744" t="str">
        <f t="shared" si="127"/>
        <v/>
      </c>
      <c r="BX146" s="744" t="str">
        <f t="shared" si="128"/>
        <v/>
      </c>
      <c r="BY146" s="744" t="str">
        <f t="shared" si="129"/>
        <v/>
      </c>
      <c r="BZ146" s="744" t="str">
        <f t="shared" si="130"/>
        <v/>
      </c>
      <c r="CA146" s="744" t="str">
        <f t="shared" si="131"/>
        <v/>
      </c>
      <c r="CB146" s="744" t="str">
        <f t="shared" si="132"/>
        <v/>
      </c>
      <c r="CC146" s="744" t="str">
        <f t="shared" si="133"/>
        <v/>
      </c>
      <c r="CD146" s="744" t="str">
        <f t="shared" si="134"/>
        <v/>
      </c>
      <c r="CE146" s="744" t="str">
        <f t="shared" si="135"/>
        <v/>
      </c>
      <c r="CF146" s="744" t="str">
        <f t="shared" si="136"/>
        <v/>
      </c>
      <c r="CG146" s="744" t="str">
        <f t="shared" si="137"/>
        <v/>
      </c>
      <c r="CH146" s="744" t="str">
        <f t="shared" si="138"/>
        <v/>
      </c>
      <c r="CI146" s="744" t="str">
        <f t="shared" si="139"/>
        <v/>
      </c>
      <c r="CJ146" s="744" t="str">
        <f t="shared" si="140"/>
        <v/>
      </c>
      <c r="CK146" s="744" t="str">
        <f t="shared" si="141"/>
        <v/>
      </c>
      <c r="CL146" s="744" t="str">
        <f t="shared" si="142"/>
        <v/>
      </c>
      <c r="CM146" s="744" t="str">
        <f t="shared" si="143"/>
        <v/>
      </c>
      <c r="CN146" s="744" t="str">
        <f t="shared" si="144"/>
        <v/>
      </c>
      <c r="CO146" s="744" t="str">
        <f t="shared" si="145"/>
        <v/>
      </c>
      <c r="CP146" s="744" t="str">
        <f t="shared" si="146"/>
        <v/>
      </c>
      <c r="CQ146" s="744" t="str">
        <f t="shared" si="147"/>
        <v/>
      </c>
      <c r="CR146" s="744" t="str">
        <f t="shared" si="148"/>
        <v/>
      </c>
      <c r="CS146" s="744" t="str">
        <f t="shared" si="149"/>
        <v/>
      </c>
      <c r="CT146" s="744" t="str">
        <f t="shared" si="150"/>
        <v/>
      </c>
      <c r="CU146" s="744" t="str">
        <f t="shared" si="151"/>
        <v/>
      </c>
      <c r="CV146" s="744" t="str">
        <f t="shared" si="152"/>
        <v/>
      </c>
      <c r="CW146" s="744" t="str">
        <f t="shared" si="153"/>
        <v/>
      </c>
      <c r="CX146" s="744">
        <f t="shared" si="154"/>
        <v>0.24764600000000001</v>
      </c>
    </row>
    <row r="147" spans="1:102">
      <c r="A147" s="633">
        <v>143</v>
      </c>
      <c r="B147" s="630" t="s">
        <v>3</v>
      </c>
      <c r="C147" s="631" t="s">
        <v>248</v>
      </c>
      <c r="D147" s="630" t="s">
        <v>1390</v>
      </c>
      <c r="E147" s="632" t="s">
        <v>208</v>
      </c>
      <c r="F147" s="1067">
        <v>0.6</v>
      </c>
      <c r="G147" s="1066">
        <v>1</v>
      </c>
      <c r="H147" s="1070">
        <v>0.86620000000000008</v>
      </c>
      <c r="I147" s="1070">
        <v>0.45077048000000003</v>
      </c>
      <c r="J147" s="1070">
        <v>0.27829999999999999</v>
      </c>
      <c r="K147" s="1070">
        <v>0.17488578000000005</v>
      </c>
      <c r="L147" s="1072">
        <v>0.48715088000000006</v>
      </c>
      <c r="M147" s="1070"/>
      <c r="N147" s="1070">
        <v>2.0499999999999998</v>
      </c>
      <c r="O147" s="1070"/>
      <c r="P147" s="1073">
        <v>36.467020000000005</v>
      </c>
      <c r="Q147" s="1070">
        <v>104.72358000000001</v>
      </c>
      <c r="R147" s="1070"/>
      <c r="S147" s="1070"/>
      <c r="T147" s="1070"/>
      <c r="U147" s="1070"/>
      <c r="V147" s="1066"/>
      <c r="W147" s="1070"/>
      <c r="X147" s="1070"/>
      <c r="Y147" s="1070"/>
      <c r="Z147" s="1070"/>
      <c r="AA147" s="1070"/>
      <c r="AB147" s="1070"/>
      <c r="AC147" s="1070"/>
      <c r="AD147" s="1070"/>
      <c r="AE147" s="1070"/>
      <c r="AF147" s="1070"/>
      <c r="AG147" s="1070"/>
      <c r="AH147" s="1073"/>
      <c r="AI147" s="1070"/>
      <c r="AJ147" s="1070"/>
      <c r="AK147" s="1070"/>
      <c r="AL147" s="1082"/>
      <c r="AM147" s="1069"/>
      <c r="AN147" s="1070"/>
      <c r="AO147" s="1070"/>
      <c r="AP147" s="1070"/>
      <c r="AQ147" s="1070"/>
      <c r="AR147" s="1069"/>
      <c r="AS147" s="1282"/>
      <c r="AT147" s="1282"/>
      <c r="AU147" s="1069"/>
      <c r="AV147" s="1069"/>
      <c r="AW147" s="1069"/>
      <c r="AX147" s="1070"/>
      <c r="AY147" s="1070"/>
      <c r="AZ147" s="1078">
        <f t="shared" si="107"/>
        <v>0.86620000000000008</v>
      </c>
      <c r="BA147" s="59">
        <v>143</v>
      </c>
      <c r="BB147" s="59">
        <f t="shared" si="108"/>
        <v>143</v>
      </c>
      <c r="BC147" s="60" t="str">
        <f t="shared" si="109"/>
        <v>Maniçoba, Feno</v>
      </c>
      <c r="BD147" s="61" t="str">
        <f ca="1">IFERROR(IF(SEARCH('Calcular Dieta'!A$3,$BC$5:$BC$310)&gt;=1,BC147,"Não encontrado"),"Não encontrado")</f>
        <v>Maniçoba, Feno</v>
      </c>
      <c r="BE147" s="62">
        <f ca="1">COUNTIF(BD$5:BD147,"&lt;&gt;"&amp;"Não encontrado")</f>
        <v>143</v>
      </c>
      <c r="BF147" s="63" t="str">
        <f t="shared" ca="1" si="110"/>
        <v>MANIÇOBA, FENO</v>
      </c>
      <c r="BG147" s="744">
        <f t="shared" si="111"/>
        <v>0.45091748000000004</v>
      </c>
      <c r="BH147" s="744">
        <f t="shared" si="112"/>
        <v>0.278447</v>
      </c>
      <c r="BI147" s="744">
        <f t="shared" si="113"/>
        <v>0.17503278000000005</v>
      </c>
      <c r="BJ147" s="744">
        <f t="shared" si="114"/>
        <v>0.48729788000000007</v>
      </c>
      <c r="BK147" s="744" t="str">
        <f t="shared" si="115"/>
        <v/>
      </c>
      <c r="BL147" s="744">
        <f t="shared" si="116"/>
        <v>2.0501469999999999</v>
      </c>
      <c r="BM147" s="744" t="str">
        <f t="shared" si="117"/>
        <v/>
      </c>
      <c r="BN147" s="744">
        <f t="shared" si="118"/>
        <v>36.467167000000003</v>
      </c>
      <c r="BO147" s="744">
        <f t="shared" si="119"/>
        <v>104.72372700000001</v>
      </c>
      <c r="BP147" s="744" t="str">
        <f t="shared" si="120"/>
        <v/>
      </c>
      <c r="BQ147" s="744" t="str">
        <f t="shared" si="121"/>
        <v/>
      </c>
      <c r="BR147" s="744" t="str">
        <f t="shared" si="122"/>
        <v/>
      </c>
      <c r="BS147" s="744" t="str">
        <f t="shared" si="123"/>
        <v/>
      </c>
      <c r="BT147" s="744" t="str">
        <f t="shared" si="124"/>
        <v/>
      </c>
      <c r="BU147" s="744" t="str">
        <f t="shared" si="125"/>
        <v/>
      </c>
      <c r="BV147" s="744" t="str">
        <f t="shared" si="126"/>
        <v/>
      </c>
      <c r="BW147" s="744" t="str">
        <f t="shared" si="127"/>
        <v/>
      </c>
      <c r="BX147" s="744" t="str">
        <f t="shared" si="128"/>
        <v/>
      </c>
      <c r="BY147" s="744" t="str">
        <f t="shared" si="129"/>
        <v/>
      </c>
      <c r="BZ147" s="744" t="str">
        <f t="shared" si="130"/>
        <v/>
      </c>
      <c r="CA147" s="744" t="str">
        <f t="shared" si="131"/>
        <v/>
      </c>
      <c r="CB147" s="744" t="str">
        <f t="shared" si="132"/>
        <v/>
      </c>
      <c r="CC147" s="744" t="str">
        <f t="shared" si="133"/>
        <v/>
      </c>
      <c r="CD147" s="744" t="str">
        <f t="shared" si="134"/>
        <v/>
      </c>
      <c r="CE147" s="744" t="str">
        <f t="shared" si="135"/>
        <v/>
      </c>
      <c r="CF147" s="744" t="str">
        <f t="shared" si="136"/>
        <v/>
      </c>
      <c r="CG147" s="744" t="str">
        <f t="shared" si="137"/>
        <v/>
      </c>
      <c r="CH147" s="744" t="str">
        <f t="shared" si="138"/>
        <v/>
      </c>
      <c r="CI147" s="744" t="str">
        <f t="shared" si="139"/>
        <v/>
      </c>
      <c r="CJ147" s="744" t="str">
        <f t="shared" si="140"/>
        <v/>
      </c>
      <c r="CK147" s="744" t="str">
        <f t="shared" si="141"/>
        <v/>
      </c>
      <c r="CL147" s="744" t="str">
        <f t="shared" si="142"/>
        <v/>
      </c>
      <c r="CM147" s="744" t="str">
        <f t="shared" si="143"/>
        <v/>
      </c>
      <c r="CN147" s="744" t="str">
        <f t="shared" si="144"/>
        <v/>
      </c>
      <c r="CO147" s="744" t="str">
        <f t="shared" si="145"/>
        <v/>
      </c>
      <c r="CP147" s="744" t="str">
        <f t="shared" si="146"/>
        <v/>
      </c>
      <c r="CQ147" s="744" t="str">
        <f t="shared" si="147"/>
        <v/>
      </c>
      <c r="CR147" s="744" t="str">
        <f t="shared" si="148"/>
        <v/>
      </c>
      <c r="CS147" s="744" t="str">
        <f t="shared" si="149"/>
        <v/>
      </c>
      <c r="CT147" s="744" t="str">
        <f t="shared" si="150"/>
        <v/>
      </c>
      <c r="CU147" s="744" t="str">
        <f t="shared" si="151"/>
        <v/>
      </c>
      <c r="CV147" s="744" t="str">
        <f t="shared" si="152"/>
        <v/>
      </c>
      <c r="CW147" s="744" t="str">
        <f t="shared" si="153"/>
        <v/>
      </c>
      <c r="CX147" s="744">
        <f t="shared" si="154"/>
        <v>0.86634700000000009</v>
      </c>
    </row>
    <row r="148" spans="1:102">
      <c r="A148" s="630">
        <v>144</v>
      </c>
      <c r="B148" s="630" t="s">
        <v>3</v>
      </c>
      <c r="C148" s="631" t="s">
        <v>750</v>
      </c>
      <c r="D148" s="630" t="s">
        <v>1390</v>
      </c>
      <c r="E148" s="632" t="s">
        <v>1389</v>
      </c>
      <c r="F148" s="1067">
        <v>1</v>
      </c>
      <c r="G148" s="1066">
        <v>1</v>
      </c>
      <c r="H148" s="1070">
        <v>0.85799999999999998</v>
      </c>
      <c r="I148" s="1070">
        <v>0.48605700000000002</v>
      </c>
      <c r="J148" s="1070">
        <v>0.38819999999999999</v>
      </c>
      <c r="K148" s="1070">
        <v>0.18086639999999998</v>
      </c>
      <c r="L148" s="1072">
        <v>0.43560660000000001</v>
      </c>
      <c r="M148" s="1070"/>
      <c r="N148" s="1070">
        <v>1.84</v>
      </c>
      <c r="O148" s="1070"/>
      <c r="P148" s="1073">
        <v>20.506200000000003</v>
      </c>
      <c r="Q148" s="1070">
        <v>102.35940000000001</v>
      </c>
      <c r="R148" s="1070">
        <v>21.9648</v>
      </c>
      <c r="S148" s="1070">
        <v>78.935999999999993</v>
      </c>
      <c r="T148" s="1070">
        <v>82.110600000000005</v>
      </c>
      <c r="U148" s="1070"/>
      <c r="V148" s="1066">
        <v>4.5473999999999997</v>
      </c>
      <c r="W148" s="1070">
        <v>1.1153999999999999</v>
      </c>
      <c r="X148" s="1070"/>
      <c r="Y148" s="1070"/>
      <c r="Z148" s="1070"/>
      <c r="AA148" s="1070"/>
      <c r="AB148" s="1070"/>
      <c r="AC148" s="1070"/>
      <c r="AD148" s="1070"/>
      <c r="AE148" s="1070"/>
      <c r="AF148" s="1070"/>
      <c r="AG148" s="1070"/>
      <c r="AH148" s="1073"/>
      <c r="AI148" s="1070"/>
      <c r="AJ148" s="1070"/>
      <c r="AK148" s="1070"/>
      <c r="AL148" s="1082"/>
      <c r="AM148" s="1069"/>
      <c r="AN148" s="1070"/>
      <c r="AO148" s="1070"/>
      <c r="AP148" s="1070"/>
      <c r="AQ148" s="1070"/>
      <c r="AR148" s="1069"/>
      <c r="AS148" s="1282"/>
      <c r="AT148" s="1282"/>
      <c r="AU148" s="1069"/>
      <c r="AV148" s="1069"/>
      <c r="AW148" s="1069"/>
      <c r="AX148" s="1070"/>
      <c r="AY148" s="1070"/>
      <c r="AZ148" s="1078">
        <f t="shared" si="107"/>
        <v>0.85799999999999998</v>
      </c>
      <c r="BA148" s="59">
        <v>144</v>
      </c>
      <c r="BB148" s="59">
        <f t="shared" si="108"/>
        <v>144</v>
      </c>
      <c r="BC148" s="60" t="str">
        <f t="shared" si="109"/>
        <v>Maracujá, Coproduto</v>
      </c>
      <c r="BD148" s="61" t="str">
        <f ca="1">IFERROR(IF(SEARCH('Calcular Dieta'!A$3,$BC$5:$BC$310)&gt;=1,BC148,"Não encontrado"),"Não encontrado")</f>
        <v>Maracujá, Coproduto</v>
      </c>
      <c r="BE148" s="62">
        <f ca="1">COUNTIF(BD$5:BD148,"&lt;&gt;"&amp;"Não encontrado")</f>
        <v>144</v>
      </c>
      <c r="BF148" s="63" t="str">
        <f t="shared" ca="1" si="110"/>
        <v>MARACUJÁ, COPRODUTO</v>
      </c>
      <c r="BG148" s="744">
        <f t="shared" si="111"/>
        <v>0.486205</v>
      </c>
      <c r="BH148" s="744">
        <f t="shared" si="112"/>
        <v>0.38834799999999997</v>
      </c>
      <c r="BI148" s="744">
        <f t="shared" si="113"/>
        <v>0.18101439999999999</v>
      </c>
      <c r="BJ148" s="744">
        <f t="shared" si="114"/>
        <v>0.43575459999999999</v>
      </c>
      <c r="BK148" s="744" t="str">
        <f t="shared" si="115"/>
        <v/>
      </c>
      <c r="BL148" s="744">
        <f t="shared" si="116"/>
        <v>1.8401480000000001</v>
      </c>
      <c r="BM148" s="744" t="str">
        <f t="shared" si="117"/>
        <v/>
      </c>
      <c r="BN148" s="744">
        <f t="shared" si="118"/>
        <v>20.506348000000003</v>
      </c>
      <c r="BO148" s="744">
        <f t="shared" si="119"/>
        <v>102.359548</v>
      </c>
      <c r="BP148" s="744">
        <f t="shared" si="120"/>
        <v>21.964948</v>
      </c>
      <c r="BQ148" s="744">
        <f t="shared" si="121"/>
        <v>78.936147999999989</v>
      </c>
      <c r="BR148" s="744">
        <f t="shared" si="122"/>
        <v>82.110748000000001</v>
      </c>
      <c r="BS148" s="744" t="str">
        <f t="shared" si="123"/>
        <v/>
      </c>
      <c r="BT148" s="744">
        <f t="shared" si="124"/>
        <v>4.5475479999999999</v>
      </c>
      <c r="BU148" s="744">
        <f t="shared" si="125"/>
        <v>1.115548</v>
      </c>
      <c r="BV148" s="744" t="str">
        <f t="shared" si="126"/>
        <v/>
      </c>
      <c r="BW148" s="744" t="str">
        <f t="shared" si="127"/>
        <v/>
      </c>
      <c r="BX148" s="744" t="str">
        <f t="shared" si="128"/>
        <v/>
      </c>
      <c r="BY148" s="744" t="str">
        <f t="shared" si="129"/>
        <v/>
      </c>
      <c r="BZ148" s="744" t="str">
        <f t="shared" si="130"/>
        <v/>
      </c>
      <c r="CA148" s="744" t="str">
        <f t="shared" si="131"/>
        <v/>
      </c>
      <c r="CB148" s="744" t="str">
        <f t="shared" si="132"/>
        <v/>
      </c>
      <c r="CC148" s="744" t="str">
        <f t="shared" si="133"/>
        <v/>
      </c>
      <c r="CD148" s="744" t="str">
        <f t="shared" si="134"/>
        <v/>
      </c>
      <c r="CE148" s="744" t="str">
        <f t="shared" si="135"/>
        <v/>
      </c>
      <c r="CF148" s="744" t="str">
        <f t="shared" si="136"/>
        <v/>
      </c>
      <c r="CG148" s="744" t="str">
        <f t="shared" si="137"/>
        <v/>
      </c>
      <c r="CH148" s="744" t="str">
        <f t="shared" si="138"/>
        <v/>
      </c>
      <c r="CI148" s="744" t="str">
        <f t="shared" si="139"/>
        <v/>
      </c>
      <c r="CJ148" s="744" t="str">
        <f t="shared" si="140"/>
        <v/>
      </c>
      <c r="CK148" s="744" t="str">
        <f t="shared" si="141"/>
        <v/>
      </c>
      <c r="CL148" s="744" t="str">
        <f t="shared" si="142"/>
        <v/>
      </c>
      <c r="CM148" s="744" t="str">
        <f t="shared" si="143"/>
        <v/>
      </c>
      <c r="CN148" s="744" t="str">
        <f t="shared" si="144"/>
        <v/>
      </c>
      <c r="CO148" s="744" t="str">
        <f t="shared" si="145"/>
        <v/>
      </c>
      <c r="CP148" s="744" t="str">
        <f t="shared" si="146"/>
        <v/>
      </c>
      <c r="CQ148" s="744" t="str">
        <f t="shared" si="147"/>
        <v/>
      </c>
      <c r="CR148" s="744" t="str">
        <f t="shared" si="148"/>
        <v/>
      </c>
      <c r="CS148" s="744" t="str">
        <f t="shared" si="149"/>
        <v/>
      </c>
      <c r="CT148" s="744" t="str">
        <f t="shared" si="150"/>
        <v/>
      </c>
      <c r="CU148" s="744" t="str">
        <f t="shared" si="151"/>
        <v/>
      </c>
      <c r="CV148" s="744" t="str">
        <f t="shared" si="152"/>
        <v/>
      </c>
      <c r="CW148" s="744" t="str">
        <f t="shared" si="153"/>
        <v/>
      </c>
      <c r="CX148" s="744">
        <f t="shared" si="154"/>
        <v>0.85814800000000002</v>
      </c>
    </row>
    <row r="149" spans="1:102">
      <c r="A149" s="633">
        <v>145</v>
      </c>
      <c r="B149" s="630" t="s">
        <v>4</v>
      </c>
      <c r="C149" s="631" t="s">
        <v>251</v>
      </c>
      <c r="D149" s="630" t="s">
        <v>1390</v>
      </c>
      <c r="E149" s="632" t="s">
        <v>678</v>
      </c>
      <c r="F149" s="1067">
        <v>1</v>
      </c>
      <c r="G149" s="1066">
        <v>1</v>
      </c>
      <c r="H149" s="1070">
        <v>1</v>
      </c>
      <c r="I149" s="1070"/>
      <c r="J149" s="1070"/>
      <c r="K149" s="1070"/>
      <c r="L149" s="1072"/>
      <c r="M149" s="1070"/>
      <c r="N149" s="1070"/>
      <c r="O149" s="1070"/>
      <c r="P149" s="1073"/>
      <c r="Q149" s="1070"/>
      <c r="R149" s="1070"/>
      <c r="S149" s="1070"/>
      <c r="T149" s="1070"/>
      <c r="U149" s="1070"/>
      <c r="V149" s="1066">
        <v>118.00000000000001</v>
      </c>
      <c r="W149" s="1070">
        <v>40</v>
      </c>
      <c r="X149" s="1070">
        <v>94</v>
      </c>
      <c r="Y149" s="1070">
        <v>100</v>
      </c>
      <c r="Z149" s="1070"/>
      <c r="AA149" s="1070">
        <v>20</v>
      </c>
      <c r="AB149" s="1070">
        <v>650</v>
      </c>
      <c r="AC149" s="1070">
        <v>1960</v>
      </c>
      <c r="AD149" s="1070"/>
      <c r="AE149" s="1070">
        <v>520</v>
      </c>
      <c r="AF149" s="1070">
        <v>40</v>
      </c>
      <c r="AG149" s="1070">
        <v>60</v>
      </c>
      <c r="AH149" s="1073">
        <v>9</v>
      </c>
      <c r="AI149" s="1070"/>
      <c r="AJ149" s="1070"/>
      <c r="AK149" s="1070"/>
      <c r="AL149" s="1082"/>
      <c r="AM149" s="1069"/>
      <c r="AN149" s="1070"/>
      <c r="AO149" s="1070"/>
      <c r="AP149" s="1070"/>
      <c r="AQ149" s="1070"/>
      <c r="AR149" s="1069"/>
      <c r="AS149" s="1282"/>
      <c r="AT149" s="1282"/>
      <c r="AU149" s="1069"/>
      <c r="AV149" s="1069"/>
      <c r="AW149" s="1069"/>
      <c r="AX149" s="1070"/>
      <c r="AY149" s="1070"/>
      <c r="AZ149" s="1078">
        <f t="shared" si="107"/>
        <v>1</v>
      </c>
      <c r="BA149" s="59">
        <v>145</v>
      </c>
      <c r="BB149" s="59">
        <f t="shared" si="108"/>
        <v>145</v>
      </c>
      <c r="BC149" s="60" t="str">
        <f t="shared" si="109"/>
        <v>Matsuda Top Beef Nucleo</v>
      </c>
      <c r="BD149" s="61" t="str">
        <f ca="1">IFERROR(IF(SEARCH('Calcular Dieta'!A$3,$BC$5:$BC$310)&gt;=1,BC149,"Não encontrado"),"Não encontrado")</f>
        <v>Matsuda Top Beef Nucleo</v>
      </c>
      <c r="BE149" s="62">
        <f ca="1">COUNTIF(BD$5:BD149,"&lt;&gt;"&amp;"Não encontrado")</f>
        <v>145</v>
      </c>
      <c r="BF149" s="63" t="str">
        <f t="shared" ca="1" si="110"/>
        <v>MATSUDA TOP BEEF NUCLEO</v>
      </c>
      <c r="BG149" s="744" t="str">
        <f t="shared" si="111"/>
        <v/>
      </c>
      <c r="BH149" s="744" t="str">
        <f t="shared" si="112"/>
        <v/>
      </c>
      <c r="BI149" s="744" t="str">
        <f t="shared" si="113"/>
        <v/>
      </c>
      <c r="BJ149" s="744" t="str">
        <f t="shared" si="114"/>
        <v/>
      </c>
      <c r="BK149" s="744" t="str">
        <f t="shared" si="115"/>
        <v/>
      </c>
      <c r="BL149" s="744" t="str">
        <f t="shared" si="116"/>
        <v/>
      </c>
      <c r="BM149" s="744" t="str">
        <f t="shared" si="117"/>
        <v/>
      </c>
      <c r="BN149" s="744" t="str">
        <f t="shared" si="118"/>
        <v/>
      </c>
      <c r="BO149" s="744" t="str">
        <f t="shared" si="119"/>
        <v/>
      </c>
      <c r="BP149" s="744" t="str">
        <f t="shared" si="120"/>
        <v/>
      </c>
      <c r="BQ149" s="744" t="str">
        <f t="shared" si="121"/>
        <v/>
      </c>
      <c r="BR149" s="744" t="str">
        <f t="shared" si="122"/>
        <v/>
      </c>
      <c r="BS149" s="744" t="str">
        <f t="shared" si="123"/>
        <v/>
      </c>
      <c r="BT149" s="744">
        <f t="shared" si="124"/>
        <v>118.00014900000001</v>
      </c>
      <c r="BU149" s="744">
        <f t="shared" si="125"/>
        <v>40.000149</v>
      </c>
      <c r="BV149" s="744">
        <f t="shared" si="126"/>
        <v>94.000148999999993</v>
      </c>
      <c r="BW149" s="744">
        <f t="shared" si="127"/>
        <v>100.00014899999999</v>
      </c>
      <c r="BX149" s="744" t="str">
        <f t="shared" si="128"/>
        <v/>
      </c>
      <c r="BY149" s="744">
        <f t="shared" si="129"/>
        <v>20.000149</v>
      </c>
      <c r="BZ149" s="744">
        <f t="shared" si="130"/>
        <v>650.00014899999996</v>
      </c>
      <c r="CA149" s="744">
        <f t="shared" si="131"/>
        <v>1960.000149</v>
      </c>
      <c r="CB149" s="744" t="str">
        <f t="shared" si="132"/>
        <v/>
      </c>
      <c r="CC149" s="744">
        <f t="shared" si="133"/>
        <v>520.00014899999996</v>
      </c>
      <c r="CD149" s="744">
        <f t="shared" si="134"/>
        <v>40.000149</v>
      </c>
      <c r="CE149" s="744">
        <f t="shared" si="135"/>
        <v>60.000149</v>
      </c>
      <c r="CF149" s="744">
        <f t="shared" si="136"/>
        <v>9.0001490000000004</v>
      </c>
      <c r="CG149" s="744" t="str">
        <f t="shared" si="137"/>
        <v/>
      </c>
      <c r="CH149" s="744" t="str">
        <f t="shared" si="138"/>
        <v/>
      </c>
      <c r="CI149" s="744" t="str">
        <f t="shared" si="139"/>
        <v/>
      </c>
      <c r="CJ149" s="744" t="str">
        <f t="shared" si="140"/>
        <v/>
      </c>
      <c r="CK149" s="744" t="str">
        <f t="shared" si="141"/>
        <v/>
      </c>
      <c r="CL149" s="744" t="str">
        <f t="shared" si="142"/>
        <v/>
      </c>
      <c r="CM149" s="744" t="str">
        <f t="shared" si="143"/>
        <v/>
      </c>
      <c r="CN149" s="744" t="str">
        <f t="shared" si="144"/>
        <v/>
      </c>
      <c r="CO149" s="744" t="str">
        <f t="shared" si="145"/>
        <v/>
      </c>
      <c r="CP149" s="744" t="str">
        <f t="shared" si="146"/>
        <v/>
      </c>
      <c r="CQ149" s="744" t="str">
        <f t="shared" si="147"/>
        <v/>
      </c>
      <c r="CR149" s="744" t="str">
        <f t="shared" si="148"/>
        <v/>
      </c>
      <c r="CS149" s="744" t="str">
        <f t="shared" si="149"/>
        <v/>
      </c>
      <c r="CT149" s="744" t="str">
        <f t="shared" si="150"/>
        <v/>
      </c>
      <c r="CU149" s="744" t="str">
        <f t="shared" si="151"/>
        <v/>
      </c>
      <c r="CV149" s="744" t="str">
        <f t="shared" si="152"/>
        <v/>
      </c>
      <c r="CW149" s="744" t="str">
        <f t="shared" si="153"/>
        <v/>
      </c>
      <c r="CX149" s="744">
        <f t="shared" si="154"/>
        <v>1.000149</v>
      </c>
    </row>
    <row r="150" spans="1:102">
      <c r="A150" s="630">
        <v>146</v>
      </c>
      <c r="B150" s="630" t="s">
        <v>4</v>
      </c>
      <c r="C150" s="631" t="s">
        <v>252</v>
      </c>
      <c r="D150" s="630" t="s">
        <v>1392</v>
      </c>
      <c r="E150" s="632" t="s">
        <v>53</v>
      </c>
      <c r="F150" s="1067">
        <v>1</v>
      </c>
      <c r="G150" s="1066">
        <v>1</v>
      </c>
      <c r="H150" s="1070">
        <v>0.87</v>
      </c>
      <c r="I150" s="1070">
        <v>0.24360000000000001</v>
      </c>
      <c r="J150" s="1070">
        <v>0.1305</v>
      </c>
      <c r="K150" s="1070"/>
      <c r="L150" s="1072">
        <v>0.59160000000000001</v>
      </c>
      <c r="M150" s="1070">
        <v>2.6083644000000001</v>
      </c>
      <c r="N150" s="1070"/>
      <c r="O150" s="1070"/>
      <c r="P150" s="1073">
        <v>28.71</v>
      </c>
      <c r="Q150" s="1070">
        <v>52.199999999999996</v>
      </c>
      <c r="R150" s="1070">
        <v>20.88</v>
      </c>
      <c r="S150" s="1070"/>
      <c r="T150" s="1070"/>
      <c r="U150" s="1070"/>
      <c r="V150" s="1066">
        <v>0.6090000000000001</v>
      </c>
      <c r="W150" s="1070">
        <v>2.1749999999999998</v>
      </c>
      <c r="X150" s="1070">
        <v>1.2180000000000002</v>
      </c>
      <c r="Y150" s="1070">
        <v>0.17399999999999999</v>
      </c>
      <c r="Z150" s="1070">
        <v>4.6109999999999998</v>
      </c>
      <c r="AA150" s="1070">
        <v>1.3919999999999999</v>
      </c>
      <c r="AB150" s="1070">
        <v>6.96</v>
      </c>
      <c r="AC150" s="1070">
        <v>12.18</v>
      </c>
      <c r="AD150" s="1070">
        <v>65.25</v>
      </c>
      <c r="AE150" s="1070">
        <v>10.44</v>
      </c>
      <c r="AF150" s="1070">
        <v>2.6099999999999998E-2</v>
      </c>
      <c r="AG150" s="1070">
        <v>0.2697</v>
      </c>
      <c r="AH150" s="1073">
        <v>7.8299999999999995E-2</v>
      </c>
      <c r="AI150" s="1070"/>
      <c r="AJ150" s="1070"/>
      <c r="AK150" s="1070"/>
      <c r="AL150" s="1082"/>
      <c r="AM150" s="1069"/>
      <c r="AN150" s="1070"/>
      <c r="AO150" s="1070"/>
      <c r="AP150" s="1070"/>
      <c r="AQ150" s="1070"/>
      <c r="AR150" s="1069"/>
      <c r="AS150" s="1282"/>
      <c r="AT150" s="1282"/>
      <c r="AU150" s="1069"/>
      <c r="AV150" s="1069"/>
      <c r="AW150" s="1069"/>
      <c r="AX150" s="1070"/>
      <c r="AY150" s="1070"/>
      <c r="AZ150" s="1078">
        <f t="shared" si="107"/>
        <v>0.87</v>
      </c>
      <c r="BA150" s="59">
        <v>146</v>
      </c>
      <c r="BB150" s="59">
        <f t="shared" si="108"/>
        <v>146</v>
      </c>
      <c r="BC150" s="60" t="str">
        <f t="shared" si="109"/>
        <v>MDPS</v>
      </c>
      <c r="BD150" s="61" t="str">
        <f ca="1">IFERROR(IF(SEARCH('Calcular Dieta'!A$3,$BC$5:$BC$310)&gt;=1,BC150,"Não encontrado"),"Não encontrado")</f>
        <v>MDPS</v>
      </c>
      <c r="BE150" s="62">
        <f ca="1">COUNTIF(BD$5:BD150,"&lt;&gt;"&amp;"Não encontrado")</f>
        <v>146</v>
      </c>
      <c r="BF150" s="63" t="str">
        <f t="shared" ca="1" si="110"/>
        <v>MDPS</v>
      </c>
      <c r="BG150" s="744">
        <f t="shared" si="111"/>
        <v>0.24375000000000002</v>
      </c>
      <c r="BH150" s="744">
        <f t="shared" si="112"/>
        <v>0.13065000000000002</v>
      </c>
      <c r="BI150" s="744" t="str">
        <f t="shared" si="113"/>
        <v/>
      </c>
      <c r="BJ150" s="744">
        <f t="shared" si="114"/>
        <v>0.59175</v>
      </c>
      <c r="BK150" s="744">
        <f t="shared" si="115"/>
        <v>2.6085144000000002</v>
      </c>
      <c r="BL150" s="744" t="str">
        <f t="shared" si="116"/>
        <v/>
      </c>
      <c r="BM150" s="744" t="str">
        <f t="shared" si="117"/>
        <v/>
      </c>
      <c r="BN150" s="744">
        <f t="shared" si="118"/>
        <v>28.710150000000002</v>
      </c>
      <c r="BO150" s="744">
        <f t="shared" si="119"/>
        <v>52.200149999999994</v>
      </c>
      <c r="BP150" s="744">
        <f t="shared" si="120"/>
        <v>20.88015</v>
      </c>
      <c r="BQ150" s="744" t="str">
        <f t="shared" si="121"/>
        <v/>
      </c>
      <c r="BR150" s="744" t="str">
        <f t="shared" si="122"/>
        <v/>
      </c>
      <c r="BS150" s="744" t="str">
        <f t="shared" si="123"/>
        <v/>
      </c>
      <c r="BT150" s="744">
        <f t="shared" si="124"/>
        <v>0.60915000000000008</v>
      </c>
      <c r="BU150" s="744">
        <f t="shared" si="125"/>
        <v>2.1751499999999999</v>
      </c>
      <c r="BV150" s="744">
        <f t="shared" si="126"/>
        <v>1.2181500000000003</v>
      </c>
      <c r="BW150" s="744">
        <f t="shared" si="127"/>
        <v>0.17415</v>
      </c>
      <c r="BX150" s="744">
        <f t="shared" si="128"/>
        <v>4.6111499999999994</v>
      </c>
      <c r="BY150" s="744">
        <f t="shared" si="129"/>
        <v>1.39215</v>
      </c>
      <c r="BZ150" s="744">
        <f t="shared" si="130"/>
        <v>6.9601499999999996</v>
      </c>
      <c r="CA150" s="744">
        <f t="shared" si="131"/>
        <v>12.180149999999999</v>
      </c>
      <c r="CB150" s="744">
        <f t="shared" si="132"/>
        <v>65.250150000000005</v>
      </c>
      <c r="CC150" s="744">
        <f t="shared" si="133"/>
        <v>10.440149999999999</v>
      </c>
      <c r="CD150" s="744">
        <f t="shared" si="134"/>
        <v>2.6249999999999999E-2</v>
      </c>
      <c r="CE150" s="744">
        <f t="shared" si="135"/>
        <v>0.26984999999999998</v>
      </c>
      <c r="CF150" s="744">
        <f t="shared" si="136"/>
        <v>7.8449999999999992E-2</v>
      </c>
      <c r="CG150" s="744" t="str">
        <f t="shared" si="137"/>
        <v/>
      </c>
      <c r="CH150" s="744" t="str">
        <f t="shared" si="138"/>
        <v/>
      </c>
      <c r="CI150" s="744" t="str">
        <f t="shared" si="139"/>
        <v/>
      </c>
      <c r="CJ150" s="744" t="str">
        <f t="shared" si="140"/>
        <v/>
      </c>
      <c r="CK150" s="744" t="str">
        <f t="shared" si="141"/>
        <v/>
      </c>
      <c r="CL150" s="744" t="str">
        <f t="shared" si="142"/>
        <v/>
      </c>
      <c r="CM150" s="744" t="str">
        <f t="shared" si="143"/>
        <v/>
      </c>
      <c r="CN150" s="744" t="str">
        <f t="shared" si="144"/>
        <v/>
      </c>
      <c r="CO150" s="744" t="str">
        <f t="shared" si="145"/>
        <v/>
      </c>
      <c r="CP150" s="744" t="str">
        <f t="shared" si="146"/>
        <v/>
      </c>
      <c r="CQ150" s="744" t="str">
        <f t="shared" si="147"/>
        <v/>
      </c>
      <c r="CR150" s="744" t="str">
        <f t="shared" si="148"/>
        <v/>
      </c>
      <c r="CS150" s="744" t="str">
        <f t="shared" si="149"/>
        <v/>
      </c>
      <c r="CT150" s="744" t="str">
        <f t="shared" si="150"/>
        <v/>
      </c>
      <c r="CU150" s="744" t="str">
        <f t="shared" si="151"/>
        <v/>
      </c>
      <c r="CV150" s="744" t="str">
        <f t="shared" si="152"/>
        <v/>
      </c>
      <c r="CW150" s="744" t="str">
        <f t="shared" si="153"/>
        <v/>
      </c>
      <c r="CX150" s="744">
        <f t="shared" si="154"/>
        <v>0.87014999999999998</v>
      </c>
    </row>
    <row r="151" spans="1:102">
      <c r="A151" s="633">
        <v>147</v>
      </c>
      <c r="B151" s="630" t="s">
        <v>4</v>
      </c>
      <c r="C151" s="631" t="s">
        <v>252</v>
      </c>
      <c r="D151" s="630" t="s">
        <v>1390</v>
      </c>
      <c r="E151" s="632" t="s">
        <v>52</v>
      </c>
      <c r="F151" s="1067">
        <v>1</v>
      </c>
      <c r="G151" s="1066">
        <v>1</v>
      </c>
      <c r="H151" s="1070">
        <v>0.75470000000000004</v>
      </c>
      <c r="I151" s="1070"/>
      <c r="J151" s="1070"/>
      <c r="K151" s="1070">
        <v>0.63621210000000006</v>
      </c>
      <c r="L151" s="1072">
        <v>0.5947036</v>
      </c>
      <c r="M151" s="1070">
        <v>2.9011219999999995</v>
      </c>
      <c r="N151" s="1070"/>
      <c r="O151" s="1070"/>
      <c r="P151" s="1073">
        <v>10.867680000000002</v>
      </c>
      <c r="Q151" s="1070">
        <v>24.30134</v>
      </c>
      <c r="R151" s="1070">
        <v>23.093820000000004</v>
      </c>
      <c r="S151" s="1279">
        <v>1.2075199999999953</v>
      </c>
      <c r="T151" s="1070"/>
      <c r="U151" s="1070"/>
      <c r="V151" s="1066">
        <v>6.1885399999999997</v>
      </c>
      <c r="W151" s="1070">
        <v>0.52829000000000004</v>
      </c>
      <c r="X151" s="1070">
        <v>2.7923900000000001</v>
      </c>
      <c r="Y151" s="1070">
        <v>1.504</v>
      </c>
      <c r="Z151" s="1070">
        <v>7.3960600000000003</v>
      </c>
      <c r="AA151" s="1070">
        <v>1.81128</v>
      </c>
      <c r="AB151" s="1070">
        <v>19.739999999999998</v>
      </c>
      <c r="AC151" s="1070">
        <v>21.62</v>
      </c>
      <c r="AD151" s="1070">
        <v>235</v>
      </c>
      <c r="AE151" s="1070">
        <v>77.08</v>
      </c>
      <c r="AF151" s="1070">
        <v>1.974</v>
      </c>
      <c r="AG151" s="1070">
        <v>1.1374</v>
      </c>
      <c r="AH151" s="1073"/>
      <c r="AI151" s="1070"/>
      <c r="AJ151" s="1070"/>
      <c r="AK151" s="1070"/>
      <c r="AL151" s="1082"/>
      <c r="AM151" s="1069"/>
      <c r="AN151" s="1070"/>
      <c r="AO151" s="1070"/>
      <c r="AP151" s="1070"/>
      <c r="AQ151" s="1070"/>
      <c r="AR151" s="1069"/>
      <c r="AS151" s="1282"/>
      <c r="AT151" s="1282"/>
      <c r="AU151" s="1069"/>
      <c r="AV151" s="1069"/>
      <c r="AW151" s="1069"/>
      <c r="AX151" s="1070"/>
      <c r="AY151" s="1070"/>
      <c r="AZ151" s="1078">
        <f t="shared" si="107"/>
        <v>0.75470000000000004</v>
      </c>
      <c r="BA151" s="59">
        <v>147</v>
      </c>
      <c r="BB151" s="59">
        <f t="shared" si="108"/>
        <v>147</v>
      </c>
      <c r="BC151" s="60" t="str">
        <f t="shared" si="109"/>
        <v>Melaço</v>
      </c>
      <c r="BD151" s="61" t="str">
        <f ca="1">IFERROR(IF(SEARCH('Calcular Dieta'!A$3,$BC$5:$BC$310)&gt;=1,BC151,"Não encontrado"),"Não encontrado")</f>
        <v>Melaço</v>
      </c>
      <c r="BE151" s="62">
        <f ca="1">COUNTIF(BD$5:BD151,"&lt;&gt;"&amp;"Não encontrado")</f>
        <v>147</v>
      </c>
      <c r="BF151" s="63" t="str">
        <f t="shared" ca="1" si="110"/>
        <v>MELAÇO</v>
      </c>
      <c r="BG151" s="744" t="str">
        <f t="shared" si="111"/>
        <v/>
      </c>
      <c r="BH151" s="744" t="str">
        <f t="shared" si="112"/>
        <v/>
      </c>
      <c r="BI151" s="744">
        <f t="shared" si="113"/>
        <v>0.63636310000000007</v>
      </c>
      <c r="BJ151" s="744">
        <f t="shared" si="114"/>
        <v>0.59485460000000001</v>
      </c>
      <c r="BK151" s="744">
        <f t="shared" si="115"/>
        <v>2.9012729999999993</v>
      </c>
      <c r="BL151" s="744" t="str">
        <f t="shared" si="116"/>
        <v/>
      </c>
      <c r="BM151" s="744" t="str">
        <f t="shared" si="117"/>
        <v/>
      </c>
      <c r="BN151" s="744">
        <f t="shared" si="118"/>
        <v>10.867831000000002</v>
      </c>
      <c r="BO151" s="744">
        <f t="shared" si="119"/>
        <v>24.301490999999999</v>
      </c>
      <c r="BP151" s="744">
        <f t="shared" si="120"/>
        <v>23.093971000000003</v>
      </c>
      <c r="BQ151" s="744">
        <f t="shared" si="121"/>
        <v>1.2076709999999953</v>
      </c>
      <c r="BR151" s="744" t="str">
        <f t="shared" si="122"/>
        <v/>
      </c>
      <c r="BS151" s="744" t="str">
        <f t="shared" si="123"/>
        <v/>
      </c>
      <c r="BT151" s="744">
        <f t="shared" si="124"/>
        <v>6.1886909999999995</v>
      </c>
      <c r="BU151" s="744">
        <f t="shared" si="125"/>
        <v>0.52844100000000005</v>
      </c>
      <c r="BV151" s="744">
        <f t="shared" si="126"/>
        <v>2.7925409999999999</v>
      </c>
      <c r="BW151" s="744">
        <f t="shared" si="127"/>
        <v>1.504151</v>
      </c>
      <c r="BX151" s="744">
        <f t="shared" si="128"/>
        <v>7.3962110000000001</v>
      </c>
      <c r="BY151" s="744">
        <f t="shared" si="129"/>
        <v>1.811431</v>
      </c>
      <c r="BZ151" s="744">
        <f t="shared" si="130"/>
        <v>19.740150999999997</v>
      </c>
      <c r="CA151" s="744">
        <f t="shared" si="131"/>
        <v>21.620151</v>
      </c>
      <c r="CB151" s="744">
        <f t="shared" si="132"/>
        <v>235.00015099999999</v>
      </c>
      <c r="CC151" s="744">
        <f t="shared" si="133"/>
        <v>77.080151000000001</v>
      </c>
      <c r="CD151" s="744">
        <f t="shared" si="134"/>
        <v>1.974151</v>
      </c>
      <c r="CE151" s="744">
        <f t="shared" si="135"/>
        <v>1.137551</v>
      </c>
      <c r="CF151" s="744" t="str">
        <f t="shared" si="136"/>
        <v/>
      </c>
      <c r="CG151" s="744" t="str">
        <f t="shared" si="137"/>
        <v/>
      </c>
      <c r="CH151" s="744" t="str">
        <f t="shared" si="138"/>
        <v/>
      </c>
      <c r="CI151" s="744" t="str">
        <f t="shared" si="139"/>
        <v/>
      </c>
      <c r="CJ151" s="744" t="str">
        <f t="shared" si="140"/>
        <v/>
      </c>
      <c r="CK151" s="744" t="str">
        <f t="shared" si="141"/>
        <v/>
      </c>
      <c r="CL151" s="744" t="str">
        <f t="shared" si="142"/>
        <v/>
      </c>
      <c r="CM151" s="744" t="str">
        <f t="shared" si="143"/>
        <v/>
      </c>
      <c r="CN151" s="744" t="str">
        <f t="shared" si="144"/>
        <v/>
      </c>
      <c r="CO151" s="744" t="str">
        <f t="shared" si="145"/>
        <v/>
      </c>
      <c r="CP151" s="744" t="str">
        <f t="shared" si="146"/>
        <v/>
      </c>
      <c r="CQ151" s="744" t="str">
        <f t="shared" si="147"/>
        <v/>
      </c>
      <c r="CR151" s="744" t="str">
        <f t="shared" si="148"/>
        <v/>
      </c>
      <c r="CS151" s="744" t="str">
        <f t="shared" si="149"/>
        <v/>
      </c>
      <c r="CT151" s="744" t="str">
        <f t="shared" si="150"/>
        <v/>
      </c>
      <c r="CU151" s="744" t="str">
        <f t="shared" si="151"/>
        <v/>
      </c>
      <c r="CV151" s="744" t="str">
        <f t="shared" si="152"/>
        <v/>
      </c>
      <c r="CW151" s="744" t="str">
        <f t="shared" si="153"/>
        <v/>
      </c>
      <c r="CX151" s="744">
        <f t="shared" si="154"/>
        <v>0.75485100000000005</v>
      </c>
    </row>
    <row r="152" spans="1:102">
      <c r="A152" s="630">
        <v>148</v>
      </c>
      <c r="B152" s="630" t="s">
        <v>3</v>
      </c>
      <c r="C152" s="631" t="s">
        <v>249</v>
      </c>
      <c r="D152" s="630" t="s">
        <v>1390</v>
      </c>
      <c r="E152" s="632" t="s">
        <v>209</v>
      </c>
      <c r="F152" s="1067">
        <v>1</v>
      </c>
      <c r="G152" s="1066">
        <v>1</v>
      </c>
      <c r="H152" s="1070">
        <v>0.19829999999999998</v>
      </c>
      <c r="I152" s="1070">
        <v>0.12403664999999997</v>
      </c>
      <c r="J152" s="1070">
        <v>6.0999999999999999E-2</v>
      </c>
      <c r="K152" s="1070">
        <v>2.8515539999999999E-2</v>
      </c>
      <c r="L152" s="1072">
        <v>0.11888085</v>
      </c>
      <c r="M152" s="1070"/>
      <c r="N152" s="1070">
        <v>2.2000000000000002</v>
      </c>
      <c r="O152" s="1070"/>
      <c r="P152" s="1073">
        <v>6.0679799999999995</v>
      </c>
      <c r="Q152" s="1070">
        <v>24.252089999999995</v>
      </c>
      <c r="R152" s="1070"/>
      <c r="S152" s="1070"/>
      <c r="T152" s="1070"/>
      <c r="U152" s="1070"/>
      <c r="V152" s="1066">
        <v>1.4277599999999997</v>
      </c>
      <c r="W152" s="1070">
        <v>0.51557999999999993</v>
      </c>
      <c r="X152" s="1070"/>
      <c r="Y152" s="1070"/>
      <c r="Z152" s="1070"/>
      <c r="AA152" s="1070"/>
      <c r="AB152" s="1070"/>
      <c r="AC152" s="1070"/>
      <c r="AD152" s="1070"/>
      <c r="AE152" s="1070"/>
      <c r="AF152" s="1070"/>
      <c r="AG152" s="1070"/>
      <c r="AH152" s="1073"/>
      <c r="AI152" s="1070"/>
      <c r="AJ152" s="1070"/>
      <c r="AK152" s="1070"/>
      <c r="AL152" s="1082"/>
      <c r="AM152" s="1069"/>
      <c r="AN152" s="1070"/>
      <c r="AO152" s="1070"/>
      <c r="AP152" s="1070"/>
      <c r="AQ152" s="1070"/>
      <c r="AR152" s="1069"/>
      <c r="AS152" s="1282"/>
      <c r="AT152" s="1282"/>
      <c r="AU152" s="1069"/>
      <c r="AV152" s="1069"/>
      <c r="AW152" s="1069"/>
      <c r="AX152" s="1070"/>
      <c r="AY152" s="1070"/>
      <c r="AZ152" s="1078">
        <f t="shared" si="107"/>
        <v>0.19829999999999998</v>
      </c>
      <c r="BA152" s="59">
        <v>148</v>
      </c>
      <c r="BB152" s="59">
        <f t="shared" si="108"/>
        <v>148</v>
      </c>
      <c r="BC152" s="60" t="str">
        <f t="shared" si="109"/>
        <v>Milheto</v>
      </c>
      <c r="BD152" s="61" t="str">
        <f ca="1">IFERROR(IF(SEARCH('Calcular Dieta'!A$3,$BC$5:$BC$310)&gt;=1,BC152,"Não encontrado"),"Não encontrado")</f>
        <v>Milheto</v>
      </c>
      <c r="BE152" s="62">
        <f ca="1">COUNTIF(BD$5:BD152,"&lt;&gt;"&amp;"Não encontrado")</f>
        <v>148</v>
      </c>
      <c r="BF152" s="63" t="str">
        <f t="shared" ca="1" si="110"/>
        <v>MILHETO</v>
      </c>
      <c r="BG152" s="744">
        <f t="shared" si="111"/>
        <v>0.12418864999999997</v>
      </c>
      <c r="BH152" s="744">
        <f t="shared" si="112"/>
        <v>6.1151999999999998E-2</v>
      </c>
      <c r="BI152" s="744">
        <f t="shared" si="113"/>
        <v>2.8667539999999998E-2</v>
      </c>
      <c r="BJ152" s="744">
        <f t="shared" si="114"/>
        <v>0.11903285</v>
      </c>
      <c r="BK152" s="744" t="str">
        <f t="shared" si="115"/>
        <v/>
      </c>
      <c r="BL152" s="744">
        <f t="shared" si="116"/>
        <v>2.2001520000000001</v>
      </c>
      <c r="BM152" s="744" t="str">
        <f t="shared" si="117"/>
        <v/>
      </c>
      <c r="BN152" s="744">
        <f t="shared" si="118"/>
        <v>6.0681319999999994</v>
      </c>
      <c r="BO152" s="744">
        <f t="shared" si="119"/>
        <v>24.252241999999995</v>
      </c>
      <c r="BP152" s="744" t="str">
        <f t="shared" si="120"/>
        <v/>
      </c>
      <c r="BQ152" s="744" t="str">
        <f t="shared" si="121"/>
        <v/>
      </c>
      <c r="BR152" s="744" t="str">
        <f t="shared" si="122"/>
        <v/>
      </c>
      <c r="BS152" s="744" t="str">
        <f t="shared" si="123"/>
        <v/>
      </c>
      <c r="BT152" s="744">
        <f t="shared" si="124"/>
        <v>1.4279119999999996</v>
      </c>
      <c r="BU152" s="744">
        <f t="shared" si="125"/>
        <v>0.51573199999999997</v>
      </c>
      <c r="BV152" s="744" t="str">
        <f t="shared" si="126"/>
        <v/>
      </c>
      <c r="BW152" s="744" t="str">
        <f t="shared" si="127"/>
        <v/>
      </c>
      <c r="BX152" s="744" t="str">
        <f t="shared" si="128"/>
        <v/>
      </c>
      <c r="BY152" s="744" t="str">
        <f t="shared" si="129"/>
        <v/>
      </c>
      <c r="BZ152" s="744" t="str">
        <f t="shared" si="130"/>
        <v/>
      </c>
      <c r="CA152" s="744" t="str">
        <f t="shared" si="131"/>
        <v/>
      </c>
      <c r="CB152" s="744" t="str">
        <f t="shared" si="132"/>
        <v/>
      </c>
      <c r="CC152" s="744" t="str">
        <f t="shared" si="133"/>
        <v/>
      </c>
      <c r="CD152" s="744" t="str">
        <f t="shared" si="134"/>
        <v/>
      </c>
      <c r="CE152" s="744" t="str">
        <f t="shared" si="135"/>
        <v/>
      </c>
      <c r="CF152" s="744" t="str">
        <f t="shared" si="136"/>
        <v/>
      </c>
      <c r="CG152" s="744" t="str">
        <f t="shared" si="137"/>
        <v/>
      </c>
      <c r="CH152" s="744" t="str">
        <f t="shared" si="138"/>
        <v/>
      </c>
      <c r="CI152" s="744" t="str">
        <f t="shared" si="139"/>
        <v/>
      </c>
      <c r="CJ152" s="744" t="str">
        <f t="shared" si="140"/>
        <v/>
      </c>
      <c r="CK152" s="744" t="str">
        <f t="shared" si="141"/>
        <v/>
      </c>
      <c r="CL152" s="744" t="str">
        <f t="shared" si="142"/>
        <v/>
      </c>
      <c r="CM152" s="744" t="str">
        <f t="shared" si="143"/>
        <v/>
      </c>
      <c r="CN152" s="744" t="str">
        <f t="shared" si="144"/>
        <v/>
      </c>
      <c r="CO152" s="744" t="str">
        <f t="shared" si="145"/>
        <v/>
      </c>
      <c r="CP152" s="744" t="str">
        <f t="shared" si="146"/>
        <v/>
      </c>
      <c r="CQ152" s="744" t="str">
        <f t="shared" si="147"/>
        <v/>
      </c>
      <c r="CR152" s="744" t="str">
        <f t="shared" si="148"/>
        <v/>
      </c>
      <c r="CS152" s="744" t="str">
        <f t="shared" si="149"/>
        <v/>
      </c>
      <c r="CT152" s="744" t="str">
        <f t="shared" si="150"/>
        <v/>
      </c>
      <c r="CU152" s="744" t="str">
        <f t="shared" si="151"/>
        <v/>
      </c>
      <c r="CV152" s="744" t="str">
        <f t="shared" si="152"/>
        <v/>
      </c>
      <c r="CW152" s="744" t="str">
        <f t="shared" si="153"/>
        <v/>
      </c>
      <c r="CX152" s="744">
        <f t="shared" si="154"/>
        <v>0.19845199999999999</v>
      </c>
    </row>
    <row r="153" spans="1:102">
      <c r="A153" s="633">
        <v>149</v>
      </c>
      <c r="B153" s="630" t="s">
        <v>4</v>
      </c>
      <c r="C153" s="631" t="s">
        <v>252</v>
      </c>
      <c r="D153" s="630" t="s">
        <v>1390</v>
      </c>
      <c r="E153" s="632" t="s">
        <v>210</v>
      </c>
      <c r="F153" s="1067">
        <v>0.3</v>
      </c>
      <c r="G153" s="1066">
        <v>1</v>
      </c>
      <c r="H153" s="1070">
        <v>0.87890000000000001</v>
      </c>
      <c r="I153" s="1070">
        <v>0.31297628999999999</v>
      </c>
      <c r="J153" s="1070">
        <v>0.12620000000000001</v>
      </c>
      <c r="K153" s="1070">
        <v>0.50976199999999994</v>
      </c>
      <c r="L153" s="1072">
        <v>0.66690931999999992</v>
      </c>
      <c r="M153" s="1070"/>
      <c r="N153" s="1070">
        <v>2.77</v>
      </c>
      <c r="O153" s="1070"/>
      <c r="P153" s="1073">
        <v>27.68535</v>
      </c>
      <c r="Q153" s="1070">
        <v>62.050339999999998</v>
      </c>
      <c r="R153" s="1070">
        <v>33.573979999999999</v>
      </c>
      <c r="S153" s="1279">
        <v>28.47636</v>
      </c>
      <c r="T153" s="1070">
        <v>44.384450000000001</v>
      </c>
      <c r="U153" s="1070"/>
      <c r="V153" s="1066">
        <v>0.35155999999999998</v>
      </c>
      <c r="W153" s="1070">
        <v>1.9335800000000001</v>
      </c>
      <c r="X153" s="1070">
        <v>0.87890000000000001</v>
      </c>
      <c r="Y153" s="1070">
        <v>8.7889999999999996E-2</v>
      </c>
      <c r="Z153" s="1070">
        <v>2.9003700000000001</v>
      </c>
      <c r="AA153" s="1070">
        <v>0.52733999999999992</v>
      </c>
      <c r="AB153" s="1070">
        <v>6.66</v>
      </c>
      <c r="AC153" s="1070">
        <v>40.409999999999997</v>
      </c>
      <c r="AD153" s="1070"/>
      <c r="AE153" s="1070">
        <v>11.89</v>
      </c>
      <c r="AF153" s="1070"/>
      <c r="AG153" s="1070">
        <v>0.37</v>
      </c>
      <c r="AH153" s="1073"/>
      <c r="AI153" s="1070"/>
      <c r="AJ153" s="1070"/>
      <c r="AK153" s="1070"/>
      <c r="AL153" s="1082"/>
      <c r="AM153" s="1069"/>
      <c r="AN153" s="1070"/>
      <c r="AO153" s="1070"/>
      <c r="AP153" s="1070"/>
      <c r="AQ153" s="1070"/>
      <c r="AR153" s="1069"/>
      <c r="AS153" s="1282"/>
      <c r="AT153" s="1282"/>
      <c r="AU153" s="1069"/>
      <c r="AV153" s="1069"/>
      <c r="AW153" s="1069"/>
      <c r="AX153" s="1070"/>
      <c r="AY153" s="1070"/>
      <c r="AZ153" s="1078">
        <f t="shared" si="107"/>
        <v>0.87890000000000001</v>
      </c>
      <c r="BA153" s="59">
        <v>149</v>
      </c>
      <c r="BB153" s="59">
        <f t="shared" si="108"/>
        <v>149</v>
      </c>
      <c r="BC153" s="60" t="str">
        <f t="shared" si="109"/>
        <v>Milho Desintegrado com Palha e Sabugo</v>
      </c>
      <c r="BD153" s="61" t="str">
        <f ca="1">IFERROR(IF(SEARCH('Calcular Dieta'!A$3,$BC$5:$BC$310)&gt;=1,BC153,"Não encontrado"),"Não encontrado")</f>
        <v>Milho Desintegrado com Palha e Sabugo</v>
      </c>
      <c r="BE153" s="62">
        <f ca="1">COUNTIF(BD$5:BD153,"&lt;&gt;"&amp;"Não encontrado")</f>
        <v>149</v>
      </c>
      <c r="BF153" s="63" t="str">
        <f t="shared" ca="1" si="110"/>
        <v>MILHO DESINTEGRADO COM PALHA E SABUGO</v>
      </c>
      <c r="BG153" s="744">
        <f t="shared" si="111"/>
        <v>0.31312929</v>
      </c>
      <c r="BH153" s="744">
        <f t="shared" si="112"/>
        <v>0.12635299999999999</v>
      </c>
      <c r="BI153" s="744">
        <f t="shared" si="113"/>
        <v>0.5099149999999999</v>
      </c>
      <c r="BJ153" s="744">
        <f t="shared" si="114"/>
        <v>0.66706231999999988</v>
      </c>
      <c r="BK153" s="744" t="str">
        <f t="shared" si="115"/>
        <v/>
      </c>
      <c r="BL153" s="744">
        <f t="shared" si="116"/>
        <v>2.7701530000000001</v>
      </c>
      <c r="BM153" s="744" t="str">
        <f t="shared" si="117"/>
        <v/>
      </c>
      <c r="BN153" s="744">
        <f t="shared" si="118"/>
        <v>27.685503000000001</v>
      </c>
      <c r="BO153" s="744">
        <f t="shared" si="119"/>
        <v>62.050492999999996</v>
      </c>
      <c r="BP153" s="744">
        <f t="shared" si="120"/>
        <v>33.574132999999996</v>
      </c>
      <c r="BQ153" s="744">
        <f t="shared" si="121"/>
        <v>28.476513000000001</v>
      </c>
      <c r="BR153" s="744">
        <f t="shared" si="122"/>
        <v>44.384602999999998</v>
      </c>
      <c r="BS153" s="744" t="str">
        <f t="shared" si="123"/>
        <v/>
      </c>
      <c r="BT153" s="744">
        <f t="shared" si="124"/>
        <v>0.351713</v>
      </c>
      <c r="BU153" s="744">
        <f t="shared" si="125"/>
        <v>1.9337330000000001</v>
      </c>
      <c r="BV153" s="744">
        <f t="shared" si="126"/>
        <v>0.87905299999999997</v>
      </c>
      <c r="BW153" s="744">
        <f t="shared" si="127"/>
        <v>8.8042999999999996E-2</v>
      </c>
      <c r="BX153" s="744">
        <f t="shared" si="128"/>
        <v>2.9005230000000002</v>
      </c>
      <c r="BY153" s="744">
        <f t="shared" si="129"/>
        <v>0.52749299999999988</v>
      </c>
      <c r="BZ153" s="744">
        <f t="shared" si="130"/>
        <v>6.6601530000000002</v>
      </c>
      <c r="CA153" s="744">
        <f t="shared" si="131"/>
        <v>40.410152999999994</v>
      </c>
      <c r="CB153" s="744" t="str">
        <f t="shared" si="132"/>
        <v/>
      </c>
      <c r="CC153" s="744">
        <f t="shared" si="133"/>
        <v>11.890153</v>
      </c>
      <c r="CD153" s="744" t="str">
        <f t="shared" si="134"/>
        <v/>
      </c>
      <c r="CE153" s="744">
        <f t="shared" si="135"/>
        <v>0.37015300000000001</v>
      </c>
      <c r="CF153" s="744" t="str">
        <f t="shared" si="136"/>
        <v/>
      </c>
      <c r="CG153" s="744" t="str">
        <f t="shared" si="137"/>
        <v/>
      </c>
      <c r="CH153" s="744" t="str">
        <f t="shared" si="138"/>
        <v/>
      </c>
      <c r="CI153" s="744" t="str">
        <f t="shared" si="139"/>
        <v/>
      </c>
      <c r="CJ153" s="744" t="str">
        <f t="shared" si="140"/>
        <v/>
      </c>
      <c r="CK153" s="744" t="str">
        <f t="shared" si="141"/>
        <v/>
      </c>
      <c r="CL153" s="744" t="str">
        <f t="shared" si="142"/>
        <v/>
      </c>
      <c r="CM153" s="744" t="str">
        <f t="shared" si="143"/>
        <v/>
      </c>
      <c r="CN153" s="744" t="str">
        <f t="shared" si="144"/>
        <v/>
      </c>
      <c r="CO153" s="744" t="str">
        <f t="shared" si="145"/>
        <v/>
      </c>
      <c r="CP153" s="744" t="str">
        <f t="shared" si="146"/>
        <v/>
      </c>
      <c r="CQ153" s="744" t="str">
        <f t="shared" si="147"/>
        <v/>
      </c>
      <c r="CR153" s="744" t="str">
        <f t="shared" si="148"/>
        <v/>
      </c>
      <c r="CS153" s="744" t="str">
        <f t="shared" si="149"/>
        <v/>
      </c>
      <c r="CT153" s="744" t="str">
        <f t="shared" si="150"/>
        <v/>
      </c>
      <c r="CU153" s="744" t="str">
        <f t="shared" si="151"/>
        <v/>
      </c>
      <c r="CV153" s="744" t="str">
        <f t="shared" si="152"/>
        <v/>
      </c>
      <c r="CW153" s="744" t="str">
        <f t="shared" si="153"/>
        <v/>
      </c>
      <c r="CX153" s="744">
        <f t="shared" si="154"/>
        <v>0.87905299999999997</v>
      </c>
    </row>
    <row r="154" spans="1:102">
      <c r="A154" s="630">
        <v>150</v>
      </c>
      <c r="B154" s="630" t="s">
        <v>4</v>
      </c>
      <c r="C154" s="631" t="s">
        <v>252</v>
      </c>
      <c r="D154" s="630" t="s">
        <v>1390</v>
      </c>
      <c r="E154" s="632" t="s">
        <v>211</v>
      </c>
      <c r="F154" s="1067">
        <v>1</v>
      </c>
      <c r="G154" s="1066">
        <v>1</v>
      </c>
      <c r="H154" s="1070">
        <v>0.8990999999999999</v>
      </c>
      <c r="I154" s="1070">
        <v>0.27872099999999994</v>
      </c>
      <c r="J154" s="1070">
        <v>6.0779159999999992E-2</v>
      </c>
      <c r="K154" s="1070">
        <v>0.27800171999999995</v>
      </c>
      <c r="L154" s="1072">
        <v>0.89181728999999998</v>
      </c>
      <c r="M154" s="1070"/>
      <c r="N154" s="1070"/>
      <c r="O154" s="1070"/>
      <c r="P154" s="1073">
        <v>206.07371999999998</v>
      </c>
      <c r="Q154" s="1070">
        <v>99.080819999999989</v>
      </c>
      <c r="R154" s="1070">
        <v>71.86331874599999</v>
      </c>
      <c r="S154" s="1279">
        <v>27.217501253999998</v>
      </c>
      <c r="T154" s="1070"/>
      <c r="U154" s="1070"/>
      <c r="V154" s="1066">
        <v>0.26972999999999997</v>
      </c>
      <c r="W154" s="1070">
        <v>3.7762199999999995</v>
      </c>
      <c r="X154" s="1070">
        <v>1.7981999999999998</v>
      </c>
      <c r="Y154" s="1070">
        <v>0.8990999999999999</v>
      </c>
      <c r="Z154" s="1070">
        <v>6.65334</v>
      </c>
      <c r="AA154" s="1070">
        <v>0</v>
      </c>
      <c r="AB154" s="1070">
        <v>11.8</v>
      </c>
      <c r="AC154" s="1070">
        <v>43.99</v>
      </c>
      <c r="AD154" s="1070"/>
      <c r="AE154" s="1070">
        <v>19.920000000000002</v>
      </c>
      <c r="AF154" s="1070">
        <v>0</v>
      </c>
      <c r="AG154" s="1070"/>
      <c r="AH154" s="1073">
        <v>0</v>
      </c>
      <c r="AI154" s="1070"/>
      <c r="AJ154" s="1070"/>
      <c r="AK154" s="1070"/>
      <c r="AL154" s="1082"/>
      <c r="AM154" s="1069"/>
      <c r="AN154" s="1070"/>
      <c r="AO154" s="1070"/>
      <c r="AP154" s="1070"/>
      <c r="AQ154" s="1070"/>
      <c r="AR154" s="1069"/>
      <c r="AS154" s="1282"/>
      <c r="AT154" s="1282"/>
      <c r="AU154" s="1069"/>
      <c r="AV154" s="1069"/>
      <c r="AW154" s="1069"/>
      <c r="AX154" s="1070"/>
      <c r="AY154" s="1070"/>
      <c r="AZ154" s="1078">
        <f t="shared" si="107"/>
        <v>0.8990999999999999</v>
      </c>
      <c r="BA154" s="59">
        <v>150</v>
      </c>
      <c r="BB154" s="59">
        <f t="shared" si="108"/>
        <v>150</v>
      </c>
      <c r="BC154" s="60" t="str">
        <f t="shared" si="109"/>
        <v>Milho Gérmen, Farelo</v>
      </c>
      <c r="BD154" s="61" t="str">
        <f ca="1">IFERROR(IF(SEARCH('Calcular Dieta'!A$3,$BC$5:$BC$310)&gt;=1,BC154,"Não encontrado"),"Não encontrado")</f>
        <v>Milho Gérmen, Farelo</v>
      </c>
      <c r="BE154" s="62">
        <f ca="1">COUNTIF(BD$5:BD154,"&lt;&gt;"&amp;"Não encontrado")</f>
        <v>150</v>
      </c>
      <c r="BF154" s="63" t="str">
        <f t="shared" ca="1" si="110"/>
        <v>MILHO GÉRMEN, FARELO</v>
      </c>
      <c r="BG154" s="744">
        <f t="shared" si="111"/>
        <v>0.27887499999999993</v>
      </c>
      <c r="BH154" s="744">
        <f t="shared" si="112"/>
        <v>6.0933159999999993E-2</v>
      </c>
      <c r="BI154" s="744">
        <f t="shared" si="113"/>
        <v>0.27815571999999994</v>
      </c>
      <c r="BJ154" s="744">
        <f t="shared" si="114"/>
        <v>0.89197128999999997</v>
      </c>
      <c r="BK154" s="744" t="str">
        <f t="shared" si="115"/>
        <v/>
      </c>
      <c r="BL154" s="744" t="str">
        <f t="shared" si="116"/>
        <v/>
      </c>
      <c r="BM154" s="744" t="str">
        <f t="shared" si="117"/>
        <v/>
      </c>
      <c r="BN154" s="744">
        <f t="shared" si="118"/>
        <v>206.07387399999999</v>
      </c>
      <c r="BO154" s="744">
        <f t="shared" si="119"/>
        <v>99.080973999999983</v>
      </c>
      <c r="BP154" s="744">
        <f t="shared" si="120"/>
        <v>71.863472745999985</v>
      </c>
      <c r="BQ154" s="744">
        <f t="shared" si="121"/>
        <v>27.217655253999997</v>
      </c>
      <c r="BR154" s="744" t="str">
        <f t="shared" si="122"/>
        <v/>
      </c>
      <c r="BS154" s="744" t="str">
        <f t="shared" si="123"/>
        <v/>
      </c>
      <c r="BT154" s="744">
        <f t="shared" si="124"/>
        <v>0.26988399999999996</v>
      </c>
      <c r="BU154" s="744">
        <f t="shared" si="125"/>
        <v>3.7763739999999997</v>
      </c>
      <c r="BV154" s="744">
        <f t="shared" si="126"/>
        <v>1.7983539999999998</v>
      </c>
      <c r="BW154" s="744">
        <f t="shared" si="127"/>
        <v>0.89925399999999989</v>
      </c>
      <c r="BX154" s="744">
        <f t="shared" si="128"/>
        <v>6.6534940000000002</v>
      </c>
      <c r="BY154" s="744" t="str">
        <f t="shared" si="129"/>
        <v/>
      </c>
      <c r="BZ154" s="744">
        <f t="shared" si="130"/>
        <v>11.800154000000001</v>
      </c>
      <c r="CA154" s="744">
        <f t="shared" si="131"/>
        <v>43.990154000000004</v>
      </c>
      <c r="CB154" s="744" t="str">
        <f t="shared" si="132"/>
        <v/>
      </c>
      <c r="CC154" s="744">
        <f t="shared" si="133"/>
        <v>19.920154</v>
      </c>
      <c r="CD154" s="744" t="str">
        <f t="shared" si="134"/>
        <v/>
      </c>
      <c r="CE154" s="744" t="str">
        <f t="shared" si="135"/>
        <v/>
      </c>
      <c r="CF154" s="744" t="str">
        <f t="shared" si="136"/>
        <v/>
      </c>
      <c r="CG154" s="744" t="str">
        <f t="shared" si="137"/>
        <v/>
      </c>
      <c r="CH154" s="744" t="str">
        <f t="shared" si="138"/>
        <v/>
      </c>
      <c r="CI154" s="744" t="str">
        <f t="shared" si="139"/>
        <v/>
      </c>
      <c r="CJ154" s="744" t="str">
        <f t="shared" si="140"/>
        <v/>
      </c>
      <c r="CK154" s="744" t="str">
        <f t="shared" si="141"/>
        <v/>
      </c>
      <c r="CL154" s="744" t="str">
        <f t="shared" si="142"/>
        <v/>
      </c>
      <c r="CM154" s="744" t="str">
        <f t="shared" si="143"/>
        <v/>
      </c>
      <c r="CN154" s="744" t="str">
        <f t="shared" si="144"/>
        <v/>
      </c>
      <c r="CO154" s="744" t="str">
        <f t="shared" si="145"/>
        <v/>
      </c>
      <c r="CP154" s="744" t="str">
        <f t="shared" si="146"/>
        <v/>
      </c>
      <c r="CQ154" s="744" t="str">
        <f t="shared" si="147"/>
        <v/>
      </c>
      <c r="CR154" s="744" t="str">
        <f t="shared" si="148"/>
        <v/>
      </c>
      <c r="CS154" s="744" t="str">
        <f t="shared" si="149"/>
        <v/>
      </c>
      <c r="CT154" s="744" t="str">
        <f t="shared" si="150"/>
        <v/>
      </c>
      <c r="CU154" s="744" t="str">
        <f t="shared" si="151"/>
        <v/>
      </c>
      <c r="CV154" s="744" t="str">
        <f t="shared" si="152"/>
        <v/>
      </c>
      <c r="CW154" s="744" t="str">
        <f t="shared" si="153"/>
        <v/>
      </c>
      <c r="CX154" s="744">
        <f t="shared" si="154"/>
        <v>0.89925399999999989</v>
      </c>
    </row>
    <row r="155" spans="1:102">
      <c r="A155" s="633">
        <v>151</v>
      </c>
      <c r="B155" s="630" t="s">
        <v>4</v>
      </c>
      <c r="C155" s="631" t="s">
        <v>250</v>
      </c>
      <c r="D155" s="630" t="s">
        <v>1390</v>
      </c>
      <c r="E155" s="632" t="s">
        <v>212</v>
      </c>
      <c r="F155" s="1067">
        <v>1</v>
      </c>
      <c r="G155" s="1066">
        <v>1</v>
      </c>
      <c r="H155" s="1070">
        <v>0.90549999999999997</v>
      </c>
      <c r="I155" s="1070">
        <v>6.2570049999999988E-2</v>
      </c>
      <c r="J155" s="1070">
        <v>4.1000000000000002E-2</v>
      </c>
      <c r="K155" s="1070">
        <v>0.20400915</v>
      </c>
      <c r="L155" s="1072">
        <v>0.75944285</v>
      </c>
      <c r="M155" s="1070"/>
      <c r="N155" s="1070">
        <v>3.8</v>
      </c>
      <c r="O155" s="1070"/>
      <c r="P155" s="1073">
        <v>25.082349999999998</v>
      </c>
      <c r="Q155" s="1070">
        <v>579.15780000000007</v>
      </c>
      <c r="R155" s="1070">
        <v>309.59044999999998</v>
      </c>
      <c r="S155" s="1279">
        <v>269.56735000000009</v>
      </c>
      <c r="T155" s="1070">
        <v>484.9858000000001</v>
      </c>
      <c r="U155" s="1070"/>
      <c r="V155" s="1066">
        <v>0.45274999999999999</v>
      </c>
      <c r="W155" s="1070">
        <v>3.9842000000000004</v>
      </c>
      <c r="X155" s="1070">
        <v>0.90549999999999997</v>
      </c>
      <c r="Y155" s="1070">
        <v>0.27164999999999995</v>
      </c>
      <c r="Z155" s="1070">
        <v>2.0826499999999997</v>
      </c>
      <c r="AA155" s="1070">
        <v>4.9802500000000007</v>
      </c>
      <c r="AB155" s="1070">
        <v>16.09</v>
      </c>
      <c r="AC155" s="1070">
        <v>38.22</v>
      </c>
      <c r="AD155" s="1070">
        <v>101.05</v>
      </c>
      <c r="AE155" s="1070">
        <v>10.52</v>
      </c>
      <c r="AF155" s="1070"/>
      <c r="AG155" s="1070">
        <v>0.23</v>
      </c>
      <c r="AH155" s="1073"/>
      <c r="AI155" s="1070"/>
      <c r="AJ155" s="1070"/>
      <c r="AK155" s="1070"/>
      <c r="AL155" s="1082"/>
      <c r="AM155" s="1069"/>
      <c r="AN155" s="1070"/>
      <c r="AO155" s="1070"/>
      <c r="AP155" s="1070"/>
      <c r="AQ155" s="1070"/>
      <c r="AR155" s="1069"/>
      <c r="AS155" s="1282"/>
      <c r="AT155" s="1282"/>
      <c r="AU155" s="1069"/>
      <c r="AV155" s="1069"/>
      <c r="AW155" s="1069"/>
      <c r="AX155" s="1070"/>
      <c r="AY155" s="1070"/>
      <c r="AZ155" s="1078">
        <f t="shared" si="107"/>
        <v>0.90549999999999997</v>
      </c>
      <c r="BA155" s="59">
        <v>151</v>
      </c>
      <c r="BB155" s="59">
        <f t="shared" si="108"/>
        <v>151</v>
      </c>
      <c r="BC155" s="60" t="str">
        <f t="shared" si="109"/>
        <v>Milho Glúten 60</v>
      </c>
      <c r="BD155" s="61" t="str">
        <f ca="1">IFERROR(IF(SEARCH('Calcular Dieta'!A$3,$BC$5:$BC$310)&gt;=1,BC155,"Não encontrado"),"Não encontrado")</f>
        <v>Milho Glúten 60</v>
      </c>
      <c r="BE155" s="62">
        <f ca="1">COUNTIF(BD$5:BD155,"&lt;&gt;"&amp;"Não encontrado")</f>
        <v>151</v>
      </c>
      <c r="BF155" s="63" t="str">
        <f t="shared" ca="1" si="110"/>
        <v>MILHO GLÚTEN 60</v>
      </c>
      <c r="BG155" s="744">
        <f t="shared" si="111"/>
        <v>6.2725049999999991E-2</v>
      </c>
      <c r="BH155" s="744">
        <f t="shared" si="112"/>
        <v>4.1155000000000004E-2</v>
      </c>
      <c r="BI155" s="744">
        <f t="shared" si="113"/>
        <v>0.20416414999999999</v>
      </c>
      <c r="BJ155" s="744">
        <f t="shared" si="114"/>
        <v>0.75959785000000002</v>
      </c>
      <c r="BK155" s="744" t="str">
        <f t="shared" si="115"/>
        <v/>
      </c>
      <c r="BL155" s="744">
        <f t="shared" si="116"/>
        <v>3.8001549999999997</v>
      </c>
      <c r="BM155" s="744" t="str">
        <f t="shared" si="117"/>
        <v/>
      </c>
      <c r="BN155" s="744">
        <f t="shared" si="118"/>
        <v>25.082504999999998</v>
      </c>
      <c r="BO155" s="744">
        <f t="shared" si="119"/>
        <v>579.15795500000002</v>
      </c>
      <c r="BP155" s="744">
        <f t="shared" si="120"/>
        <v>309.59060499999998</v>
      </c>
      <c r="BQ155" s="744">
        <f t="shared" si="121"/>
        <v>269.5675050000001</v>
      </c>
      <c r="BR155" s="744">
        <f t="shared" si="122"/>
        <v>484.9859550000001</v>
      </c>
      <c r="BS155" s="744" t="str">
        <f t="shared" si="123"/>
        <v/>
      </c>
      <c r="BT155" s="744">
        <f t="shared" si="124"/>
        <v>0.452905</v>
      </c>
      <c r="BU155" s="744">
        <f t="shared" si="125"/>
        <v>3.9843550000000003</v>
      </c>
      <c r="BV155" s="744">
        <f t="shared" si="126"/>
        <v>0.90565499999999999</v>
      </c>
      <c r="BW155" s="744">
        <f t="shared" si="127"/>
        <v>0.27180499999999996</v>
      </c>
      <c r="BX155" s="744">
        <f t="shared" si="128"/>
        <v>2.0828049999999996</v>
      </c>
      <c r="BY155" s="744">
        <f t="shared" si="129"/>
        <v>4.9804050000000011</v>
      </c>
      <c r="BZ155" s="744">
        <f t="shared" si="130"/>
        <v>16.090154999999999</v>
      </c>
      <c r="CA155" s="744">
        <f t="shared" si="131"/>
        <v>38.220154999999998</v>
      </c>
      <c r="CB155" s="744">
        <f t="shared" si="132"/>
        <v>101.050155</v>
      </c>
      <c r="CC155" s="744">
        <f t="shared" si="133"/>
        <v>10.520154999999999</v>
      </c>
      <c r="CD155" s="744" t="str">
        <f t="shared" si="134"/>
        <v/>
      </c>
      <c r="CE155" s="744">
        <f t="shared" si="135"/>
        <v>0.230155</v>
      </c>
      <c r="CF155" s="744" t="str">
        <f t="shared" si="136"/>
        <v/>
      </c>
      <c r="CG155" s="744" t="str">
        <f t="shared" si="137"/>
        <v/>
      </c>
      <c r="CH155" s="744" t="str">
        <f t="shared" si="138"/>
        <v/>
      </c>
      <c r="CI155" s="744" t="str">
        <f t="shared" si="139"/>
        <v/>
      </c>
      <c r="CJ155" s="744" t="str">
        <f t="shared" si="140"/>
        <v/>
      </c>
      <c r="CK155" s="744" t="str">
        <f t="shared" si="141"/>
        <v/>
      </c>
      <c r="CL155" s="744" t="str">
        <f t="shared" si="142"/>
        <v/>
      </c>
      <c r="CM155" s="744" t="str">
        <f t="shared" si="143"/>
        <v/>
      </c>
      <c r="CN155" s="744" t="str">
        <f t="shared" si="144"/>
        <v/>
      </c>
      <c r="CO155" s="744" t="str">
        <f t="shared" si="145"/>
        <v/>
      </c>
      <c r="CP155" s="744" t="str">
        <f t="shared" si="146"/>
        <v/>
      </c>
      <c r="CQ155" s="744" t="str">
        <f t="shared" si="147"/>
        <v/>
      </c>
      <c r="CR155" s="744" t="str">
        <f t="shared" si="148"/>
        <v/>
      </c>
      <c r="CS155" s="744" t="str">
        <f t="shared" si="149"/>
        <v/>
      </c>
      <c r="CT155" s="744" t="str">
        <f t="shared" si="150"/>
        <v/>
      </c>
      <c r="CU155" s="744" t="str">
        <f t="shared" si="151"/>
        <v/>
      </c>
      <c r="CV155" s="744" t="str">
        <f t="shared" si="152"/>
        <v/>
      </c>
      <c r="CW155" s="744" t="str">
        <f t="shared" si="153"/>
        <v/>
      </c>
      <c r="CX155" s="744">
        <f t="shared" si="154"/>
        <v>0.90565499999999999</v>
      </c>
    </row>
    <row r="156" spans="1:102">
      <c r="A156" s="630">
        <v>152</v>
      </c>
      <c r="B156" s="630" t="s">
        <v>4</v>
      </c>
      <c r="C156" s="631" t="s">
        <v>250</v>
      </c>
      <c r="D156" s="630" t="s">
        <v>1390</v>
      </c>
      <c r="E156" s="632" t="s">
        <v>213</v>
      </c>
      <c r="F156" s="1067">
        <v>1</v>
      </c>
      <c r="G156" s="1066">
        <v>1</v>
      </c>
      <c r="H156" s="1070">
        <v>0.88840000000000008</v>
      </c>
      <c r="I156" s="1070">
        <v>0.36815296000000003</v>
      </c>
      <c r="J156" s="1070">
        <v>8.7999999999999995E-2</v>
      </c>
      <c r="K156" s="1070">
        <v>0.2549708</v>
      </c>
      <c r="L156" s="1072">
        <v>0.68140280000000009</v>
      </c>
      <c r="M156" s="1070"/>
      <c r="N156" s="1070">
        <v>3.01</v>
      </c>
      <c r="O156" s="1070"/>
      <c r="P156" s="1073">
        <v>25.141720000000003</v>
      </c>
      <c r="Q156" s="1070">
        <v>212.41644000000002</v>
      </c>
      <c r="R156" s="1070">
        <v>183.0104</v>
      </c>
      <c r="S156" s="1070">
        <v>29.406040000000001</v>
      </c>
      <c r="T156" s="1070">
        <v>131.39436000000001</v>
      </c>
      <c r="U156" s="1070"/>
      <c r="V156" s="1066">
        <v>1.4214400000000003</v>
      </c>
      <c r="W156" s="1070">
        <v>6.2187999999999999</v>
      </c>
      <c r="X156" s="1070">
        <v>0.35536000000000006</v>
      </c>
      <c r="Y156" s="1070"/>
      <c r="Z156" s="1070">
        <v>13.237160000000001</v>
      </c>
      <c r="AA156" s="1070"/>
      <c r="AB156" s="1070">
        <v>3.55</v>
      </c>
      <c r="AC156" s="1070">
        <v>64.73</v>
      </c>
      <c r="AD156" s="1070">
        <v>139.49</v>
      </c>
      <c r="AE156" s="1070">
        <v>17.79</v>
      </c>
      <c r="AF156" s="1070"/>
      <c r="AG156" s="1070"/>
      <c r="AH156" s="1073"/>
      <c r="AI156" s="1070"/>
      <c r="AJ156" s="1070"/>
      <c r="AK156" s="1070"/>
      <c r="AL156" s="1082"/>
      <c r="AM156" s="1069"/>
      <c r="AN156" s="1070"/>
      <c r="AO156" s="1070"/>
      <c r="AP156" s="1070"/>
      <c r="AQ156" s="1070"/>
      <c r="AR156" s="1069"/>
      <c r="AS156" s="1282"/>
      <c r="AT156" s="1282"/>
      <c r="AU156" s="1069"/>
      <c r="AV156" s="1069"/>
      <c r="AW156" s="1069"/>
      <c r="AX156" s="1070"/>
      <c r="AY156" s="1070"/>
      <c r="AZ156" s="1078">
        <f t="shared" si="107"/>
        <v>0.88840000000000008</v>
      </c>
      <c r="BA156" s="59">
        <v>152</v>
      </c>
      <c r="BB156" s="59">
        <f t="shared" si="108"/>
        <v>152</v>
      </c>
      <c r="BC156" s="60" t="str">
        <f t="shared" si="109"/>
        <v>Milho Glúten Farelo 21</v>
      </c>
      <c r="BD156" s="61" t="str">
        <f ca="1">IFERROR(IF(SEARCH('Calcular Dieta'!A$3,$BC$5:$BC$310)&gt;=1,BC156,"Não encontrado"),"Não encontrado")</f>
        <v>Milho Glúten Farelo 21</v>
      </c>
      <c r="BE156" s="62">
        <f ca="1">COUNTIF(BD$5:BD156,"&lt;&gt;"&amp;"Não encontrado")</f>
        <v>152</v>
      </c>
      <c r="BF156" s="63" t="str">
        <f t="shared" ca="1" si="110"/>
        <v>MILHO GLÚTEN FARELO 21</v>
      </c>
      <c r="BG156" s="744">
        <f t="shared" si="111"/>
        <v>0.36830896000000002</v>
      </c>
      <c r="BH156" s="744">
        <f t="shared" si="112"/>
        <v>8.8155999999999998E-2</v>
      </c>
      <c r="BI156" s="744">
        <f t="shared" si="113"/>
        <v>0.25512679999999999</v>
      </c>
      <c r="BJ156" s="744">
        <f t="shared" si="114"/>
        <v>0.68155880000000013</v>
      </c>
      <c r="BK156" s="744" t="str">
        <f t="shared" si="115"/>
        <v/>
      </c>
      <c r="BL156" s="744">
        <f t="shared" si="116"/>
        <v>3.0101559999999998</v>
      </c>
      <c r="BM156" s="744" t="str">
        <f t="shared" si="117"/>
        <v/>
      </c>
      <c r="BN156" s="744">
        <f t="shared" si="118"/>
        <v>25.141876000000003</v>
      </c>
      <c r="BO156" s="744">
        <f t="shared" si="119"/>
        <v>212.41659600000003</v>
      </c>
      <c r="BP156" s="744">
        <f t="shared" si="120"/>
        <v>183.01055600000001</v>
      </c>
      <c r="BQ156" s="744">
        <f t="shared" si="121"/>
        <v>29.406196000000001</v>
      </c>
      <c r="BR156" s="744">
        <f t="shared" si="122"/>
        <v>131.39451600000001</v>
      </c>
      <c r="BS156" s="744" t="str">
        <f t="shared" si="123"/>
        <v/>
      </c>
      <c r="BT156" s="744">
        <f t="shared" si="124"/>
        <v>1.4215960000000003</v>
      </c>
      <c r="BU156" s="744">
        <f t="shared" si="125"/>
        <v>6.2189559999999995</v>
      </c>
      <c r="BV156" s="744">
        <f t="shared" si="126"/>
        <v>0.35551600000000005</v>
      </c>
      <c r="BW156" s="744" t="str">
        <f t="shared" si="127"/>
        <v/>
      </c>
      <c r="BX156" s="744">
        <f t="shared" si="128"/>
        <v>13.237316000000002</v>
      </c>
      <c r="BY156" s="744" t="str">
        <f t="shared" si="129"/>
        <v/>
      </c>
      <c r="BZ156" s="744">
        <f t="shared" si="130"/>
        <v>3.5501559999999999</v>
      </c>
      <c r="CA156" s="744">
        <f t="shared" si="131"/>
        <v>64.730156000000008</v>
      </c>
      <c r="CB156" s="744">
        <f t="shared" si="132"/>
        <v>139.49015600000001</v>
      </c>
      <c r="CC156" s="744">
        <f t="shared" si="133"/>
        <v>17.790156</v>
      </c>
      <c r="CD156" s="744" t="str">
        <f t="shared" si="134"/>
        <v/>
      </c>
      <c r="CE156" s="744" t="str">
        <f t="shared" si="135"/>
        <v/>
      </c>
      <c r="CF156" s="744" t="str">
        <f t="shared" si="136"/>
        <v/>
      </c>
      <c r="CG156" s="744" t="str">
        <f t="shared" si="137"/>
        <v/>
      </c>
      <c r="CH156" s="744" t="str">
        <f t="shared" si="138"/>
        <v/>
      </c>
      <c r="CI156" s="744" t="str">
        <f t="shared" si="139"/>
        <v/>
      </c>
      <c r="CJ156" s="744" t="str">
        <f t="shared" si="140"/>
        <v/>
      </c>
      <c r="CK156" s="744" t="str">
        <f t="shared" si="141"/>
        <v/>
      </c>
      <c r="CL156" s="744" t="str">
        <f t="shared" si="142"/>
        <v/>
      </c>
      <c r="CM156" s="744" t="str">
        <f t="shared" si="143"/>
        <v/>
      </c>
      <c r="CN156" s="744" t="str">
        <f t="shared" si="144"/>
        <v/>
      </c>
      <c r="CO156" s="744" t="str">
        <f t="shared" si="145"/>
        <v/>
      </c>
      <c r="CP156" s="744" t="str">
        <f t="shared" si="146"/>
        <v/>
      </c>
      <c r="CQ156" s="744" t="str">
        <f t="shared" si="147"/>
        <v/>
      </c>
      <c r="CR156" s="744" t="str">
        <f t="shared" si="148"/>
        <v/>
      </c>
      <c r="CS156" s="744" t="str">
        <f t="shared" si="149"/>
        <v/>
      </c>
      <c r="CT156" s="744" t="str">
        <f t="shared" si="150"/>
        <v/>
      </c>
      <c r="CU156" s="744" t="str">
        <f t="shared" si="151"/>
        <v/>
      </c>
      <c r="CV156" s="744" t="str">
        <f t="shared" si="152"/>
        <v/>
      </c>
      <c r="CW156" s="744" t="str">
        <f t="shared" si="153"/>
        <v/>
      </c>
      <c r="CX156" s="744">
        <f t="shared" si="154"/>
        <v>0.88855600000000012</v>
      </c>
    </row>
    <row r="157" spans="1:102">
      <c r="A157" s="633">
        <v>153</v>
      </c>
      <c r="B157" s="630" t="s">
        <v>4</v>
      </c>
      <c r="C157" s="631" t="s">
        <v>252</v>
      </c>
      <c r="D157" s="630" t="s">
        <v>1390</v>
      </c>
      <c r="E157" s="632" t="s">
        <v>214</v>
      </c>
      <c r="F157" s="1067">
        <v>1</v>
      </c>
      <c r="G157" s="1066">
        <v>1</v>
      </c>
      <c r="H157" s="1070">
        <v>0.87959999999999994</v>
      </c>
      <c r="I157" s="1070">
        <v>0.1147878</v>
      </c>
      <c r="J157" s="1070">
        <v>3.5000000000000003E-2</v>
      </c>
      <c r="K157" s="1070">
        <v>0.63612671999999992</v>
      </c>
      <c r="L157" s="1072">
        <v>0.77123328000000002</v>
      </c>
      <c r="M157" s="1070"/>
      <c r="N157" s="1070">
        <v>3.26</v>
      </c>
      <c r="O157" s="1070"/>
      <c r="P157" s="1073">
        <v>35.359919999999988</v>
      </c>
      <c r="Q157" s="1070">
        <v>79.251959999999997</v>
      </c>
      <c r="R157" s="1070">
        <v>40.373639999999995</v>
      </c>
      <c r="S157" s="1070">
        <v>26.387999999999998</v>
      </c>
      <c r="T157" s="1070">
        <v>46.530839999999998</v>
      </c>
      <c r="U157" s="1070"/>
      <c r="V157" s="1066">
        <v>0.26387999999999995</v>
      </c>
      <c r="W157" s="1070">
        <v>2.2869599999999997</v>
      </c>
      <c r="X157" s="1070">
        <v>0.96755999999999998</v>
      </c>
      <c r="Y157" s="1070">
        <v>0.26387999999999995</v>
      </c>
      <c r="Z157" s="1070">
        <v>3.0785999999999993</v>
      </c>
      <c r="AA157" s="1070">
        <v>0.35183999999999999</v>
      </c>
      <c r="AB157" s="1070">
        <v>3.48</v>
      </c>
      <c r="AC157" s="1070">
        <v>18.850000000000001</v>
      </c>
      <c r="AD157" s="1070">
        <v>47.95</v>
      </c>
      <c r="AE157" s="1070">
        <v>8.8000000000000007</v>
      </c>
      <c r="AF157" s="1070"/>
      <c r="AG157" s="1070">
        <v>0.02</v>
      </c>
      <c r="AH157" s="1073">
        <v>7.0000000000000007E-2</v>
      </c>
      <c r="AI157" s="1070"/>
      <c r="AJ157" s="1070"/>
      <c r="AK157" s="1070"/>
      <c r="AL157" s="1082"/>
      <c r="AM157" s="1069"/>
      <c r="AN157" s="1070"/>
      <c r="AO157" s="1070"/>
      <c r="AP157" s="1070"/>
      <c r="AQ157" s="1070"/>
      <c r="AR157" s="1069"/>
      <c r="AS157" s="1282"/>
      <c r="AT157" s="1282"/>
      <c r="AU157" s="1069"/>
      <c r="AV157" s="1069"/>
      <c r="AW157" s="1069"/>
      <c r="AX157" s="1070"/>
      <c r="AY157" s="1070"/>
      <c r="AZ157" s="1078">
        <f t="shared" si="107"/>
        <v>0.87959999999999994</v>
      </c>
      <c r="BA157" s="59">
        <v>153</v>
      </c>
      <c r="BB157" s="59">
        <f t="shared" si="108"/>
        <v>153</v>
      </c>
      <c r="BC157" s="60" t="str">
        <f t="shared" si="109"/>
        <v>Milho, Fubá (BRC3.0)</v>
      </c>
      <c r="BD157" s="61" t="str">
        <f ca="1">IFERROR(IF(SEARCH('Calcular Dieta'!A$3,$BC$5:$BC$310)&gt;=1,BC157,"Não encontrado"),"Não encontrado")</f>
        <v>Milho, Fubá (BRC3.0)</v>
      </c>
      <c r="BE157" s="62">
        <f ca="1">COUNTIF(BD$5:BD157,"&lt;&gt;"&amp;"Não encontrado")</f>
        <v>153</v>
      </c>
      <c r="BF157" s="63" t="str">
        <f t="shared" ca="1" si="110"/>
        <v>MILHO, FUBÁ (BRC3.0)</v>
      </c>
      <c r="BG157" s="744">
        <f t="shared" si="111"/>
        <v>0.1149448</v>
      </c>
      <c r="BH157" s="744">
        <f t="shared" si="112"/>
        <v>3.5157000000000001E-2</v>
      </c>
      <c r="BI157" s="744">
        <f t="shared" si="113"/>
        <v>0.63628371999999989</v>
      </c>
      <c r="BJ157" s="744">
        <f t="shared" si="114"/>
        <v>0.77139027999999998</v>
      </c>
      <c r="BK157" s="744" t="str">
        <f t="shared" si="115"/>
        <v/>
      </c>
      <c r="BL157" s="744">
        <f t="shared" si="116"/>
        <v>3.260157</v>
      </c>
      <c r="BM157" s="744" t="str">
        <f t="shared" si="117"/>
        <v/>
      </c>
      <c r="BN157" s="744">
        <f t="shared" si="118"/>
        <v>35.36007699999999</v>
      </c>
      <c r="BO157" s="744">
        <f t="shared" si="119"/>
        <v>79.252116999999998</v>
      </c>
      <c r="BP157" s="744">
        <f t="shared" si="120"/>
        <v>40.373796999999996</v>
      </c>
      <c r="BQ157" s="744">
        <f t="shared" si="121"/>
        <v>26.388157</v>
      </c>
      <c r="BR157" s="744">
        <f t="shared" si="122"/>
        <v>46.530996999999999</v>
      </c>
      <c r="BS157" s="744" t="str">
        <f t="shared" si="123"/>
        <v/>
      </c>
      <c r="BT157" s="744">
        <f t="shared" si="124"/>
        <v>0.26403699999999997</v>
      </c>
      <c r="BU157" s="744">
        <f t="shared" si="125"/>
        <v>2.2871169999999998</v>
      </c>
      <c r="BV157" s="744">
        <f t="shared" si="126"/>
        <v>0.96771699999999994</v>
      </c>
      <c r="BW157" s="744">
        <f t="shared" si="127"/>
        <v>0.26403699999999997</v>
      </c>
      <c r="BX157" s="744">
        <f t="shared" si="128"/>
        <v>3.0787569999999995</v>
      </c>
      <c r="BY157" s="744">
        <f t="shared" si="129"/>
        <v>0.351997</v>
      </c>
      <c r="BZ157" s="744">
        <f t="shared" si="130"/>
        <v>3.4801570000000002</v>
      </c>
      <c r="CA157" s="744">
        <f t="shared" si="131"/>
        <v>18.850157000000003</v>
      </c>
      <c r="CB157" s="744">
        <f t="shared" si="132"/>
        <v>47.950157000000004</v>
      </c>
      <c r="CC157" s="744">
        <f t="shared" si="133"/>
        <v>8.8001570000000005</v>
      </c>
      <c r="CD157" s="744" t="str">
        <f t="shared" si="134"/>
        <v/>
      </c>
      <c r="CE157" s="744">
        <f t="shared" si="135"/>
        <v>2.0157000000000001E-2</v>
      </c>
      <c r="CF157" s="744">
        <f t="shared" si="136"/>
        <v>7.0157000000000011E-2</v>
      </c>
      <c r="CG157" s="744" t="str">
        <f t="shared" si="137"/>
        <v/>
      </c>
      <c r="CH157" s="744" t="str">
        <f t="shared" si="138"/>
        <v/>
      </c>
      <c r="CI157" s="744" t="str">
        <f t="shared" si="139"/>
        <v/>
      </c>
      <c r="CJ157" s="744" t="str">
        <f t="shared" si="140"/>
        <v/>
      </c>
      <c r="CK157" s="744" t="str">
        <f t="shared" si="141"/>
        <v/>
      </c>
      <c r="CL157" s="744" t="str">
        <f t="shared" si="142"/>
        <v/>
      </c>
      <c r="CM157" s="744" t="str">
        <f t="shared" si="143"/>
        <v/>
      </c>
      <c r="CN157" s="744" t="str">
        <f t="shared" si="144"/>
        <v/>
      </c>
      <c r="CO157" s="744" t="str">
        <f t="shared" si="145"/>
        <v/>
      </c>
      <c r="CP157" s="744" t="str">
        <f t="shared" si="146"/>
        <v/>
      </c>
      <c r="CQ157" s="744" t="str">
        <f t="shared" si="147"/>
        <v/>
      </c>
      <c r="CR157" s="744" t="str">
        <f t="shared" si="148"/>
        <v/>
      </c>
      <c r="CS157" s="744" t="str">
        <f t="shared" si="149"/>
        <v/>
      </c>
      <c r="CT157" s="744" t="str">
        <f t="shared" si="150"/>
        <v/>
      </c>
      <c r="CU157" s="744" t="str">
        <f t="shared" si="151"/>
        <v/>
      </c>
      <c r="CV157" s="744" t="str">
        <f t="shared" si="152"/>
        <v/>
      </c>
      <c r="CW157" s="744" t="str">
        <f t="shared" si="153"/>
        <v/>
      </c>
      <c r="CX157" s="744">
        <f t="shared" si="154"/>
        <v>0.8797569999999999</v>
      </c>
    </row>
    <row r="158" spans="1:102">
      <c r="A158" s="630">
        <v>154</v>
      </c>
      <c r="B158" s="630" t="s">
        <v>4</v>
      </c>
      <c r="C158" s="631" t="s">
        <v>252</v>
      </c>
      <c r="D158" s="630" t="s">
        <v>1392</v>
      </c>
      <c r="E158" s="632" t="s">
        <v>722</v>
      </c>
      <c r="F158" s="1067">
        <v>0.93</v>
      </c>
      <c r="G158" s="1066">
        <v>1</v>
      </c>
      <c r="H158" s="1070">
        <v>0.89</v>
      </c>
      <c r="I158" s="1070">
        <v>8.0100000000000005E-2</v>
      </c>
      <c r="J158" s="1070">
        <v>3.56E-2</v>
      </c>
      <c r="K158" s="1070"/>
      <c r="L158" s="1072">
        <v>0.75650000000000006</v>
      </c>
      <c r="M158" s="1070">
        <v>3.3354085000000002</v>
      </c>
      <c r="N158" s="1070"/>
      <c r="O158" s="1070"/>
      <c r="P158" s="1073">
        <v>32.93</v>
      </c>
      <c r="Q158" s="1070">
        <v>80.100000000000009</v>
      </c>
      <c r="R158" s="1070">
        <v>31.239000000000001</v>
      </c>
      <c r="S158" s="1070"/>
      <c r="T158" s="1070"/>
      <c r="U158" s="1070"/>
      <c r="V158" s="1066">
        <v>0.20470000000000002</v>
      </c>
      <c r="W158" s="1070">
        <v>2.7589999999999999</v>
      </c>
      <c r="X158" s="1070">
        <v>1.1125</v>
      </c>
      <c r="Y158" s="1070">
        <v>0.17800000000000002</v>
      </c>
      <c r="Z158" s="1070">
        <v>2.581</v>
      </c>
      <c r="AA158" s="1070">
        <v>1.0679999999999998</v>
      </c>
      <c r="AB158" s="1070">
        <v>2.2250000000000001</v>
      </c>
      <c r="AC158" s="1070">
        <v>10.68</v>
      </c>
      <c r="AD158" s="1070">
        <v>32.93</v>
      </c>
      <c r="AE158" s="1070">
        <v>5.34</v>
      </c>
      <c r="AF158" s="1070">
        <v>2.6699999999999998E-2</v>
      </c>
      <c r="AG158" s="1070">
        <v>1.958E-2</v>
      </c>
      <c r="AH158" s="1073">
        <v>0.12460000000000002</v>
      </c>
      <c r="AI158" s="1070"/>
      <c r="AJ158" s="1070"/>
      <c r="AK158" s="1070"/>
      <c r="AL158" s="1082">
        <v>890</v>
      </c>
      <c r="AM158" s="1069"/>
      <c r="AN158" s="1070"/>
      <c r="AO158" s="1070"/>
      <c r="AP158" s="1070"/>
      <c r="AQ158" s="1070"/>
      <c r="AR158" s="1069"/>
      <c r="AS158" s="1282"/>
      <c r="AT158" s="1282"/>
      <c r="AU158" s="1069"/>
      <c r="AV158" s="1069"/>
      <c r="AW158" s="1069"/>
      <c r="AX158" s="1070"/>
      <c r="AY158" s="1070"/>
      <c r="AZ158" s="1078">
        <f t="shared" si="107"/>
        <v>0.89</v>
      </c>
      <c r="BA158" s="59">
        <v>154</v>
      </c>
      <c r="BB158" s="59">
        <f t="shared" si="108"/>
        <v>154</v>
      </c>
      <c r="BC158" s="60" t="str">
        <f t="shared" si="109"/>
        <v>Milho, Grão (Moido)</v>
      </c>
      <c r="BD158" s="61" t="str">
        <f ca="1">IFERROR(IF(SEARCH('Calcular Dieta'!A$3,$BC$5:$BC$310)&gt;=1,BC158,"Não encontrado"),"Não encontrado")</f>
        <v>Milho, Grão (Moido)</v>
      </c>
      <c r="BE158" s="62">
        <f ca="1">COUNTIF(BD$5:BD158,"&lt;&gt;"&amp;"Não encontrado")</f>
        <v>154</v>
      </c>
      <c r="BF158" s="63" t="str">
        <f t="shared" ca="1" si="110"/>
        <v>MILHO, GRÃO (MOIDO)</v>
      </c>
      <c r="BG158" s="744">
        <f t="shared" si="111"/>
        <v>8.025800000000001E-2</v>
      </c>
      <c r="BH158" s="744">
        <f t="shared" si="112"/>
        <v>3.5757999999999998E-2</v>
      </c>
      <c r="BI158" s="744" t="str">
        <f t="shared" si="113"/>
        <v/>
      </c>
      <c r="BJ158" s="744">
        <f t="shared" si="114"/>
        <v>0.75665800000000005</v>
      </c>
      <c r="BK158" s="744">
        <f t="shared" si="115"/>
        <v>3.3355665000000001</v>
      </c>
      <c r="BL158" s="744" t="str">
        <f t="shared" si="116"/>
        <v/>
      </c>
      <c r="BM158" s="744" t="str">
        <f t="shared" si="117"/>
        <v/>
      </c>
      <c r="BN158" s="744">
        <f t="shared" si="118"/>
        <v>32.930157999999999</v>
      </c>
      <c r="BO158" s="744">
        <f t="shared" si="119"/>
        <v>80.100158000000008</v>
      </c>
      <c r="BP158" s="744">
        <f t="shared" si="120"/>
        <v>31.239158</v>
      </c>
      <c r="BQ158" s="744" t="str">
        <f t="shared" si="121"/>
        <v/>
      </c>
      <c r="BR158" s="744" t="str">
        <f t="shared" si="122"/>
        <v/>
      </c>
      <c r="BS158" s="744" t="str">
        <f t="shared" si="123"/>
        <v/>
      </c>
      <c r="BT158" s="744">
        <f t="shared" si="124"/>
        <v>0.20485800000000001</v>
      </c>
      <c r="BU158" s="744">
        <f t="shared" si="125"/>
        <v>2.7591579999999998</v>
      </c>
      <c r="BV158" s="744">
        <f t="shared" si="126"/>
        <v>1.1126580000000001</v>
      </c>
      <c r="BW158" s="744">
        <f t="shared" si="127"/>
        <v>0.17815800000000001</v>
      </c>
      <c r="BX158" s="744">
        <f t="shared" si="128"/>
        <v>2.5811579999999998</v>
      </c>
      <c r="BY158" s="744">
        <f t="shared" si="129"/>
        <v>1.0681579999999999</v>
      </c>
      <c r="BZ158" s="744">
        <f t="shared" si="130"/>
        <v>2.225158</v>
      </c>
      <c r="CA158" s="744">
        <f t="shared" si="131"/>
        <v>10.680158</v>
      </c>
      <c r="CB158" s="744">
        <f t="shared" si="132"/>
        <v>32.930157999999999</v>
      </c>
      <c r="CC158" s="744">
        <f t="shared" si="133"/>
        <v>5.3401579999999997</v>
      </c>
      <c r="CD158" s="744">
        <f t="shared" si="134"/>
        <v>2.6857999999999996E-2</v>
      </c>
      <c r="CE158" s="744">
        <f t="shared" si="135"/>
        <v>1.9737999999999999E-2</v>
      </c>
      <c r="CF158" s="744">
        <f t="shared" si="136"/>
        <v>0.12475800000000002</v>
      </c>
      <c r="CG158" s="744" t="str">
        <f t="shared" si="137"/>
        <v/>
      </c>
      <c r="CH158" s="744" t="str">
        <f t="shared" si="138"/>
        <v/>
      </c>
      <c r="CI158" s="744" t="str">
        <f t="shared" si="139"/>
        <v/>
      </c>
      <c r="CJ158" s="744">
        <f t="shared" si="140"/>
        <v>890.00015800000006</v>
      </c>
      <c r="CK158" s="744" t="str">
        <f t="shared" si="141"/>
        <v/>
      </c>
      <c r="CL158" s="744" t="str">
        <f t="shared" si="142"/>
        <v/>
      </c>
      <c r="CM158" s="744" t="str">
        <f t="shared" si="143"/>
        <v/>
      </c>
      <c r="CN158" s="744" t="str">
        <f t="shared" si="144"/>
        <v/>
      </c>
      <c r="CO158" s="744" t="str">
        <f t="shared" si="145"/>
        <v/>
      </c>
      <c r="CP158" s="744" t="str">
        <f t="shared" si="146"/>
        <v/>
      </c>
      <c r="CQ158" s="744" t="str">
        <f t="shared" si="147"/>
        <v/>
      </c>
      <c r="CR158" s="744" t="str">
        <f t="shared" si="148"/>
        <v/>
      </c>
      <c r="CS158" s="744" t="str">
        <f t="shared" si="149"/>
        <v/>
      </c>
      <c r="CT158" s="744" t="str">
        <f t="shared" si="150"/>
        <v/>
      </c>
      <c r="CU158" s="744" t="str">
        <f t="shared" si="151"/>
        <v/>
      </c>
      <c r="CV158" s="744" t="str">
        <f t="shared" si="152"/>
        <v/>
      </c>
      <c r="CW158" s="744" t="str">
        <f t="shared" si="153"/>
        <v/>
      </c>
      <c r="CX158" s="744">
        <f t="shared" si="154"/>
        <v>0.890158</v>
      </c>
    </row>
    <row r="159" spans="1:102">
      <c r="A159" s="633">
        <v>155</v>
      </c>
      <c r="B159" s="630" t="s">
        <v>4</v>
      </c>
      <c r="C159" s="631" t="s">
        <v>749</v>
      </c>
      <c r="D159" s="630" t="s">
        <v>1390</v>
      </c>
      <c r="E159" s="632" t="s">
        <v>720</v>
      </c>
      <c r="F159" s="1067">
        <v>1</v>
      </c>
      <c r="G159" s="1066">
        <v>1</v>
      </c>
      <c r="H159" s="1068">
        <v>1</v>
      </c>
      <c r="I159" s="1068"/>
      <c r="J159" s="1069"/>
      <c r="K159" s="1069"/>
      <c r="L159" s="1074"/>
      <c r="M159" s="1069"/>
      <c r="N159" s="1069"/>
      <c r="O159" s="1069"/>
      <c r="P159" s="1076"/>
      <c r="Q159" s="1069"/>
      <c r="R159" s="1069"/>
      <c r="S159" s="1069"/>
      <c r="T159" s="1069"/>
      <c r="U159" s="1069"/>
      <c r="V159" s="1079">
        <v>140</v>
      </c>
      <c r="W159" s="1069">
        <v>40</v>
      </c>
      <c r="X159" s="1069">
        <v>6.5000000000000009</v>
      </c>
      <c r="Y159" s="1069">
        <v>120</v>
      </c>
      <c r="Z159" s="1069"/>
      <c r="AA159" s="1069">
        <v>100</v>
      </c>
      <c r="AB159" s="1069">
        <v>630</v>
      </c>
      <c r="AC159" s="1069">
        <v>2250</v>
      </c>
      <c r="AD159" s="1069"/>
      <c r="AE159" s="1069">
        <v>1200</v>
      </c>
      <c r="AF159" s="1069">
        <v>38</v>
      </c>
      <c r="AG159" s="1069">
        <v>38</v>
      </c>
      <c r="AH159" s="1076">
        <v>10</v>
      </c>
      <c r="AI159" s="1069"/>
      <c r="AJ159" s="1069"/>
      <c r="AK159" s="1069"/>
      <c r="AL159" s="1081"/>
      <c r="AM159" s="1069"/>
      <c r="AN159" s="1069"/>
      <c r="AO159" s="1069"/>
      <c r="AP159" s="1069"/>
      <c r="AQ159" s="1069"/>
      <c r="AR159" s="1069"/>
      <c r="AS159" s="1282"/>
      <c r="AT159" s="1282"/>
      <c r="AU159" s="1069"/>
      <c r="AV159" s="1069"/>
      <c r="AW159" s="1069"/>
      <c r="AX159" s="1069"/>
      <c r="AY159" s="1069"/>
      <c r="AZ159" s="1078">
        <f t="shared" si="107"/>
        <v>1</v>
      </c>
      <c r="BA159" s="59">
        <v>155</v>
      </c>
      <c r="BB159" s="59">
        <f t="shared" si="108"/>
        <v>155</v>
      </c>
      <c r="BC159" s="60" t="str">
        <f t="shared" si="109"/>
        <v>Mineral Bovitop ADE</v>
      </c>
      <c r="BD159" s="61" t="str">
        <f ca="1">IFERROR(IF(SEARCH('Calcular Dieta'!A$3,$BC$5:$BC$310)&gt;=1,BC159,"Não encontrado"),"Não encontrado")</f>
        <v>Mineral Bovitop ADE</v>
      </c>
      <c r="BE159" s="62">
        <f ca="1">COUNTIF(BD$5:BD159,"&lt;&gt;"&amp;"Não encontrado")</f>
        <v>155</v>
      </c>
      <c r="BF159" s="63" t="str">
        <f t="shared" ca="1" si="110"/>
        <v>MINERAL BOVITOP ADE</v>
      </c>
      <c r="BG159" s="744" t="str">
        <f t="shared" si="111"/>
        <v/>
      </c>
      <c r="BH159" s="744" t="str">
        <f t="shared" si="112"/>
        <v/>
      </c>
      <c r="BI159" s="744" t="str">
        <f t="shared" si="113"/>
        <v/>
      </c>
      <c r="BJ159" s="744" t="str">
        <f t="shared" si="114"/>
        <v/>
      </c>
      <c r="BK159" s="744" t="str">
        <f t="shared" si="115"/>
        <v/>
      </c>
      <c r="BL159" s="744" t="str">
        <f t="shared" si="116"/>
        <v/>
      </c>
      <c r="BM159" s="744" t="str">
        <f t="shared" si="117"/>
        <v/>
      </c>
      <c r="BN159" s="744" t="str">
        <f t="shared" si="118"/>
        <v/>
      </c>
      <c r="BO159" s="744" t="str">
        <f t="shared" si="119"/>
        <v/>
      </c>
      <c r="BP159" s="744" t="str">
        <f t="shared" si="120"/>
        <v/>
      </c>
      <c r="BQ159" s="744" t="str">
        <f t="shared" si="121"/>
        <v/>
      </c>
      <c r="BR159" s="744" t="str">
        <f t="shared" si="122"/>
        <v/>
      </c>
      <c r="BS159" s="744" t="str">
        <f t="shared" si="123"/>
        <v/>
      </c>
      <c r="BT159" s="744">
        <f t="shared" si="124"/>
        <v>140.000159</v>
      </c>
      <c r="BU159" s="744">
        <f t="shared" si="125"/>
        <v>40.000158999999996</v>
      </c>
      <c r="BV159" s="744">
        <f t="shared" si="126"/>
        <v>6.5001590000000009</v>
      </c>
      <c r="BW159" s="744">
        <f t="shared" si="127"/>
        <v>120.000159</v>
      </c>
      <c r="BX159" s="744" t="str">
        <f t="shared" si="128"/>
        <v/>
      </c>
      <c r="BY159" s="744">
        <f t="shared" si="129"/>
        <v>100.000159</v>
      </c>
      <c r="BZ159" s="744">
        <f t="shared" si="130"/>
        <v>630.00015900000005</v>
      </c>
      <c r="CA159" s="744">
        <f t="shared" si="131"/>
        <v>2250.0001590000002</v>
      </c>
      <c r="CB159" s="744" t="str">
        <f t="shared" si="132"/>
        <v/>
      </c>
      <c r="CC159" s="744">
        <f t="shared" si="133"/>
        <v>1200.0001589999999</v>
      </c>
      <c r="CD159" s="744">
        <f t="shared" si="134"/>
        <v>38.000158999999996</v>
      </c>
      <c r="CE159" s="744">
        <f t="shared" si="135"/>
        <v>38.000158999999996</v>
      </c>
      <c r="CF159" s="744">
        <f t="shared" si="136"/>
        <v>10.000159</v>
      </c>
      <c r="CG159" s="744" t="str">
        <f t="shared" si="137"/>
        <v/>
      </c>
      <c r="CH159" s="744" t="str">
        <f t="shared" si="138"/>
        <v/>
      </c>
      <c r="CI159" s="744" t="str">
        <f t="shared" si="139"/>
        <v/>
      </c>
      <c r="CJ159" s="744" t="str">
        <f t="shared" si="140"/>
        <v/>
      </c>
      <c r="CK159" s="744" t="str">
        <f t="shared" si="141"/>
        <v/>
      </c>
      <c r="CL159" s="744" t="str">
        <f t="shared" si="142"/>
        <v/>
      </c>
      <c r="CM159" s="744" t="str">
        <f t="shared" si="143"/>
        <v/>
      </c>
      <c r="CN159" s="744" t="str">
        <f t="shared" si="144"/>
        <v/>
      </c>
      <c r="CO159" s="744" t="str">
        <f t="shared" si="145"/>
        <v/>
      </c>
      <c r="CP159" s="744" t="str">
        <f t="shared" si="146"/>
        <v/>
      </c>
      <c r="CQ159" s="744" t="str">
        <f t="shared" si="147"/>
        <v/>
      </c>
      <c r="CR159" s="744" t="str">
        <f t="shared" si="148"/>
        <v/>
      </c>
      <c r="CS159" s="744" t="str">
        <f t="shared" si="149"/>
        <v/>
      </c>
      <c r="CT159" s="744" t="str">
        <f t="shared" si="150"/>
        <v/>
      </c>
      <c r="CU159" s="744" t="str">
        <f t="shared" si="151"/>
        <v/>
      </c>
      <c r="CV159" s="744" t="str">
        <f t="shared" si="152"/>
        <v/>
      </c>
      <c r="CW159" s="744" t="str">
        <f t="shared" si="153"/>
        <v/>
      </c>
      <c r="CX159" s="744">
        <f t="shared" si="154"/>
        <v>1.000159</v>
      </c>
    </row>
    <row r="160" spans="1:102">
      <c r="A160" s="630">
        <v>156</v>
      </c>
      <c r="B160" s="630" t="s">
        <v>4</v>
      </c>
      <c r="C160" s="631" t="s">
        <v>749</v>
      </c>
      <c r="D160" s="630" t="s">
        <v>1390</v>
      </c>
      <c r="E160" s="632" t="s">
        <v>718</v>
      </c>
      <c r="F160" s="1067">
        <v>1</v>
      </c>
      <c r="G160" s="1066">
        <v>1</v>
      </c>
      <c r="H160" s="1070">
        <v>0.98</v>
      </c>
      <c r="I160" s="1070"/>
      <c r="J160" s="1070"/>
      <c r="K160" s="1070"/>
      <c r="L160" s="1072"/>
      <c r="M160" s="1070"/>
      <c r="N160" s="1070"/>
      <c r="O160" s="1070"/>
      <c r="P160" s="1073"/>
      <c r="Q160" s="1070"/>
      <c r="R160" s="1070"/>
      <c r="S160" s="1070"/>
      <c r="T160" s="1070"/>
      <c r="U160" s="1070"/>
      <c r="V160" s="1066">
        <v>129.36000000000001</v>
      </c>
      <c r="W160" s="1070">
        <v>86.240000000000009</v>
      </c>
      <c r="X160" s="1070"/>
      <c r="Y160" s="1070">
        <v>123.47999999999999</v>
      </c>
      <c r="Z160" s="1070"/>
      <c r="AA160" s="1070">
        <v>11.76</v>
      </c>
      <c r="AB160" s="1070">
        <v>1530</v>
      </c>
      <c r="AC160" s="1070">
        <v>3630</v>
      </c>
      <c r="AD160" s="1070"/>
      <c r="AE160" s="1070">
        <v>1300</v>
      </c>
      <c r="AF160" s="1070">
        <v>75</v>
      </c>
      <c r="AG160" s="1070">
        <v>55.5</v>
      </c>
      <c r="AH160" s="1073">
        <v>15</v>
      </c>
      <c r="AI160" s="1070"/>
      <c r="AJ160" s="1070"/>
      <c r="AK160" s="1070"/>
      <c r="AL160" s="1082"/>
      <c r="AM160" s="1069"/>
      <c r="AN160" s="1070"/>
      <c r="AO160" s="1070"/>
      <c r="AP160" s="1070"/>
      <c r="AQ160" s="1070"/>
      <c r="AR160" s="1069"/>
      <c r="AS160" s="1282"/>
      <c r="AT160" s="1282"/>
      <c r="AU160" s="1069"/>
      <c r="AV160" s="1069"/>
      <c r="AW160" s="1069"/>
      <c r="AX160" s="1070"/>
      <c r="AY160" s="1070"/>
      <c r="AZ160" s="1078">
        <f t="shared" si="107"/>
        <v>0.98</v>
      </c>
      <c r="BA160" s="59">
        <v>156</v>
      </c>
      <c r="BB160" s="59">
        <f t="shared" si="108"/>
        <v>156</v>
      </c>
      <c r="BC160" s="60" t="str">
        <f t="shared" si="109"/>
        <v>Mineral Fosbovi 20</v>
      </c>
      <c r="BD160" s="61" t="str">
        <f ca="1">IFERROR(IF(SEARCH('Calcular Dieta'!A$3,$BC$5:$BC$310)&gt;=1,BC160,"Não encontrado"),"Não encontrado")</f>
        <v>Mineral Fosbovi 20</v>
      </c>
      <c r="BE160" s="62">
        <f ca="1">COUNTIF(BD$5:BD160,"&lt;&gt;"&amp;"Não encontrado")</f>
        <v>156</v>
      </c>
      <c r="BF160" s="63" t="str">
        <f t="shared" ca="1" si="110"/>
        <v>MINERAL FOSBOVI 20</v>
      </c>
      <c r="BG160" s="744" t="str">
        <f t="shared" si="111"/>
        <v/>
      </c>
      <c r="BH160" s="744" t="str">
        <f t="shared" si="112"/>
        <v/>
      </c>
      <c r="BI160" s="744" t="str">
        <f t="shared" si="113"/>
        <v/>
      </c>
      <c r="BJ160" s="744" t="str">
        <f t="shared" si="114"/>
        <v/>
      </c>
      <c r="BK160" s="744" t="str">
        <f t="shared" si="115"/>
        <v/>
      </c>
      <c r="BL160" s="744" t="str">
        <f t="shared" si="116"/>
        <v/>
      </c>
      <c r="BM160" s="744" t="str">
        <f t="shared" si="117"/>
        <v/>
      </c>
      <c r="BN160" s="744" t="str">
        <f t="shared" si="118"/>
        <v/>
      </c>
      <c r="BO160" s="744" t="str">
        <f t="shared" si="119"/>
        <v/>
      </c>
      <c r="BP160" s="744" t="str">
        <f t="shared" si="120"/>
        <v/>
      </c>
      <c r="BQ160" s="744" t="str">
        <f t="shared" si="121"/>
        <v/>
      </c>
      <c r="BR160" s="744" t="str">
        <f t="shared" si="122"/>
        <v/>
      </c>
      <c r="BS160" s="744" t="str">
        <f t="shared" si="123"/>
        <v/>
      </c>
      <c r="BT160" s="744">
        <f t="shared" si="124"/>
        <v>129.36016000000001</v>
      </c>
      <c r="BU160" s="744">
        <f t="shared" si="125"/>
        <v>86.240160000000003</v>
      </c>
      <c r="BV160" s="744" t="str">
        <f t="shared" si="126"/>
        <v/>
      </c>
      <c r="BW160" s="744">
        <f t="shared" si="127"/>
        <v>123.48015999999998</v>
      </c>
      <c r="BX160" s="744" t="str">
        <f t="shared" si="128"/>
        <v/>
      </c>
      <c r="BY160" s="744">
        <f t="shared" si="129"/>
        <v>11.760159999999999</v>
      </c>
      <c r="BZ160" s="744">
        <f t="shared" si="130"/>
        <v>1530.0001600000001</v>
      </c>
      <c r="CA160" s="744">
        <f t="shared" si="131"/>
        <v>3630.0001600000001</v>
      </c>
      <c r="CB160" s="744" t="str">
        <f t="shared" si="132"/>
        <v/>
      </c>
      <c r="CC160" s="744">
        <f t="shared" si="133"/>
        <v>1300.0001600000001</v>
      </c>
      <c r="CD160" s="744">
        <f t="shared" si="134"/>
        <v>75.000159999999994</v>
      </c>
      <c r="CE160" s="744">
        <f t="shared" si="135"/>
        <v>55.500160000000001</v>
      </c>
      <c r="CF160" s="744">
        <f t="shared" si="136"/>
        <v>15.000159999999999</v>
      </c>
      <c r="CG160" s="744" t="str">
        <f t="shared" si="137"/>
        <v/>
      </c>
      <c r="CH160" s="744" t="str">
        <f t="shared" si="138"/>
        <v/>
      </c>
      <c r="CI160" s="744" t="str">
        <f t="shared" si="139"/>
        <v/>
      </c>
      <c r="CJ160" s="744" t="str">
        <f t="shared" si="140"/>
        <v/>
      </c>
      <c r="CK160" s="744" t="str">
        <f t="shared" si="141"/>
        <v/>
      </c>
      <c r="CL160" s="744" t="str">
        <f t="shared" si="142"/>
        <v/>
      </c>
      <c r="CM160" s="744" t="str">
        <f t="shared" si="143"/>
        <v/>
      </c>
      <c r="CN160" s="744" t="str">
        <f t="shared" si="144"/>
        <v/>
      </c>
      <c r="CO160" s="744" t="str">
        <f t="shared" si="145"/>
        <v/>
      </c>
      <c r="CP160" s="744" t="str">
        <f t="shared" si="146"/>
        <v/>
      </c>
      <c r="CQ160" s="744" t="str">
        <f t="shared" si="147"/>
        <v/>
      </c>
      <c r="CR160" s="744" t="str">
        <f t="shared" si="148"/>
        <v/>
      </c>
      <c r="CS160" s="744" t="str">
        <f t="shared" si="149"/>
        <v/>
      </c>
      <c r="CT160" s="744" t="str">
        <f t="shared" si="150"/>
        <v/>
      </c>
      <c r="CU160" s="744" t="str">
        <f t="shared" si="151"/>
        <v/>
      </c>
      <c r="CV160" s="744" t="str">
        <f t="shared" si="152"/>
        <v/>
      </c>
      <c r="CW160" s="744" t="str">
        <f t="shared" si="153"/>
        <v/>
      </c>
      <c r="CX160" s="744">
        <f t="shared" si="154"/>
        <v>0.98016000000000003</v>
      </c>
    </row>
    <row r="161" spans="1:102">
      <c r="A161" s="633">
        <v>157</v>
      </c>
      <c r="B161" s="630" t="s">
        <v>4</v>
      </c>
      <c r="C161" s="631" t="s">
        <v>749</v>
      </c>
      <c r="D161" s="630" t="s">
        <v>1390</v>
      </c>
      <c r="E161" s="632" t="s">
        <v>719</v>
      </c>
      <c r="F161" s="1067">
        <v>1</v>
      </c>
      <c r="G161" s="1066">
        <v>1</v>
      </c>
      <c r="H161" s="1070">
        <v>1</v>
      </c>
      <c r="I161" s="1070"/>
      <c r="J161" s="1070"/>
      <c r="K161" s="1070"/>
      <c r="L161" s="1072"/>
      <c r="M161" s="1070"/>
      <c r="N161" s="1070"/>
      <c r="O161" s="1070"/>
      <c r="P161" s="1073"/>
      <c r="Q161" s="1070"/>
      <c r="R161" s="1070"/>
      <c r="S161" s="1070"/>
      <c r="T161" s="1070"/>
      <c r="U161" s="1070"/>
      <c r="V161" s="1066">
        <v>240</v>
      </c>
      <c r="W161" s="1070">
        <v>174</v>
      </c>
      <c r="X161" s="1070"/>
      <c r="Y161" s="1070"/>
      <c r="Z161" s="1070"/>
      <c r="AA161" s="1070">
        <v>24</v>
      </c>
      <c r="AB161" s="1070">
        <v>1250</v>
      </c>
      <c r="AC161" s="1070">
        <v>5270</v>
      </c>
      <c r="AD161" s="1070"/>
      <c r="AE161" s="1070">
        <v>2000</v>
      </c>
      <c r="AF161" s="1070">
        <v>90</v>
      </c>
      <c r="AG161" s="1070">
        <v>100</v>
      </c>
      <c r="AH161" s="1073">
        <v>15</v>
      </c>
      <c r="AI161" s="1070"/>
      <c r="AJ161" s="1070"/>
      <c r="AK161" s="1070"/>
      <c r="AL161" s="1082"/>
      <c r="AM161" s="1069"/>
      <c r="AN161" s="1070"/>
      <c r="AO161" s="1070"/>
      <c r="AP161" s="1070"/>
      <c r="AQ161" s="1070"/>
      <c r="AR161" s="1069"/>
      <c r="AS161" s="1282"/>
      <c r="AT161" s="1282"/>
      <c r="AU161" s="1069"/>
      <c r="AV161" s="1069"/>
      <c r="AW161" s="1069"/>
      <c r="AX161" s="1070"/>
      <c r="AY161" s="1070"/>
      <c r="AZ161" s="1078">
        <f t="shared" si="107"/>
        <v>1</v>
      </c>
      <c r="BA161" s="59">
        <v>157</v>
      </c>
      <c r="BB161" s="59">
        <f t="shared" si="108"/>
        <v>157</v>
      </c>
      <c r="BC161" s="60" t="str">
        <f t="shared" si="109"/>
        <v>Mineral Fosbovi 40</v>
      </c>
      <c r="BD161" s="61" t="str">
        <f ca="1">IFERROR(IF(SEARCH('Calcular Dieta'!A$3,$BC$5:$BC$310)&gt;=1,BC161,"Não encontrado"),"Não encontrado")</f>
        <v>Mineral Fosbovi 40</v>
      </c>
      <c r="BE161" s="62">
        <f ca="1">COUNTIF(BD$5:BD161,"&lt;&gt;"&amp;"Não encontrado")</f>
        <v>157</v>
      </c>
      <c r="BF161" s="63" t="str">
        <f t="shared" ca="1" si="110"/>
        <v>MINERAL FOSBOVI 40</v>
      </c>
      <c r="BG161" s="744" t="str">
        <f t="shared" si="111"/>
        <v/>
      </c>
      <c r="BH161" s="744" t="str">
        <f t="shared" si="112"/>
        <v/>
      </c>
      <c r="BI161" s="744" t="str">
        <f t="shared" si="113"/>
        <v/>
      </c>
      <c r="BJ161" s="744" t="str">
        <f t="shared" si="114"/>
        <v/>
      </c>
      <c r="BK161" s="744" t="str">
        <f t="shared" si="115"/>
        <v/>
      </c>
      <c r="BL161" s="744" t="str">
        <f t="shared" si="116"/>
        <v/>
      </c>
      <c r="BM161" s="744" t="str">
        <f t="shared" si="117"/>
        <v/>
      </c>
      <c r="BN161" s="744" t="str">
        <f t="shared" si="118"/>
        <v/>
      </c>
      <c r="BO161" s="744" t="str">
        <f t="shared" si="119"/>
        <v/>
      </c>
      <c r="BP161" s="744" t="str">
        <f t="shared" si="120"/>
        <v/>
      </c>
      <c r="BQ161" s="744" t="str">
        <f t="shared" si="121"/>
        <v/>
      </c>
      <c r="BR161" s="744" t="str">
        <f t="shared" si="122"/>
        <v/>
      </c>
      <c r="BS161" s="744" t="str">
        <f t="shared" si="123"/>
        <v/>
      </c>
      <c r="BT161" s="744">
        <f t="shared" si="124"/>
        <v>240.00016099999999</v>
      </c>
      <c r="BU161" s="744">
        <f t="shared" si="125"/>
        <v>174.00016099999999</v>
      </c>
      <c r="BV161" s="744" t="str">
        <f t="shared" si="126"/>
        <v/>
      </c>
      <c r="BW161" s="744" t="str">
        <f t="shared" si="127"/>
        <v/>
      </c>
      <c r="BX161" s="744" t="str">
        <f t="shared" si="128"/>
        <v/>
      </c>
      <c r="BY161" s="744">
        <f t="shared" si="129"/>
        <v>24.000160999999999</v>
      </c>
      <c r="BZ161" s="744">
        <f t="shared" si="130"/>
        <v>1250.0001609999999</v>
      </c>
      <c r="CA161" s="744">
        <f t="shared" si="131"/>
        <v>5270.0001609999999</v>
      </c>
      <c r="CB161" s="744" t="str">
        <f t="shared" si="132"/>
        <v/>
      </c>
      <c r="CC161" s="744">
        <f t="shared" si="133"/>
        <v>2000.0001609999999</v>
      </c>
      <c r="CD161" s="744">
        <f t="shared" si="134"/>
        <v>90.000161000000006</v>
      </c>
      <c r="CE161" s="744">
        <f t="shared" si="135"/>
        <v>100.00016100000001</v>
      </c>
      <c r="CF161" s="744">
        <f t="shared" si="136"/>
        <v>15.000161</v>
      </c>
      <c r="CG161" s="744" t="str">
        <f t="shared" si="137"/>
        <v/>
      </c>
      <c r="CH161" s="744" t="str">
        <f t="shared" si="138"/>
        <v/>
      </c>
      <c r="CI161" s="744" t="str">
        <f t="shared" si="139"/>
        <v/>
      </c>
      <c r="CJ161" s="744" t="str">
        <f t="shared" si="140"/>
        <v/>
      </c>
      <c r="CK161" s="744" t="str">
        <f t="shared" si="141"/>
        <v/>
      </c>
      <c r="CL161" s="744" t="str">
        <f t="shared" si="142"/>
        <v/>
      </c>
      <c r="CM161" s="744" t="str">
        <f t="shared" si="143"/>
        <v/>
      </c>
      <c r="CN161" s="744" t="str">
        <f t="shared" si="144"/>
        <v/>
      </c>
      <c r="CO161" s="744" t="str">
        <f t="shared" si="145"/>
        <v/>
      </c>
      <c r="CP161" s="744" t="str">
        <f t="shared" si="146"/>
        <v/>
      </c>
      <c r="CQ161" s="744" t="str">
        <f t="shared" si="147"/>
        <v/>
      </c>
      <c r="CR161" s="744" t="str">
        <f t="shared" si="148"/>
        <v/>
      </c>
      <c r="CS161" s="744" t="str">
        <f t="shared" si="149"/>
        <v/>
      </c>
      <c r="CT161" s="744" t="str">
        <f t="shared" si="150"/>
        <v/>
      </c>
      <c r="CU161" s="744" t="str">
        <f t="shared" si="151"/>
        <v/>
      </c>
      <c r="CV161" s="744" t="str">
        <f t="shared" si="152"/>
        <v/>
      </c>
      <c r="CW161" s="744" t="str">
        <f t="shared" si="153"/>
        <v/>
      </c>
      <c r="CX161" s="744">
        <f t="shared" si="154"/>
        <v>1.0001610000000001</v>
      </c>
    </row>
    <row r="162" spans="1:102">
      <c r="A162" s="630">
        <v>158</v>
      </c>
      <c r="B162" s="630" t="s">
        <v>4</v>
      </c>
      <c r="C162" s="631" t="s">
        <v>749</v>
      </c>
      <c r="D162" s="630" t="s">
        <v>1390</v>
      </c>
      <c r="E162" s="632" t="s">
        <v>717</v>
      </c>
      <c r="F162" s="1067">
        <v>1</v>
      </c>
      <c r="G162" s="1066">
        <v>1</v>
      </c>
      <c r="H162" s="1070">
        <v>1</v>
      </c>
      <c r="I162" s="1070"/>
      <c r="J162" s="1070"/>
      <c r="K162" s="1070"/>
      <c r="L162" s="1072"/>
      <c r="M162" s="1070"/>
      <c r="N162" s="1070"/>
      <c r="O162" s="1070"/>
      <c r="P162" s="1073"/>
      <c r="Q162" s="1070"/>
      <c r="R162" s="1070"/>
      <c r="S162" s="1070"/>
      <c r="T162" s="1070"/>
      <c r="U162" s="1070"/>
      <c r="V162" s="1066">
        <v>235</v>
      </c>
      <c r="W162" s="1070">
        <v>130</v>
      </c>
      <c r="X162" s="1070">
        <v>15</v>
      </c>
      <c r="Y162" s="1070"/>
      <c r="Z162" s="1070"/>
      <c r="AA162" s="1070">
        <v>240</v>
      </c>
      <c r="AB162" s="1070">
        <v>2250</v>
      </c>
      <c r="AC162" s="1070">
        <v>6500</v>
      </c>
      <c r="AD162" s="1070"/>
      <c r="AE162" s="1070">
        <v>2000</v>
      </c>
      <c r="AF162" s="1070">
        <v>140</v>
      </c>
      <c r="AG162" s="1070">
        <v>120</v>
      </c>
      <c r="AH162" s="1073">
        <v>24</v>
      </c>
      <c r="AI162" s="1070"/>
      <c r="AJ162" s="1070"/>
      <c r="AK162" s="1070"/>
      <c r="AL162" s="1082"/>
      <c r="AM162" s="1069"/>
      <c r="AN162" s="1070"/>
      <c r="AO162" s="1070"/>
      <c r="AP162" s="1070"/>
      <c r="AQ162" s="1070"/>
      <c r="AR162" s="1069"/>
      <c r="AS162" s="1282"/>
      <c r="AT162" s="1282"/>
      <c r="AU162" s="1069"/>
      <c r="AV162" s="1069"/>
      <c r="AW162" s="1069"/>
      <c r="AX162" s="1070"/>
      <c r="AY162" s="1070"/>
      <c r="AZ162" s="1078">
        <f t="shared" si="107"/>
        <v>1</v>
      </c>
      <c r="BA162" s="59">
        <v>158</v>
      </c>
      <c r="BB162" s="59">
        <f t="shared" si="108"/>
        <v>158</v>
      </c>
      <c r="BC162" s="60" t="str">
        <f t="shared" si="109"/>
        <v>Mineral Suprasal BRC 130</v>
      </c>
      <c r="BD162" s="61" t="str">
        <f ca="1">IFERROR(IF(SEARCH('Calcular Dieta'!A$3,$BC$5:$BC$310)&gt;=1,BC162,"Não encontrado"),"Não encontrado")</f>
        <v>Mineral Suprasal BRC 130</v>
      </c>
      <c r="BE162" s="62">
        <f ca="1">COUNTIF(BD$5:BD162,"&lt;&gt;"&amp;"Não encontrado")</f>
        <v>158</v>
      </c>
      <c r="BF162" s="63" t="str">
        <f t="shared" ca="1" si="110"/>
        <v>MINERAL SUPRASAL BRC 130</v>
      </c>
      <c r="BG162" s="744" t="str">
        <f t="shared" si="111"/>
        <v/>
      </c>
      <c r="BH162" s="744" t="str">
        <f t="shared" si="112"/>
        <v/>
      </c>
      <c r="BI162" s="744" t="str">
        <f t="shared" si="113"/>
        <v/>
      </c>
      <c r="BJ162" s="744" t="str">
        <f t="shared" si="114"/>
        <v/>
      </c>
      <c r="BK162" s="744" t="str">
        <f t="shared" si="115"/>
        <v/>
      </c>
      <c r="BL162" s="744" t="str">
        <f t="shared" si="116"/>
        <v/>
      </c>
      <c r="BM162" s="744" t="str">
        <f t="shared" si="117"/>
        <v/>
      </c>
      <c r="BN162" s="744" t="str">
        <f t="shared" si="118"/>
        <v/>
      </c>
      <c r="BO162" s="744" t="str">
        <f t="shared" si="119"/>
        <v/>
      </c>
      <c r="BP162" s="744" t="str">
        <f t="shared" si="120"/>
        <v/>
      </c>
      <c r="BQ162" s="744" t="str">
        <f t="shared" si="121"/>
        <v/>
      </c>
      <c r="BR162" s="744" t="str">
        <f t="shared" si="122"/>
        <v/>
      </c>
      <c r="BS162" s="744" t="str">
        <f t="shared" si="123"/>
        <v/>
      </c>
      <c r="BT162" s="744">
        <f t="shared" si="124"/>
        <v>235.00016199999999</v>
      </c>
      <c r="BU162" s="744">
        <f t="shared" si="125"/>
        <v>130.00016199999999</v>
      </c>
      <c r="BV162" s="744">
        <f t="shared" si="126"/>
        <v>15.000162</v>
      </c>
      <c r="BW162" s="744" t="str">
        <f t="shared" si="127"/>
        <v/>
      </c>
      <c r="BX162" s="744" t="str">
        <f t="shared" si="128"/>
        <v/>
      </c>
      <c r="BY162" s="744">
        <f t="shared" si="129"/>
        <v>240.00016199999999</v>
      </c>
      <c r="BZ162" s="744">
        <f t="shared" si="130"/>
        <v>2250.0001619999998</v>
      </c>
      <c r="CA162" s="744">
        <f t="shared" si="131"/>
        <v>6500.0001620000003</v>
      </c>
      <c r="CB162" s="744" t="str">
        <f t="shared" si="132"/>
        <v/>
      </c>
      <c r="CC162" s="744">
        <f t="shared" si="133"/>
        <v>2000.000162</v>
      </c>
      <c r="CD162" s="744">
        <f t="shared" si="134"/>
        <v>140.00016199999999</v>
      </c>
      <c r="CE162" s="744">
        <f t="shared" si="135"/>
        <v>120.000162</v>
      </c>
      <c r="CF162" s="744">
        <f t="shared" si="136"/>
        <v>24.000162</v>
      </c>
      <c r="CG162" s="744" t="str">
        <f t="shared" si="137"/>
        <v/>
      </c>
      <c r="CH162" s="744" t="str">
        <f t="shared" si="138"/>
        <v/>
      </c>
      <c r="CI162" s="744" t="str">
        <f t="shared" si="139"/>
        <v/>
      </c>
      <c r="CJ162" s="744" t="str">
        <f t="shared" si="140"/>
        <v/>
      </c>
      <c r="CK162" s="744" t="str">
        <f t="shared" si="141"/>
        <v/>
      </c>
      <c r="CL162" s="744" t="str">
        <f t="shared" si="142"/>
        <v/>
      </c>
      <c r="CM162" s="744" t="str">
        <f t="shared" si="143"/>
        <v/>
      </c>
      <c r="CN162" s="744" t="str">
        <f t="shared" si="144"/>
        <v/>
      </c>
      <c r="CO162" s="744" t="str">
        <f t="shared" si="145"/>
        <v/>
      </c>
      <c r="CP162" s="744" t="str">
        <f t="shared" si="146"/>
        <v/>
      </c>
      <c r="CQ162" s="744" t="str">
        <f t="shared" si="147"/>
        <v/>
      </c>
      <c r="CR162" s="744" t="str">
        <f t="shared" si="148"/>
        <v/>
      </c>
      <c r="CS162" s="744" t="str">
        <f t="shared" si="149"/>
        <v/>
      </c>
      <c r="CT162" s="744" t="str">
        <f t="shared" si="150"/>
        <v/>
      </c>
      <c r="CU162" s="744" t="str">
        <f t="shared" si="151"/>
        <v/>
      </c>
      <c r="CV162" s="744" t="str">
        <f t="shared" si="152"/>
        <v/>
      </c>
      <c r="CW162" s="744" t="str">
        <f t="shared" si="153"/>
        <v/>
      </c>
      <c r="CX162" s="744">
        <f t="shared" si="154"/>
        <v>1.000162</v>
      </c>
    </row>
    <row r="163" spans="1:102">
      <c r="A163" s="633">
        <v>159</v>
      </c>
      <c r="B163" s="630" t="s">
        <v>4</v>
      </c>
      <c r="C163" s="631" t="s">
        <v>749</v>
      </c>
      <c r="D163" s="630" t="s">
        <v>1390</v>
      </c>
      <c r="E163" s="632" t="s">
        <v>715</v>
      </c>
      <c r="F163" s="1067">
        <v>1</v>
      </c>
      <c r="G163" s="1066">
        <v>1</v>
      </c>
      <c r="H163" s="1070">
        <v>1</v>
      </c>
      <c r="I163" s="1070"/>
      <c r="J163" s="1070"/>
      <c r="K163" s="1070"/>
      <c r="L163" s="1072"/>
      <c r="M163" s="1070"/>
      <c r="N163" s="1070"/>
      <c r="O163" s="1070"/>
      <c r="P163" s="1073"/>
      <c r="Q163" s="1070"/>
      <c r="R163" s="1070"/>
      <c r="S163" s="1070"/>
      <c r="T163" s="1070"/>
      <c r="U163" s="1070"/>
      <c r="V163" s="1066">
        <v>205</v>
      </c>
      <c r="W163" s="1070">
        <v>160</v>
      </c>
      <c r="X163" s="1070">
        <v>15</v>
      </c>
      <c r="Y163" s="1070"/>
      <c r="Z163" s="1070"/>
      <c r="AA163" s="1070">
        <v>240</v>
      </c>
      <c r="AB163" s="1070">
        <v>2250</v>
      </c>
      <c r="AC163" s="1070">
        <v>6500</v>
      </c>
      <c r="AD163" s="1070"/>
      <c r="AE163" s="1070">
        <v>2400</v>
      </c>
      <c r="AF163" s="1070">
        <v>140</v>
      </c>
      <c r="AG163" s="1070">
        <v>200</v>
      </c>
      <c r="AH163" s="1073">
        <v>30</v>
      </c>
      <c r="AI163" s="1070"/>
      <c r="AJ163" s="1070"/>
      <c r="AK163" s="1070"/>
      <c r="AL163" s="1082"/>
      <c r="AM163" s="1069"/>
      <c r="AN163" s="1070"/>
      <c r="AO163" s="1070"/>
      <c r="AP163" s="1070"/>
      <c r="AQ163" s="1070"/>
      <c r="AR163" s="1069"/>
      <c r="AS163" s="1282"/>
      <c r="AT163" s="1282"/>
      <c r="AU163" s="1069"/>
      <c r="AV163" s="1069"/>
      <c r="AW163" s="1069"/>
      <c r="AX163" s="1070"/>
      <c r="AY163" s="1070"/>
      <c r="AZ163" s="1078">
        <f t="shared" si="107"/>
        <v>1</v>
      </c>
      <c r="BA163" s="59">
        <v>159</v>
      </c>
      <c r="BB163" s="59">
        <f t="shared" si="108"/>
        <v>159</v>
      </c>
      <c r="BC163" s="60" t="str">
        <f t="shared" si="109"/>
        <v>Mineral Suprasal BRC 160</v>
      </c>
      <c r="BD163" s="61" t="str">
        <f ca="1">IFERROR(IF(SEARCH('Calcular Dieta'!A$3,$BC$5:$BC$310)&gt;=1,BC163,"Não encontrado"),"Não encontrado")</f>
        <v>Mineral Suprasal BRC 160</v>
      </c>
      <c r="BE163" s="62">
        <f ca="1">COUNTIF(BD$5:BD163,"&lt;&gt;"&amp;"Não encontrado")</f>
        <v>159</v>
      </c>
      <c r="BF163" s="63" t="str">
        <f t="shared" ca="1" si="110"/>
        <v>MINERAL SUPRASAL BRC 160</v>
      </c>
      <c r="BG163" s="744" t="str">
        <f t="shared" si="111"/>
        <v/>
      </c>
      <c r="BH163" s="744" t="str">
        <f t="shared" si="112"/>
        <v/>
      </c>
      <c r="BI163" s="744" t="str">
        <f t="shared" si="113"/>
        <v/>
      </c>
      <c r="BJ163" s="744" t="str">
        <f t="shared" si="114"/>
        <v/>
      </c>
      <c r="BK163" s="744" t="str">
        <f t="shared" si="115"/>
        <v/>
      </c>
      <c r="BL163" s="744" t="str">
        <f t="shared" si="116"/>
        <v/>
      </c>
      <c r="BM163" s="744" t="str">
        <f t="shared" si="117"/>
        <v/>
      </c>
      <c r="BN163" s="744" t="str">
        <f t="shared" si="118"/>
        <v/>
      </c>
      <c r="BO163" s="744" t="str">
        <f t="shared" si="119"/>
        <v/>
      </c>
      <c r="BP163" s="744" t="str">
        <f t="shared" si="120"/>
        <v/>
      </c>
      <c r="BQ163" s="744" t="str">
        <f t="shared" si="121"/>
        <v/>
      </c>
      <c r="BR163" s="744" t="str">
        <f t="shared" si="122"/>
        <v/>
      </c>
      <c r="BS163" s="744" t="str">
        <f t="shared" si="123"/>
        <v/>
      </c>
      <c r="BT163" s="744">
        <f t="shared" si="124"/>
        <v>205.00016299999999</v>
      </c>
      <c r="BU163" s="744">
        <f t="shared" si="125"/>
        <v>160.00016299999999</v>
      </c>
      <c r="BV163" s="744">
        <f t="shared" si="126"/>
        <v>15.000163000000001</v>
      </c>
      <c r="BW163" s="744" t="str">
        <f t="shared" si="127"/>
        <v/>
      </c>
      <c r="BX163" s="744" t="str">
        <f t="shared" si="128"/>
        <v/>
      </c>
      <c r="BY163" s="744">
        <f t="shared" si="129"/>
        <v>240.00016299999999</v>
      </c>
      <c r="BZ163" s="744">
        <f t="shared" si="130"/>
        <v>2250.0001630000002</v>
      </c>
      <c r="CA163" s="744">
        <f t="shared" si="131"/>
        <v>6500.0001629999997</v>
      </c>
      <c r="CB163" s="744" t="str">
        <f t="shared" si="132"/>
        <v/>
      </c>
      <c r="CC163" s="744">
        <f t="shared" si="133"/>
        <v>2400.0001630000002</v>
      </c>
      <c r="CD163" s="744">
        <f t="shared" si="134"/>
        <v>140.00016299999999</v>
      </c>
      <c r="CE163" s="744">
        <f t="shared" si="135"/>
        <v>200.00016299999999</v>
      </c>
      <c r="CF163" s="744">
        <f t="shared" si="136"/>
        <v>30.000163000000001</v>
      </c>
      <c r="CG163" s="744" t="str">
        <f t="shared" si="137"/>
        <v/>
      </c>
      <c r="CH163" s="744" t="str">
        <f t="shared" si="138"/>
        <v/>
      </c>
      <c r="CI163" s="744" t="str">
        <f t="shared" si="139"/>
        <v/>
      </c>
      <c r="CJ163" s="744" t="str">
        <f t="shared" si="140"/>
        <v/>
      </c>
      <c r="CK163" s="744" t="str">
        <f t="shared" si="141"/>
        <v/>
      </c>
      <c r="CL163" s="744" t="str">
        <f t="shared" si="142"/>
        <v/>
      </c>
      <c r="CM163" s="744" t="str">
        <f t="shared" si="143"/>
        <v/>
      </c>
      <c r="CN163" s="744" t="str">
        <f t="shared" si="144"/>
        <v/>
      </c>
      <c r="CO163" s="744" t="str">
        <f t="shared" si="145"/>
        <v/>
      </c>
      <c r="CP163" s="744" t="str">
        <f t="shared" si="146"/>
        <v/>
      </c>
      <c r="CQ163" s="744" t="str">
        <f t="shared" si="147"/>
        <v/>
      </c>
      <c r="CR163" s="744" t="str">
        <f t="shared" si="148"/>
        <v/>
      </c>
      <c r="CS163" s="744" t="str">
        <f t="shared" si="149"/>
        <v/>
      </c>
      <c r="CT163" s="744" t="str">
        <f t="shared" si="150"/>
        <v/>
      </c>
      <c r="CU163" s="744" t="str">
        <f t="shared" si="151"/>
        <v/>
      </c>
      <c r="CV163" s="744" t="str">
        <f t="shared" si="152"/>
        <v/>
      </c>
      <c r="CW163" s="744" t="str">
        <f t="shared" si="153"/>
        <v/>
      </c>
      <c r="CX163" s="744">
        <f t="shared" si="154"/>
        <v>1.0001629999999999</v>
      </c>
    </row>
    <row r="164" spans="1:102">
      <c r="A164" s="630">
        <v>160</v>
      </c>
      <c r="B164" s="630" t="s">
        <v>4</v>
      </c>
      <c r="C164" s="631" t="s">
        <v>749</v>
      </c>
      <c r="D164" s="630" t="s">
        <v>1390</v>
      </c>
      <c r="E164" s="632" t="s">
        <v>716</v>
      </c>
      <c r="F164" s="1067">
        <v>1</v>
      </c>
      <c r="G164" s="1066">
        <v>1</v>
      </c>
      <c r="H164" s="1070">
        <v>1</v>
      </c>
      <c r="I164" s="1070"/>
      <c r="J164" s="1070"/>
      <c r="K164" s="1070"/>
      <c r="L164" s="1072"/>
      <c r="M164" s="1070"/>
      <c r="N164" s="1070"/>
      <c r="O164" s="1070"/>
      <c r="P164" s="1073"/>
      <c r="Q164" s="1070"/>
      <c r="R164" s="1070"/>
      <c r="S164" s="1070"/>
      <c r="T164" s="1070"/>
      <c r="U164" s="1070"/>
      <c r="V164" s="1066">
        <v>135</v>
      </c>
      <c r="W164" s="1070">
        <v>40</v>
      </c>
      <c r="X164" s="1070">
        <v>5</v>
      </c>
      <c r="Y164" s="1070">
        <v>140</v>
      </c>
      <c r="Z164" s="1070"/>
      <c r="AA164" s="1070">
        <v>12</v>
      </c>
      <c r="AB164" s="1070">
        <v>800</v>
      </c>
      <c r="AC164" s="1070">
        <v>2000</v>
      </c>
      <c r="AD164" s="1070"/>
      <c r="AE164" s="1070">
        <v>1000</v>
      </c>
      <c r="AF164" s="1070">
        <v>50</v>
      </c>
      <c r="AG164" s="1070">
        <v>50</v>
      </c>
      <c r="AH164" s="1073">
        <v>8</v>
      </c>
      <c r="AI164" s="1070"/>
      <c r="AJ164" s="1070"/>
      <c r="AK164" s="1070"/>
      <c r="AL164" s="1082"/>
      <c r="AM164" s="1069"/>
      <c r="AN164" s="1070"/>
      <c r="AO164" s="1070"/>
      <c r="AP164" s="1070"/>
      <c r="AQ164" s="1070"/>
      <c r="AR164" s="1069"/>
      <c r="AS164" s="1282"/>
      <c r="AT164" s="1282"/>
      <c r="AU164" s="1069"/>
      <c r="AV164" s="1069"/>
      <c r="AW164" s="1069"/>
      <c r="AX164" s="1070"/>
      <c r="AY164" s="1070"/>
      <c r="AZ164" s="1078">
        <f t="shared" si="107"/>
        <v>1</v>
      </c>
      <c r="BA164" s="59">
        <v>160</v>
      </c>
      <c r="BB164" s="59">
        <f t="shared" si="108"/>
        <v>160</v>
      </c>
      <c r="BC164" s="60" t="str">
        <f t="shared" si="109"/>
        <v>Mineral Suprasal BRC 40</v>
      </c>
      <c r="BD164" s="61" t="str">
        <f ca="1">IFERROR(IF(SEARCH('Calcular Dieta'!A$3,$BC$5:$BC$310)&gt;=1,BC164,"Não encontrado"),"Não encontrado")</f>
        <v>Mineral Suprasal BRC 40</v>
      </c>
      <c r="BE164" s="62">
        <f ca="1">COUNTIF(BD$5:BD164,"&lt;&gt;"&amp;"Não encontrado")</f>
        <v>160</v>
      </c>
      <c r="BF164" s="63" t="str">
        <f t="shared" ca="1" si="110"/>
        <v>MINERAL SUPRASAL BRC 40</v>
      </c>
      <c r="BG164" s="744" t="str">
        <f t="shared" si="111"/>
        <v/>
      </c>
      <c r="BH164" s="744" t="str">
        <f t="shared" si="112"/>
        <v/>
      </c>
      <c r="BI164" s="744" t="str">
        <f t="shared" si="113"/>
        <v/>
      </c>
      <c r="BJ164" s="744" t="str">
        <f t="shared" si="114"/>
        <v/>
      </c>
      <c r="BK164" s="744" t="str">
        <f t="shared" si="115"/>
        <v/>
      </c>
      <c r="BL164" s="744" t="str">
        <f t="shared" si="116"/>
        <v/>
      </c>
      <c r="BM164" s="744" t="str">
        <f t="shared" si="117"/>
        <v/>
      </c>
      <c r="BN164" s="744" t="str">
        <f t="shared" si="118"/>
        <v/>
      </c>
      <c r="BO164" s="744" t="str">
        <f t="shared" si="119"/>
        <v/>
      </c>
      <c r="BP164" s="744" t="str">
        <f t="shared" si="120"/>
        <v/>
      </c>
      <c r="BQ164" s="744" t="str">
        <f t="shared" si="121"/>
        <v/>
      </c>
      <c r="BR164" s="744" t="str">
        <f t="shared" si="122"/>
        <v/>
      </c>
      <c r="BS164" s="744" t="str">
        <f t="shared" si="123"/>
        <v/>
      </c>
      <c r="BT164" s="744">
        <f t="shared" si="124"/>
        <v>135.00016400000001</v>
      </c>
      <c r="BU164" s="744">
        <f t="shared" si="125"/>
        <v>40.000163999999998</v>
      </c>
      <c r="BV164" s="744">
        <f t="shared" si="126"/>
        <v>5.0001639999999998</v>
      </c>
      <c r="BW164" s="744">
        <f t="shared" si="127"/>
        <v>140.00016400000001</v>
      </c>
      <c r="BX164" s="744" t="str">
        <f t="shared" si="128"/>
        <v/>
      </c>
      <c r="BY164" s="744">
        <f t="shared" si="129"/>
        <v>12.000164</v>
      </c>
      <c r="BZ164" s="744">
        <f t="shared" si="130"/>
        <v>800.00016400000004</v>
      </c>
      <c r="CA164" s="744">
        <f t="shared" si="131"/>
        <v>2000.000164</v>
      </c>
      <c r="CB164" s="744" t="str">
        <f t="shared" si="132"/>
        <v/>
      </c>
      <c r="CC164" s="744">
        <f t="shared" si="133"/>
        <v>1000.000164</v>
      </c>
      <c r="CD164" s="744">
        <f t="shared" si="134"/>
        <v>50.000163999999998</v>
      </c>
      <c r="CE164" s="744">
        <f t="shared" si="135"/>
        <v>50.000163999999998</v>
      </c>
      <c r="CF164" s="744">
        <f t="shared" si="136"/>
        <v>8.0001639999999998</v>
      </c>
      <c r="CG164" s="744" t="str">
        <f t="shared" si="137"/>
        <v/>
      </c>
      <c r="CH164" s="744" t="str">
        <f t="shared" si="138"/>
        <v/>
      </c>
      <c r="CI164" s="744" t="str">
        <f t="shared" si="139"/>
        <v/>
      </c>
      <c r="CJ164" s="744" t="str">
        <f t="shared" si="140"/>
        <v/>
      </c>
      <c r="CK164" s="744" t="str">
        <f t="shared" si="141"/>
        <v/>
      </c>
      <c r="CL164" s="744" t="str">
        <f t="shared" si="142"/>
        <v/>
      </c>
      <c r="CM164" s="744" t="str">
        <f t="shared" si="143"/>
        <v/>
      </c>
      <c r="CN164" s="744" t="str">
        <f t="shared" si="144"/>
        <v/>
      </c>
      <c r="CO164" s="744" t="str">
        <f t="shared" si="145"/>
        <v/>
      </c>
      <c r="CP164" s="744" t="str">
        <f t="shared" si="146"/>
        <v/>
      </c>
      <c r="CQ164" s="744" t="str">
        <f t="shared" si="147"/>
        <v/>
      </c>
      <c r="CR164" s="744" t="str">
        <f t="shared" si="148"/>
        <v/>
      </c>
      <c r="CS164" s="744" t="str">
        <f t="shared" si="149"/>
        <v/>
      </c>
      <c r="CT164" s="744" t="str">
        <f t="shared" si="150"/>
        <v/>
      </c>
      <c r="CU164" s="744" t="str">
        <f t="shared" si="151"/>
        <v/>
      </c>
      <c r="CV164" s="744" t="str">
        <f t="shared" si="152"/>
        <v/>
      </c>
      <c r="CW164" s="744" t="str">
        <f t="shared" si="153"/>
        <v/>
      </c>
      <c r="CX164" s="744">
        <f t="shared" si="154"/>
        <v>1.0001640000000001</v>
      </c>
    </row>
    <row r="165" spans="1:102">
      <c r="A165" s="633">
        <v>161</v>
      </c>
      <c r="B165" s="630" t="s">
        <v>4</v>
      </c>
      <c r="C165" s="631" t="s">
        <v>749</v>
      </c>
      <c r="D165" s="630" t="s">
        <v>1390</v>
      </c>
      <c r="E165" s="632" t="s">
        <v>714</v>
      </c>
      <c r="F165" s="1067">
        <v>1</v>
      </c>
      <c r="G165" s="1066">
        <v>1</v>
      </c>
      <c r="H165" s="1070">
        <v>1</v>
      </c>
      <c r="I165" s="1070"/>
      <c r="J165" s="1070"/>
      <c r="K165" s="1070"/>
      <c r="L165" s="1072"/>
      <c r="M165" s="1070"/>
      <c r="N165" s="1070"/>
      <c r="O165" s="1070"/>
      <c r="P165" s="1073"/>
      <c r="Q165" s="1070"/>
      <c r="R165" s="1070"/>
      <c r="S165" s="1070"/>
      <c r="T165" s="1070"/>
      <c r="U165" s="1070"/>
      <c r="V165" s="1066">
        <v>180</v>
      </c>
      <c r="W165" s="1070">
        <v>90</v>
      </c>
      <c r="X165" s="1070">
        <v>10</v>
      </c>
      <c r="Y165" s="1070">
        <v>80</v>
      </c>
      <c r="Z165" s="1070"/>
      <c r="AA165" s="1070">
        <v>120</v>
      </c>
      <c r="AB165" s="1070">
        <v>1500</v>
      </c>
      <c r="AC165" s="1070">
        <v>6000</v>
      </c>
      <c r="AD165" s="1070"/>
      <c r="AE165" s="1070">
        <v>1500</v>
      </c>
      <c r="AF165" s="1070">
        <v>100</v>
      </c>
      <c r="AG165" s="1070">
        <v>80</v>
      </c>
      <c r="AH165" s="1073">
        <v>25</v>
      </c>
      <c r="AI165" s="1070"/>
      <c r="AJ165" s="1070"/>
      <c r="AK165" s="1070"/>
      <c r="AL165" s="1082"/>
      <c r="AM165" s="1069"/>
      <c r="AN165" s="1070"/>
      <c r="AO165" s="1070"/>
      <c r="AP165" s="1070"/>
      <c r="AQ165" s="1070"/>
      <c r="AR165" s="1069"/>
      <c r="AS165" s="1282"/>
      <c r="AT165" s="1282"/>
      <c r="AU165" s="1069"/>
      <c r="AV165" s="1069"/>
      <c r="AW165" s="1069"/>
      <c r="AX165" s="1070"/>
      <c r="AY165" s="1070"/>
      <c r="AZ165" s="1078">
        <f t="shared" si="107"/>
        <v>1</v>
      </c>
      <c r="BA165" s="59">
        <v>161</v>
      </c>
      <c r="BB165" s="59">
        <f t="shared" si="108"/>
        <v>161</v>
      </c>
      <c r="BC165" s="60" t="str">
        <f t="shared" si="109"/>
        <v>Mineral Suprasal BRC Reprodução</v>
      </c>
      <c r="BD165" s="61" t="str">
        <f ca="1">IFERROR(IF(SEARCH('Calcular Dieta'!A$3,$BC$5:$BC$310)&gt;=1,BC165,"Não encontrado"),"Não encontrado")</f>
        <v>Mineral Suprasal BRC Reprodução</v>
      </c>
      <c r="BE165" s="62">
        <f ca="1">COUNTIF(BD$5:BD165,"&lt;&gt;"&amp;"Não encontrado")</f>
        <v>161</v>
      </c>
      <c r="BF165" s="63" t="str">
        <f t="shared" ca="1" si="110"/>
        <v>MINERAL SUPRASAL BRC REPRODUÇÃO</v>
      </c>
      <c r="BG165" s="744" t="str">
        <f t="shared" si="111"/>
        <v/>
      </c>
      <c r="BH165" s="744" t="str">
        <f t="shared" si="112"/>
        <v/>
      </c>
      <c r="BI165" s="744" t="str">
        <f t="shared" si="113"/>
        <v/>
      </c>
      <c r="BJ165" s="744" t="str">
        <f t="shared" si="114"/>
        <v/>
      </c>
      <c r="BK165" s="744" t="str">
        <f t="shared" si="115"/>
        <v/>
      </c>
      <c r="BL165" s="744" t="str">
        <f t="shared" si="116"/>
        <v/>
      </c>
      <c r="BM165" s="744" t="str">
        <f t="shared" si="117"/>
        <v/>
      </c>
      <c r="BN165" s="744" t="str">
        <f t="shared" si="118"/>
        <v/>
      </c>
      <c r="BO165" s="744" t="str">
        <f t="shared" si="119"/>
        <v/>
      </c>
      <c r="BP165" s="744" t="str">
        <f t="shared" si="120"/>
        <v/>
      </c>
      <c r="BQ165" s="744" t="str">
        <f t="shared" si="121"/>
        <v/>
      </c>
      <c r="BR165" s="744" t="str">
        <f t="shared" si="122"/>
        <v/>
      </c>
      <c r="BS165" s="744" t="str">
        <f t="shared" si="123"/>
        <v/>
      </c>
      <c r="BT165" s="744">
        <f t="shared" si="124"/>
        <v>180.00016500000001</v>
      </c>
      <c r="BU165" s="744">
        <f t="shared" si="125"/>
        <v>90.000164999999996</v>
      </c>
      <c r="BV165" s="744">
        <f t="shared" si="126"/>
        <v>10.000165000000001</v>
      </c>
      <c r="BW165" s="744">
        <f t="shared" si="127"/>
        <v>80.000164999999996</v>
      </c>
      <c r="BX165" s="744" t="str">
        <f t="shared" si="128"/>
        <v/>
      </c>
      <c r="BY165" s="744">
        <f t="shared" si="129"/>
        <v>120.000165</v>
      </c>
      <c r="BZ165" s="744">
        <f t="shared" si="130"/>
        <v>1500.0001649999999</v>
      </c>
      <c r="CA165" s="744">
        <f t="shared" si="131"/>
        <v>6000.0001650000004</v>
      </c>
      <c r="CB165" s="744" t="str">
        <f t="shared" si="132"/>
        <v/>
      </c>
      <c r="CC165" s="744">
        <f t="shared" si="133"/>
        <v>1500.0001649999999</v>
      </c>
      <c r="CD165" s="744">
        <f t="shared" si="134"/>
        <v>100.000165</v>
      </c>
      <c r="CE165" s="744">
        <f t="shared" si="135"/>
        <v>80.000164999999996</v>
      </c>
      <c r="CF165" s="744">
        <f t="shared" si="136"/>
        <v>25.000164999999999</v>
      </c>
      <c r="CG165" s="744" t="str">
        <f t="shared" si="137"/>
        <v/>
      </c>
      <c r="CH165" s="744" t="str">
        <f t="shared" si="138"/>
        <v/>
      </c>
      <c r="CI165" s="744" t="str">
        <f t="shared" si="139"/>
        <v/>
      </c>
      <c r="CJ165" s="744" t="str">
        <f t="shared" si="140"/>
        <v/>
      </c>
      <c r="CK165" s="744" t="str">
        <f t="shared" si="141"/>
        <v/>
      </c>
      <c r="CL165" s="744" t="str">
        <f t="shared" si="142"/>
        <v/>
      </c>
      <c r="CM165" s="744" t="str">
        <f t="shared" si="143"/>
        <v/>
      </c>
      <c r="CN165" s="744" t="str">
        <f t="shared" si="144"/>
        <v/>
      </c>
      <c r="CO165" s="744" t="str">
        <f t="shared" si="145"/>
        <v/>
      </c>
      <c r="CP165" s="744" t="str">
        <f t="shared" si="146"/>
        <v/>
      </c>
      <c r="CQ165" s="744" t="str">
        <f t="shared" si="147"/>
        <v/>
      </c>
      <c r="CR165" s="744" t="str">
        <f t="shared" si="148"/>
        <v/>
      </c>
      <c r="CS165" s="744" t="str">
        <f t="shared" si="149"/>
        <v/>
      </c>
      <c r="CT165" s="744" t="str">
        <f t="shared" si="150"/>
        <v/>
      </c>
      <c r="CU165" s="744" t="str">
        <f t="shared" si="151"/>
        <v/>
      </c>
      <c r="CV165" s="744" t="str">
        <f t="shared" si="152"/>
        <v/>
      </c>
      <c r="CW165" s="744" t="str">
        <f t="shared" si="153"/>
        <v/>
      </c>
      <c r="CX165" s="744">
        <f t="shared" si="154"/>
        <v>1.000165</v>
      </c>
    </row>
    <row r="166" spans="1:102">
      <c r="A166" s="630">
        <v>162</v>
      </c>
      <c r="B166" s="630" t="s">
        <v>4</v>
      </c>
      <c r="C166" s="631" t="s">
        <v>749</v>
      </c>
      <c r="D166" s="630" t="s">
        <v>1390</v>
      </c>
      <c r="E166" s="632" t="s">
        <v>712</v>
      </c>
      <c r="F166" s="1067">
        <v>1</v>
      </c>
      <c r="G166" s="1066">
        <v>1</v>
      </c>
      <c r="H166" s="1070">
        <v>1</v>
      </c>
      <c r="I166" s="1070"/>
      <c r="J166" s="1070"/>
      <c r="K166" s="1070"/>
      <c r="L166" s="1072"/>
      <c r="M166" s="1070"/>
      <c r="N166" s="1070"/>
      <c r="O166" s="1070"/>
      <c r="P166" s="1073"/>
      <c r="Q166" s="1070"/>
      <c r="R166" s="1070"/>
      <c r="S166" s="1070"/>
      <c r="T166" s="1070"/>
      <c r="U166" s="1070"/>
      <c r="V166" s="1066">
        <v>166.4</v>
      </c>
      <c r="W166" s="1070">
        <v>66.5</v>
      </c>
      <c r="X166" s="1070">
        <v>15.4</v>
      </c>
      <c r="Y166" s="1070">
        <v>76.599999999999994</v>
      </c>
      <c r="Z166" s="1070">
        <v>4.2</v>
      </c>
      <c r="AA166" s="1070">
        <v>2</v>
      </c>
      <c r="AB166" s="1070">
        <v>18.52</v>
      </c>
      <c r="AC166" s="1070">
        <v>1093</v>
      </c>
      <c r="AD166" s="1070"/>
      <c r="AE166" s="1070">
        <v>5300</v>
      </c>
      <c r="AF166" s="1070">
        <v>12.08</v>
      </c>
      <c r="AG166" s="1070">
        <v>3.9</v>
      </c>
      <c r="AH166" s="1073">
        <v>4.3899999999999997</v>
      </c>
      <c r="AI166" s="1070"/>
      <c r="AJ166" s="1070"/>
      <c r="AK166" s="1070"/>
      <c r="AL166" s="1082"/>
      <c r="AM166" s="1069"/>
      <c r="AN166" s="1070"/>
      <c r="AO166" s="1070"/>
      <c r="AP166" s="1070"/>
      <c r="AQ166" s="1070"/>
      <c r="AR166" s="1069"/>
      <c r="AS166" s="1282"/>
      <c r="AT166" s="1282"/>
      <c r="AU166" s="1069"/>
      <c r="AV166" s="1069"/>
      <c r="AW166" s="1069"/>
      <c r="AX166" s="1070"/>
      <c r="AY166" s="1070"/>
      <c r="AZ166" s="1078">
        <f t="shared" si="107"/>
        <v>1</v>
      </c>
      <c r="BA166" s="59">
        <v>162</v>
      </c>
      <c r="BB166" s="59">
        <f t="shared" si="108"/>
        <v>162</v>
      </c>
      <c r="BC166" s="60" t="str">
        <f t="shared" si="109"/>
        <v>Mineral Zeomin Mix</v>
      </c>
      <c r="BD166" s="61" t="str">
        <f ca="1">IFERROR(IF(SEARCH('Calcular Dieta'!A$3,$BC$5:$BC$310)&gt;=1,BC166,"Não encontrado"),"Não encontrado")</f>
        <v>Mineral Zeomin Mix</v>
      </c>
      <c r="BE166" s="62">
        <f ca="1">COUNTIF(BD$5:BD166,"&lt;&gt;"&amp;"Não encontrado")</f>
        <v>162</v>
      </c>
      <c r="BF166" s="63" t="str">
        <f t="shared" ca="1" si="110"/>
        <v>MINERAL ZEOMIN MIX</v>
      </c>
      <c r="BG166" s="744" t="str">
        <f t="shared" si="111"/>
        <v/>
      </c>
      <c r="BH166" s="744" t="str">
        <f t="shared" si="112"/>
        <v/>
      </c>
      <c r="BI166" s="744" t="str">
        <f t="shared" si="113"/>
        <v/>
      </c>
      <c r="BJ166" s="744" t="str">
        <f t="shared" si="114"/>
        <v/>
      </c>
      <c r="BK166" s="744" t="str">
        <f t="shared" si="115"/>
        <v/>
      </c>
      <c r="BL166" s="744" t="str">
        <f t="shared" si="116"/>
        <v/>
      </c>
      <c r="BM166" s="744" t="str">
        <f t="shared" si="117"/>
        <v/>
      </c>
      <c r="BN166" s="744" t="str">
        <f t="shared" si="118"/>
        <v/>
      </c>
      <c r="BO166" s="744" t="str">
        <f t="shared" si="119"/>
        <v/>
      </c>
      <c r="BP166" s="744" t="str">
        <f t="shared" si="120"/>
        <v/>
      </c>
      <c r="BQ166" s="744" t="str">
        <f t="shared" si="121"/>
        <v/>
      </c>
      <c r="BR166" s="744" t="str">
        <f t="shared" si="122"/>
        <v/>
      </c>
      <c r="BS166" s="744" t="str">
        <f t="shared" si="123"/>
        <v/>
      </c>
      <c r="BT166" s="744">
        <f t="shared" si="124"/>
        <v>166.40016600000001</v>
      </c>
      <c r="BU166" s="744">
        <f t="shared" si="125"/>
        <v>66.500165999999993</v>
      </c>
      <c r="BV166" s="744">
        <f t="shared" si="126"/>
        <v>15.400166</v>
      </c>
      <c r="BW166" s="744">
        <f t="shared" si="127"/>
        <v>76.600165999999987</v>
      </c>
      <c r="BX166" s="744">
        <f t="shared" si="128"/>
        <v>4.2001660000000003</v>
      </c>
      <c r="BY166" s="744">
        <f t="shared" si="129"/>
        <v>2.0001660000000001</v>
      </c>
      <c r="BZ166" s="744">
        <f t="shared" si="130"/>
        <v>18.520166</v>
      </c>
      <c r="CA166" s="744">
        <f t="shared" si="131"/>
        <v>1093.000166</v>
      </c>
      <c r="CB166" s="744" t="str">
        <f t="shared" si="132"/>
        <v/>
      </c>
      <c r="CC166" s="744">
        <f t="shared" si="133"/>
        <v>5300.0001659999998</v>
      </c>
      <c r="CD166" s="744">
        <f t="shared" si="134"/>
        <v>12.080166</v>
      </c>
      <c r="CE166" s="744">
        <f t="shared" si="135"/>
        <v>3.900166</v>
      </c>
      <c r="CF166" s="744">
        <f t="shared" si="136"/>
        <v>4.3901659999999998</v>
      </c>
      <c r="CG166" s="744" t="str">
        <f t="shared" si="137"/>
        <v/>
      </c>
      <c r="CH166" s="744" t="str">
        <f t="shared" si="138"/>
        <v/>
      </c>
      <c r="CI166" s="744" t="str">
        <f t="shared" si="139"/>
        <v/>
      </c>
      <c r="CJ166" s="744" t="str">
        <f t="shared" si="140"/>
        <v/>
      </c>
      <c r="CK166" s="744" t="str">
        <f t="shared" si="141"/>
        <v/>
      </c>
      <c r="CL166" s="744" t="str">
        <f t="shared" si="142"/>
        <v/>
      </c>
      <c r="CM166" s="744" t="str">
        <f t="shared" si="143"/>
        <v/>
      </c>
      <c r="CN166" s="744" t="str">
        <f t="shared" si="144"/>
        <v/>
      </c>
      <c r="CO166" s="744" t="str">
        <f t="shared" si="145"/>
        <v/>
      </c>
      <c r="CP166" s="744" t="str">
        <f t="shared" si="146"/>
        <v/>
      </c>
      <c r="CQ166" s="744" t="str">
        <f t="shared" si="147"/>
        <v/>
      </c>
      <c r="CR166" s="744" t="str">
        <f t="shared" si="148"/>
        <v/>
      </c>
      <c r="CS166" s="744" t="str">
        <f t="shared" si="149"/>
        <v/>
      </c>
      <c r="CT166" s="744" t="str">
        <f t="shared" si="150"/>
        <v/>
      </c>
      <c r="CU166" s="744" t="str">
        <f t="shared" si="151"/>
        <v/>
      </c>
      <c r="CV166" s="744" t="str">
        <f t="shared" si="152"/>
        <v/>
      </c>
      <c r="CW166" s="744" t="str">
        <f t="shared" si="153"/>
        <v/>
      </c>
      <c r="CX166" s="744">
        <f t="shared" si="154"/>
        <v>1.0001660000000001</v>
      </c>
    </row>
    <row r="167" spans="1:102">
      <c r="A167" s="633">
        <v>163</v>
      </c>
      <c r="B167" s="630" t="s">
        <v>3</v>
      </c>
      <c r="C167" s="631" t="s">
        <v>249</v>
      </c>
      <c r="D167" s="630" t="s">
        <v>1390</v>
      </c>
      <c r="E167" s="632" t="s">
        <v>215</v>
      </c>
      <c r="F167" s="1067">
        <v>1</v>
      </c>
      <c r="G167" s="1066">
        <v>1</v>
      </c>
      <c r="H167" s="1070">
        <v>0.4738</v>
      </c>
      <c r="I167" s="1070">
        <v>0.28674376000000001</v>
      </c>
      <c r="J167" s="1070">
        <v>0.19850000000000001</v>
      </c>
      <c r="K167" s="1070">
        <v>0.10973208</v>
      </c>
      <c r="L167" s="1072">
        <v>0.29446669999999997</v>
      </c>
      <c r="M167" s="1070"/>
      <c r="N167" s="1070">
        <v>2.2799999999999998</v>
      </c>
      <c r="O167" s="1070"/>
      <c r="P167" s="1073">
        <v>17.814879999999999</v>
      </c>
      <c r="Q167" s="1070">
        <v>53.397259999999996</v>
      </c>
      <c r="R167" s="1070">
        <v>18.525580000000001</v>
      </c>
      <c r="S167" s="1279">
        <v>34.871679999999998</v>
      </c>
      <c r="T167" s="1070">
        <v>42.310339999999997</v>
      </c>
      <c r="U167" s="1070"/>
      <c r="V167" s="1066"/>
      <c r="W167" s="1070"/>
      <c r="X167" s="1070"/>
      <c r="Y167" s="1070"/>
      <c r="Z167" s="1070"/>
      <c r="AA167" s="1070"/>
      <c r="AB167" s="1070"/>
      <c r="AC167" s="1070"/>
      <c r="AD167" s="1070"/>
      <c r="AE167" s="1070"/>
      <c r="AF167" s="1070"/>
      <c r="AG167" s="1070"/>
      <c r="AH167" s="1073"/>
      <c r="AI167" s="1070"/>
      <c r="AJ167" s="1070"/>
      <c r="AK167" s="1070"/>
      <c r="AL167" s="1082"/>
      <c r="AM167" s="1069"/>
      <c r="AN167" s="1070"/>
      <c r="AO167" s="1070"/>
      <c r="AP167" s="1070"/>
      <c r="AQ167" s="1070"/>
      <c r="AR167" s="1069"/>
      <c r="AS167" s="1282"/>
      <c r="AT167" s="1282"/>
      <c r="AU167" s="1069"/>
      <c r="AV167" s="1069"/>
      <c r="AW167" s="1069"/>
      <c r="AX167" s="1070"/>
      <c r="AY167" s="1070"/>
      <c r="AZ167" s="1078">
        <f t="shared" si="107"/>
        <v>0.4738</v>
      </c>
      <c r="BA167" s="59">
        <v>163</v>
      </c>
      <c r="BB167" s="59">
        <f t="shared" si="108"/>
        <v>163</v>
      </c>
      <c r="BC167" s="60" t="str">
        <f t="shared" si="109"/>
        <v>Mororó</v>
      </c>
      <c r="BD167" s="61" t="str">
        <f ca="1">IFERROR(IF(SEARCH('Calcular Dieta'!A$3,$BC$5:$BC$310)&gt;=1,BC167,"Não encontrado"),"Não encontrado")</f>
        <v>Mororó</v>
      </c>
      <c r="BE167" s="62">
        <f ca="1">COUNTIF(BD$5:BD167,"&lt;&gt;"&amp;"Não encontrado")</f>
        <v>163</v>
      </c>
      <c r="BF167" s="63" t="str">
        <f t="shared" ca="1" si="110"/>
        <v>MORORÓ</v>
      </c>
      <c r="BG167" s="744">
        <f t="shared" si="111"/>
        <v>0.28691075999999999</v>
      </c>
      <c r="BH167" s="744">
        <f t="shared" si="112"/>
        <v>0.19866700000000001</v>
      </c>
      <c r="BI167" s="744">
        <f t="shared" si="113"/>
        <v>0.10989908</v>
      </c>
      <c r="BJ167" s="744">
        <f t="shared" si="114"/>
        <v>0.29463369999999994</v>
      </c>
      <c r="BK167" s="744" t="str">
        <f t="shared" si="115"/>
        <v/>
      </c>
      <c r="BL167" s="744">
        <f t="shared" si="116"/>
        <v>2.2801669999999996</v>
      </c>
      <c r="BM167" s="744" t="str">
        <f t="shared" si="117"/>
        <v/>
      </c>
      <c r="BN167" s="744">
        <f t="shared" si="118"/>
        <v>17.815047</v>
      </c>
      <c r="BO167" s="744">
        <f t="shared" si="119"/>
        <v>53.397426999999993</v>
      </c>
      <c r="BP167" s="744">
        <f t="shared" si="120"/>
        <v>18.525747000000003</v>
      </c>
      <c r="BQ167" s="744">
        <f t="shared" si="121"/>
        <v>34.871846999999995</v>
      </c>
      <c r="BR167" s="744">
        <f t="shared" si="122"/>
        <v>42.310506999999994</v>
      </c>
      <c r="BS167" s="744" t="str">
        <f t="shared" si="123"/>
        <v/>
      </c>
      <c r="BT167" s="744" t="str">
        <f t="shared" si="124"/>
        <v/>
      </c>
      <c r="BU167" s="744" t="str">
        <f t="shared" si="125"/>
        <v/>
      </c>
      <c r="BV167" s="744" t="str">
        <f t="shared" si="126"/>
        <v/>
      </c>
      <c r="BW167" s="744" t="str">
        <f t="shared" si="127"/>
        <v/>
      </c>
      <c r="BX167" s="744" t="str">
        <f t="shared" si="128"/>
        <v/>
      </c>
      <c r="BY167" s="744" t="str">
        <f t="shared" si="129"/>
        <v/>
      </c>
      <c r="BZ167" s="744" t="str">
        <f t="shared" si="130"/>
        <v/>
      </c>
      <c r="CA167" s="744" t="str">
        <f t="shared" si="131"/>
        <v/>
      </c>
      <c r="CB167" s="744" t="str">
        <f t="shared" si="132"/>
        <v/>
      </c>
      <c r="CC167" s="744" t="str">
        <f t="shared" si="133"/>
        <v/>
      </c>
      <c r="CD167" s="744" t="str">
        <f t="shared" si="134"/>
        <v/>
      </c>
      <c r="CE167" s="744" t="str">
        <f t="shared" si="135"/>
        <v/>
      </c>
      <c r="CF167" s="744" t="str">
        <f t="shared" si="136"/>
        <v/>
      </c>
      <c r="CG167" s="744" t="str">
        <f t="shared" si="137"/>
        <v/>
      </c>
      <c r="CH167" s="744" t="str">
        <f t="shared" si="138"/>
        <v/>
      </c>
      <c r="CI167" s="744" t="str">
        <f t="shared" si="139"/>
        <v/>
      </c>
      <c r="CJ167" s="744" t="str">
        <f t="shared" si="140"/>
        <v/>
      </c>
      <c r="CK167" s="744" t="str">
        <f t="shared" si="141"/>
        <v/>
      </c>
      <c r="CL167" s="744" t="str">
        <f t="shared" si="142"/>
        <v/>
      </c>
      <c r="CM167" s="744" t="str">
        <f t="shared" si="143"/>
        <v/>
      </c>
      <c r="CN167" s="744" t="str">
        <f t="shared" si="144"/>
        <v/>
      </c>
      <c r="CO167" s="744" t="str">
        <f t="shared" si="145"/>
        <v/>
      </c>
      <c r="CP167" s="744" t="str">
        <f t="shared" si="146"/>
        <v/>
      </c>
      <c r="CQ167" s="744" t="str">
        <f t="shared" si="147"/>
        <v/>
      </c>
      <c r="CR167" s="744" t="str">
        <f t="shared" si="148"/>
        <v/>
      </c>
      <c r="CS167" s="744" t="str">
        <f t="shared" si="149"/>
        <v/>
      </c>
      <c r="CT167" s="744" t="str">
        <f t="shared" si="150"/>
        <v/>
      </c>
      <c r="CU167" s="744" t="str">
        <f t="shared" si="151"/>
        <v/>
      </c>
      <c r="CV167" s="744" t="str">
        <f t="shared" si="152"/>
        <v/>
      </c>
      <c r="CW167" s="744" t="str">
        <f t="shared" si="153"/>
        <v/>
      </c>
      <c r="CX167" s="744">
        <f t="shared" si="154"/>
        <v>0.47396699999999997</v>
      </c>
    </row>
    <row r="168" spans="1:102">
      <c r="A168" s="630">
        <v>164</v>
      </c>
      <c r="B168" s="630" t="s">
        <v>4</v>
      </c>
      <c r="C168" s="631" t="s">
        <v>250</v>
      </c>
      <c r="D168" s="630" t="s">
        <v>1390</v>
      </c>
      <c r="E168" s="632" t="s">
        <v>216</v>
      </c>
      <c r="F168" s="1067">
        <v>1</v>
      </c>
      <c r="G168" s="1066">
        <v>1</v>
      </c>
      <c r="H168" s="1070">
        <v>0.91859999999999997</v>
      </c>
      <c r="I168" s="1070">
        <v>0.17719793999999997</v>
      </c>
      <c r="J168" s="1070">
        <v>0.1241</v>
      </c>
      <c r="K168" s="1070">
        <v>0.18059676</v>
      </c>
      <c r="L168" s="1072">
        <v>0.83748761999999999</v>
      </c>
      <c r="M168" s="1070"/>
      <c r="N168" s="1070">
        <v>3.73</v>
      </c>
      <c r="O168" s="1070"/>
      <c r="P168" s="1073">
        <v>166.08287999999999</v>
      </c>
      <c r="Q168" s="1070">
        <v>342.36221999999998</v>
      </c>
      <c r="R168" s="1070">
        <v>322.33674000000002</v>
      </c>
      <c r="S168" s="1279">
        <v>20.025479999999959</v>
      </c>
      <c r="T168" s="1070">
        <v>203.4699</v>
      </c>
      <c r="U168" s="1070"/>
      <c r="V168" s="1066">
        <v>3.3069599999999997</v>
      </c>
      <c r="W168" s="1070">
        <v>15.70806</v>
      </c>
      <c r="X168" s="1070">
        <v>3.2150999999999992</v>
      </c>
      <c r="Y168" s="1070"/>
      <c r="Z168" s="1070">
        <v>1.0104600000000001</v>
      </c>
      <c r="AA168" s="1070"/>
      <c r="AB168" s="1070">
        <v>0.67</v>
      </c>
      <c r="AC168" s="1070">
        <v>3.98</v>
      </c>
      <c r="AD168" s="1070"/>
      <c r="AE168" s="1070">
        <v>2.13</v>
      </c>
      <c r="AF168" s="1070"/>
      <c r="AG168" s="1070"/>
      <c r="AH168" s="1073"/>
      <c r="AI168" s="1070"/>
      <c r="AJ168" s="1070"/>
      <c r="AK168" s="1070"/>
      <c r="AL168" s="1082"/>
      <c r="AM168" s="1069"/>
      <c r="AN168" s="1070"/>
      <c r="AO168" s="1070"/>
      <c r="AP168" s="1070"/>
      <c r="AQ168" s="1070"/>
      <c r="AR168" s="1069"/>
      <c r="AS168" s="1282"/>
      <c r="AT168" s="1282"/>
      <c r="AU168" s="1069"/>
      <c r="AV168" s="1069"/>
      <c r="AW168" s="1069"/>
      <c r="AX168" s="1070"/>
      <c r="AY168" s="1070"/>
      <c r="AZ168" s="1078">
        <f t="shared" si="107"/>
        <v>0.91859999999999997</v>
      </c>
      <c r="BA168" s="59">
        <v>164</v>
      </c>
      <c r="BB168" s="59">
        <f t="shared" si="108"/>
        <v>164</v>
      </c>
      <c r="BC168" s="60" t="str">
        <f t="shared" si="109"/>
        <v>Nabo Forrageiro, Torta</v>
      </c>
      <c r="BD168" s="61" t="str">
        <f ca="1">IFERROR(IF(SEARCH('Calcular Dieta'!A$3,$BC$5:$BC$310)&gt;=1,BC168,"Não encontrado"),"Não encontrado")</f>
        <v>Nabo Forrageiro, Torta</v>
      </c>
      <c r="BE168" s="62">
        <f ca="1">COUNTIF(BD$5:BD168,"&lt;&gt;"&amp;"Não encontrado")</f>
        <v>164</v>
      </c>
      <c r="BF168" s="63" t="str">
        <f t="shared" ca="1" si="110"/>
        <v>NABO FORRAGEIRO, TORTA</v>
      </c>
      <c r="BG168" s="744">
        <f t="shared" si="111"/>
        <v>0.17736593999999997</v>
      </c>
      <c r="BH168" s="744">
        <f t="shared" si="112"/>
        <v>0.124268</v>
      </c>
      <c r="BI168" s="744">
        <f t="shared" si="113"/>
        <v>0.18076476</v>
      </c>
      <c r="BJ168" s="744">
        <f t="shared" si="114"/>
        <v>0.83765561999999993</v>
      </c>
      <c r="BK168" s="744" t="str">
        <f t="shared" si="115"/>
        <v/>
      </c>
      <c r="BL168" s="744">
        <f t="shared" si="116"/>
        <v>3.7301679999999999</v>
      </c>
      <c r="BM168" s="744" t="str">
        <f t="shared" si="117"/>
        <v/>
      </c>
      <c r="BN168" s="744">
        <f t="shared" si="118"/>
        <v>166.08304799999999</v>
      </c>
      <c r="BO168" s="744">
        <f t="shared" si="119"/>
        <v>342.36238799999995</v>
      </c>
      <c r="BP168" s="744">
        <f t="shared" si="120"/>
        <v>322.33690799999999</v>
      </c>
      <c r="BQ168" s="744">
        <f t="shared" si="121"/>
        <v>20.025647999999958</v>
      </c>
      <c r="BR168" s="744">
        <f t="shared" si="122"/>
        <v>203.470068</v>
      </c>
      <c r="BS168" s="744" t="str">
        <f t="shared" si="123"/>
        <v/>
      </c>
      <c r="BT168" s="744">
        <f t="shared" si="124"/>
        <v>3.3071279999999996</v>
      </c>
      <c r="BU168" s="744">
        <f t="shared" si="125"/>
        <v>15.708228</v>
      </c>
      <c r="BV168" s="744">
        <f t="shared" si="126"/>
        <v>3.2152679999999991</v>
      </c>
      <c r="BW168" s="744" t="str">
        <f t="shared" si="127"/>
        <v/>
      </c>
      <c r="BX168" s="744">
        <f t="shared" si="128"/>
        <v>1.0106280000000001</v>
      </c>
      <c r="BY168" s="744" t="str">
        <f t="shared" si="129"/>
        <v/>
      </c>
      <c r="BZ168" s="744">
        <f t="shared" si="130"/>
        <v>0.67016799999999999</v>
      </c>
      <c r="CA168" s="744">
        <f t="shared" si="131"/>
        <v>3.9801679999999999</v>
      </c>
      <c r="CB168" s="744" t="str">
        <f t="shared" si="132"/>
        <v/>
      </c>
      <c r="CC168" s="744">
        <f t="shared" si="133"/>
        <v>2.1301679999999998</v>
      </c>
      <c r="CD168" s="744" t="str">
        <f t="shared" si="134"/>
        <v/>
      </c>
      <c r="CE168" s="744" t="str">
        <f t="shared" si="135"/>
        <v/>
      </c>
      <c r="CF168" s="744" t="str">
        <f t="shared" si="136"/>
        <v/>
      </c>
      <c r="CG168" s="744" t="str">
        <f t="shared" si="137"/>
        <v/>
      </c>
      <c r="CH168" s="744" t="str">
        <f t="shared" si="138"/>
        <v/>
      </c>
      <c r="CI168" s="744" t="str">
        <f t="shared" si="139"/>
        <v/>
      </c>
      <c r="CJ168" s="744" t="str">
        <f t="shared" si="140"/>
        <v/>
      </c>
      <c r="CK168" s="744" t="str">
        <f t="shared" si="141"/>
        <v/>
      </c>
      <c r="CL168" s="744" t="str">
        <f t="shared" si="142"/>
        <v/>
      </c>
      <c r="CM168" s="744" t="str">
        <f t="shared" si="143"/>
        <v/>
      </c>
      <c r="CN168" s="744" t="str">
        <f t="shared" si="144"/>
        <v/>
      </c>
      <c r="CO168" s="744" t="str">
        <f t="shared" si="145"/>
        <v/>
      </c>
      <c r="CP168" s="744" t="str">
        <f t="shared" si="146"/>
        <v/>
      </c>
      <c r="CQ168" s="744" t="str">
        <f t="shared" si="147"/>
        <v/>
      </c>
      <c r="CR168" s="744" t="str">
        <f t="shared" si="148"/>
        <v/>
      </c>
      <c r="CS168" s="744" t="str">
        <f t="shared" si="149"/>
        <v/>
      </c>
      <c r="CT168" s="744" t="str">
        <f t="shared" si="150"/>
        <v/>
      </c>
      <c r="CU168" s="744" t="str">
        <f t="shared" si="151"/>
        <v/>
      </c>
      <c r="CV168" s="744" t="str">
        <f t="shared" si="152"/>
        <v/>
      </c>
      <c r="CW168" s="744" t="str">
        <f t="shared" si="153"/>
        <v/>
      </c>
      <c r="CX168" s="744">
        <f t="shared" si="154"/>
        <v>0.91876799999999992</v>
      </c>
    </row>
    <row r="169" spans="1:102">
      <c r="A169" s="633">
        <v>165</v>
      </c>
      <c r="B169" s="630" t="s">
        <v>4</v>
      </c>
      <c r="C169" s="631" t="s">
        <v>251</v>
      </c>
      <c r="D169" s="630" t="s">
        <v>256</v>
      </c>
      <c r="E169" s="632" t="s">
        <v>676</v>
      </c>
      <c r="F169" s="1067">
        <v>7.2</v>
      </c>
      <c r="G169" s="1066">
        <v>1</v>
      </c>
      <c r="H169" s="1070">
        <v>1</v>
      </c>
      <c r="I169" s="1070"/>
      <c r="J169" s="1070"/>
      <c r="K169" s="1070"/>
      <c r="L169" s="1072">
        <v>0</v>
      </c>
      <c r="M169" s="1070"/>
      <c r="N169" s="1070"/>
      <c r="O169" s="1070"/>
      <c r="P169" s="1073">
        <v>0</v>
      </c>
      <c r="Q169" s="1070">
        <v>0</v>
      </c>
      <c r="R169" s="1070">
        <v>0</v>
      </c>
      <c r="S169" s="1070"/>
      <c r="T169" s="1070"/>
      <c r="U169" s="1070"/>
      <c r="V169" s="1066">
        <v>168.2</v>
      </c>
      <c r="W169" s="1070">
        <v>20</v>
      </c>
      <c r="X169" s="1070">
        <v>34.67</v>
      </c>
      <c r="Y169" s="1070">
        <v>90</v>
      </c>
      <c r="Z169" s="1070">
        <v>25</v>
      </c>
      <c r="AA169" s="1070">
        <v>16.52</v>
      </c>
      <c r="AB169" s="1070">
        <v>417.4</v>
      </c>
      <c r="AC169" s="1070">
        <v>2334</v>
      </c>
      <c r="AD169" s="1070">
        <v>875.2</v>
      </c>
      <c r="AE169" s="1070">
        <v>1167.8</v>
      </c>
      <c r="AF169" s="1070">
        <v>17.7</v>
      </c>
      <c r="AG169" s="1070">
        <v>11.82</v>
      </c>
      <c r="AH169" s="1073">
        <v>15.2</v>
      </c>
      <c r="AI169" s="1070"/>
      <c r="AJ169" s="1070"/>
      <c r="AK169" s="1070"/>
      <c r="AL169" s="1082"/>
      <c r="AM169" s="1069"/>
      <c r="AN169" s="1070"/>
      <c r="AO169" s="1070"/>
      <c r="AP169" s="1070"/>
      <c r="AQ169" s="1070"/>
      <c r="AR169" s="1069"/>
      <c r="AS169" s="1282"/>
      <c r="AT169" s="1282"/>
      <c r="AU169" s="1069"/>
      <c r="AV169" s="1069"/>
      <c r="AW169" s="1069"/>
      <c r="AX169" s="1070"/>
      <c r="AY169" s="1070"/>
      <c r="AZ169" s="1078">
        <f t="shared" si="107"/>
        <v>1</v>
      </c>
      <c r="BA169" s="59">
        <v>165</v>
      </c>
      <c r="BB169" s="59">
        <f t="shared" si="108"/>
        <v>165</v>
      </c>
      <c r="BC169" s="60" t="str">
        <f t="shared" si="109"/>
        <v>Nucleo (Tortuga) 1</v>
      </c>
      <c r="BD169" s="61" t="str">
        <f ca="1">IFERROR(IF(SEARCH('Calcular Dieta'!A$3,$BC$5:$BC$310)&gt;=1,BC169,"Não encontrado"),"Não encontrado")</f>
        <v>Nucleo (Tortuga) 1</v>
      </c>
      <c r="BE169" s="62">
        <f ca="1">COUNTIF(BD$5:BD169,"&lt;&gt;"&amp;"Não encontrado")</f>
        <v>165</v>
      </c>
      <c r="BF169" s="63" t="str">
        <f t="shared" ca="1" si="110"/>
        <v>NUCLEO (TORTUGA) 1</v>
      </c>
      <c r="BG169" s="744" t="str">
        <f t="shared" si="111"/>
        <v/>
      </c>
      <c r="BH169" s="744" t="str">
        <f t="shared" si="112"/>
        <v/>
      </c>
      <c r="BI169" s="744" t="str">
        <f t="shared" si="113"/>
        <v/>
      </c>
      <c r="BJ169" s="744" t="str">
        <f t="shared" si="114"/>
        <v/>
      </c>
      <c r="BK169" s="744" t="str">
        <f t="shared" si="115"/>
        <v/>
      </c>
      <c r="BL169" s="744" t="str">
        <f t="shared" si="116"/>
        <v/>
      </c>
      <c r="BM169" s="744" t="str">
        <f t="shared" si="117"/>
        <v/>
      </c>
      <c r="BN169" s="744" t="str">
        <f t="shared" si="118"/>
        <v/>
      </c>
      <c r="BO169" s="744" t="str">
        <f t="shared" si="119"/>
        <v/>
      </c>
      <c r="BP169" s="744" t="str">
        <f t="shared" si="120"/>
        <v/>
      </c>
      <c r="BQ169" s="744" t="str">
        <f t="shared" si="121"/>
        <v/>
      </c>
      <c r="BR169" s="744" t="str">
        <f t="shared" si="122"/>
        <v/>
      </c>
      <c r="BS169" s="744" t="str">
        <f t="shared" si="123"/>
        <v/>
      </c>
      <c r="BT169" s="744">
        <f t="shared" si="124"/>
        <v>168.20016899999999</v>
      </c>
      <c r="BU169" s="744">
        <f t="shared" si="125"/>
        <v>20.000169</v>
      </c>
      <c r="BV169" s="744">
        <f t="shared" si="126"/>
        <v>34.670169000000001</v>
      </c>
      <c r="BW169" s="744">
        <f t="shared" si="127"/>
        <v>90.000169</v>
      </c>
      <c r="BX169" s="744">
        <f t="shared" si="128"/>
        <v>25.000169</v>
      </c>
      <c r="BY169" s="744">
        <f t="shared" si="129"/>
        <v>16.520168999999999</v>
      </c>
      <c r="BZ169" s="744">
        <f t="shared" si="130"/>
        <v>417.40016900000001</v>
      </c>
      <c r="CA169" s="744">
        <f t="shared" si="131"/>
        <v>2334.0001689999999</v>
      </c>
      <c r="CB169" s="744">
        <f t="shared" si="132"/>
        <v>875.20016900000007</v>
      </c>
      <c r="CC169" s="744">
        <f t="shared" si="133"/>
        <v>1167.8001689999999</v>
      </c>
      <c r="CD169" s="744">
        <f t="shared" si="134"/>
        <v>17.700168999999999</v>
      </c>
      <c r="CE169" s="744">
        <f t="shared" si="135"/>
        <v>11.820169</v>
      </c>
      <c r="CF169" s="744">
        <f t="shared" si="136"/>
        <v>15.200168999999999</v>
      </c>
      <c r="CG169" s="744" t="str">
        <f t="shared" si="137"/>
        <v/>
      </c>
      <c r="CH169" s="744" t="str">
        <f t="shared" si="138"/>
        <v/>
      </c>
      <c r="CI169" s="744" t="str">
        <f t="shared" si="139"/>
        <v/>
      </c>
      <c r="CJ169" s="744" t="str">
        <f t="shared" si="140"/>
        <v/>
      </c>
      <c r="CK169" s="744" t="str">
        <f t="shared" si="141"/>
        <v/>
      </c>
      <c r="CL169" s="744" t="str">
        <f t="shared" si="142"/>
        <v/>
      </c>
      <c r="CM169" s="744" t="str">
        <f t="shared" si="143"/>
        <v/>
      </c>
      <c r="CN169" s="744" t="str">
        <f t="shared" si="144"/>
        <v/>
      </c>
      <c r="CO169" s="744" t="str">
        <f t="shared" si="145"/>
        <v/>
      </c>
      <c r="CP169" s="744" t="str">
        <f t="shared" si="146"/>
        <v/>
      </c>
      <c r="CQ169" s="744" t="str">
        <f t="shared" si="147"/>
        <v/>
      </c>
      <c r="CR169" s="744" t="str">
        <f t="shared" si="148"/>
        <v/>
      </c>
      <c r="CS169" s="744" t="str">
        <f t="shared" si="149"/>
        <v/>
      </c>
      <c r="CT169" s="744" t="str">
        <f t="shared" si="150"/>
        <v/>
      </c>
      <c r="CU169" s="744" t="str">
        <f t="shared" si="151"/>
        <v/>
      </c>
      <c r="CV169" s="744" t="str">
        <f t="shared" si="152"/>
        <v/>
      </c>
      <c r="CW169" s="744" t="str">
        <f t="shared" si="153"/>
        <v/>
      </c>
      <c r="CX169" s="744">
        <f t="shared" si="154"/>
        <v>1.0001690000000001</v>
      </c>
    </row>
    <row r="170" spans="1:102">
      <c r="A170" s="630">
        <v>166</v>
      </c>
      <c r="B170" s="630" t="s">
        <v>4</v>
      </c>
      <c r="C170" s="631" t="s">
        <v>251</v>
      </c>
      <c r="D170" s="630" t="s">
        <v>256</v>
      </c>
      <c r="E170" s="632" t="s">
        <v>679</v>
      </c>
      <c r="F170" s="1067">
        <v>7.2</v>
      </c>
      <c r="G170" s="1066">
        <v>1</v>
      </c>
      <c r="H170" s="1070">
        <v>1</v>
      </c>
      <c r="I170" s="1070"/>
      <c r="J170" s="1070"/>
      <c r="K170" s="1070"/>
      <c r="L170" s="1072">
        <v>0</v>
      </c>
      <c r="M170" s="1070"/>
      <c r="N170" s="1070"/>
      <c r="O170" s="1070"/>
      <c r="P170" s="1073">
        <v>0</v>
      </c>
      <c r="Q170" s="1070">
        <v>0</v>
      </c>
      <c r="R170" s="1070">
        <v>0</v>
      </c>
      <c r="S170" s="1070"/>
      <c r="T170" s="1070"/>
      <c r="U170" s="1070"/>
      <c r="V170" s="1066">
        <v>137.41</v>
      </c>
      <c r="W170" s="1070">
        <v>20</v>
      </c>
      <c r="X170" s="1070">
        <v>43.6</v>
      </c>
      <c r="Y170" s="1070">
        <v>106</v>
      </c>
      <c r="Z170" s="1070">
        <v>35</v>
      </c>
      <c r="AA170" s="1070">
        <v>15</v>
      </c>
      <c r="AB170" s="1070">
        <v>417</v>
      </c>
      <c r="AC170" s="1070">
        <v>3600</v>
      </c>
      <c r="AD170" s="1070">
        <v>0</v>
      </c>
      <c r="AE170" s="1070">
        <v>1220</v>
      </c>
      <c r="AF170" s="1070">
        <v>17.5</v>
      </c>
      <c r="AG170" s="1070">
        <v>14</v>
      </c>
      <c r="AH170" s="1073">
        <v>19</v>
      </c>
      <c r="AI170" s="1070"/>
      <c r="AJ170" s="1070"/>
      <c r="AK170" s="1070"/>
      <c r="AL170" s="1082"/>
      <c r="AM170" s="1069"/>
      <c r="AN170" s="1070"/>
      <c r="AO170" s="1070"/>
      <c r="AP170" s="1070"/>
      <c r="AQ170" s="1070"/>
      <c r="AR170" s="1069"/>
      <c r="AS170" s="1282"/>
      <c r="AT170" s="1282"/>
      <c r="AU170" s="1069"/>
      <c r="AV170" s="1069"/>
      <c r="AW170" s="1069"/>
      <c r="AX170" s="1070"/>
      <c r="AY170" s="1070"/>
      <c r="AZ170" s="1078">
        <f t="shared" si="107"/>
        <v>1</v>
      </c>
      <c r="BA170" s="59">
        <v>166</v>
      </c>
      <c r="BB170" s="59">
        <f t="shared" si="108"/>
        <v>166</v>
      </c>
      <c r="BC170" s="60" t="str">
        <f t="shared" si="109"/>
        <v>Nucleo (Tortuga) 2</v>
      </c>
      <c r="BD170" s="61" t="str">
        <f ca="1">IFERROR(IF(SEARCH('Calcular Dieta'!A$3,$BC$5:$BC$310)&gt;=1,BC170,"Não encontrado"),"Não encontrado")</f>
        <v>Nucleo (Tortuga) 2</v>
      </c>
      <c r="BE170" s="62">
        <f ca="1">COUNTIF(BD$5:BD170,"&lt;&gt;"&amp;"Não encontrado")</f>
        <v>166</v>
      </c>
      <c r="BF170" s="63" t="str">
        <f t="shared" ca="1" si="110"/>
        <v>NUCLEO (TORTUGA) 2</v>
      </c>
      <c r="BG170" s="744" t="str">
        <f t="shared" si="111"/>
        <v/>
      </c>
      <c r="BH170" s="744" t="str">
        <f t="shared" si="112"/>
        <v/>
      </c>
      <c r="BI170" s="744" t="str">
        <f t="shared" si="113"/>
        <v/>
      </c>
      <c r="BJ170" s="744" t="str">
        <f t="shared" si="114"/>
        <v/>
      </c>
      <c r="BK170" s="744" t="str">
        <f t="shared" si="115"/>
        <v/>
      </c>
      <c r="BL170" s="744" t="str">
        <f t="shared" si="116"/>
        <v/>
      </c>
      <c r="BM170" s="744" t="str">
        <f t="shared" si="117"/>
        <v/>
      </c>
      <c r="BN170" s="744" t="str">
        <f t="shared" si="118"/>
        <v/>
      </c>
      <c r="BO170" s="744" t="str">
        <f t="shared" si="119"/>
        <v/>
      </c>
      <c r="BP170" s="744" t="str">
        <f t="shared" si="120"/>
        <v/>
      </c>
      <c r="BQ170" s="744" t="str">
        <f t="shared" si="121"/>
        <v/>
      </c>
      <c r="BR170" s="744" t="str">
        <f t="shared" si="122"/>
        <v/>
      </c>
      <c r="BS170" s="744" t="str">
        <f t="shared" si="123"/>
        <v/>
      </c>
      <c r="BT170" s="744">
        <f t="shared" si="124"/>
        <v>137.41016999999999</v>
      </c>
      <c r="BU170" s="744">
        <f t="shared" si="125"/>
        <v>20.000170000000001</v>
      </c>
      <c r="BV170" s="744">
        <f t="shared" si="126"/>
        <v>43.600169999999999</v>
      </c>
      <c r="BW170" s="744">
        <f t="shared" si="127"/>
        <v>106.00017</v>
      </c>
      <c r="BX170" s="744">
        <f t="shared" si="128"/>
        <v>35.000169999999997</v>
      </c>
      <c r="BY170" s="744">
        <f t="shared" si="129"/>
        <v>15.000170000000001</v>
      </c>
      <c r="BZ170" s="744">
        <f t="shared" si="130"/>
        <v>417.00017000000003</v>
      </c>
      <c r="CA170" s="744">
        <f t="shared" si="131"/>
        <v>3600.0001699999998</v>
      </c>
      <c r="CB170" s="744" t="str">
        <f t="shared" si="132"/>
        <v/>
      </c>
      <c r="CC170" s="744">
        <f t="shared" si="133"/>
        <v>1220.00017</v>
      </c>
      <c r="CD170" s="744">
        <f t="shared" si="134"/>
        <v>17.500170000000001</v>
      </c>
      <c r="CE170" s="744">
        <f t="shared" si="135"/>
        <v>14.000170000000001</v>
      </c>
      <c r="CF170" s="744">
        <f t="shared" si="136"/>
        <v>19.000170000000001</v>
      </c>
      <c r="CG170" s="744" t="str">
        <f t="shared" si="137"/>
        <v/>
      </c>
      <c r="CH170" s="744" t="str">
        <f t="shared" si="138"/>
        <v/>
      </c>
      <c r="CI170" s="744" t="str">
        <f t="shared" si="139"/>
        <v/>
      </c>
      <c r="CJ170" s="744" t="str">
        <f t="shared" si="140"/>
        <v/>
      </c>
      <c r="CK170" s="744" t="str">
        <f t="shared" si="141"/>
        <v/>
      </c>
      <c r="CL170" s="744" t="str">
        <f t="shared" si="142"/>
        <v/>
      </c>
      <c r="CM170" s="744" t="str">
        <f t="shared" si="143"/>
        <v/>
      </c>
      <c r="CN170" s="744" t="str">
        <f t="shared" si="144"/>
        <v/>
      </c>
      <c r="CO170" s="744" t="str">
        <f t="shared" si="145"/>
        <v/>
      </c>
      <c r="CP170" s="744" t="str">
        <f t="shared" si="146"/>
        <v/>
      </c>
      <c r="CQ170" s="744" t="str">
        <f t="shared" si="147"/>
        <v/>
      </c>
      <c r="CR170" s="744" t="str">
        <f t="shared" si="148"/>
        <v/>
      </c>
      <c r="CS170" s="744" t="str">
        <f t="shared" si="149"/>
        <v/>
      </c>
      <c r="CT170" s="744" t="str">
        <f t="shared" si="150"/>
        <v/>
      </c>
      <c r="CU170" s="744" t="str">
        <f t="shared" si="151"/>
        <v/>
      </c>
      <c r="CV170" s="744" t="str">
        <f t="shared" si="152"/>
        <v/>
      </c>
      <c r="CW170" s="744" t="str">
        <f t="shared" si="153"/>
        <v/>
      </c>
      <c r="CX170" s="744">
        <f t="shared" si="154"/>
        <v>1.00017</v>
      </c>
    </row>
    <row r="171" spans="1:102">
      <c r="A171" s="633">
        <v>167</v>
      </c>
      <c r="B171" s="630" t="s">
        <v>4</v>
      </c>
      <c r="C171" s="631" t="s">
        <v>251</v>
      </c>
      <c r="D171" s="630" t="s">
        <v>1390</v>
      </c>
      <c r="E171" s="632" t="s">
        <v>688</v>
      </c>
      <c r="F171" s="1067">
        <v>5</v>
      </c>
      <c r="G171" s="1066">
        <v>1</v>
      </c>
      <c r="H171" s="1068">
        <v>1</v>
      </c>
      <c r="I171" s="1068"/>
      <c r="J171" s="1069"/>
      <c r="K171" s="1069"/>
      <c r="L171" s="1074"/>
      <c r="M171" s="1069"/>
      <c r="N171" s="1069"/>
      <c r="O171" s="1069"/>
      <c r="P171" s="1076"/>
      <c r="Q171" s="1069"/>
      <c r="R171" s="1069"/>
      <c r="S171" s="1069"/>
      <c r="T171" s="1069"/>
      <c r="U171" s="1069"/>
      <c r="V171" s="1079">
        <v>130</v>
      </c>
      <c r="W171" s="1069">
        <v>20</v>
      </c>
      <c r="X171" s="1069">
        <v>1.5</v>
      </c>
      <c r="Y171" s="1069">
        <v>4.8</v>
      </c>
      <c r="Z171" s="1069"/>
      <c r="AA171" s="1069">
        <v>220</v>
      </c>
      <c r="AB171" s="1069">
        <v>355</v>
      </c>
      <c r="AC171" s="1069">
        <v>1.78</v>
      </c>
      <c r="AD171" s="1069"/>
      <c r="AE171" s="1069">
        <v>710</v>
      </c>
      <c r="AF171" s="1069">
        <v>22</v>
      </c>
      <c r="AG171" s="1069">
        <v>22</v>
      </c>
      <c r="AH171" s="1076">
        <v>7</v>
      </c>
      <c r="AI171" s="1069"/>
      <c r="AJ171" s="1069"/>
      <c r="AK171" s="1069"/>
      <c r="AL171" s="1081"/>
      <c r="AM171" s="1069"/>
      <c r="AN171" s="1069"/>
      <c r="AO171" s="1069"/>
      <c r="AP171" s="1069"/>
      <c r="AQ171" s="1069"/>
      <c r="AR171" s="1069"/>
      <c r="AS171" s="1282"/>
      <c r="AT171" s="1282"/>
      <c r="AU171" s="1069"/>
      <c r="AV171" s="1069"/>
      <c r="AW171" s="1069"/>
      <c r="AX171" s="1069"/>
      <c r="AY171" s="1069"/>
      <c r="AZ171" s="1078">
        <f t="shared" si="107"/>
        <v>1</v>
      </c>
      <c r="BA171" s="59">
        <v>167</v>
      </c>
      <c r="BB171" s="59">
        <f t="shared" si="108"/>
        <v>167</v>
      </c>
      <c r="BC171" s="60" t="str">
        <f t="shared" si="109"/>
        <v>Nucleo Alvordaphos 350/50</v>
      </c>
      <c r="BD171" s="61" t="str">
        <f ca="1">IFERROR(IF(SEARCH('Calcular Dieta'!A$3,$BC$5:$BC$310)&gt;=1,BC171,"Não encontrado"),"Não encontrado")</f>
        <v>Nucleo Alvordaphos 350/50</v>
      </c>
      <c r="BE171" s="62">
        <f ca="1">COUNTIF(BD$5:BD171,"&lt;&gt;"&amp;"Não encontrado")</f>
        <v>167</v>
      </c>
      <c r="BF171" s="63" t="str">
        <f t="shared" ca="1" si="110"/>
        <v>NUCLEO ALVORDAPHOS 350/50</v>
      </c>
      <c r="BG171" s="744" t="str">
        <f t="shared" si="111"/>
        <v/>
      </c>
      <c r="BH171" s="744" t="str">
        <f t="shared" si="112"/>
        <v/>
      </c>
      <c r="BI171" s="744" t="str">
        <f t="shared" si="113"/>
        <v/>
      </c>
      <c r="BJ171" s="744" t="str">
        <f t="shared" si="114"/>
        <v/>
      </c>
      <c r="BK171" s="744" t="str">
        <f t="shared" si="115"/>
        <v/>
      </c>
      <c r="BL171" s="744" t="str">
        <f t="shared" si="116"/>
        <v/>
      </c>
      <c r="BM171" s="744" t="str">
        <f t="shared" si="117"/>
        <v/>
      </c>
      <c r="BN171" s="744" t="str">
        <f t="shared" si="118"/>
        <v/>
      </c>
      <c r="BO171" s="744" t="str">
        <f t="shared" si="119"/>
        <v/>
      </c>
      <c r="BP171" s="744" t="str">
        <f t="shared" si="120"/>
        <v/>
      </c>
      <c r="BQ171" s="744" t="str">
        <f t="shared" si="121"/>
        <v/>
      </c>
      <c r="BR171" s="744" t="str">
        <f t="shared" si="122"/>
        <v/>
      </c>
      <c r="BS171" s="744" t="str">
        <f t="shared" si="123"/>
        <v/>
      </c>
      <c r="BT171" s="744">
        <f t="shared" si="124"/>
        <v>130.00017099999999</v>
      </c>
      <c r="BU171" s="744">
        <f t="shared" si="125"/>
        <v>20.000171000000002</v>
      </c>
      <c r="BV171" s="744">
        <f t="shared" si="126"/>
        <v>1.5001709999999999</v>
      </c>
      <c r="BW171" s="744">
        <f t="shared" si="127"/>
        <v>4.8001709999999997</v>
      </c>
      <c r="BX171" s="744" t="str">
        <f t="shared" si="128"/>
        <v/>
      </c>
      <c r="BY171" s="744">
        <f t="shared" si="129"/>
        <v>220.00017099999999</v>
      </c>
      <c r="BZ171" s="744">
        <f t="shared" si="130"/>
        <v>355.00017100000002</v>
      </c>
      <c r="CA171" s="744">
        <f t="shared" si="131"/>
        <v>1.7801709999999999</v>
      </c>
      <c r="CB171" s="744" t="str">
        <f t="shared" si="132"/>
        <v/>
      </c>
      <c r="CC171" s="744">
        <f t="shared" si="133"/>
        <v>710.00017100000002</v>
      </c>
      <c r="CD171" s="744">
        <f t="shared" si="134"/>
        <v>22.000171000000002</v>
      </c>
      <c r="CE171" s="744">
        <f t="shared" si="135"/>
        <v>22.000171000000002</v>
      </c>
      <c r="CF171" s="744">
        <f t="shared" si="136"/>
        <v>7.0001709999999999</v>
      </c>
      <c r="CG171" s="744" t="str">
        <f t="shared" si="137"/>
        <v/>
      </c>
      <c r="CH171" s="744" t="str">
        <f t="shared" si="138"/>
        <v/>
      </c>
      <c r="CI171" s="744" t="str">
        <f t="shared" si="139"/>
        <v/>
      </c>
      <c r="CJ171" s="744" t="str">
        <f t="shared" si="140"/>
        <v/>
      </c>
      <c r="CK171" s="744" t="str">
        <f t="shared" si="141"/>
        <v/>
      </c>
      <c r="CL171" s="744" t="str">
        <f t="shared" si="142"/>
        <v/>
      </c>
      <c r="CM171" s="744" t="str">
        <f t="shared" si="143"/>
        <v/>
      </c>
      <c r="CN171" s="744" t="str">
        <f t="shared" si="144"/>
        <v/>
      </c>
      <c r="CO171" s="744" t="str">
        <f t="shared" si="145"/>
        <v/>
      </c>
      <c r="CP171" s="744" t="str">
        <f t="shared" si="146"/>
        <v/>
      </c>
      <c r="CQ171" s="744" t="str">
        <f t="shared" si="147"/>
        <v/>
      </c>
      <c r="CR171" s="744" t="str">
        <f t="shared" si="148"/>
        <v/>
      </c>
      <c r="CS171" s="744" t="str">
        <f t="shared" si="149"/>
        <v/>
      </c>
      <c r="CT171" s="744" t="str">
        <f t="shared" si="150"/>
        <v/>
      </c>
      <c r="CU171" s="744" t="str">
        <f t="shared" si="151"/>
        <v/>
      </c>
      <c r="CV171" s="744" t="str">
        <f t="shared" si="152"/>
        <v/>
      </c>
      <c r="CW171" s="744" t="str">
        <f t="shared" si="153"/>
        <v/>
      </c>
      <c r="CX171" s="744">
        <f t="shared" si="154"/>
        <v>1.0001709999999999</v>
      </c>
    </row>
    <row r="172" spans="1:102">
      <c r="A172" s="630">
        <v>168</v>
      </c>
      <c r="B172" s="630" t="s">
        <v>4</v>
      </c>
      <c r="C172" s="631" t="s">
        <v>251</v>
      </c>
      <c r="D172" s="630" t="s">
        <v>1390</v>
      </c>
      <c r="E172" s="632" t="s">
        <v>680</v>
      </c>
      <c r="F172" s="1067">
        <v>5</v>
      </c>
      <c r="G172" s="1066">
        <v>1</v>
      </c>
      <c r="H172" s="1070">
        <v>1</v>
      </c>
      <c r="I172" s="1070"/>
      <c r="J172" s="1070"/>
      <c r="K172" s="1070"/>
      <c r="L172" s="1072"/>
      <c r="M172" s="1070"/>
      <c r="N172" s="1070"/>
      <c r="O172" s="1070"/>
      <c r="P172" s="1073"/>
      <c r="Q172" s="1070"/>
      <c r="R172" s="1070"/>
      <c r="S172" s="1070"/>
      <c r="T172" s="1070"/>
      <c r="U172" s="1070"/>
      <c r="V172" s="1066">
        <v>150</v>
      </c>
      <c r="W172" s="1070">
        <v>30</v>
      </c>
      <c r="X172" s="1070">
        <v>24</v>
      </c>
      <c r="Y172" s="1070">
        <v>110</v>
      </c>
      <c r="Z172" s="1070"/>
      <c r="AA172" s="1070">
        <v>22.000000000000004</v>
      </c>
      <c r="AB172" s="1070">
        <v>800</v>
      </c>
      <c r="AC172" s="1070">
        <v>2400</v>
      </c>
      <c r="AD172" s="1070"/>
      <c r="AE172" s="1070">
        <v>800</v>
      </c>
      <c r="AF172" s="1070">
        <v>48</v>
      </c>
      <c r="AG172" s="1070">
        <v>64</v>
      </c>
      <c r="AH172" s="1073">
        <v>12</v>
      </c>
      <c r="AI172" s="1070"/>
      <c r="AJ172" s="1070"/>
      <c r="AK172" s="1070"/>
      <c r="AL172" s="1082"/>
      <c r="AM172" s="1069"/>
      <c r="AN172" s="1070"/>
      <c r="AO172" s="1070"/>
      <c r="AP172" s="1070"/>
      <c r="AQ172" s="1070"/>
      <c r="AR172" s="1069"/>
      <c r="AS172" s="1282"/>
      <c r="AT172" s="1282"/>
      <c r="AU172" s="1069"/>
      <c r="AV172" s="1069"/>
      <c r="AW172" s="1069"/>
      <c r="AX172" s="1070"/>
      <c r="AY172" s="1070"/>
      <c r="AZ172" s="1078">
        <f t="shared" si="107"/>
        <v>1</v>
      </c>
      <c r="BA172" s="59">
        <v>168</v>
      </c>
      <c r="BB172" s="59">
        <f t="shared" si="108"/>
        <v>168</v>
      </c>
      <c r="BC172" s="60" t="str">
        <f t="shared" si="109"/>
        <v>Nucleo Beephós Confina Lm</v>
      </c>
      <c r="BD172" s="61" t="str">
        <f ca="1">IFERROR(IF(SEARCH('Calcular Dieta'!A$3,$BC$5:$BC$310)&gt;=1,BC172,"Não encontrado"),"Não encontrado")</f>
        <v>Nucleo Beephós Confina Lm</v>
      </c>
      <c r="BE172" s="62">
        <f ca="1">COUNTIF(BD$5:BD172,"&lt;&gt;"&amp;"Não encontrado")</f>
        <v>168</v>
      </c>
      <c r="BF172" s="63" t="str">
        <f t="shared" ca="1" si="110"/>
        <v>NUCLEO BEEPHÓS CONFINA LM</v>
      </c>
      <c r="BG172" s="744" t="str">
        <f t="shared" si="111"/>
        <v/>
      </c>
      <c r="BH172" s="744" t="str">
        <f t="shared" si="112"/>
        <v/>
      </c>
      <c r="BI172" s="744" t="str">
        <f t="shared" si="113"/>
        <v/>
      </c>
      <c r="BJ172" s="744" t="str">
        <f t="shared" si="114"/>
        <v/>
      </c>
      <c r="BK172" s="744" t="str">
        <f t="shared" si="115"/>
        <v/>
      </c>
      <c r="BL172" s="744" t="str">
        <f t="shared" si="116"/>
        <v/>
      </c>
      <c r="BM172" s="744" t="str">
        <f t="shared" si="117"/>
        <v/>
      </c>
      <c r="BN172" s="744" t="str">
        <f t="shared" si="118"/>
        <v/>
      </c>
      <c r="BO172" s="744" t="str">
        <f t="shared" si="119"/>
        <v/>
      </c>
      <c r="BP172" s="744" t="str">
        <f t="shared" si="120"/>
        <v/>
      </c>
      <c r="BQ172" s="744" t="str">
        <f t="shared" si="121"/>
        <v/>
      </c>
      <c r="BR172" s="744" t="str">
        <f t="shared" si="122"/>
        <v/>
      </c>
      <c r="BS172" s="744" t="str">
        <f t="shared" si="123"/>
        <v/>
      </c>
      <c r="BT172" s="744">
        <f t="shared" si="124"/>
        <v>150.00017199999999</v>
      </c>
      <c r="BU172" s="744">
        <f t="shared" si="125"/>
        <v>30.000171999999999</v>
      </c>
      <c r="BV172" s="744">
        <f t="shared" si="126"/>
        <v>24.000171999999999</v>
      </c>
      <c r="BW172" s="744">
        <f t="shared" si="127"/>
        <v>110.00017200000001</v>
      </c>
      <c r="BX172" s="744" t="str">
        <f t="shared" si="128"/>
        <v/>
      </c>
      <c r="BY172" s="744">
        <f t="shared" si="129"/>
        <v>22.000172000000003</v>
      </c>
      <c r="BZ172" s="744">
        <f t="shared" si="130"/>
        <v>800.00017200000002</v>
      </c>
      <c r="CA172" s="744">
        <f t="shared" si="131"/>
        <v>2400.000172</v>
      </c>
      <c r="CB172" s="744" t="str">
        <f t="shared" si="132"/>
        <v/>
      </c>
      <c r="CC172" s="744">
        <f t="shared" si="133"/>
        <v>800.00017200000002</v>
      </c>
      <c r="CD172" s="744">
        <f t="shared" si="134"/>
        <v>48.000171999999999</v>
      </c>
      <c r="CE172" s="744">
        <f t="shared" si="135"/>
        <v>64.000172000000006</v>
      </c>
      <c r="CF172" s="744">
        <f t="shared" si="136"/>
        <v>12.000171999999999</v>
      </c>
      <c r="CG172" s="744" t="str">
        <f t="shared" si="137"/>
        <v/>
      </c>
      <c r="CH172" s="744" t="str">
        <f t="shared" si="138"/>
        <v/>
      </c>
      <c r="CI172" s="744" t="str">
        <f t="shared" si="139"/>
        <v/>
      </c>
      <c r="CJ172" s="744" t="str">
        <f t="shared" si="140"/>
        <v/>
      </c>
      <c r="CK172" s="744" t="str">
        <f t="shared" si="141"/>
        <v/>
      </c>
      <c r="CL172" s="744" t="str">
        <f t="shared" si="142"/>
        <v/>
      </c>
      <c r="CM172" s="744" t="str">
        <f t="shared" si="143"/>
        <v/>
      </c>
      <c r="CN172" s="744" t="str">
        <f t="shared" si="144"/>
        <v/>
      </c>
      <c r="CO172" s="744" t="str">
        <f t="shared" si="145"/>
        <v/>
      </c>
      <c r="CP172" s="744" t="str">
        <f t="shared" si="146"/>
        <v/>
      </c>
      <c r="CQ172" s="744" t="str">
        <f t="shared" si="147"/>
        <v/>
      </c>
      <c r="CR172" s="744" t="str">
        <f t="shared" si="148"/>
        <v/>
      </c>
      <c r="CS172" s="744" t="str">
        <f t="shared" si="149"/>
        <v/>
      </c>
      <c r="CT172" s="744" t="str">
        <f t="shared" si="150"/>
        <v/>
      </c>
      <c r="CU172" s="744" t="str">
        <f t="shared" si="151"/>
        <v/>
      </c>
      <c r="CV172" s="744" t="str">
        <f t="shared" si="152"/>
        <v/>
      </c>
      <c r="CW172" s="744" t="str">
        <f t="shared" si="153"/>
        <v/>
      </c>
      <c r="CX172" s="744">
        <f t="shared" si="154"/>
        <v>1.0001720000000001</v>
      </c>
    </row>
    <row r="173" spans="1:102">
      <c r="A173" s="633">
        <v>169</v>
      </c>
      <c r="B173" s="630" t="s">
        <v>4</v>
      </c>
      <c r="C173" s="631" t="s">
        <v>251</v>
      </c>
      <c r="D173" s="630" t="s">
        <v>1390</v>
      </c>
      <c r="E173" s="632" t="s">
        <v>692</v>
      </c>
      <c r="F173" s="1067">
        <v>7.5</v>
      </c>
      <c r="G173" s="1066">
        <v>1</v>
      </c>
      <c r="H173" s="1070">
        <v>1</v>
      </c>
      <c r="I173" s="1070"/>
      <c r="J173" s="1070"/>
      <c r="K173" s="1070"/>
      <c r="L173" s="1072"/>
      <c r="M173" s="1070"/>
      <c r="N173" s="1070"/>
      <c r="O173" s="1070"/>
      <c r="P173" s="1073"/>
      <c r="Q173" s="1070"/>
      <c r="R173" s="1070"/>
      <c r="S173" s="1070"/>
      <c r="T173" s="1070"/>
      <c r="U173" s="1070"/>
      <c r="V173" s="1066">
        <v>100</v>
      </c>
      <c r="W173" s="1070">
        <v>25</v>
      </c>
      <c r="X173" s="1070">
        <v>30</v>
      </c>
      <c r="Y173" s="1070">
        <v>70</v>
      </c>
      <c r="Z173" s="1070"/>
      <c r="AA173" s="1070">
        <v>300</v>
      </c>
      <c r="AB173" s="1070">
        <v>550</v>
      </c>
      <c r="AC173" s="1070">
        <v>2100</v>
      </c>
      <c r="AD173" s="1070"/>
      <c r="AE173" s="1070">
        <v>1300</v>
      </c>
      <c r="AF173" s="1070">
        <v>40</v>
      </c>
      <c r="AG173" s="1070">
        <v>25</v>
      </c>
      <c r="AH173" s="1073">
        <v>10</v>
      </c>
      <c r="AI173" s="1070"/>
      <c r="AJ173" s="1070"/>
      <c r="AK173" s="1070"/>
      <c r="AL173" s="1082"/>
      <c r="AM173" s="1069"/>
      <c r="AN173" s="1070"/>
      <c r="AO173" s="1070"/>
      <c r="AP173" s="1070"/>
      <c r="AQ173" s="1070"/>
      <c r="AR173" s="1069"/>
      <c r="AS173" s="1282"/>
      <c r="AT173" s="1282"/>
      <c r="AU173" s="1069"/>
      <c r="AV173" s="1069"/>
      <c r="AW173" s="1069"/>
      <c r="AX173" s="1070"/>
      <c r="AY173" s="1070"/>
      <c r="AZ173" s="1078">
        <f t="shared" si="107"/>
        <v>1</v>
      </c>
      <c r="BA173" s="59">
        <v>169</v>
      </c>
      <c r="BB173" s="59">
        <f t="shared" si="108"/>
        <v>169</v>
      </c>
      <c r="BC173" s="60" t="str">
        <f t="shared" si="109"/>
        <v>Nucleo BRC Maxxipeso</v>
      </c>
      <c r="BD173" s="61" t="str">
        <f ca="1">IFERROR(IF(SEARCH('Calcular Dieta'!A$3,$BC$5:$BC$310)&gt;=1,BC173,"Não encontrado"),"Não encontrado")</f>
        <v>Nucleo BRC Maxxipeso</v>
      </c>
      <c r="BE173" s="62">
        <f ca="1">COUNTIF(BD$5:BD173,"&lt;&gt;"&amp;"Não encontrado")</f>
        <v>169</v>
      </c>
      <c r="BF173" s="63" t="str">
        <f t="shared" ca="1" si="110"/>
        <v>NUCLEO BRC MAXXIPESO</v>
      </c>
      <c r="BG173" s="744" t="str">
        <f t="shared" si="111"/>
        <v/>
      </c>
      <c r="BH173" s="744" t="str">
        <f t="shared" si="112"/>
        <v/>
      </c>
      <c r="BI173" s="744" t="str">
        <f t="shared" si="113"/>
        <v/>
      </c>
      <c r="BJ173" s="744" t="str">
        <f t="shared" si="114"/>
        <v/>
      </c>
      <c r="BK173" s="744" t="str">
        <f t="shared" si="115"/>
        <v/>
      </c>
      <c r="BL173" s="744" t="str">
        <f t="shared" si="116"/>
        <v/>
      </c>
      <c r="BM173" s="744" t="str">
        <f t="shared" si="117"/>
        <v/>
      </c>
      <c r="BN173" s="744" t="str">
        <f t="shared" si="118"/>
        <v/>
      </c>
      <c r="BO173" s="744" t="str">
        <f t="shared" si="119"/>
        <v/>
      </c>
      <c r="BP173" s="744" t="str">
        <f t="shared" si="120"/>
        <v/>
      </c>
      <c r="BQ173" s="744" t="str">
        <f t="shared" si="121"/>
        <v/>
      </c>
      <c r="BR173" s="744" t="str">
        <f t="shared" si="122"/>
        <v/>
      </c>
      <c r="BS173" s="744" t="str">
        <f t="shared" si="123"/>
        <v/>
      </c>
      <c r="BT173" s="744">
        <f t="shared" si="124"/>
        <v>100.000173</v>
      </c>
      <c r="BU173" s="744">
        <f t="shared" si="125"/>
        <v>25.000173</v>
      </c>
      <c r="BV173" s="744">
        <f t="shared" si="126"/>
        <v>30.000173</v>
      </c>
      <c r="BW173" s="744">
        <f t="shared" si="127"/>
        <v>70.000173000000004</v>
      </c>
      <c r="BX173" s="744" t="str">
        <f t="shared" si="128"/>
        <v/>
      </c>
      <c r="BY173" s="744">
        <f t="shared" si="129"/>
        <v>300.00017300000002</v>
      </c>
      <c r="BZ173" s="744">
        <f t="shared" si="130"/>
        <v>550.00017300000002</v>
      </c>
      <c r="CA173" s="744">
        <f t="shared" si="131"/>
        <v>2100.0001729999999</v>
      </c>
      <c r="CB173" s="744" t="str">
        <f t="shared" si="132"/>
        <v/>
      </c>
      <c r="CC173" s="744">
        <f t="shared" si="133"/>
        <v>1300.0001729999999</v>
      </c>
      <c r="CD173" s="744">
        <f t="shared" si="134"/>
        <v>40.000172999999997</v>
      </c>
      <c r="CE173" s="744">
        <f t="shared" si="135"/>
        <v>25.000173</v>
      </c>
      <c r="CF173" s="744">
        <f t="shared" si="136"/>
        <v>10.000173</v>
      </c>
      <c r="CG173" s="744" t="str">
        <f t="shared" si="137"/>
        <v/>
      </c>
      <c r="CH173" s="744" t="str">
        <f t="shared" si="138"/>
        <v/>
      </c>
      <c r="CI173" s="744" t="str">
        <f t="shared" si="139"/>
        <v/>
      </c>
      <c r="CJ173" s="744" t="str">
        <f t="shared" si="140"/>
        <v/>
      </c>
      <c r="CK173" s="744" t="str">
        <f t="shared" si="141"/>
        <v/>
      </c>
      <c r="CL173" s="744" t="str">
        <f t="shared" si="142"/>
        <v/>
      </c>
      <c r="CM173" s="744" t="str">
        <f t="shared" si="143"/>
        <v/>
      </c>
      <c r="CN173" s="744" t="str">
        <f t="shared" si="144"/>
        <v/>
      </c>
      <c r="CO173" s="744" t="str">
        <f t="shared" si="145"/>
        <v/>
      </c>
      <c r="CP173" s="744" t="str">
        <f t="shared" si="146"/>
        <v/>
      </c>
      <c r="CQ173" s="744" t="str">
        <f t="shared" si="147"/>
        <v/>
      </c>
      <c r="CR173" s="744" t="str">
        <f t="shared" si="148"/>
        <v/>
      </c>
      <c r="CS173" s="744" t="str">
        <f t="shared" si="149"/>
        <v/>
      </c>
      <c r="CT173" s="744" t="str">
        <f t="shared" si="150"/>
        <v/>
      </c>
      <c r="CU173" s="744" t="str">
        <f t="shared" si="151"/>
        <v/>
      </c>
      <c r="CV173" s="744" t="str">
        <f t="shared" si="152"/>
        <v/>
      </c>
      <c r="CW173" s="744" t="str">
        <f t="shared" si="153"/>
        <v/>
      </c>
      <c r="CX173" s="744">
        <f t="shared" si="154"/>
        <v>1.000173</v>
      </c>
    </row>
    <row r="174" spans="1:102">
      <c r="A174" s="630">
        <v>170</v>
      </c>
      <c r="B174" s="630" t="s">
        <v>4</v>
      </c>
      <c r="C174" s="631" t="s">
        <v>251</v>
      </c>
      <c r="D174" s="630" t="s">
        <v>1390</v>
      </c>
      <c r="E174" s="632" t="s">
        <v>217</v>
      </c>
      <c r="F174" s="1067">
        <v>7.5</v>
      </c>
      <c r="G174" s="1066">
        <v>1</v>
      </c>
      <c r="H174" s="1070">
        <v>0.98</v>
      </c>
      <c r="I174" s="1070"/>
      <c r="J174" s="1070"/>
      <c r="K174" s="1070"/>
      <c r="L174" s="1072"/>
      <c r="M174" s="1070"/>
      <c r="N174" s="1070"/>
      <c r="O174" s="1070"/>
      <c r="P174" s="1073"/>
      <c r="Q174" s="1070"/>
      <c r="R174" s="1070"/>
      <c r="S174" s="1070"/>
      <c r="T174" s="1070"/>
      <c r="U174" s="1070"/>
      <c r="V174" s="1066">
        <v>215.6</v>
      </c>
      <c r="W174" s="1070">
        <v>19.599999999999998</v>
      </c>
      <c r="X174" s="1070">
        <v>9.7999999999999989</v>
      </c>
      <c r="Y174" s="1070">
        <v>58.8</v>
      </c>
      <c r="Z174" s="1070">
        <v>34.300000000000004</v>
      </c>
      <c r="AA174" s="1070">
        <v>245</v>
      </c>
      <c r="AB174" s="1070">
        <v>500</v>
      </c>
      <c r="AC174" s="1070">
        <v>1500</v>
      </c>
      <c r="AD174" s="1070"/>
      <c r="AE174" s="1070">
        <v>1500</v>
      </c>
      <c r="AF174" s="1070">
        <v>50</v>
      </c>
      <c r="AG174" s="1070">
        <v>100</v>
      </c>
      <c r="AH174" s="1073">
        <v>9</v>
      </c>
      <c r="AI174" s="1070"/>
      <c r="AJ174" s="1070"/>
      <c r="AK174" s="1070"/>
      <c r="AL174" s="1082"/>
      <c r="AM174" s="1069"/>
      <c r="AN174" s="1070"/>
      <c r="AO174" s="1070"/>
      <c r="AP174" s="1070"/>
      <c r="AQ174" s="1070"/>
      <c r="AR174" s="1069"/>
      <c r="AS174" s="1282"/>
      <c r="AT174" s="1282"/>
      <c r="AU174" s="1069"/>
      <c r="AV174" s="1069"/>
      <c r="AW174" s="1069"/>
      <c r="AX174" s="1070"/>
      <c r="AY174" s="1070"/>
      <c r="AZ174" s="1078">
        <f t="shared" si="107"/>
        <v>0.98</v>
      </c>
      <c r="BA174" s="59">
        <v>170</v>
      </c>
      <c r="BB174" s="59">
        <f t="shared" si="108"/>
        <v>170</v>
      </c>
      <c r="BC174" s="60" t="str">
        <f t="shared" si="109"/>
        <v>Nucleo Confinamento 150 Premix</v>
      </c>
      <c r="BD174" s="61" t="str">
        <f ca="1">IFERROR(IF(SEARCH('Calcular Dieta'!A$3,$BC$5:$BC$310)&gt;=1,BC174,"Não encontrado"),"Não encontrado")</f>
        <v>Nucleo Confinamento 150 Premix</v>
      </c>
      <c r="BE174" s="62">
        <f ca="1">COUNTIF(BD$5:BD174,"&lt;&gt;"&amp;"Não encontrado")</f>
        <v>170</v>
      </c>
      <c r="BF174" s="63" t="str">
        <f t="shared" ca="1" si="110"/>
        <v>NUCLEO CONFINAMENTO 150 PREMIX</v>
      </c>
      <c r="BG174" s="744" t="str">
        <f t="shared" si="111"/>
        <v/>
      </c>
      <c r="BH174" s="744" t="str">
        <f t="shared" si="112"/>
        <v/>
      </c>
      <c r="BI174" s="744" t="str">
        <f t="shared" si="113"/>
        <v/>
      </c>
      <c r="BJ174" s="744" t="str">
        <f t="shared" si="114"/>
        <v/>
      </c>
      <c r="BK174" s="744" t="str">
        <f t="shared" si="115"/>
        <v/>
      </c>
      <c r="BL174" s="744" t="str">
        <f t="shared" si="116"/>
        <v/>
      </c>
      <c r="BM174" s="744" t="str">
        <f t="shared" si="117"/>
        <v/>
      </c>
      <c r="BN174" s="744" t="str">
        <f t="shared" si="118"/>
        <v/>
      </c>
      <c r="BO174" s="744" t="str">
        <f t="shared" si="119"/>
        <v/>
      </c>
      <c r="BP174" s="744" t="str">
        <f t="shared" si="120"/>
        <v/>
      </c>
      <c r="BQ174" s="744" t="str">
        <f t="shared" si="121"/>
        <v/>
      </c>
      <c r="BR174" s="744" t="str">
        <f t="shared" si="122"/>
        <v/>
      </c>
      <c r="BS174" s="744" t="str">
        <f t="shared" si="123"/>
        <v/>
      </c>
      <c r="BT174" s="744">
        <f t="shared" si="124"/>
        <v>215.60017399999998</v>
      </c>
      <c r="BU174" s="744">
        <f t="shared" si="125"/>
        <v>19.600173999999999</v>
      </c>
      <c r="BV174" s="744">
        <f t="shared" si="126"/>
        <v>9.8001739999999984</v>
      </c>
      <c r="BW174" s="744">
        <f t="shared" si="127"/>
        <v>58.800173999999998</v>
      </c>
      <c r="BX174" s="744">
        <f t="shared" si="128"/>
        <v>34.300174000000005</v>
      </c>
      <c r="BY174" s="744">
        <f t="shared" si="129"/>
        <v>245.00017399999999</v>
      </c>
      <c r="BZ174" s="744">
        <f t="shared" si="130"/>
        <v>500.00017400000002</v>
      </c>
      <c r="CA174" s="744">
        <f t="shared" si="131"/>
        <v>1500.000174</v>
      </c>
      <c r="CB174" s="744" t="str">
        <f t="shared" si="132"/>
        <v/>
      </c>
      <c r="CC174" s="744">
        <f t="shared" si="133"/>
        <v>1500.000174</v>
      </c>
      <c r="CD174" s="744">
        <f t="shared" si="134"/>
        <v>50.000174000000001</v>
      </c>
      <c r="CE174" s="744">
        <f t="shared" si="135"/>
        <v>100.000174</v>
      </c>
      <c r="CF174" s="744">
        <f t="shared" si="136"/>
        <v>9.0001739999999995</v>
      </c>
      <c r="CG174" s="744" t="str">
        <f t="shared" si="137"/>
        <v/>
      </c>
      <c r="CH174" s="744" t="str">
        <f t="shared" si="138"/>
        <v/>
      </c>
      <c r="CI174" s="744" t="str">
        <f t="shared" si="139"/>
        <v/>
      </c>
      <c r="CJ174" s="744" t="str">
        <f t="shared" si="140"/>
        <v/>
      </c>
      <c r="CK174" s="744" t="str">
        <f t="shared" si="141"/>
        <v/>
      </c>
      <c r="CL174" s="744" t="str">
        <f t="shared" si="142"/>
        <v/>
      </c>
      <c r="CM174" s="744" t="str">
        <f t="shared" si="143"/>
        <v/>
      </c>
      <c r="CN174" s="744" t="str">
        <f t="shared" si="144"/>
        <v/>
      </c>
      <c r="CO174" s="744" t="str">
        <f t="shared" si="145"/>
        <v/>
      </c>
      <c r="CP174" s="744" t="str">
        <f t="shared" si="146"/>
        <v/>
      </c>
      <c r="CQ174" s="744" t="str">
        <f t="shared" si="147"/>
        <v/>
      </c>
      <c r="CR174" s="744" t="str">
        <f t="shared" si="148"/>
        <v/>
      </c>
      <c r="CS174" s="744" t="str">
        <f t="shared" si="149"/>
        <v/>
      </c>
      <c r="CT174" s="744" t="str">
        <f t="shared" si="150"/>
        <v/>
      </c>
      <c r="CU174" s="744" t="str">
        <f t="shared" si="151"/>
        <v/>
      </c>
      <c r="CV174" s="744" t="str">
        <f t="shared" si="152"/>
        <v/>
      </c>
      <c r="CW174" s="744" t="str">
        <f t="shared" si="153"/>
        <v/>
      </c>
      <c r="CX174" s="744">
        <f t="shared" si="154"/>
        <v>0.98017399999999999</v>
      </c>
    </row>
    <row r="175" spans="1:102">
      <c r="A175" s="633">
        <v>171</v>
      </c>
      <c r="B175" s="630" t="s">
        <v>4</v>
      </c>
      <c r="C175" s="631" t="s">
        <v>251</v>
      </c>
      <c r="D175" s="630" t="s">
        <v>1390</v>
      </c>
      <c r="E175" s="632" t="s">
        <v>218</v>
      </c>
      <c r="F175" s="1067">
        <v>7.5</v>
      </c>
      <c r="G175" s="1066">
        <v>1</v>
      </c>
      <c r="H175" s="1070">
        <v>1</v>
      </c>
      <c r="I175" s="1070"/>
      <c r="J175" s="1070"/>
      <c r="K175" s="1070"/>
      <c r="L175" s="1072"/>
      <c r="M175" s="1070"/>
      <c r="N175" s="1070"/>
      <c r="O175" s="1070"/>
      <c r="P175" s="1073"/>
      <c r="Q175" s="1070">
        <v>123.2</v>
      </c>
      <c r="R175" s="1070"/>
      <c r="S175" s="1070"/>
      <c r="T175" s="1070"/>
      <c r="U175" s="1070"/>
      <c r="V175" s="1066">
        <v>124.5</v>
      </c>
      <c r="W175" s="1070">
        <v>17.3</v>
      </c>
      <c r="X175" s="1070">
        <v>121</v>
      </c>
      <c r="Y175" s="1070">
        <v>46.500000000000007</v>
      </c>
      <c r="Z175" s="1070"/>
      <c r="AA175" s="1070">
        <v>30.299999999999997</v>
      </c>
      <c r="AB175" s="1070">
        <v>388</v>
      </c>
      <c r="AC175" s="1070">
        <v>1545</v>
      </c>
      <c r="AD175" s="1070"/>
      <c r="AE175" s="1070">
        <v>1209</v>
      </c>
      <c r="AF175" s="1070">
        <v>25</v>
      </c>
      <c r="AG175" s="1070">
        <v>39</v>
      </c>
      <c r="AH175" s="1073">
        <v>15</v>
      </c>
      <c r="AI175" s="1070"/>
      <c r="AJ175" s="1070"/>
      <c r="AK175" s="1070"/>
      <c r="AL175" s="1082"/>
      <c r="AM175" s="1069"/>
      <c r="AN175" s="1070"/>
      <c r="AO175" s="1070"/>
      <c r="AP175" s="1070"/>
      <c r="AQ175" s="1070"/>
      <c r="AR175" s="1069"/>
      <c r="AS175" s="1282"/>
      <c r="AT175" s="1282"/>
      <c r="AU175" s="1069"/>
      <c r="AV175" s="1069"/>
      <c r="AW175" s="1069"/>
      <c r="AX175" s="1070"/>
      <c r="AY175" s="1070"/>
      <c r="AZ175" s="1078">
        <f t="shared" si="107"/>
        <v>1</v>
      </c>
      <c r="BA175" s="59">
        <v>171</v>
      </c>
      <c r="BB175" s="59">
        <f t="shared" si="108"/>
        <v>171</v>
      </c>
      <c r="BC175" s="60" t="str">
        <f t="shared" si="109"/>
        <v>Nucleo Confinamento Aep</v>
      </c>
      <c r="BD175" s="61" t="str">
        <f ca="1">IFERROR(IF(SEARCH('Calcular Dieta'!A$3,$BC$5:$BC$310)&gt;=1,BC175,"Não encontrado"),"Não encontrado")</f>
        <v>Nucleo Confinamento Aep</v>
      </c>
      <c r="BE175" s="62">
        <f ca="1">COUNTIF(BD$5:BD175,"&lt;&gt;"&amp;"Não encontrado")</f>
        <v>171</v>
      </c>
      <c r="BF175" s="63" t="str">
        <f t="shared" ca="1" si="110"/>
        <v>NUCLEO CONFINAMENTO AEP</v>
      </c>
      <c r="BG175" s="744" t="str">
        <f t="shared" si="111"/>
        <v/>
      </c>
      <c r="BH175" s="744" t="str">
        <f t="shared" si="112"/>
        <v/>
      </c>
      <c r="BI175" s="744" t="str">
        <f t="shared" si="113"/>
        <v/>
      </c>
      <c r="BJ175" s="744" t="str">
        <f t="shared" si="114"/>
        <v/>
      </c>
      <c r="BK175" s="744" t="str">
        <f t="shared" si="115"/>
        <v/>
      </c>
      <c r="BL175" s="744" t="str">
        <f t="shared" si="116"/>
        <v/>
      </c>
      <c r="BM175" s="744" t="str">
        <f t="shared" si="117"/>
        <v/>
      </c>
      <c r="BN175" s="744" t="str">
        <f t="shared" si="118"/>
        <v/>
      </c>
      <c r="BO175" s="744">
        <f t="shared" si="119"/>
        <v>123.200175</v>
      </c>
      <c r="BP175" s="744" t="str">
        <f t="shared" si="120"/>
        <v/>
      </c>
      <c r="BQ175" s="744" t="str">
        <f t="shared" si="121"/>
        <v/>
      </c>
      <c r="BR175" s="744" t="str">
        <f t="shared" si="122"/>
        <v/>
      </c>
      <c r="BS175" s="744" t="str">
        <f t="shared" si="123"/>
        <v/>
      </c>
      <c r="BT175" s="744">
        <f t="shared" si="124"/>
        <v>124.500175</v>
      </c>
      <c r="BU175" s="744">
        <f t="shared" si="125"/>
        <v>17.300174999999999</v>
      </c>
      <c r="BV175" s="744">
        <f t="shared" si="126"/>
        <v>121.000175</v>
      </c>
      <c r="BW175" s="744">
        <f t="shared" si="127"/>
        <v>46.500175000000006</v>
      </c>
      <c r="BX175" s="744" t="str">
        <f t="shared" si="128"/>
        <v/>
      </c>
      <c r="BY175" s="744">
        <f t="shared" si="129"/>
        <v>30.300174999999996</v>
      </c>
      <c r="BZ175" s="744">
        <f t="shared" si="130"/>
        <v>388.00017500000001</v>
      </c>
      <c r="CA175" s="744">
        <f t="shared" si="131"/>
        <v>1545.0001749999999</v>
      </c>
      <c r="CB175" s="744" t="str">
        <f t="shared" si="132"/>
        <v/>
      </c>
      <c r="CC175" s="744">
        <f t="shared" si="133"/>
        <v>1209.0001749999999</v>
      </c>
      <c r="CD175" s="744">
        <f t="shared" si="134"/>
        <v>25.000174999999999</v>
      </c>
      <c r="CE175" s="744">
        <f t="shared" si="135"/>
        <v>39.000174999999999</v>
      </c>
      <c r="CF175" s="744">
        <f t="shared" si="136"/>
        <v>15.000175</v>
      </c>
      <c r="CG175" s="744" t="str">
        <f t="shared" si="137"/>
        <v/>
      </c>
      <c r="CH175" s="744" t="str">
        <f t="shared" si="138"/>
        <v/>
      </c>
      <c r="CI175" s="744" t="str">
        <f t="shared" si="139"/>
        <v/>
      </c>
      <c r="CJ175" s="744" t="str">
        <f t="shared" si="140"/>
        <v/>
      </c>
      <c r="CK175" s="744" t="str">
        <f t="shared" si="141"/>
        <v/>
      </c>
      <c r="CL175" s="744" t="str">
        <f t="shared" si="142"/>
        <v/>
      </c>
      <c r="CM175" s="744" t="str">
        <f t="shared" si="143"/>
        <v/>
      </c>
      <c r="CN175" s="744" t="str">
        <f t="shared" si="144"/>
        <v/>
      </c>
      <c r="CO175" s="744" t="str">
        <f t="shared" si="145"/>
        <v/>
      </c>
      <c r="CP175" s="744" t="str">
        <f t="shared" si="146"/>
        <v/>
      </c>
      <c r="CQ175" s="744" t="str">
        <f t="shared" si="147"/>
        <v/>
      </c>
      <c r="CR175" s="744" t="str">
        <f t="shared" si="148"/>
        <v/>
      </c>
      <c r="CS175" s="744" t="str">
        <f t="shared" si="149"/>
        <v/>
      </c>
      <c r="CT175" s="744" t="str">
        <f t="shared" si="150"/>
        <v/>
      </c>
      <c r="CU175" s="744" t="str">
        <f t="shared" si="151"/>
        <v/>
      </c>
      <c r="CV175" s="744" t="str">
        <f t="shared" si="152"/>
        <v/>
      </c>
      <c r="CW175" s="744" t="str">
        <f t="shared" si="153"/>
        <v/>
      </c>
      <c r="CX175" s="744">
        <f t="shared" si="154"/>
        <v>1.000175</v>
      </c>
    </row>
    <row r="176" spans="1:102">
      <c r="A176" s="630">
        <v>172</v>
      </c>
      <c r="B176" s="630" t="s">
        <v>4</v>
      </c>
      <c r="C176" s="631" t="s">
        <v>251</v>
      </c>
      <c r="D176" s="630" t="s">
        <v>442</v>
      </c>
      <c r="E176" s="632" t="s">
        <v>681</v>
      </c>
      <c r="F176" s="1067">
        <v>5.6</v>
      </c>
      <c r="G176" s="1066">
        <v>1</v>
      </c>
      <c r="H176" s="1070">
        <v>1</v>
      </c>
      <c r="I176" s="1070"/>
      <c r="J176" s="1070"/>
      <c r="K176" s="1070"/>
      <c r="L176" s="1072"/>
      <c r="M176" s="1070"/>
      <c r="N176" s="1070"/>
      <c r="O176" s="1070"/>
      <c r="P176" s="1073"/>
      <c r="Q176" s="1070"/>
      <c r="R176" s="1070"/>
      <c r="S176" s="1070"/>
      <c r="T176" s="1070"/>
      <c r="U176" s="1070"/>
      <c r="V176" s="1066">
        <v>25</v>
      </c>
      <c r="W176" s="1070">
        <v>120</v>
      </c>
      <c r="X176" s="1070">
        <v>16</v>
      </c>
      <c r="Y176" s="1070"/>
      <c r="Z176" s="1070"/>
      <c r="AA176" s="1070">
        <v>36</v>
      </c>
      <c r="AB176" s="1070">
        <v>2250</v>
      </c>
      <c r="AC176" s="1070">
        <v>5200</v>
      </c>
      <c r="AD176" s="1070">
        <v>4500</v>
      </c>
      <c r="AE176" s="1070">
        <v>1500</v>
      </c>
      <c r="AF176" s="1070">
        <v>170</v>
      </c>
      <c r="AG176" s="1070">
        <v>180</v>
      </c>
      <c r="AH176" s="1073">
        <v>30</v>
      </c>
      <c r="AI176" s="1070"/>
      <c r="AJ176" s="1070"/>
      <c r="AK176" s="1070"/>
      <c r="AL176" s="1082"/>
      <c r="AM176" s="1069"/>
      <c r="AN176" s="1070"/>
      <c r="AO176" s="1070"/>
      <c r="AP176" s="1070"/>
      <c r="AQ176" s="1070"/>
      <c r="AR176" s="1069"/>
      <c r="AS176" s="1282"/>
      <c r="AT176" s="1282"/>
      <c r="AU176" s="1069"/>
      <c r="AV176" s="1069"/>
      <c r="AW176" s="1069"/>
      <c r="AX176" s="1070"/>
      <c r="AY176" s="1070"/>
      <c r="AZ176" s="1078">
        <f t="shared" si="107"/>
        <v>1</v>
      </c>
      <c r="BA176" s="59">
        <v>172</v>
      </c>
      <c r="BB176" s="59">
        <f t="shared" si="108"/>
        <v>172</v>
      </c>
      <c r="BC176" s="60" t="str">
        <f t="shared" si="109"/>
        <v>Nucleo Crescimento (Nutronordeste)</v>
      </c>
      <c r="BD176" s="61" t="str">
        <f ca="1">IFERROR(IF(SEARCH('Calcular Dieta'!A$3,$BC$5:$BC$310)&gt;=1,BC176,"Não encontrado"),"Não encontrado")</f>
        <v>Nucleo Crescimento (Nutronordeste)</v>
      </c>
      <c r="BE176" s="62">
        <f ca="1">COUNTIF(BD$5:BD176,"&lt;&gt;"&amp;"Não encontrado")</f>
        <v>172</v>
      </c>
      <c r="BF176" s="63" t="str">
        <f t="shared" ca="1" si="110"/>
        <v>NUCLEO CRESCIMENTO (NUTRONORDESTE)</v>
      </c>
      <c r="BG176" s="744" t="str">
        <f t="shared" si="111"/>
        <v/>
      </c>
      <c r="BH176" s="744" t="str">
        <f t="shared" si="112"/>
        <v/>
      </c>
      <c r="BI176" s="744" t="str">
        <f t="shared" si="113"/>
        <v/>
      </c>
      <c r="BJ176" s="744" t="str">
        <f t="shared" si="114"/>
        <v/>
      </c>
      <c r="BK176" s="744" t="str">
        <f t="shared" si="115"/>
        <v/>
      </c>
      <c r="BL176" s="744" t="str">
        <f t="shared" si="116"/>
        <v/>
      </c>
      <c r="BM176" s="744" t="str">
        <f t="shared" si="117"/>
        <v/>
      </c>
      <c r="BN176" s="744" t="str">
        <f t="shared" si="118"/>
        <v/>
      </c>
      <c r="BO176" s="744" t="str">
        <f t="shared" si="119"/>
        <v/>
      </c>
      <c r="BP176" s="744" t="str">
        <f t="shared" si="120"/>
        <v/>
      </c>
      <c r="BQ176" s="744" t="str">
        <f t="shared" si="121"/>
        <v/>
      </c>
      <c r="BR176" s="744" t="str">
        <f t="shared" si="122"/>
        <v/>
      </c>
      <c r="BS176" s="744" t="str">
        <f t="shared" si="123"/>
        <v/>
      </c>
      <c r="BT176" s="744">
        <f t="shared" si="124"/>
        <v>25.000176</v>
      </c>
      <c r="BU176" s="744">
        <f t="shared" si="125"/>
        <v>120.000176</v>
      </c>
      <c r="BV176" s="744">
        <f t="shared" si="126"/>
        <v>16.000176</v>
      </c>
      <c r="BW176" s="744" t="str">
        <f t="shared" si="127"/>
        <v/>
      </c>
      <c r="BX176" s="744" t="str">
        <f t="shared" si="128"/>
        <v/>
      </c>
      <c r="BY176" s="744">
        <f t="shared" si="129"/>
        <v>36.000176000000003</v>
      </c>
      <c r="BZ176" s="744">
        <f t="shared" si="130"/>
        <v>2250.000176</v>
      </c>
      <c r="CA176" s="744">
        <f t="shared" si="131"/>
        <v>5200.0001759999996</v>
      </c>
      <c r="CB176" s="744">
        <f t="shared" si="132"/>
        <v>4500.0001759999996</v>
      </c>
      <c r="CC176" s="744">
        <f t="shared" si="133"/>
        <v>1500.000176</v>
      </c>
      <c r="CD176" s="744">
        <f t="shared" si="134"/>
        <v>170.00017600000001</v>
      </c>
      <c r="CE176" s="744">
        <f t="shared" si="135"/>
        <v>180.00017600000001</v>
      </c>
      <c r="CF176" s="744">
        <f t="shared" si="136"/>
        <v>30.000176</v>
      </c>
      <c r="CG176" s="744" t="str">
        <f t="shared" si="137"/>
        <v/>
      </c>
      <c r="CH176" s="744" t="str">
        <f t="shared" si="138"/>
        <v/>
      </c>
      <c r="CI176" s="744" t="str">
        <f t="shared" si="139"/>
        <v/>
      </c>
      <c r="CJ176" s="744" t="str">
        <f t="shared" si="140"/>
        <v/>
      </c>
      <c r="CK176" s="744" t="str">
        <f t="shared" si="141"/>
        <v/>
      </c>
      <c r="CL176" s="744" t="str">
        <f t="shared" si="142"/>
        <v/>
      </c>
      <c r="CM176" s="744" t="str">
        <f t="shared" si="143"/>
        <v/>
      </c>
      <c r="CN176" s="744" t="str">
        <f t="shared" si="144"/>
        <v/>
      </c>
      <c r="CO176" s="744" t="str">
        <f t="shared" si="145"/>
        <v/>
      </c>
      <c r="CP176" s="744" t="str">
        <f t="shared" si="146"/>
        <v/>
      </c>
      <c r="CQ176" s="744" t="str">
        <f t="shared" si="147"/>
        <v/>
      </c>
      <c r="CR176" s="744" t="str">
        <f t="shared" si="148"/>
        <v/>
      </c>
      <c r="CS176" s="744" t="str">
        <f t="shared" si="149"/>
        <v/>
      </c>
      <c r="CT176" s="744" t="str">
        <f t="shared" si="150"/>
        <v/>
      </c>
      <c r="CU176" s="744" t="str">
        <f t="shared" si="151"/>
        <v/>
      </c>
      <c r="CV176" s="744" t="str">
        <f t="shared" si="152"/>
        <v/>
      </c>
      <c r="CW176" s="744" t="str">
        <f t="shared" si="153"/>
        <v/>
      </c>
      <c r="CX176" s="744">
        <f t="shared" si="154"/>
        <v>1.000176</v>
      </c>
    </row>
    <row r="177" spans="1:102">
      <c r="A177" s="633">
        <v>173</v>
      </c>
      <c r="B177" s="630" t="s">
        <v>4</v>
      </c>
      <c r="C177" s="631" t="s">
        <v>251</v>
      </c>
      <c r="D177" s="630" t="s">
        <v>1390</v>
      </c>
      <c r="E177" s="632" t="s">
        <v>689</v>
      </c>
      <c r="F177" s="1067">
        <v>7.66</v>
      </c>
      <c r="G177" s="1066">
        <v>1</v>
      </c>
      <c r="H177" s="1070">
        <v>1</v>
      </c>
      <c r="I177" s="1070"/>
      <c r="J177" s="1070"/>
      <c r="K177" s="1070"/>
      <c r="L177" s="1072"/>
      <c r="M177" s="1070"/>
      <c r="N177" s="1070"/>
      <c r="O177" s="1070"/>
      <c r="P177" s="1073"/>
      <c r="Q177" s="1070"/>
      <c r="R177" s="1070"/>
      <c r="S177" s="1070"/>
      <c r="T177" s="1070"/>
      <c r="U177" s="1070">
        <v>700</v>
      </c>
      <c r="V177" s="1066">
        <v>120</v>
      </c>
      <c r="W177" s="1070">
        <v>12</v>
      </c>
      <c r="X177" s="1070">
        <v>15</v>
      </c>
      <c r="Y177" s="1070">
        <v>42</v>
      </c>
      <c r="Z177" s="1070">
        <v>25</v>
      </c>
      <c r="AA177" s="1070">
        <v>27</v>
      </c>
      <c r="AB177" s="1070">
        <v>400</v>
      </c>
      <c r="AC177" s="1070">
        <v>1500</v>
      </c>
      <c r="AD177" s="1070"/>
      <c r="AE177" s="1070">
        <v>800</v>
      </c>
      <c r="AF177" s="1070">
        <v>20</v>
      </c>
      <c r="AG177" s="1070">
        <v>6</v>
      </c>
      <c r="AH177" s="1073">
        <v>5</v>
      </c>
      <c r="AI177" s="1070"/>
      <c r="AJ177" s="1070"/>
      <c r="AK177" s="1070"/>
      <c r="AL177" s="1082">
        <v>125000</v>
      </c>
      <c r="AM177" s="1069"/>
      <c r="AN177" s="1070">
        <v>12500</v>
      </c>
      <c r="AO177" s="1070">
        <v>1300</v>
      </c>
      <c r="AP177" s="1070"/>
      <c r="AQ177" s="1070"/>
      <c r="AR177" s="1069"/>
      <c r="AS177" s="1282"/>
      <c r="AT177" s="1282"/>
      <c r="AU177" s="1069"/>
      <c r="AV177" s="1069"/>
      <c r="AW177" s="1069"/>
      <c r="AX177" s="1070"/>
      <c r="AY177" s="1070"/>
      <c r="AZ177" s="1078">
        <f t="shared" si="107"/>
        <v>1</v>
      </c>
      <c r="BA177" s="59">
        <v>173</v>
      </c>
      <c r="BB177" s="59">
        <f t="shared" si="108"/>
        <v>173</v>
      </c>
      <c r="BC177" s="60" t="str">
        <f t="shared" si="109"/>
        <v>Nucleo FOSBOVI® CONFINAMENTO CRINA®  N</v>
      </c>
      <c r="BD177" s="61" t="str">
        <f ca="1">IFERROR(IF(SEARCH('Calcular Dieta'!A$3,$BC$5:$BC$310)&gt;=1,BC177,"Não encontrado"),"Não encontrado")</f>
        <v>Nucleo FOSBOVI® CONFINAMENTO CRINA®  N</v>
      </c>
      <c r="BE177" s="62">
        <f ca="1">COUNTIF(BD$5:BD177,"&lt;&gt;"&amp;"Não encontrado")</f>
        <v>173</v>
      </c>
      <c r="BF177" s="63" t="str">
        <f t="shared" ca="1" si="110"/>
        <v>NUCLEO FOSBOVI® CONFINAMENTO CRINA®  N</v>
      </c>
      <c r="BG177" s="744" t="str">
        <f t="shared" si="111"/>
        <v/>
      </c>
      <c r="BH177" s="744" t="str">
        <f t="shared" si="112"/>
        <v/>
      </c>
      <c r="BI177" s="744" t="str">
        <f t="shared" si="113"/>
        <v/>
      </c>
      <c r="BJ177" s="744" t="str">
        <f t="shared" si="114"/>
        <v/>
      </c>
      <c r="BK177" s="744" t="str">
        <f t="shared" si="115"/>
        <v/>
      </c>
      <c r="BL177" s="744" t="str">
        <f t="shared" si="116"/>
        <v/>
      </c>
      <c r="BM177" s="744" t="str">
        <f t="shared" si="117"/>
        <v/>
      </c>
      <c r="BN177" s="744" t="str">
        <f t="shared" si="118"/>
        <v/>
      </c>
      <c r="BO177" s="744" t="str">
        <f t="shared" si="119"/>
        <v/>
      </c>
      <c r="BP177" s="744" t="str">
        <f t="shared" si="120"/>
        <v/>
      </c>
      <c r="BQ177" s="744" t="str">
        <f t="shared" si="121"/>
        <v/>
      </c>
      <c r="BR177" s="744" t="str">
        <f t="shared" si="122"/>
        <v/>
      </c>
      <c r="BS177" s="744">
        <f t="shared" si="123"/>
        <v>700.00017700000001</v>
      </c>
      <c r="BT177" s="744">
        <f t="shared" si="124"/>
        <v>120.00017699999999</v>
      </c>
      <c r="BU177" s="744">
        <f t="shared" si="125"/>
        <v>12.000177000000001</v>
      </c>
      <c r="BV177" s="744">
        <f t="shared" si="126"/>
        <v>15.000177000000001</v>
      </c>
      <c r="BW177" s="744">
        <f t="shared" si="127"/>
        <v>42.000177000000001</v>
      </c>
      <c r="BX177" s="744">
        <f t="shared" si="128"/>
        <v>25.000177000000001</v>
      </c>
      <c r="BY177" s="744">
        <f t="shared" si="129"/>
        <v>27.000177000000001</v>
      </c>
      <c r="BZ177" s="744">
        <f t="shared" si="130"/>
        <v>400.00017700000001</v>
      </c>
      <c r="CA177" s="744">
        <f t="shared" si="131"/>
        <v>1500.0001769999999</v>
      </c>
      <c r="CB177" s="744" t="str">
        <f t="shared" si="132"/>
        <v/>
      </c>
      <c r="CC177" s="744">
        <f t="shared" si="133"/>
        <v>800.00017700000001</v>
      </c>
      <c r="CD177" s="744">
        <f t="shared" si="134"/>
        <v>20.000177000000001</v>
      </c>
      <c r="CE177" s="744">
        <f t="shared" si="135"/>
        <v>6.0001769999999999</v>
      </c>
      <c r="CF177" s="744">
        <f t="shared" si="136"/>
        <v>5.0001769999999999</v>
      </c>
      <c r="CG177" s="744" t="str">
        <f t="shared" si="137"/>
        <v/>
      </c>
      <c r="CH177" s="744" t="str">
        <f t="shared" si="138"/>
        <v/>
      </c>
      <c r="CI177" s="744" t="str">
        <f t="shared" si="139"/>
        <v/>
      </c>
      <c r="CJ177" s="744">
        <f t="shared" si="140"/>
        <v>125000.00017699999</v>
      </c>
      <c r="CK177" s="744" t="str">
        <f t="shared" si="141"/>
        <v/>
      </c>
      <c r="CL177" s="744">
        <f t="shared" si="142"/>
        <v>12500.000177</v>
      </c>
      <c r="CM177" s="744">
        <f t="shared" si="143"/>
        <v>1300.0001769999999</v>
      </c>
      <c r="CN177" s="744" t="str">
        <f t="shared" si="144"/>
        <v/>
      </c>
      <c r="CO177" s="744" t="str">
        <f t="shared" si="145"/>
        <v/>
      </c>
      <c r="CP177" s="744" t="str">
        <f t="shared" si="146"/>
        <v/>
      </c>
      <c r="CQ177" s="744" t="str">
        <f t="shared" si="147"/>
        <v/>
      </c>
      <c r="CR177" s="744" t="str">
        <f t="shared" si="148"/>
        <v/>
      </c>
      <c r="CS177" s="744" t="str">
        <f t="shared" si="149"/>
        <v/>
      </c>
      <c r="CT177" s="744" t="str">
        <f t="shared" si="150"/>
        <v/>
      </c>
      <c r="CU177" s="744" t="str">
        <f t="shared" si="151"/>
        <v/>
      </c>
      <c r="CV177" s="744" t="str">
        <f t="shared" si="152"/>
        <v/>
      </c>
      <c r="CW177" s="744" t="str">
        <f t="shared" si="153"/>
        <v/>
      </c>
      <c r="CX177" s="744">
        <f t="shared" si="154"/>
        <v>1.0001770000000001</v>
      </c>
    </row>
    <row r="178" spans="1:102">
      <c r="A178" s="630">
        <v>175</v>
      </c>
      <c r="B178" s="630" t="s">
        <v>4</v>
      </c>
      <c r="C178" s="631" t="s">
        <v>251</v>
      </c>
      <c r="D178" s="630" t="s">
        <v>1390</v>
      </c>
      <c r="E178" s="632" t="s">
        <v>682</v>
      </c>
      <c r="F178" s="1067">
        <v>5</v>
      </c>
      <c r="G178" s="1066">
        <v>1</v>
      </c>
      <c r="H178" s="1070">
        <v>1</v>
      </c>
      <c r="I178" s="1070"/>
      <c r="J178" s="1070"/>
      <c r="K178" s="1070"/>
      <c r="L178" s="1072"/>
      <c r="M178" s="1070"/>
      <c r="N178" s="1070"/>
      <c r="O178" s="1070"/>
      <c r="P178" s="1073"/>
      <c r="Q178" s="1070"/>
      <c r="R178" s="1070"/>
      <c r="S178" s="1070"/>
      <c r="T178" s="1070"/>
      <c r="U178" s="1070"/>
      <c r="V178" s="1066">
        <v>220</v>
      </c>
      <c r="W178" s="1070">
        <v>20</v>
      </c>
      <c r="X178" s="1070">
        <v>15</v>
      </c>
      <c r="Y178" s="1070">
        <v>70</v>
      </c>
      <c r="Z178" s="1070"/>
      <c r="AA178" s="1070">
        <v>30</v>
      </c>
      <c r="AB178" s="1070">
        <v>735</v>
      </c>
      <c r="AC178" s="1070">
        <v>2100</v>
      </c>
      <c r="AD178" s="1070"/>
      <c r="AE178" s="1070">
        <v>630</v>
      </c>
      <c r="AF178" s="1070">
        <v>36</v>
      </c>
      <c r="AG178" s="1070">
        <v>26</v>
      </c>
      <c r="AH178" s="1073">
        <v>11</v>
      </c>
      <c r="AI178" s="1070"/>
      <c r="AJ178" s="1070"/>
      <c r="AK178" s="1070"/>
      <c r="AL178" s="1082"/>
      <c r="AM178" s="1069"/>
      <c r="AN178" s="1070"/>
      <c r="AO178" s="1070"/>
      <c r="AP178" s="1070"/>
      <c r="AQ178" s="1070"/>
      <c r="AR178" s="1069"/>
      <c r="AS178" s="1282"/>
      <c r="AT178" s="1282"/>
      <c r="AU178" s="1069"/>
      <c r="AV178" s="1069"/>
      <c r="AW178" s="1069"/>
      <c r="AX178" s="1070"/>
      <c r="AY178" s="1070"/>
      <c r="AZ178" s="1078">
        <f t="shared" si="107"/>
        <v>1</v>
      </c>
      <c r="BA178" s="59">
        <v>174</v>
      </c>
      <c r="BB178" s="59">
        <f t="shared" si="108"/>
        <v>174</v>
      </c>
      <c r="BC178" s="60" t="str">
        <f t="shared" si="109"/>
        <v>Nucleo Mineral Confbeef M</v>
      </c>
      <c r="BD178" s="61" t="str">
        <f ca="1">IFERROR(IF(SEARCH('Calcular Dieta'!A$3,$BC$5:$BC$310)&gt;=1,BC178,"Não encontrado"),"Não encontrado")</f>
        <v>Nucleo Mineral Confbeef M</v>
      </c>
      <c r="BE178" s="62">
        <f ca="1">COUNTIF(BD$5:BD178,"&lt;&gt;"&amp;"Não encontrado")</f>
        <v>174</v>
      </c>
      <c r="BF178" s="63" t="str">
        <f t="shared" ca="1" si="110"/>
        <v>NUCLEO MINERAL CONFBEEF M</v>
      </c>
      <c r="BG178" s="744" t="str">
        <f t="shared" si="111"/>
        <v/>
      </c>
      <c r="BH178" s="744" t="str">
        <f t="shared" si="112"/>
        <v/>
      </c>
      <c r="BI178" s="744" t="str">
        <f t="shared" si="113"/>
        <v/>
      </c>
      <c r="BJ178" s="744" t="str">
        <f t="shared" si="114"/>
        <v/>
      </c>
      <c r="BK178" s="744" t="str">
        <f t="shared" si="115"/>
        <v/>
      </c>
      <c r="BL178" s="744" t="str">
        <f t="shared" si="116"/>
        <v/>
      </c>
      <c r="BM178" s="744" t="str">
        <f t="shared" si="117"/>
        <v/>
      </c>
      <c r="BN178" s="744" t="str">
        <f t="shared" si="118"/>
        <v/>
      </c>
      <c r="BO178" s="744" t="str">
        <f t="shared" si="119"/>
        <v/>
      </c>
      <c r="BP178" s="744" t="str">
        <f t="shared" si="120"/>
        <v/>
      </c>
      <c r="BQ178" s="744" t="str">
        <f t="shared" si="121"/>
        <v/>
      </c>
      <c r="BR178" s="744" t="str">
        <f t="shared" si="122"/>
        <v/>
      </c>
      <c r="BS178" s="744" t="str">
        <f t="shared" si="123"/>
        <v/>
      </c>
      <c r="BT178" s="744">
        <f t="shared" si="124"/>
        <v>220.00017800000001</v>
      </c>
      <c r="BU178" s="744">
        <f t="shared" si="125"/>
        <v>20.000177999999998</v>
      </c>
      <c r="BV178" s="744">
        <f t="shared" si="126"/>
        <v>15.000178</v>
      </c>
      <c r="BW178" s="744">
        <f t="shared" si="127"/>
        <v>70.000178000000005</v>
      </c>
      <c r="BX178" s="744" t="str">
        <f t="shared" si="128"/>
        <v/>
      </c>
      <c r="BY178" s="744">
        <f t="shared" si="129"/>
        <v>30.000177999999998</v>
      </c>
      <c r="BZ178" s="744">
        <f t="shared" si="130"/>
        <v>735.00017800000001</v>
      </c>
      <c r="CA178" s="744">
        <f t="shared" si="131"/>
        <v>2100.0001779999998</v>
      </c>
      <c r="CB178" s="744" t="str">
        <f t="shared" si="132"/>
        <v/>
      </c>
      <c r="CC178" s="744">
        <f t="shared" si="133"/>
        <v>630.00017800000001</v>
      </c>
      <c r="CD178" s="744">
        <f t="shared" si="134"/>
        <v>36.000177999999998</v>
      </c>
      <c r="CE178" s="744">
        <f t="shared" si="135"/>
        <v>26.000177999999998</v>
      </c>
      <c r="CF178" s="744">
        <f t="shared" si="136"/>
        <v>11.000178</v>
      </c>
      <c r="CG178" s="744" t="str">
        <f t="shared" si="137"/>
        <v/>
      </c>
      <c r="CH178" s="744" t="str">
        <f t="shared" si="138"/>
        <v/>
      </c>
      <c r="CI178" s="744" t="str">
        <f t="shared" si="139"/>
        <v/>
      </c>
      <c r="CJ178" s="744" t="str">
        <f t="shared" si="140"/>
        <v/>
      </c>
      <c r="CK178" s="744" t="str">
        <f t="shared" si="141"/>
        <v/>
      </c>
      <c r="CL178" s="744" t="str">
        <f t="shared" si="142"/>
        <v/>
      </c>
      <c r="CM178" s="744" t="str">
        <f t="shared" si="143"/>
        <v/>
      </c>
      <c r="CN178" s="744" t="str">
        <f t="shared" si="144"/>
        <v/>
      </c>
      <c r="CO178" s="744" t="str">
        <f t="shared" si="145"/>
        <v/>
      </c>
      <c r="CP178" s="744" t="str">
        <f t="shared" si="146"/>
        <v/>
      </c>
      <c r="CQ178" s="744" t="str">
        <f t="shared" si="147"/>
        <v/>
      </c>
      <c r="CR178" s="744" t="str">
        <f t="shared" si="148"/>
        <v/>
      </c>
      <c r="CS178" s="744" t="str">
        <f t="shared" si="149"/>
        <v/>
      </c>
      <c r="CT178" s="744" t="str">
        <f t="shared" si="150"/>
        <v/>
      </c>
      <c r="CU178" s="744" t="str">
        <f t="shared" si="151"/>
        <v/>
      </c>
      <c r="CV178" s="744" t="str">
        <f t="shared" si="152"/>
        <v/>
      </c>
      <c r="CW178" s="744" t="str">
        <f t="shared" si="153"/>
        <v/>
      </c>
      <c r="CX178" s="744">
        <f t="shared" si="154"/>
        <v>1.000178</v>
      </c>
    </row>
    <row r="179" spans="1:102">
      <c r="A179" s="633">
        <v>176</v>
      </c>
      <c r="B179" s="630" t="s">
        <v>4</v>
      </c>
      <c r="C179" s="631" t="s">
        <v>251</v>
      </c>
      <c r="D179" s="630" t="s">
        <v>1390</v>
      </c>
      <c r="E179" s="632" t="s">
        <v>691</v>
      </c>
      <c r="F179" s="1067">
        <v>5</v>
      </c>
      <c r="G179" s="1066">
        <v>1</v>
      </c>
      <c r="H179" s="1070">
        <v>1</v>
      </c>
      <c r="I179" s="1070"/>
      <c r="J179" s="1070"/>
      <c r="K179" s="1070"/>
      <c r="L179" s="1072"/>
      <c r="M179" s="1070"/>
      <c r="N179" s="1070"/>
      <c r="O179" s="1070"/>
      <c r="P179" s="1073"/>
      <c r="Q179" s="1070"/>
      <c r="R179" s="1070"/>
      <c r="S179" s="1070"/>
      <c r="T179" s="1070"/>
      <c r="U179" s="1070"/>
      <c r="V179" s="1066">
        <v>190</v>
      </c>
      <c r="W179" s="1070">
        <v>60</v>
      </c>
      <c r="X179" s="1070">
        <v>20</v>
      </c>
      <c r="Y179" s="1070">
        <v>70</v>
      </c>
      <c r="Z179" s="1070">
        <v>35</v>
      </c>
      <c r="AA179" s="1070">
        <v>20</v>
      </c>
      <c r="AB179" s="1070">
        <v>700</v>
      </c>
      <c r="AC179" s="1070">
        <v>2500</v>
      </c>
      <c r="AD179" s="1070"/>
      <c r="AE179" s="1070">
        <v>1600</v>
      </c>
      <c r="AF179" s="1070">
        <v>40</v>
      </c>
      <c r="AG179" s="1070">
        <v>15</v>
      </c>
      <c r="AH179" s="1073">
        <v>19</v>
      </c>
      <c r="AI179" s="1070"/>
      <c r="AJ179" s="1070"/>
      <c r="AK179" s="1070"/>
      <c r="AL179" s="1082"/>
      <c r="AM179" s="1069"/>
      <c r="AN179" s="1070"/>
      <c r="AO179" s="1070"/>
      <c r="AP179" s="1070"/>
      <c r="AQ179" s="1070"/>
      <c r="AR179" s="1069"/>
      <c r="AS179" s="1282"/>
      <c r="AT179" s="1282"/>
      <c r="AU179" s="1069"/>
      <c r="AV179" s="1069"/>
      <c r="AW179" s="1069"/>
      <c r="AX179" s="1070"/>
      <c r="AY179" s="1070"/>
      <c r="AZ179" s="1078">
        <f t="shared" si="107"/>
        <v>1</v>
      </c>
      <c r="BA179" s="59">
        <v>175</v>
      </c>
      <c r="BB179" s="59">
        <f t="shared" si="108"/>
        <v>175</v>
      </c>
      <c r="BC179" s="60" t="str">
        <f t="shared" si="109"/>
        <v>Nucleo Novo Bovigold Tortuga</v>
      </c>
      <c r="BD179" s="61" t="str">
        <f ca="1">IFERROR(IF(SEARCH('Calcular Dieta'!A$3,$BC$5:$BC$310)&gt;=1,BC179,"Não encontrado"),"Não encontrado")</f>
        <v>Nucleo Novo Bovigold Tortuga</v>
      </c>
      <c r="BE179" s="62">
        <f ca="1">COUNTIF(BD$5:BD179,"&lt;&gt;"&amp;"Não encontrado")</f>
        <v>175</v>
      </c>
      <c r="BF179" s="63" t="str">
        <f t="shared" ca="1" si="110"/>
        <v>NUCLEO NOVO BOVIGOLD TORTUGA</v>
      </c>
      <c r="BG179" s="744" t="str">
        <f t="shared" si="111"/>
        <v/>
      </c>
      <c r="BH179" s="744" t="str">
        <f t="shared" si="112"/>
        <v/>
      </c>
      <c r="BI179" s="744" t="str">
        <f t="shared" si="113"/>
        <v/>
      </c>
      <c r="BJ179" s="744" t="str">
        <f t="shared" si="114"/>
        <v/>
      </c>
      <c r="BK179" s="744" t="str">
        <f t="shared" si="115"/>
        <v/>
      </c>
      <c r="BL179" s="744" t="str">
        <f t="shared" si="116"/>
        <v/>
      </c>
      <c r="BM179" s="744" t="str">
        <f t="shared" si="117"/>
        <v/>
      </c>
      <c r="BN179" s="744" t="str">
        <f t="shared" si="118"/>
        <v/>
      </c>
      <c r="BO179" s="744" t="str">
        <f t="shared" si="119"/>
        <v/>
      </c>
      <c r="BP179" s="744" t="str">
        <f t="shared" si="120"/>
        <v/>
      </c>
      <c r="BQ179" s="744" t="str">
        <f t="shared" si="121"/>
        <v/>
      </c>
      <c r="BR179" s="744" t="str">
        <f t="shared" si="122"/>
        <v/>
      </c>
      <c r="BS179" s="744" t="str">
        <f t="shared" si="123"/>
        <v/>
      </c>
      <c r="BT179" s="744">
        <f t="shared" si="124"/>
        <v>190.000179</v>
      </c>
      <c r="BU179" s="744">
        <f t="shared" si="125"/>
        <v>60.000179000000003</v>
      </c>
      <c r="BV179" s="744">
        <f t="shared" si="126"/>
        <v>20.000178999999999</v>
      </c>
      <c r="BW179" s="744">
        <f t="shared" si="127"/>
        <v>70.000179000000003</v>
      </c>
      <c r="BX179" s="744">
        <f t="shared" si="128"/>
        <v>35.000179000000003</v>
      </c>
      <c r="BY179" s="744">
        <f t="shared" si="129"/>
        <v>20.000178999999999</v>
      </c>
      <c r="BZ179" s="744">
        <f t="shared" si="130"/>
        <v>700.000179</v>
      </c>
      <c r="CA179" s="744">
        <f t="shared" si="131"/>
        <v>2500.0001790000001</v>
      </c>
      <c r="CB179" s="744" t="str">
        <f t="shared" si="132"/>
        <v/>
      </c>
      <c r="CC179" s="744">
        <f t="shared" si="133"/>
        <v>1600.0001789999999</v>
      </c>
      <c r="CD179" s="744">
        <f t="shared" si="134"/>
        <v>40.000179000000003</v>
      </c>
      <c r="CE179" s="744">
        <f t="shared" si="135"/>
        <v>15.000178999999999</v>
      </c>
      <c r="CF179" s="744">
        <f t="shared" si="136"/>
        <v>19.000178999999999</v>
      </c>
      <c r="CG179" s="744" t="str">
        <f t="shared" si="137"/>
        <v/>
      </c>
      <c r="CH179" s="744" t="str">
        <f t="shared" si="138"/>
        <v/>
      </c>
      <c r="CI179" s="744" t="str">
        <f t="shared" si="139"/>
        <v/>
      </c>
      <c r="CJ179" s="744" t="str">
        <f t="shared" si="140"/>
        <v/>
      </c>
      <c r="CK179" s="744" t="str">
        <f t="shared" si="141"/>
        <v/>
      </c>
      <c r="CL179" s="744" t="str">
        <f t="shared" si="142"/>
        <v/>
      </c>
      <c r="CM179" s="744" t="str">
        <f t="shared" si="143"/>
        <v/>
      </c>
      <c r="CN179" s="744" t="str">
        <f t="shared" si="144"/>
        <v/>
      </c>
      <c r="CO179" s="744" t="str">
        <f t="shared" si="145"/>
        <v/>
      </c>
      <c r="CP179" s="744" t="str">
        <f t="shared" si="146"/>
        <v/>
      </c>
      <c r="CQ179" s="744" t="str">
        <f t="shared" si="147"/>
        <v/>
      </c>
      <c r="CR179" s="744" t="str">
        <f t="shared" si="148"/>
        <v/>
      </c>
      <c r="CS179" s="744" t="str">
        <f t="shared" si="149"/>
        <v/>
      </c>
      <c r="CT179" s="744" t="str">
        <f t="shared" si="150"/>
        <v/>
      </c>
      <c r="CU179" s="744" t="str">
        <f t="shared" si="151"/>
        <v/>
      </c>
      <c r="CV179" s="744" t="str">
        <f t="shared" si="152"/>
        <v/>
      </c>
      <c r="CW179" s="744" t="str">
        <f t="shared" si="153"/>
        <v/>
      </c>
      <c r="CX179" s="744">
        <f t="shared" si="154"/>
        <v>1.0001789999999999</v>
      </c>
    </row>
    <row r="180" spans="1:102">
      <c r="A180" s="630">
        <v>177</v>
      </c>
      <c r="B180" s="630" t="s">
        <v>4</v>
      </c>
      <c r="C180" s="631" t="s">
        <v>251</v>
      </c>
      <c r="D180" s="630" t="s">
        <v>1390</v>
      </c>
      <c r="E180" s="632" t="s">
        <v>693</v>
      </c>
      <c r="F180" s="1067">
        <v>5</v>
      </c>
      <c r="G180" s="1066">
        <v>1</v>
      </c>
      <c r="H180" s="1070">
        <v>0.99</v>
      </c>
      <c r="I180" s="1070"/>
      <c r="J180" s="1070"/>
      <c r="K180" s="1070"/>
      <c r="L180" s="1072"/>
      <c r="M180" s="1070"/>
      <c r="N180" s="1070"/>
      <c r="O180" s="1070"/>
      <c r="P180" s="1073"/>
      <c r="Q180" s="1070"/>
      <c r="R180" s="1070"/>
      <c r="S180" s="1070"/>
      <c r="T180" s="1070"/>
      <c r="U180" s="1070"/>
      <c r="V180" s="1066">
        <v>148.5</v>
      </c>
      <c r="W180" s="1070">
        <v>74.25</v>
      </c>
      <c r="X180" s="1070">
        <v>14.849999999999998</v>
      </c>
      <c r="Y180" s="1070">
        <v>133.65</v>
      </c>
      <c r="Z180" s="1070"/>
      <c r="AA180" s="1070">
        <v>198</v>
      </c>
      <c r="AB180" s="1070">
        <v>1300</v>
      </c>
      <c r="AC180" s="1070">
        <v>4000</v>
      </c>
      <c r="AD180" s="1070"/>
      <c r="AE180" s="1070">
        <v>1800</v>
      </c>
      <c r="AF180" s="1070">
        <v>130</v>
      </c>
      <c r="AG180" s="1070">
        <v>150</v>
      </c>
      <c r="AH180" s="1073">
        <v>20</v>
      </c>
      <c r="AI180" s="1070"/>
      <c r="AJ180" s="1070"/>
      <c r="AK180" s="1070"/>
      <c r="AL180" s="1082"/>
      <c r="AM180" s="1069"/>
      <c r="AN180" s="1070"/>
      <c r="AO180" s="1070"/>
      <c r="AP180" s="1070"/>
      <c r="AQ180" s="1070"/>
      <c r="AR180" s="1069"/>
      <c r="AS180" s="1282"/>
      <c r="AT180" s="1282"/>
      <c r="AU180" s="1069"/>
      <c r="AV180" s="1069"/>
      <c r="AW180" s="1069"/>
      <c r="AX180" s="1070"/>
      <c r="AY180" s="1070"/>
      <c r="AZ180" s="1078">
        <f t="shared" si="107"/>
        <v>0.99</v>
      </c>
      <c r="BA180" s="59">
        <v>176</v>
      </c>
      <c r="BB180" s="59">
        <f t="shared" si="108"/>
        <v>176</v>
      </c>
      <c r="BC180" s="60" t="str">
        <f t="shared" si="109"/>
        <v>Nucleo Nutribel 75</v>
      </c>
      <c r="BD180" s="61" t="str">
        <f ca="1">IFERROR(IF(SEARCH('Calcular Dieta'!A$3,$BC$5:$BC$310)&gt;=1,BC180,"Não encontrado"),"Não encontrado")</f>
        <v>Nucleo Nutribel 75</v>
      </c>
      <c r="BE180" s="62">
        <f ca="1">COUNTIF(BD$5:BD180,"&lt;&gt;"&amp;"Não encontrado")</f>
        <v>176</v>
      </c>
      <c r="BF180" s="63" t="str">
        <f t="shared" ca="1" si="110"/>
        <v>NUCLEO NUTRIBEL 75</v>
      </c>
      <c r="BG180" s="744" t="str">
        <f t="shared" si="111"/>
        <v/>
      </c>
      <c r="BH180" s="744" t="str">
        <f t="shared" si="112"/>
        <v/>
      </c>
      <c r="BI180" s="744" t="str">
        <f t="shared" si="113"/>
        <v/>
      </c>
      <c r="BJ180" s="744" t="str">
        <f t="shared" si="114"/>
        <v/>
      </c>
      <c r="BK180" s="744" t="str">
        <f t="shared" si="115"/>
        <v/>
      </c>
      <c r="BL180" s="744" t="str">
        <f t="shared" si="116"/>
        <v/>
      </c>
      <c r="BM180" s="744" t="str">
        <f t="shared" si="117"/>
        <v/>
      </c>
      <c r="BN180" s="744" t="str">
        <f t="shared" si="118"/>
        <v/>
      </c>
      <c r="BO180" s="744" t="str">
        <f t="shared" si="119"/>
        <v/>
      </c>
      <c r="BP180" s="744" t="str">
        <f t="shared" si="120"/>
        <v/>
      </c>
      <c r="BQ180" s="744" t="str">
        <f t="shared" si="121"/>
        <v/>
      </c>
      <c r="BR180" s="744" t="str">
        <f t="shared" si="122"/>
        <v/>
      </c>
      <c r="BS180" s="744" t="str">
        <f t="shared" si="123"/>
        <v/>
      </c>
      <c r="BT180" s="744">
        <f t="shared" si="124"/>
        <v>148.50018</v>
      </c>
      <c r="BU180" s="744">
        <f t="shared" si="125"/>
        <v>74.25018</v>
      </c>
      <c r="BV180" s="744">
        <f t="shared" si="126"/>
        <v>14.850179999999998</v>
      </c>
      <c r="BW180" s="744">
        <f t="shared" si="127"/>
        <v>133.65018000000001</v>
      </c>
      <c r="BX180" s="744" t="str">
        <f t="shared" si="128"/>
        <v/>
      </c>
      <c r="BY180" s="744">
        <f t="shared" si="129"/>
        <v>198.00018</v>
      </c>
      <c r="BZ180" s="744">
        <f t="shared" si="130"/>
        <v>1300.00018</v>
      </c>
      <c r="CA180" s="744">
        <f t="shared" si="131"/>
        <v>4000.00018</v>
      </c>
      <c r="CB180" s="744" t="str">
        <f t="shared" si="132"/>
        <v/>
      </c>
      <c r="CC180" s="744">
        <f t="shared" si="133"/>
        <v>1800.00018</v>
      </c>
      <c r="CD180" s="744">
        <f t="shared" si="134"/>
        <v>130.00018</v>
      </c>
      <c r="CE180" s="744">
        <f t="shared" si="135"/>
        <v>150.00018</v>
      </c>
      <c r="CF180" s="744">
        <f t="shared" si="136"/>
        <v>20.00018</v>
      </c>
      <c r="CG180" s="744" t="str">
        <f t="shared" si="137"/>
        <v/>
      </c>
      <c r="CH180" s="744" t="str">
        <f t="shared" si="138"/>
        <v/>
      </c>
      <c r="CI180" s="744" t="str">
        <f t="shared" si="139"/>
        <v/>
      </c>
      <c r="CJ180" s="744" t="str">
        <f t="shared" si="140"/>
        <v/>
      </c>
      <c r="CK180" s="744" t="str">
        <f t="shared" si="141"/>
        <v/>
      </c>
      <c r="CL180" s="744" t="str">
        <f t="shared" si="142"/>
        <v/>
      </c>
      <c r="CM180" s="744" t="str">
        <f t="shared" si="143"/>
        <v/>
      </c>
      <c r="CN180" s="744" t="str">
        <f t="shared" si="144"/>
        <v/>
      </c>
      <c r="CO180" s="744" t="str">
        <f t="shared" si="145"/>
        <v/>
      </c>
      <c r="CP180" s="744" t="str">
        <f t="shared" si="146"/>
        <v/>
      </c>
      <c r="CQ180" s="744" t="str">
        <f t="shared" si="147"/>
        <v/>
      </c>
      <c r="CR180" s="744" t="str">
        <f t="shared" si="148"/>
        <v/>
      </c>
      <c r="CS180" s="744" t="str">
        <f t="shared" si="149"/>
        <v/>
      </c>
      <c r="CT180" s="744" t="str">
        <f t="shared" si="150"/>
        <v/>
      </c>
      <c r="CU180" s="744" t="str">
        <f t="shared" si="151"/>
        <v/>
      </c>
      <c r="CV180" s="744" t="str">
        <f t="shared" si="152"/>
        <v/>
      </c>
      <c r="CW180" s="744" t="str">
        <f t="shared" si="153"/>
        <v/>
      </c>
      <c r="CX180" s="744">
        <f t="shared" si="154"/>
        <v>0.99017999999999995</v>
      </c>
    </row>
    <row r="181" spans="1:102">
      <c r="A181" s="633">
        <v>178</v>
      </c>
      <c r="B181" s="630" t="s">
        <v>4</v>
      </c>
      <c r="C181" s="631" t="s">
        <v>251</v>
      </c>
      <c r="D181" s="630" t="s">
        <v>442</v>
      </c>
      <c r="E181" s="632" t="s">
        <v>683</v>
      </c>
      <c r="F181" s="1067">
        <v>5.6</v>
      </c>
      <c r="G181" s="1066">
        <v>1</v>
      </c>
      <c r="H181" s="1070">
        <v>1</v>
      </c>
      <c r="I181" s="1070"/>
      <c r="J181" s="1070"/>
      <c r="K181" s="1070"/>
      <c r="L181" s="1072">
        <v>0.52</v>
      </c>
      <c r="M181" s="1070"/>
      <c r="N181" s="1070"/>
      <c r="O181" s="1070"/>
      <c r="P181" s="1073"/>
      <c r="Q181" s="1070">
        <v>410</v>
      </c>
      <c r="R181" s="1070"/>
      <c r="S181" s="1070"/>
      <c r="T181" s="1070"/>
      <c r="U181" s="1070">
        <v>200</v>
      </c>
      <c r="V181" s="1066">
        <v>45</v>
      </c>
      <c r="W181" s="1070">
        <v>16</v>
      </c>
      <c r="X181" s="1070">
        <v>4</v>
      </c>
      <c r="Y181" s="1070">
        <v>8</v>
      </c>
      <c r="Z181" s="1070">
        <v>6</v>
      </c>
      <c r="AA181" s="1070">
        <v>7</v>
      </c>
      <c r="AB181" s="1070">
        <v>160</v>
      </c>
      <c r="AC181" s="1070">
        <v>520</v>
      </c>
      <c r="AD181" s="1070">
        <v>50</v>
      </c>
      <c r="AE181" s="1070">
        <v>150</v>
      </c>
      <c r="AF181" s="1070">
        <v>12</v>
      </c>
      <c r="AG181" s="1070">
        <v>18</v>
      </c>
      <c r="AH181" s="1073">
        <v>1.9</v>
      </c>
      <c r="AI181" s="1070"/>
      <c r="AJ181" s="1070"/>
      <c r="AK181" s="1070"/>
      <c r="AL181" s="1082"/>
      <c r="AM181" s="1069"/>
      <c r="AN181" s="1070"/>
      <c r="AO181" s="1070"/>
      <c r="AP181" s="1070"/>
      <c r="AQ181" s="1070"/>
      <c r="AR181" s="1069"/>
      <c r="AS181" s="1282"/>
      <c r="AT181" s="1282"/>
      <c r="AU181" s="1069"/>
      <c r="AV181" s="1069"/>
      <c r="AW181" s="1069"/>
      <c r="AX181" s="1070"/>
      <c r="AY181" s="1070"/>
      <c r="AZ181" s="1078">
        <f t="shared" si="107"/>
        <v>1</v>
      </c>
      <c r="BA181" s="59">
        <v>177</v>
      </c>
      <c r="BB181" s="59">
        <f t="shared" si="108"/>
        <v>177</v>
      </c>
      <c r="BC181" s="60" t="str">
        <f t="shared" si="109"/>
        <v>Nucleo Nutromax Leite</v>
      </c>
      <c r="BD181" s="61" t="str">
        <f ca="1">IFERROR(IF(SEARCH('Calcular Dieta'!A$3,$BC$5:$BC$310)&gt;=1,BC181,"Não encontrado"),"Não encontrado")</f>
        <v>Nucleo Nutromax Leite</v>
      </c>
      <c r="BE181" s="62">
        <f ca="1">COUNTIF(BD$5:BD181,"&lt;&gt;"&amp;"Não encontrado")</f>
        <v>177</v>
      </c>
      <c r="BF181" s="63" t="str">
        <f t="shared" ca="1" si="110"/>
        <v>NUCLEO NUTROMAX LEITE</v>
      </c>
      <c r="BG181" s="744" t="str">
        <f t="shared" si="111"/>
        <v/>
      </c>
      <c r="BH181" s="744" t="str">
        <f t="shared" si="112"/>
        <v/>
      </c>
      <c r="BI181" s="744" t="str">
        <f t="shared" si="113"/>
        <v/>
      </c>
      <c r="BJ181" s="744">
        <f t="shared" si="114"/>
        <v>0.520181</v>
      </c>
      <c r="BK181" s="744" t="str">
        <f t="shared" si="115"/>
        <v/>
      </c>
      <c r="BL181" s="744" t="str">
        <f t="shared" si="116"/>
        <v/>
      </c>
      <c r="BM181" s="744" t="str">
        <f t="shared" si="117"/>
        <v/>
      </c>
      <c r="BN181" s="744" t="str">
        <f t="shared" si="118"/>
        <v/>
      </c>
      <c r="BO181" s="744">
        <f t="shared" si="119"/>
        <v>410.000181</v>
      </c>
      <c r="BP181" s="744" t="str">
        <f t="shared" si="120"/>
        <v/>
      </c>
      <c r="BQ181" s="744" t="str">
        <f t="shared" si="121"/>
        <v/>
      </c>
      <c r="BR181" s="744" t="str">
        <f t="shared" si="122"/>
        <v/>
      </c>
      <c r="BS181" s="744">
        <f t="shared" si="123"/>
        <v>200.000181</v>
      </c>
      <c r="BT181" s="744">
        <f t="shared" si="124"/>
        <v>45.000180999999998</v>
      </c>
      <c r="BU181" s="744">
        <f t="shared" si="125"/>
        <v>16.000181000000001</v>
      </c>
      <c r="BV181" s="744">
        <f t="shared" si="126"/>
        <v>4.0001810000000004</v>
      </c>
      <c r="BW181" s="744">
        <f t="shared" si="127"/>
        <v>8.0001809999999995</v>
      </c>
      <c r="BX181" s="744">
        <f t="shared" si="128"/>
        <v>6.0001810000000004</v>
      </c>
      <c r="BY181" s="744">
        <f t="shared" si="129"/>
        <v>7.0001810000000004</v>
      </c>
      <c r="BZ181" s="744">
        <f t="shared" si="130"/>
        <v>160.000181</v>
      </c>
      <c r="CA181" s="744">
        <f t="shared" si="131"/>
        <v>520.000181</v>
      </c>
      <c r="CB181" s="744">
        <f t="shared" si="132"/>
        <v>50.000180999999998</v>
      </c>
      <c r="CC181" s="744">
        <f t="shared" si="133"/>
        <v>150.000181</v>
      </c>
      <c r="CD181" s="744">
        <f t="shared" si="134"/>
        <v>12.000181</v>
      </c>
      <c r="CE181" s="744">
        <f t="shared" si="135"/>
        <v>18.000181000000001</v>
      </c>
      <c r="CF181" s="744">
        <f t="shared" si="136"/>
        <v>1.9001809999999999</v>
      </c>
      <c r="CG181" s="744" t="str">
        <f t="shared" si="137"/>
        <v/>
      </c>
      <c r="CH181" s="744" t="str">
        <f t="shared" si="138"/>
        <v/>
      </c>
      <c r="CI181" s="744" t="str">
        <f t="shared" si="139"/>
        <v/>
      </c>
      <c r="CJ181" s="744" t="str">
        <f t="shared" si="140"/>
        <v/>
      </c>
      <c r="CK181" s="744" t="str">
        <f t="shared" si="141"/>
        <v/>
      </c>
      <c r="CL181" s="744" t="str">
        <f t="shared" si="142"/>
        <v/>
      </c>
      <c r="CM181" s="744" t="str">
        <f t="shared" si="143"/>
        <v/>
      </c>
      <c r="CN181" s="744" t="str">
        <f t="shared" si="144"/>
        <v/>
      </c>
      <c r="CO181" s="744" t="str">
        <f t="shared" si="145"/>
        <v/>
      </c>
      <c r="CP181" s="744" t="str">
        <f t="shared" si="146"/>
        <v/>
      </c>
      <c r="CQ181" s="744" t="str">
        <f t="shared" si="147"/>
        <v/>
      </c>
      <c r="CR181" s="744" t="str">
        <f t="shared" si="148"/>
        <v/>
      </c>
      <c r="CS181" s="744" t="str">
        <f t="shared" si="149"/>
        <v/>
      </c>
      <c r="CT181" s="744" t="str">
        <f t="shared" si="150"/>
        <v/>
      </c>
      <c r="CU181" s="744" t="str">
        <f t="shared" si="151"/>
        <v/>
      </c>
      <c r="CV181" s="744" t="str">
        <f t="shared" si="152"/>
        <v/>
      </c>
      <c r="CW181" s="744" t="str">
        <f t="shared" si="153"/>
        <v/>
      </c>
      <c r="CX181" s="744">
        <f t="shared" si="154"/>
        <v>1.000181</v>
      </c>
    </row>
    <row r="182" spans="1:102">
      <c r="A182" s="630">
        <v>179</v>
      </c>
      <c r="B182" s="630" t="s">
        <v>4</v>
      </c>
      <c r="C182" s="631" t="s">
        <v>251</v>
      </c>
      <c r="D182" s="630" t="s">
        <v>1390</v>
      </c>
      <c r="E182" s="632" t="s">
        <v>694</v>
      </c>
      <c r="F182" s="1067">
        <v>5</v>
      </c>
      <c r="G182" s="1066">
        <v>1</v>
      </c>
      <c r="H182" s="1070">
        <v>1</v>
      </c>
      <c r="I182" s="1070"/>
      <c r="J182" s="1070"/>
      <c r="K182" s="1070"/>
      <c r="L182" s="1072"/>
      <c r="M182" s="1070"/>
      <c r="N182" s="1070"/>
      <c r="O182" s="1070"/>
      <c r="P182" s="1073"/>
      <c r="Q182" s="1070"/>
      <c r="R182" s="1070"/>
      <c r="S182" s="1070"/>
      <c r="T182" s="1070"/>
      <c r="U182" s="1070"/>
      <c r="V182" s="1066">
        <v>210</v>
      </c>
      <c r="W182" s="1070">
        <v>18.000000000000004</v>
      </c>
      <c r="X182" s="1070">
        <v>17</v>
      </c>
      <c r="Y182" s="1070">
        <v>55.999999999999993</v>
      </c>
      <c r="Z182" s="1070"/>
      <c r="AA182" s="1070">
        <v>220</v>
      </c>
      <c r="AB182" s="1070">
        <v>500</v>
      </c>
      <c r="AC182" s="1070">
        <v>2000</v>
      </c>
      <c r="AD182" s="1070"/>
      <c r="AE182" s="1070">
        <v>1500</v>
      </c>
      <c r="AF182" s="1070">
        <v>25</v>
      </c>
      <c r="AG182" s="1070">
        <v>10</v>
      </c>
      <c r="AH182" s="1073">
        <v>6.7</v>
      </c>
      <c r="AI182" s="1070"/>
      <c r="AJ182" s="1070"/>
      <c r="AK182" s="1070"/>
      <c r="AL182" s="1082"/>
      <c r="AM182" s="1069"/>
      <c r="AN182" s="1070"/>
      <c r="AO182" s="1070"/>
      <c r="AP182" s="1070"/>
      <c r="AQ182" s="1070"/>
      <c r="AR182" s="1069"/>
      <c r="AS182" s="1282"/>
      <c r="AT182" s="1282"/>
      <c r="AU182" s="1069"/>
      <c r="AV182" s="1069"/>
      <c r="AW182" s="1069"/>
      <c r="AX182" s="1070"/>
      <c r="AY182" s="1070"/>
      <c r="AZ182" s="1078">
        <f t="shared" si="107"/>
        <v>1</v>
      </c>
      <c r="BA182" s="59">
        <v>178</v>
      </c>
      <c r="BB182" s="59">
        <f t="shared" si="108"/>
        <v>178</v>
      </c>
      <c r="BC182" s="60" t="str">
        <f t="shared" si="109"/>
        <v>Nucleo Nutronbeef Performa</v>
      </c>
      <c r="BD182" s="61" t="str">
        <f ca="1">IFERROR(IF(SEARCH('Calcular Dieta'!A$3,$BC$5:$BC$310)&gt;=1,BC182,"Não encontrado"),"Não encontrado")</f>
        <v>Nucleo Nutronbeef Performa</v>
      </c>
      <c r="BE182" s="62">
        <f ca="1">COUNTIF(BD$5:BD182,"&lt;&gt;"&amp;"Não encontrado")</f>
        <v>178</v>
      </c>
      <c r="BF182" s="63" t="str">
        <f t="shared" ca="1" si="110"/>
        <v>NUCLEO NUTRONBEEF PERFORMA</v>
      </c>
      <c r="BG182" s="744" t="str">
        <f t="shared" si="111"/>
        <v/>
      </c>
      <c r="BH182" s="744" t="str">
        <f t="shared" si="112"/>
        <v/>
      </c>
      <c r="BI182" s="744" t="str">
        <f t="shared" si="113"/>
        <v/>
      </c>
      <c r="BJ182" s="744" t="str">
        <f t="shared" si="114"/>
        <v/>
      </c>
      <c r="BK182" s="744" t="str">
        <f t="shared" si="115"/>
        <v/>
      </c>
      <c r="BL182" s="744" t="str">
        <f t="shared" si="116"/>
        <v/>
      </c>
      <c r="BM182" s="744" t="str">
        <f t="shared" si="117"/>
        <v/>
      </c>
      <c r="BN182" s="744" t="str">
        <f t="shared" si="118"/>
        <v/>
      </c>
      <c r="BO182" s="744" t="str">
        <f t="shared" si="119"/>
        <v/>
      </c>
      <c r="BP182" s="744" t="str">
        <f t="shared" si="120"/>
        <v/>
      </c>
      <c r="BQ182" s="744" t="str">
        <f t="shared" si="121"/>
        <v/>
      </c>
      <c r="BR182" s="744" t="str">
        <f t="shared" si="122"/>
        <v/>
      </c>
      <c r="BS182" s="744" t="str">
        <f t="shared" si="123"/>
        <v/>
      </c>
      <c r="BT182" s="744">
        <f t="shared" si="124"/>
        <v>210.000182</v>
      </c>
      <c r="BU182" s="744">
        <f t="shared" si="125"/>
        <v>18.000182000000002</v>
      </c>
      <c r="BV182" s="744">
        <f t="shared" si="126"/>
        <v>17.000181999999999</v>
      </c>
      <c r="BW182" s="744">
        <f t="shared" si="127"/>
        <v>56.000181999999995</v>
      </c>
      <c r="BX182" s="744" t="str">
        <f t="shared" si="128"/>
        <v/>
      </c>
      <c r="BY182" s="744">
        <f t="shared" si="129"/>
        <v>220.000182</v>
      </c>
      <c r="BZ182" s="744">
        <f t="shared" si="130"/>
        <v>500.000182</v>
      </c>
      <c r="CA182" s="744">
        <f t="shared" si="131"/>
        <v>2000.000182</v>
      </c>
      <c r="CB182" s="744" t="str">
        <f t="shared" si="132"/>
        <v/>
      </c>
      <c r="CC182" s="744">
        <f t="shared" si="133"/>
        <v>1500.000182</v>
      </c>
      <c r="CD182" s="744">
        <f t="shared" si="134"/>
        <v>25.000181999999999</v>
      </c>
      <c r="CE182" s="744">
        <f t="shared" si="135"/>
        <v>10.000182000000001</v>
      </c>
      <c r="CF182" s="744">
        <f t="shared" si="136"/>
        <v>6.7001819999999999</v>
      </c>
      <c r="CG182" s="744" t="str">
        <f t="shared" si="137"/>
        <v/>
      </c>
      <c r="CH182" s="744" t="str">
        <f t="shared" si="138"/>
        <v/>
      </c>
      <c r="CI182" s="744" t="str">
        <f t="shared" si="139"/>
        <v/>
      </c>
      <c r="CJ182" s="744" t="str">
        <f t="shared" si="140"/>
        <v/>
      </c>
      <c r="CK182" s="744" t="str">
        <f t="shared" si="141"/>
        <v/>
      </c>
      <c r="CL182" s="744" t="str">
        <f t="shared" si="142"/>
        <v/>
      </c>
      <c r="CM182" s="744" t="str">
        <f t="shared" si="143"/>
        <v/>
      </c>
      <c r="CN182" s="744" t="str">
        <f t="shared" si="144"/>
        <v/>
      </c>
      <c r="CO182" s="744" t="str">
        <f t="shared" si="145"/>
        <v/>
      </c>
      <c r="CP182" s="744" t="str">
        <f t="shared" si="146"/>
        <v/>
      </c>
      <c r="CQ182" s="744" t="str">
        <f t="shared" si="147"/>
        <v/>
      </c>
      <c r="CR182" s="744" t="str">
        <f t="shared" si="148"/>
        <v/>
      </c>
      <c r="CS182" s="744" t="str">
        <f t="shared" si="149"/>
        <v/>
      </c>
      <c r="CT182" s="744" t="str">
        <f t="shared" si="150"/>
        <v/>
      </c>
      <c r="CU182" s="744" t="str">
        <f t="shared" si="151"/>
        <v/>
      </c>
      <c r="CV182" s="744" t="str">
        <f t="shared" si="152"/>
        <v/>
      </c>
      <c r="CW182" s="744" t="str">
        <f t="shared" si="153"/>
        <v/>
      </c>
      <c r="CX182" s="744">
        <f t="shared" si="154"/>
        <v>1.0001819999999999</v>
      </c>
    </row>
    <row r="183" spans="1:102">
      <c r="A183" s="633">
        <v>180</v>
      </c>
      <c r="B183" s="630" t="s">
        <v>4</v>
      </c>
      <c r="C183" s="631" t="s">
        <v>251</v>
      </c>
      <c r="D183" s="630" t="s">
        <v>1390</v>
      </c>
      <c r="E183" s="632" t="s">
        <v>684</v>
      </c>
      <c r="F183" s="1067">
        <v>7.5</v>
      </c>
      <c r="G183" s="1066">
        <v>1</v>
      </c>
      <c r="H183" s="1070">
        <v>0.99</v>
      </c>
      <c r="I183" s="1070"/>
      <c r="J183" s="1070"/>
      <c r="K183" s="1070"/>
      <c r="L183" s="1072"/>
      <c r="M183" s="1070"/>
      <c r="N183" s="1070"/>
      <c r="O183" s="1070"/>
      <c r="P183" s="1073"/>
      <c r="Q183" s="1070">
        <v>800</v>
      </c>
      <c r="R183" s="1070"/>
      <c r="S183" s="1070"/>
      <c r="T183" s="1070"/>
      <c r="U183" s="1070">
        <v>660</v>
      </c>
      <c r="V183" s="1066">
        <v>40</v>
      </c>
      <c r="W183" s="1070">
        <v>18</v>
      </c>
      <c r="X183" s="1070">
        <v>2</v>
      </c>
      <c r="Y183" s="1070">
        <v>30</v>
      </c>
      <c r="Z183" s="1070"/>
      <c r="AA183" s="1070">
        <v>10</v>
      </c>
      <c r="AB183" s="1070">
        <v>375</v>
      </c>
      <c r="AC183" s="1070">
        <v>1500</v>
      </c>
      <c r="AD183" s="1070">
        <v>0</v>
      </c>
      <c r="AE183" s="1070">
        <v>520</v>
      </c>
      <c r="AF183" s="1070">
        <v>50</v>
      </c>
      <c r="AG183" s="1070"/>
      <c r="AH183" s="1073">
        <v>9</v>
      </c>
      <c r="AI183" s="1070"/>
      <c r="AJ183" s="1070"/>
      <c r="AK183" s="1070"/>
      <c r="AL183" s="1082"/>
      <c r="AM183" s="1069"/>
      <c r="AN183" s="1070"/>
      <c r="AO183" s="1070"/>
      <c r="AP183" s="1070"/>
      <c r="AQ183" s="1070"/>
      <c r="AR183" s="1069"/>
      <c r="AS183" s="1282"/>
      <c r="AT183" s="1282"/>
      <c r="AU183" s="1069"/>
      <c r="AV183" s="1069"/>
      <c r="AW183" s="1069"/>
      <c r="AX183" s="1070"/>
      <c r="AY183" s="1070"/>
      <c r="AZ183" s="1078">
        <f t="shared" si="107"/>
        <v>0.99</v>
      </c>
      <c r="BA183" s="59">
        <v>179</v>
      </c>
      <c r="BB183" s="59">
        <f t="shared" si="108"/>
        <v>179</v>
      </c>
      <c r="BC183" s="60" t="str">
        <f t="shared" si="109"/>
        <v>Nucleo Protéico Matsuda</v>
      </c>
      <c r="BD183" s="61" t="str">
        <f ca="1">IFERROR(IF(SEARCH('Calcular Dieta'!A$3,$BC$5:$BC$310)&gt;=1,BC183,"Não encontrado"),"Não encontrado")</f>
        <v>Nucleo Protéico Matsuda</v>
      </c>
      <c r="BE183" s="62">
        <f ca="1">COUNTIF(BD$5:BD183,"&lt;&gt;"&amp;"Não encontrado")</f>
        <v>179</v>
      </c>
      <c r="BF183" s="63" t="str">
        <f t="shared" ca="1" si="110"/>
        <v>NUCLEO PROTÉICO MATSUDA</v>
      </c>
      <c r="BG183" s="744" t="str">
        <f t="shared" si="111"/>
        <v/>
      </c>
      <c r="BH183" s="744" t="str">
        <f t="shared" si="112"/>
        <v/>
      </c>
      <c r="BI183" s="744" t="str">
        <f t="shared" si="113"/>
        <v/>
      </c>
      <c r="BJ183" s="744" t="str">
        <f t="shared" si="114"/>
        <v/>
      </c>
      <c r="BK183" s="744" t="str">
        <f t="shared" si="115"/>
        <v/>
      </c>
      <c r="BL183" s="744" t="str">
        <f t="shared" si="116"/>
        <v/>
      </c>
      <c r="BM183" s="744" t="str">
        <f t="shared" si="117"/>
        <v/>
      </c>
      <c r="BN183" s="744" t="str">
        <f t="shared" si="118"/>
        <v/>
      </c>
      <c r="BO183" s="744">
        <f t="shared" si="119"/>
        <v>800.00018299999999</v>
      </c>
      <c r="BP183" s="744" t="str">
        <f t="shared" si="120"/>
        <v/>
      </c>
      <c r="BQ183" s="744" t="str">
        <f t="shared" si="121"/>
        <v/>
      </c>
      <c r="BR183" s="744" t="str">
        <f t="shared" si="122"/>
        <v/>
      </c>
      <c r="BS183" s="744">
        <f t="shared" si="123"/>
        <v>660.00018299999999</v>
      </c>
      <c r="BT183" s="744">
        <f t="shared" si="124"/>
        <v>40.000183</v>
      </c>
      <c r="BU183" s="744">
        <f t="shared" si="125"/>
        <v>18.000183</v>
      </c>
      <c r="BV183" s="744">
        <f t="shared" si="126"/>
        <v>2.0001829999999998</v>
      </c>
      <c r="BW183" s="744">
        <f t="shared" si="127"/>
        <v>30.000183</v>
      </c>
      <c r="BX183" s="744" t="str">
        <f t="shared" si="128"/>
        <v/>
      </c>
      <c r="BY183" s="744">
        <f t="shared" si="129"/>
        <v>10.000183</v>
      </c>
      <c r="BZ183" s="744">
        <f t="shared" si="130"/>
        <v>375.00018299999999</v>
      </c>
      <c r="CA183" s="744">
        <f t="shared" si="131"/>
        <v>1500.0001830000001</v>
      </c>
      <c r="CB183" s="744" t="str">
        <f t="shared" si="132"/>
        <v/>
      </c>
      <c r="CC183" s="744">
        <f t="shared" si="133"/>
        <v>520.00018299999999</v>
      </c>
      <c r="CD183" s="744">
        <f t="shared" si="134"/>
        <v>50.000183</v>
      </c>
      <c r="CE183" s="744" t="str">
        <f t="shared" si="135"/>
        <v/>
      </c>
      <c r="CF183" s="744">
        <f t="shared" si="136"/>
        <v>9.0001829999999998</v>
      </c>
      <c r="CG183" s="744" t="str">
        <f t="shared" si="137"/>
        <v/>
      </c>
      <c r="CH183" s="744" t="str">
        <f t="shared" si="138"/>
        <v/>
      </c>
      <c r="CI183" s="744" t="str">
        <f t="shared" si="139"/>
        <v/>
      </c>
      <c r="CJ183" s="744" t="str">
        <f t="shared" si="140"/>
        <v/>
      </c>
      <c r="CK183" s="744" t="str">
        <f t="shared" si="141"/>
        <v/>
      </c>
      <c r="CL183" s="744" t="str">
        <f t="shared" si="142"/>
        <v/>
      </c>
      <c r="CM183" s="744" t="str">
        <f t="shared" si="143"/>
        <v/>
      </c>
      <c r="CN183" s="744" t="str">
        <f t="shared" si="144"/>
        <v/>
      </c>
      <c r="CO183" s="744" t="str">
        <f t="shared" si="145"/>
        <v/>
      </c>
      <c r="CP183" s="744" t="str">
        <f t="shared" si="146"/>
        <v/>
      </c>
      <c r="CQ183" s="744" t="str">
        <f t="shared" si="147"/>
        <v/>
      </c>
      <c r="CR183" s="744" t="str">
        <f t="shared" si="148"/>
        <v/>
      </c>
      <c r="CS183" s="744" t="str">
        <f t="shared" si="149"/>
        <v/>
      </c>
      <c r="CT183" s="744" t="str">
        <f t="shared" si="150"/>
        <v/>
      </c>
      <c r="CU183" s="744" t="str">
        <f t="shared" si="151"/>
        <v/>
      </c>
      <c r="CV183" s="744" t="str">
        <f t="shared" si="152"/>
        <v/>
      </c>
      <c r="CW183" s="744" t="str">
        <f t="shared" si="153"/>
        <v/>
      </c>
      <c r="CX183" s="744">
        <f t="shared" si="154"/>
        <v>0.99018300000000004</v>
      </c>
    </row>
    <row r="184" spans="1:102">
      <c r="A184" s="630">
        <v>181</v>
      </c>
      <c r="B184" s="630" t="s">
        <v>4</v>
      </c>
      <c r="C184" s="631" t="s">
        <v>251</v>
      </c>
      <c r="D184" s="630" t="s">
        <v>1390</v>
      </c>
      <c r="E184" s="632" t="s">
        <v>219</v>
      </c>
      <c r="F184" s="1067">
        <v>7.5</v>
      </c>
      <c r="G184" s="1066">
        <v>1</v>
      </c>
      <c r="H184" s="1070">
        <v>0.98</v>
      </c>
      <c r="I184" s="1070"/>
      <c r="J184" s="1070"/>
      <c r="K184" s="1070"/>
      <c r="L184" s="1072"/>
      <c r="M184" s="1070"/>
      <c r="N184" s="1070"/>
      <c r="O184" s="1070"/>
      <c r="P184" s="1073"/>
      <c r="Q184" s="1070"/>
      <c r="R184" s="1070"/>
      <c r="S184" s="1070"/>
      <c r="T184" s="1070"/>
      <c r="U184" s="1070"/>
      <c r="V184" s="1066">
        <v>122.5</v>
      </c>
      <c r="W184" s="1070">
        <v>34.300000000000004</v>
      </c>
      <c r="X184" s="1070">
        <v>29.4</v>
      </c>
      <c r="Y184" s="1070">
        <v>73.5</v>
      </c>
      <c r="Z184" s="1070">
        <v>9.7999999999999989</v>
      </c>
      <c r="AA184" s="1070">
        <v>34.300000000000004</v>
      </c>
      <c r="AB184" s="1070">
        <v>752</v>
      </c>
      <c r="AC184" s="1070">
        <v>2520</v>
      </c>
      <c r="AD184" s="1070"/>
      <c r="AE184" s="1070">
        <v>914</v>
      </c>
      <c r="AF184" s="1070">
        <v>52</v>
      </c>
      <c r="AG184" s="1070">
        <v>50</v>
      </c>
      <c r="AH184" s="1073">
        <v>10</v>
      </c>
      <c r="AI184" s="1070"/>
      <c r="AJ184" s="1070"/>
      <c r="AK184" s="1070"/>
      <c r="AL184" s="1082"/>
      <c r="AM184" s="1069"/>
      <c r="AN184" s="1070"/>
      <c r="AO184" s="1070"/>
      <c r="AP184" s="1070"/>
      <c r="AQ184" s="1070"/>
      <c r="AR184" s="1069"/>
      <c r="AS184" s="1282"/>
      <c r="AT184" s="1282"/>
      <c r="AU184" s="1069"/>
      <c r="AV184" s="1069"/>
      <c r="AW184" s="1069"/>
      <c r="AX184" s="1070"/>
      <c r="AY184" s="1070"/>
      <c r="AZ184" s="1078">
        <f t="shared" si="107"/>
        <v>0.98</v>
      </c>
      <c r="BA184" s="59">
        <v>180</v>
      </c>
      <c r="BB184" s="59">
        <f t="shared" si="108"/>
        <v>180</v>
      </c>
      <c r="BC184" s="60" t="str">
        <f t="shared" si="109"/>
        <v>Nucleo Terrafos Confinamento Mv</v>
      </c>
      <c r="BD184" s="61" t="str">
        <f ca="1">IFERROR(IF(SEARCH('Calcular Dieta'!A$3,$BC$5:$BC$310)&gt;=1,BC184,"Não encontrado"),"Não encontrado")</f>
        <v>Nucleo Terrafos Confinamento Mv</v>
      </c>
      <c r="BE184" s="62">
        <f ca="1">COUNTIF(BD$5:BD184,"&lt;&gt;"&amp;"Não encontrado")</f>
        <v>180</v>
      </c>
      <c r="BF184" s="63" t="str">
        <f t="shared" ca="1" si="110"/>
        <v>NUCLEO TERRAFOS CONFINAMENTO MV</v>
      </c>
      <c r="BG184" s="744" t="str">
        <f t="shared" si="111"/>
        <v/>
      </c>
      <c r="BH184" s="744" t="str">
        <f t="shared" si="112"/>
        <v/>
      </c>
      <c r="BI184" s="744" t="str">
        <f t="shared" si="113"/>
        <v/>
      </c>
      <c r="BJ184" s="744" t="str">
        <f t="shared" si="114"/>
        <v/>
      </c>
      <c r="BK184" s="744" t="str">
        <f t="shared" si="115"/>
        <v/>
      </c>
      <c r="BL184" s="744" t="str">
        <f t="shared" si="116"/>
        <v/>
      </c>
      <c r="BM184" s="744" t="str">
        <f t="shared" si="117"/>
        <v/>
      </c>
      <c r="BN184" s="744" t="str">
        <f t="shared" si="118"/>
        <v/>
      </c>
      <c r="BO184" s="744" t="str">
        <f t="shared" si="119"/>
        <v/>
      </c>
      <c r="BP184" s="744" t="str">
        <f t="shared" si="120"/>
        <v/>
      </c>
      <c r="BQ184" s="744" t="str">
        <f t="shared" si="121"/>
        <v/>
      </c>
      <c r="BR184" s="744" t="str">
        <f t="shared" si="122"/>
        <v/>
      </c>
      <c r="BS184" s="744" t="str">
        <f t="shared" si="123"/>
        <v/>
      </c>
      <c r="BT184" s="744">
        <f t="shared" si="124"/>
        <v>122.500184</v>
      </c>
      <c r="BU184" s="744">
        <f t="shared" si="125"/>
        <v>34.300184000000002</v>
      </c>
      <c r="BV184" s="744">
        <f t="shared" si="126"/>
        <v>29.400183999999999</v>
      </c>
      <c r="BW184" s="744">
        <f t="shared" si="127"/>
        <v>73.500184000000004</v>
      </c>
      <c r="BX184" s="744">
        <f t="shared" si="128"/>
        <v>9.8001839999999998</v>
      </c>
      <c r="BY184" s="744">
        <f t="shared" si="129"/>
        <v>34.300184000000002</v>
      </c>
      <c r="BZ184" s="744">
        <f t="shared" si="130"/>
        <v>752.00018399999999</v>
      </c>
      <c r="CA184" s="744">
        <f t="shared" si="131"/>
        <v>2520.000184</v>
      </c>
      <c r="CB184" s="744" t="str">
        <f t="shared" si="132"/>
        <v/>
      </c>
      <c r="CC184" s="744">
        <f t="shared" si="133"/>
        <v>914.00018399999999</v>
      </c>
      <c r="CD184" s="744">
        <f t="shared" si="134"/>
        <v>52.000183999999997</v>
      </c>
      <c r="CE184" s="744">
        <f t="shared" si="135"/>
        <v>50.000183999999997</v>
      </c>
      <c r="CF184" s="744">
        <f t="shared" si="136"/>
        <v>10.000184000000001</v>
      </c>
      <c r="CG184" s="744" t="str">
        <f t="shared" si="137"/>
        <v/>
      </c>
      <c r="CH184" s="744" t="str">
        <f t="shared" si="138"/>
        <v/>
      </c>
      <c r="CI184" s="744" t="str">
        <f t="shared" si="139"/>
        <v/>
      </c>
      <c r="CJ184" s="744" t="str">
        <f t="shared" si="140"/>
        <v/>
      </c>
      <c r="CK184" s="744" t="str">
        <f t="shared" si="141"/>
        <v/>
      </c>
      <c r="CL184" s="744" t="str">
        <f t="shared" si="142"/>
        <v/>
      </c>
      <c r="CM184" s="744" t="str">
        <f t="shared" si="143"/>
        <v/>
      </c>
      <c r="CN184" s="744" t="str">
        <f t="shared" si="144"/>
        <v/>
      </c>
      <c r="CO184" s="744" t="str">
        <f t="shared" si="145"/>
        <v/>
      </c>
      <c r="CP184" s="744" t="str">
        <f t="shared" si="146"/>
        <v/>
      </c>
      <c r="CQ184" s="744" t="str">
        <f t="shared" si="147"/>
        <v/>
      </c>
      <c r="CR184" s="744" t="str">
        <f t="shared" si="148"/>
        <v/>
      </c>
      <c r="CS184" s="744" t="str">
        <f t="shared" si="149"/>
        <v/>
      </c>
      <c r="CT184" s="744" t="str">
        <f t="shared" si="150"/>
        <v/>
      </c>
      <c r="CU184" s="744" t="str">
        <f t="shared" si="151"/>
        <v/>
      </c>
      <c r="CV184" s="744" t="str">
        <f t="shared" si="152"/>
        <v/>
      </c>
      <c r="CW184" s="744" t="str">
        <f t="shared" si="153"/>
        <v/>
      </c>
      <c r="CX184" s="744">
        <f t="shared" si="154"/>
        <v>0.98018399999999994</v>
      </c>
    </row>
    <row r="185" spans="1:102">
      <c r="A185" s="633">
        <v>182</v>
      </c>
      <c r="B185" s="630" t="s">
        <v>4</v>
      </c>
      <c r="C185" s="631" t="s">
        <v>251</v>
      </c>
      <c r="D185" s="630" t="s">
        <v>1390</v>
      </c>
      <c r="E185" s="632" t="s">
        <v>220</v>
      </c>
      <c r="F185" s="1067">
        <v>7.5</v>
      </c>
      <c r="G185" s="1066">
        <v>1</v>
      </c>
      <c r="H185" s="1070">
        <v>1</v>
      </c>
      <c r="I185" s="1070"/>
      <c r="J185" s="1070"/>
      <c r="K185" s="1070"/>
      <c r="L185" s="1072"/>
      <c r="M185" s="1070"/>
      <c r="N185" s="1070"/>
      <c r="O185" s="1070"/>
      <c r="P185" s="1073"/>
      <c r="Q185" s="1070"/>
      <c r="R185" s="1070"/>
      <c r="S185" s="1070"/>
      <c r="T185" s="1070"/>
      <c r="U185" s="1070"/>
      <c r="V185" s="1066">
        <v>217</v>
      </c>
      <c r="W185" s="1070">
        <v>156</v>
      </c>
      <c r="X185" s="1070">
        <v>39</v>
      </c>
      <c r="Y185" s="1070"/>
      <c r="Z185" s="1070"/>
      <c r="AA185" s="1070">
        <v>520</v>
      </c>
      <c r="AB185" s="1070">
        <v>2480</v>
      </c>
      <c r="AC185" s="1070">
        <v>9800</v>
      </c>
      <c r="AD185" s="1070"/>
      <c r="AE185" s="1070">
        <v>4117</v>
      </c>
      <c r="AF185" s="1070">
        <v>180</v>
      </c>
      <c r="AG185" s="1070">
        <v>180</v>
      </c>
      <c r="AH185" s="1073">
        <v>55</v>
      </c>
      <c r="AI185" s="1070"/>
      <c r="AJ185" s="1070"/>
      <c r="AK185" s="1070"/>
      <c r="AL185" s="1082"/>
      <c r="AM185" s="1069"/>
      <c r="AN185" s="1070"/>
      <c r="AO185" s="1070"/>
      <c r="AP185" s="1070"/>
      <c r="AQ185" s="1070"/>
      <c r="AR185" s="1069"/>
      <c r="AS185" s="1282"/>
      <c r="AT185" s="1282"/>
      <c r="AU185" s="1069"/>
      <c r="AV185" s="1069"/>
      <c r="AW185" s="1069"/>
      <c r="AX185" s="1070"/>
      <c r="AY185" s="1070"/>
      <c r="AZ185" s="1078">
        <f t="shared" si="107"/>
        <v>1</v>
      </c>
      <c r="BA185" s="59">
        <v>181</v>
      </c>
      <c r="BB185" s="59">
        <f t="shared" si="108"/>
        <v>181</v>
      </c>
      <c r="BC185" s="60" t="str">
        <f t="shared" si="109"/>
        <v>Nucleo Tortuga</v>
      </c>
      <c r="BD185" s="61" t="str">
        <f ca="1">IFERROR(IF(SEARCH('Calcular Dieta'!A$3,$BC$5:$BC$310)&gt;=1,BC185,"Não encontrado"),"Não encontrado")</f>
        <v>Nucleo Tortuga</v>
      </c>
      <c r="BE185" s="62">
        <f ca="1">COUNTIF(BD$5:BD185,"&lt;&gt;"&amp;"Não encontrado")</f>
        <v>181</v>
      </c>
      <c r="BF185" s="63" t="str">
        <f t="shared" ca="1" si="110"/>
        <v>NUCLEO TORTUGA</v>
      </c>
      <c r="BG185" s="744" t="str">
        <f t="shared" si="111"/>
        <v/>
      </c>
      <c r="BH185" s="744" t="str">
        <f t="shared" si="112"/>
        <v/>
      </c>
      <c r="BI185" s="744" t="str">
        <f t="shared" si="113"/>
        <v/>
      </c>
      <c r="BJ185" s="744" t="str">
        <f t="shared" si="114"/>
        <v/>
      </c>
      <c r="BK185" s="744" t="str">
        <f t="shared" si="115"/>
        <v/>
      </c>
      <c r="BL185" s="744" t="str">
        <f t="shared" si="116"/>
        <v/>
      </c>
      <c r="BM185" s="744" t="str">
        <f t="shared" si="117"/>
        <v/>
      </c>
      <c r="BN185" s="744" t="str">
        <f t="shared" si="118"/>
        <v/>
      </c>
      <c r="BO185" s="744" t="str">
        <f t="shared" si="119"/>
        <v/>
      </c>
      <c r="BP185" s="744" t="str">
        <f t="shared" si="120"/>
        <v/>
      </c>
      <c r="BQ185" s="744" t="str">
        <f t="shared" si="121"/>
        <v/>
      </c>
      <c r="BR185" s="744" t="str">
        <f t="shared" si="122"/>
        <v/>
      </c>
      <c r="BS185" s="744" t="str">
        <f t="shared" si="123"/>
        <v/>
      </c>
      <c r="BT185" s="744">
        <f t="shared" si="124"/>
        <v>217.00018499999999</v>
      </c>
      <c r="BU185" s="744">
        <f t="shared" si="125"/>
        <v>156.00018499999999</v>
      </c>
      <c r="BV185" s="744">
        <f t="shared" si="126"/>
        <v>39.000185000000002</v>
      </c>
      <c r="BW185" s="744" t="str">
        <f t="shared" si="127"/>
        <v/>
      </c>
      <c r="BX185" s="744" t="str">
        <f t="shared" si="128"/>
        <v/>
      </c>
      <c r="BY185" s="744">
        <f t="shared" si="129"/>
        <v>520.00018499999999</v>
      </c>
      <c r="BZ185" s="744">
        <f t="shared" si="130"/>
        <v>2480.0001849999999</v>
      </c>
      <c r="CA185" s="744">
        <f t="shared" si="131"/>
        <v>9800.0001850000008</v>
      </c>
      <c r="CB185" s="744" t="str">
        <f t="shared" si="132"/>
        <v/>
      </c>
      <c r="CC185" s="744">
        <f t="shared" si="133"/>
        <v>4117.0001849999999</v>
      </c>
      <c r="CD185" s="744">
        <f t="shared" si="134"/>
        <v>180.00018499999999</v>
      </c>
      <c r="CE185" s="744">
        <f t="shared" si="135"/>
        <v>180.00018499999999</v>
      </c>
      <c r="CF185" s="744">
        <f t="shared" si="136"/>
        <v>55.000185000000002</v>
      </c>
      <c r="CG185" s="744" t="str">
        <f t="shared" si="137"/>
        <v/>
      </c>
      <c r="CH185" s="744" t="str">
        <f t="shared" si="138"/>
        <v/>
      </c>
      <c r="CI185" s="744" t="str">
        <f t="shared" si="139"/>
        <v/>
      </c>
      <c r="CJ185" s="744" t="str">
        <f t="shared" si="140"/>
        <v/>
      </c>
      <c r="CK185" s="744" t="str">
        <f t="shared" si="141"/>
        <v/>
      </c>
      <c r="CL185" s="744" t="str">
        <f t="shared" si="142"/>
        <v/>
      </c>
      <c r="CM185" s="744" t="str">
        <f t="shared" si="143"/>
        <v/>
      </c>
      <c r="CN185" s="744" t="str">
        <f t="shared" si="144"/>
        <v/>
      </c>
      <c r="CO185" s="744" t="str">
        <f t="shared" si="145"/>
        <v/>
      </c>
      <c r="CP185" s="744" t="str">
        <f t="shared" si="146"/>
        <v/>
      </c>
      <c r="CQ185" s="744" t="str">
        <f t="shared" si="147"/>
        <v/>
      </c>
      <c r="CR185" s="744" t="str">
        <f t="shared" si="148"/>
        <v/>
      </c>
      <c r="CS185" s="744" t="str">
        <f t="shared" si="149"/>
        <v/>
      </c>
      <c r="CT185" s="744" t="str">
        <f t="shared" si="150"/>
        <v/>
      </c>
      <c r="CU185" s="744" t="str">
        <f t="shared" si="151"/>
        <v/>
      </c>
      <c r="CV185" s="744" t="str">
        <f t="shared" si="152"/>
        <v/>
      </c>
      <c r="CW185" s="744" t="str">
        <f t="shared" si="153"/>
        <v/>
      </c>
      <c r="CX185" s="744">
        <f t="shared" si="154"/>
        <v>1.0001850000000001</v>
      </c>
    </row>
    <row r="186" spans="1:102">
      <c r="A186" s="630">
        <v>183</v>
      </c>
      <c r="B186" s="630" t="s">
        <v>4</v>
      </c>
      <c r="C186" s="631" t="s">
        <v>251</v>
      </c>
      <c r="D186" s="630" t="s">
        <v>1390</v>
      </c>
      <c r="E186" s="632" t="s">
        <v>690</v>
      </c>
      <c r="F186" s="1067">
        <v>5</v>
      </c>
      <c r="G186" s="1066">
        <v>1</v>
      </c>
      <c r="H186" s="1070">
        <v>1</v>
      </c>
      <c r="I186" s="1070"/>
      <c r="J186" s="1070"/>
      <c r="K186" s="1070"/>
      <c r="L186" s="1072"/>
      <c r="M186" s="1070"/>
      <c r="N186" s="1070"/>
      <c r="O186" s="1070"/>
      <c r="P186" s="1073"/>
      <c r="Q186" s="1070"/>
      <c r="R186" s="1070"/>
      <c r="S186" s="1070"/>
      <c r="T186" s="1070"/>
      <c r="U186" s="1070"/>
      <c r="V186" s="1066">
        <v>200</v>
      </c>
      <c r="W186" s="1070">
        <v>30.5</v>
      </c>
      <c r="X186" s="1070">
        <v>28.3</v>
      </c>
      <c r="Y186" s="1070">
        <v>108.00000000000001</v>
      </c>
      <c r="Z186" s="1070"/>
      <c r="AA186" s="1070">
        <v>450</v>
      </c>
      <c r="AB186" s="1070">
        <v>900</v>
      </c>
      <c r="AC186" s="1070">
        <v>3.5</v>
      </c>
      <c r="AD186" s="1070"/>
      <c r="AE186" s="1070">
        <v>1.5</v>
      </c>
      <c r="AF186" s="1070">
        <v>60</v>
      </c>
      <c r="AG186" s="1070">
        <v>60</v>
      </c>
      <c r="AH186" s="1073">
        <v>15</v>
      </c>
      <c r="AI186" s="1070"/>
      <c r="AJ186" s="1070"/>
      <c r="AK186" s="1070"/>
      <c r="AL186" s="1082"/>
      <c r="AM186" s="1069"/>
      <c r="AN186" s="1070"/>
      <c r="AO186" s="1070"/>
      <c r="AP186" s="1070"/>
      <c r="AQ186" s="1070"/>
      <c r="AR186" s="1069"/>
      <c r="AS186" s="1282"/>
      <c r="AT186" s="1282"/>
      <c r="AU186" s="1069"/>
      <c r="AV186" s="1069"/>
      <c r="AW186" s="1069"/>
      <c r="AX186" s="1070"/>
      <c r="AY186" s="1070"/>
      <c r="AZ186" s="1078">
        <f t="shared" si="107"/>
        <v>1</v>
      </c>
      <c r="BA186" s="59">
        <v>182</v>
      </c>
      <c r="BB186" s="59">
        <f t="shared" si="108"/>
        <v>182</v>
      </c>
      <c r="BC186" s="60" t="str">
        <f t="shared" si="109"/>
        <v>NucleoLB Confinamento 200 VM</v>
      </c>
      <c r="BD186" s="61" t="str">
        <f ca="1">IFERROR(IF(SEARCH('Calcular Dieta'!A$3,$BC$5:$BC$310)&gt;=1,BC186,"Não encontrado"),"Não encontrado")</f>
        <v>NucleoLB Confinamento 200 VM</v>
      </c>
      <c r="BE186" s="62">
        <f ca="1">COUNTIF(BD$5:BD186,"&lt;&gt;"&amp;"Não encontrado")</f>
        <v>182</v>
      </c>
      <c r="BF186" s="63" t="str">
        <f t="shared" ca="1" si="110"/>
        <v>NUCLEOLB CONFINAMENTO 200 VM</v>
      </c>
      <c r="BG186" s="744" t="str">
        <f t="shared" si="111"/>
        <v/>
      </c>
      <c r="BH186" s="744" t="str">
        <f t="shared" si="112"/>
        <v/>
      </c>
      <c r="BI186" s="744" t="str">
        <f t="shared" si="113"/>
        <v/>
      </c>
      <c r="BJ186" s="744" t="str">
        <f t="shared" si="114"/>
        <v/>
      </c>
      <c r="BK186" s="744" t="str">
        <f t="shared" si="115"/>
        <v/>
      </c>
      <c r="BL186" s="744" t="str">
        <f t="shared" si="116"/>
        <v/>
      </c>
      <c r="BM186" s="744" t="str">
        <f t="shared" si="117"/>
        <v/>
      </c>
      <c r="BN186" s="744" t="str">
        <f t="shared" si="118"/>
        <v/>
      </c>
      <c r="BO186" s="744" t="str">
        <f t="shared" si="119"/>
        <v/>
      </c>
      <c r="BP186" s="744" t="str">
        <f t="shared" si="120"/>
        <v/>
      </c>
      <c r="BQ186" s="744" t="str">
        <f t="shared" si="121"/>
        <v/>
      </c>
      <c r="BR186" s="744" t="str">
        <f t="shared" si="122"/>
        <v/>
      </c>
      <c r="BS186" s="744" t="str">
        <f t="shared" si="123"/>
        <v/>
      </c>
      <c r="BT186" s="744">
        <f t="shared" si="124"/>
        <v>200.00018600000001</v>
      </c>
      <c r="BU186" s="744">
        <f t="shared" si="125"/>
        <v>30.500185999999999</v>
      </c>
      <c r="BV186" s="744">
        <f t="shared" si="126"/>
        <v>28.300186</v>
      </c>
      <c r="BW186" s="744">
        <f t="shared" si="127"/>
        <v>108.00018600000001</v>
      </c>
      <c r="BX186" s="744" t="str">
        <f t="shared" si="128"/>
        <v/>
      </c>
      <c r="BY186" s="744">
        <f t="shared" si="129"/>
        <v>450.00018599999999</v>
      </c>
      <c r="BZ186" s="744">
        <f t="shared" si="130"/>
        <v>900.00018599999999</v>
      </c>
      <c r="CA186" s="744">
        <f t="shared" si="131"/>
        <v>3.5001859999999998</v>
      </c>
      <c r="CB186" s="744" t="str">
        <f t="shared" si="132"/>
        <v/>
      </c>
      <c r="CC186" s="744">
        <f t="shared" si="133"/>
        <v>1.500186</v>
      </c>
      <c r="CD186" s="744">
        <f t="shared" si="134"/>
        <v>60.000185999999999</v>
      </c>
      <c r="CE186" s="744">
        <f t="shared" si="135"/>
        <v>60.000185999999999</v>
      </c>
      <c r="CF186" s="744">
        <f t="shared" si="136"/>
        <v>15.000185999999999</v>
      </c>
      <c r="CG186" s="744" t="str">
        <f t="shared" si="137"/>
        <v/>
      </c>
      <c r="CH186" s="744" t="str">
        <f t="shared" si="138"/>
        <v/>
      </c>
      <c r="CI186" s="744" t="str">
        <f t="shared" si="139"/>
        <v/>
      </c>
      <c r="CJ186" s="744" t="str">
        <f t="shared" si="140"/>
        <v/>
      </c>
      <c r="CK186" s="744" t="str">
        <f t="shared" si="141"/>
        <v/>
      </c>
      <c r="CL186" s="744" t="str">
        <f t="shared" si="142"/>
        <v/>
      </c>
      <c r="CM186" s="744" t="str">
        <f t="shared" si="143"/>
        <v/>
      </c>
      <c r="CN186" s="744" t="str">
        <f t="shared" si="144"/>
        <v/>
      </c>
      <c r="CO186" s="744" t="str">
        <f t="shared" si="145"/>
        <v/>
      </c>
      <c r="CP186" s="744" t="str">
        <f t="shared" si="146"/>
        <v/>
      </c>
      <c r="CQ186" s="744" t="str">
        <f t="shared" si="147"/>
        <v/>
      </c>
      <c r="CR186" s="744" t="str">
        <f t="shared" si="148"/>
        <v/>
      </c>
      <c r="CS186" s="744" t="str">
        <f t="shared" si="149"/>
        <v/>
      </c>
      <c r="CT186" s="744" t="str">
        <f t="shared" si="150"/>
        <v/>
      </c>
      <c r="CU186" s="744" t="str">
        <f t="shared" si="151"/>
        <v/>
      </c>
      <c r="CV186" s="744" t="str">
        <f t="shared" si="152"/>
        <v/>
      </c>
      <c r="CW186" s="744" t="str">
        <f t="shared" si="153"/>
        <v/>
      </c>
      <c r="CX186" s="744">
        <f t="shared" si="154"/>
        <v>1.000186</v>
      </c>
    </row>
    <row r="187" spans="1:102">
      <c r="A187" s="633">
        <v>184</v>
      </c>
      <c r="B187" s="630" t="s">
        <v>4</v>
      </c>
      <c r="C187" s="631" t="s">
        <v>251</v>
      </c>
      <c r="D187" s="630" t="s">
        <v>1390</v>
      </c>
      <c r="E187" s="632" t="s">
        <v>221</v>
      </c>
      <c r="F187" s="1067">
        <v>7.5</v>
      </c>
      <c r="G187" s="1066">
        <v>1</v>
      </c>
      <c r="H187" s="1070">
        <v>0.88</v>
      </c>
      <c r="I187" s="1070"/>
      <c r="J187" s="1070"/>
      <c r="K187" s="1070"/>
      <c r="L187" s="1072"/>
      <c r="M187" s="1070"/>
      <c r="N187" s="1070"/>
      <c r="O187" s="1070"/>
      <c r="P187" s="1073"/>
      <c r="Q187" s="1070"/>
      <c r="R187" s="1070"/>
      <c r="S187" s="1070"/>
      <c r="T187" s="1070"/>
      <c r="U187" s="1070"/>
      <c r="V187" s="1066">
        <v>154</v>
      </c>
      <c r="W187" s="1070">
        <v>30.800000000000004</v>
      </c>
      <c r="X187" s="1070">
        <v>26.4</v>
      </c>
      <c r="Y187" s="1070">
        <v>66</v>
      </c>
      <c r="Z187" s="1070">
        <v>24.639999999999997</v>
      </c>
      <c r="AA187" s="1070">
        <v>369.59999999999997</v>
      </c>
      <c r="AB187" s="1070">
        <v>600</v>
      </c>
      <c r="AC187" s="1070">
        <v>2500</v>
      </c>
      <c r="AD187" s="1070"/>
      <c r="AE187" s="1070">
        <v>1700</v>
      </c>
      <c r="AF187" s="1070">
        <v>30</v>
      </c>
      <c r="AG187" s="1070">
        <v>40</v>
      </c>
      <c r="AH187" s="1073">
        <v>20</v>
      </c>
      <c r="AI187" s="1070"/>
      <c r="AJ187" s="1070"/>
      <c r="AK187" s="1070"/>
      <c r="AL187" s="1082"/>
      <c r="AM187" s="1069"/>
      <c r="AN187" s="1070"/>
      <c r="AO187" s="1070"/>
      <c r="AP187" s="1070"/>
      <c r="AQ187" s="1070"/>
      <c r="AR187" s="1069"/>
      <c r="AS187" s="1282"/>
      <c r="AT187" s="1282"/>
      <c r="AU187" s="1069"/>
      <c r="AV187" s="1069"/>
      <c r="AW187" s="1069"/>
      <c r="AX187" s="1070"/>
      <c r="AY187" s="1070"/>
      <c r="AZ187" s="1078">
        <f t="shared" si="107"/>
        <v>0.88</v>
      </c>
      <c r="BA187" s="59">
        <v>183</v>
      </c>
      <c r="BB187" s="59">
        <f t="shared" si="108"/>
        <v>183</v>
      </c>
      <c r="BC187" s="60" t="str">
        <f t="shared" si="109"/>
        <v>Nutroboi Nucleo M+V</v>
      </c>
      <c r="BD187" s="61" t="str">
        <f ca="1">IFERROR(IF(SEARCH('Calcular Dieta'!A$3,$BC$5:$BC$310)&gt;=1,BC187,"Não encontrado"),"Não encontrado")</f>
        <v>Nutroboi Nucleo M+V</v>
      </c>
      <c r="BE187" s="62">
        <f ca="1">COUNTIF(BD$5:BD187,"&lt;&gt;"&amp;"Não encontrado")</f>
        <v>183</v>
      </c>
      <c r="BF187" s="63" t="str">
        <f t="shared" ca="1" si="110"/>
        <v>NUTROBOI NUCLEO M+V</v>
      </c>
      <c r="BG187" s="744" t="str">
        <f t="shared" si="111"/>
        <v/>
      </c>
      <c r="BH187" s="744" t="str">
        <f t="shared" si="112"/>
        <v/>
      </c>
      <c r="BI187" s="744" t="str">
        <f t="shared" si="113"/>
        <v/>
      </c>
      <c r="BJ187" s="744" t="str">
        <f t="shared" si="114"/>
        <v/>
      </c>
      <c r="BK187" s="744" t="str">
        <f t="shared" si="115"/>
        <v/>
      </c>
      <c r="BL187" s="744" t="str">
        <f t="shared" si="116"/>
        <v/>
      </c>
      <c r="BM187" s="744" t="str">
        <f t="shared" si="117"/>
        <v/>
      </c>
      <c r="BN187" s="744" t="str">
        <f t="shared" si="118"/>
        <v/>
      </c>
      <c r="BO187" s="744" t="str">
        <f t="shared" si="119"/>
        <v/>
      </c>
      <c r="BP187" s="744" t="str">
        <f t="shared" si="120"/>
        <v/>
      </c>
      <c r="BQ187" s="744" t="str">
        <f t="shared" si="121"/>
        <v/>
      </c>
      <c r="BR187" s="744" t="str">
        <f t="shared" si="122"/>
        <v/>
      </c>
      <c r="BS187" s="744" t="str">
        <f t="shared" si="123"/>
        <v/>
      </c>
      <c r="BT187" s="744">
        <f t="shared" si="124"/>
        <v>154.00018700000001</v>
      </c>
      <c r="BU187" s="744">
        <f t="shared" si="125"/>
        <v>30.800187000000005</v>
      </c>
      <c r="BV187" s="744">
        <f t="shared" si="126"/>
        <v>26.400186999999999</v>
      </c>
      <c r="BW187" s="744">
        <f t="shared" si="127"/>
        <v>66.000186999999997</v>
      </c>
      <c r="BX187" s="744">
        <f t="shared" si="128"/>
        <v>24.640186999999997</v>
      </c>
      <c r="BY187" s="744">
        <f t="shared" si="129"/>
        <v>369.60018699999995</v>
      </c>
      <c r="BZ187" s="744">
        <f t="shared" si="130"/>
        <v>600.00018699999998</v>
      </c>
      <c r="CA187" s="744">
        <f t="shared" si="131"/>
        <v>2500.0001870000001</v>
      </c>
      <c r="CB187" s="744" t="str">
        <f t="shared" si="132"/>
        <v/>
      </c>
      <c r="CC187" s="744">
        <f t="shared" si="133"/>
        <v>1700.0001870000001</v>
      </c>
      <c r="CD187" s="744">
        <f t="shared" si="134"/>
        <v>30.000187</v>
      </c>
      <c r="CE187" s="744">
        <f t="shared" si="135"/>
        <v>40.000186999999997</v>
      </c>
      <c r="CF187" s="744">
        <f t="shared" si="136"/>
        <v>20.000187</v>
      </c>
      <c r="CG187" s="744" t="str">
        <f t="shared" si="137"/>
        <v/>
      </c>
      <c r="CH187" s="744" t="str">
        <f t="shared" si="138"/>
        <v/>
      </c>
      <c r="CI187" s="744" t="str">
        <f t="shared" si="139"/>
        <v/>
      </c>
      <c r="CJ187" s="744" t="str">
        <f t="shared" si="140"/>
        <v/>
      </c>
      <c r="CK187" s="744" t="str">
        <f t="shared" si="141"/>
        <v/>
      </c>
      <c r="CL187" s="744" t="str">
        <f t="shared" si="142"/>
        <v/>
      </c>
      <c r="CM187" s="744" t="str">
        <f t="shared" si="143"/>
        <v/>
      </c>
      <c r="CN187" s="744" t="str">
        <f t="shared" si="144"/>
        <v/>
      </c>
      <c r="CO187" s="744" t="str">
        <f t="shared" si="145"/>
        <v/>
      </c>
      <c r="CP187" s="744" t="str">
        <f t="shared" si="146"/>
        <v/>
      </c>
      <c r="CQ187" s="744" t="str">
        <f t="shared" si="147"/>
        <v/>
      </c>
      <c r="CR187" s="744" t="str">
        <f t="shared" si="148"/>
        <v/>
      </c>
      <c r="CS187" s="744" t="str">
        <f t="shared" si="149"/>
        <v/>
      </c>
      <c r="CT187" s="744" t="str">
        <f t="shared" si="150"/>
        <v/>
      </c>
      <c r="CU187" s="744" t="str">
        <f t="shared" si="151"/>
        <v/>
      </c>
      <c r="CV187" s="744" t="str">
        <f t="shared" si="152"/>
        <v/>
      </c>
      <c r="CW187" s="744" t="str">
        <f t="shared" si="153"/>
        <v/>
      </c>
      <c r="CX187" s="744">
        <f t="shared" si="154"/>
        <v>0.88018700000000005</v>
      </c>
    </row>
    <row r="188" spans="1:102">
      <c r="A188" s="630">
        <v>185</v>
      </c>
      <c r="B188" s="630" t="s">
        <v>4</v>
      </c>
      <c r="C188" s="631" t="s">
        <v>252</v>
      </c>
      <c r="D188" s="630" t="s">
        <v>1391</v>
      </c>
      <c r="E188" s="632" t="s">
        <v>723</v>
      </c>
      <c r="F188" s="1067">
        <v>1</v>
      </c>
      <c r="G188" s="1066">
        <v>1</v>
      </c>
      <c r="H188" s="1070">
        <v>0.99570000000000003</v>
      </c>
      <c r="I188" s="1070"/>
      <c r="J188" s="1070"/>
      <c r="K188" s="1070"/>
      <c r="L188" s="1072">
        <v>1.95</v>
      </c>
      <c r="M188" s="1070">
        <v>8.59755</v>
      </c>
      <c r="N188" s="1070">
        <v>8.23</v>
      </c>
      <c r="O188" s="1070"/>
      <c r="P188" s="1073">
        <v>991.7</v>
      </c>
      <c r="Q188" s="1070"/>
      <c r="R188" s="1070"/>
      <c r="S188" s="1070"/>
      <c r="T188" s="1070"/>
      <c r="U188" s="1070"/>
      <c r="V188" s="1066"/>
      <c r="W188" s="1070"/>
      <c r="X188" s="1070"/>
      <c r="Y188" s="1070"/>
      <c r="Z188" s="1070"/>
      <c r="AA188" s="1070"/>
      <c r="AB188" s="1070"/>
      <c r="AC188" s="1070"/>
      <c r="AD188" s="1070"/>
      <c r="AE188" s="1070"/>
      <c r="AF188" s="1070"/>
      <c r="AG188" s="1070"/>
      <c r="AH188" s="1073"/>
      <c r="AI188" s="1070"/>
      <c r="AJ188" s="1070"/>
      <c r="AK188" s="1070"/>
      <c r="AL188" s="1082"/>
      <c r="AM188" s="1069"/>
      <c r="AN188" s="1070"/>
      <c r="AO188" s="1070"/>
      <c r="AP188" s="1070"/>
      <c r="AQ188" s="1070"/>
      <c r="AR188" s="1069"/>
      <c r="AS188" s="1282"/>
      <c r="AT188" s="1282"/>
      <c r="AU188" s="1069"/>
      <c r="AV188" s="1069"/>
      <c r="AW188" s="1069"/>
      <c r="AX188" s="1070"/>
      <c r="AY188" s="1070"/>
      <c r="AZ188" s="1078">
        <f t="shared" si="107"/>
        <v>0.99570000000000003</v>
      </c>
      <c r="BA188" s="59">
        <v>184</v>
      </c>
      <c r="BB188" s="59">
        <f t="shared" si="108"/>
        <v>184</v>
      </c>
      <c r="BC188" s="60" t="str">
        <f t="shared" si="109"/>
        <v>Oleo</v>
      </c>
      <c r="BD188" s="61" t="str">
        <f ca="1">IFERROR(IF(SEARCH('Calcular Dieta'!A$3,$BC$5:$BC$310)&gt;=1,BC188,"Não encontrado"),"Não encontrado")</f>
        <v>Oleo</v>
      </c>
      <c r="BE188" s="62">
        <f ca="1">COUNTIF(BD$5:BD188,"&lt;&gt;"&amp;"Não encontrado")</f>
        <v>184</v>
      </c>
      <c r="BF188" s="63" t="str">
        <f t="shared" ca="1" si="110"/>
        <v>OLEO</v>
      </c>
      <c r="BG188" s="744" t="str">
        <f t="shared" si="111"/>
        <v/>
      </c>
      <c r="BH188" s="744" t="str">
        <f t="shared" si="112"/>
        <v/>
      </c>
      <c r="BI188" s="744" t="str">
        <f t="shared" si="113"/>
        <v/>
      </c>
      <c r="BJ188" s="744">
        <f t="shared" si="114"/>
        <v>1.950188</v>
      </c>
      <c r="BK188" s="744">
        <f t="shared" si="115"/>
        <v>8.5977379999999997</v>
      </c>
      <c r="BL188" s="744">
        <f t="shared" si="116"/>
        <v>8.2301880000000001</v>
      </c>
      <c r="BM188" s="744" t="str">
        <f t="shared" si="117"/>
        <v/>
      </c>
      <c r="BN188" s="744">
        <f t="shared" si="118"/>
        <v>991.70018800000003</v>
      </c>
      <c r="BO188" s="744" t="str">
        <f t="shared" si="119"/>
        <v/>
      </c>
      <c r="BP188" s="744" t="str">
        <f t="shared" si="120"/>
        <v/>
      </c>
      <c r="BQ188" s="744" t="str">
        <f t="shared" si="121"/>
        <v/>
      </c>
      <c r="BR188" s="744" t="str">
        <f t="shared" si="122"/>
        <v/>
      </c>
      <c r="BS188" s="744" t="str">
        <f t="shared" si="123"/>
        <v/>
      </c>
      <c r="BT188" s="744" t="str">
        <f t="shared" si="124"/>
        <v/>
      </c>
      <c r="BU188" s="744" t="str">
        <f t="shared" si="125"/>
        <v/>
      </c>
      <c r="BV188" s="744" t="str">
        <f t="shared" si="126"/>
        <v/>
      </c>
      <c r="BW188" s="744" t="str">
        <f t="shared" si="127"/>
        <v/>
      </c>
      <c r="BX188" s="744" t="str">
        <f t="shared" si="128"/>
        <v/>
      </c>
      <c r="BY188" s="744" t="str">
        <f t="shared" si="129"/>
        <v/>
      </c>
      <c r="BZ188" s="744" t="str">
        <f t="shared" si="130"/>
        <v/>
      </c>
      <c r="CA188" s="744" t="str">
        <f t="shared" si="131"/>
        <v/>
      </c>
      <c r="CB188" s="744" t="str">
        <f t="shared" si="132"/>
        <v/>
      </c>
      <c r="CC188" s="744" t="str">
        <f t="shared" si="133"/>
        <v/>
      </c>
      <c r="CD188" s="744" t="str">
        <f t="shared" si="134"/>
        <v/>
      </c>
      <c r="CE188" s="744" t="str">
        <f t="shared" si="135"/>
        <v/>
      </c>
      <c r="CF188" s="744" t="str">
        <f t="shared" si="136"/>
        <v/>
      </c>
      <c r="CG188" s="744" t="str">
        <f t="shared" si="137"/>
        <v/>
      </c>
      <c r="CH188" s="744" t="str">
        <f t="shared" si="138"/>
        <v/>
      </c>
      <c r="CI188" s="744" t="str">
        <f t="shared" si="139"/>
        <v/>
      </c>
      <c r="CJ188" s="744" t="str">
        <f t="shared" si="140"/>
        <v/>
      </c>
      <c r="CK188" s="744" t="str">
        <f t="shared" si="141"/>
        <v/>
      </c>
      <c r="CL188" s="744" t="str">
        <f t="shared" si="142"/>
        <v/>
      </c>
      <c r="CM188" s="744" t="str">
        <f t="shared" si="143"/>
        <v/>
      </c>
      <c r="CN188" s="744" t="str">
        <f t="shared" si="144"/>
        <v/>
      </c>
      <c r="CO188" s="744" t="str">
        <f t="shared" si="145"/>
        <v/>
      </c>
      <c r="CP188" s="744" t="str">
        <f t="shared" si="146"/>
        <v/>
      </c>
      <c r="CQ188" s="744" t="str">
        <f t="shared" si="147"/>
        <v/>
      </c>
      <c r="CR188" s="744" t="str">
        <f t="shared" si="148"/>
        <v/>
      </c>
      <c r="CS188" s="744" t="str">
        <f t="shared" si="149"/>
        <v/>
      </c>
      <c r="CT188" s="744" t="str">
        <f t="shared" si="150"/>
        <v/>
      </c>
      <c r="CU188" s="744" t="str">
        <f t="shared" si="151"/>
        <v/>
      </c>
      <c r="CV188" s="744" t="str">
        <f t="shared" si="152"/>
        <v/>
      </c>
      <c r="CW188" s="744" t="str">
        <f t="shared" si="153"/>
        <v/>
      </c>
      <c r="CX188" s="744">
        <f t="shared" si="154"/>
        <v>0.995888</v>
      </c>
    </row>
    <row r="189" spans="1:102">
      <c r="A189" s="633">
        <v>186</v>
      </c>
      <c r="B189" s="630" t="s">
        <v>4</v>
      </c>
      <c r="C189" s="631" t="s">
        <v>250</v>
      </c>
      <c r="D189" s="630" t="s">
        <v>1392</v>
      </c>
      <c r="E189" s="632" t="s">
        <v>222</v>
      </c>
      <c r="F189" s="1067">
        <v>1</v>
      </c>
      <c r="G189" s="1066">
        <v>1</v>
      </c>
      <c r="H189" s="1070">
        <v>0.9</v>
      </c>
      <c r="I189" s="1070">
        <v>0.36</v>
      </c>
      <c r="J189" s="1070">
        <v>0</v>
      </c>
      <c r="K189" s="1070"/>
      <c r="L189" s="1072">
        <v>0.58499999999999996</v>
      </c>
      <c r="M189" s="1070">
        <v>2.5792649999999999</v>
      </c>
      <c r="N189" s="1070"/>
      <c r="O189" s="1070"/>
      <c r="P189" s="1073">
        <v>8.19</v>
      </c>
      <c r="Q189" s="1070">
        <v>230.40000000000003</v>
      </c>
      <c r="R189" s="1070">
        <v>126.72</v>
      </c>
      <c r="S189" s="1070"/>
      <c r="T189" s="1070"/>
      <c r="U189" s="1070"/>
      <c r="V189" s="1066">
        <v>0.99</v>
      </c>
      <c r="W189" s="1070">
        <v>7.02</v>
      </c>
      <c r="X189" s="1070">
        <v>2.52</v>
      </c>
      <c r="Y189" s="1070">
        <v>0.36</v>
      </c>
      <c r="Z189" s="1070">
        <v>6.21</v>
      </c>
      <c r="AA189" s="1070">
        <v>1.8</v>
      </c>
      <c r="AB189" s="1070">
        <v>15.57</v>
      </c>
      <c r="AC189" s="1070">
        <v>68.400000000000006</v>
      </c>
      <c r="AD189" s="1070">
        <v>309.60000000000002</v>
      </c>
      <c r="AE189" s="1070">
        <v>39.33</v>
      </c>
      <c r="AF189" s="1070">
        <v>0.09</v>
      </c>
      <c r="AG189" s="1070">
        <v>0.09</v>
      </c>
      <c r="AH189" s="1073">
        <v>0.09</v>
      </c>
      <c r="AI189" s="1070"/>
      <c r="AJ189" s="1070"/>
      <c r="AK189" s="1070"/>
      <c r="AL189" s="1082"/>
      <c r="AM189" s="1069"/>
      <c r="AN189" s="1070"/>
      <c r="AO189" s="1070"/>
      <c r="AP189" s="1070"/>
      <c r="AQ189" s="1070"/>
      <c r="AR189" s="1069"/>
      <c r="AS189" s="1282"/>
      <c r="AT189" s="1282"/>
      <c r="AU189" s="1069"/>
      <c r="AV189" s="1069"/>
      <c r="AW189" s="1069"/>
      <c r="AX189" s="1070"/>
      <c r="AY189" s="1070"/>
      <c r="AZ189" s="1078">
        <f t="shared" si="107"/>
        <v>0.9</v>
      </c>
      <c r="BA189" s="59">
        <v>185</v>
      </c>
      <c r="BB189" s="59">
        <f t="shared" si="108"/>
        <v>185</v>
      </c>
      <c r="BC189" s="60" t="str">
        <f t="shared" si="109"/>
        <v>Ouricuri, Farelo</v>
      </c>
      <c r="BD189" s="61" t="str">
        <f ca="1">IFERROR(IF(SEARCH('Calcular Dieta'!A$3,$BC$5:$BC$310)&gt;=1,BC189,"Não encontrado"),"Não encontrado")</f>
        <v>Ouricuri, Farelo</v>
      </c>
      <c r="BE189" s="62">
        <f ca="1">COUNTIF(BD$5:BD189,"&lt;&gt;"&amp;"Não encontrado")</f>
        <v>185</v>
      </c>
      <c r="BF189" s="63" t="str">
        <f t="shared" ca="1" si="110"/>
        <v>OURICURI, FARELO</v>
      </c>
      <c r="BG189" s="744">
        <f t="shared" si="111"/>
        <v>0.36018899999999998</v>
      </c>
      <c r="BH189" s="744" t="str">
        <f t="shared" si="112"/>
        <v/>
      </c>
      <c r="BI189" s="744" t="str">
        <f t="shared" si="113"/>
        <v/>
      </c>
      <c r="BJ189" s="744">
        <f t="shared" si="114"/>
        <v>0.58518899999999996</v>
      </c>
      <c r="BK189" s="744">
        <f t="shared" si="115"/>
        <v>2.5794540000000001</v>
      </c>
      <c r="BL189" s="744" t="str">
        <f t="shared" si="116"/>
        <v/>
      </c>
      <c r="BM189" s="744" t="str">
        <f t="shared" si="117"/>
        <v/>
      </c>
      <c r="BN189" s="744">
        <f t="shared" si="118"/>
        <v>8.1901890000000002</v>
      </c>
      <c r="BO189" s="744">
        <f t="shared" si="119"/>
        <v>230.40018900000004</v>
      </c>
      <c r="BP189" s="744">
        <f t="shared" si="120"/>
        <v>126.720189</v>
      </c>
      <c r="BQ189" s="744" t="str">
        <f t="shared" si="121"/>
        <v/>
      </c>
      <c r="BR189" s="744" t="str">
        <f t="shared" si="122"/>
        <v/>
      </c>
      <c r="BS189" s="744" t="str">
        <f t="shared" si="123"/>
        <v/>
      </c>
      <c r="BT189" s="744">
        <f t="shared" si="124"/>
        <v>0.99018899999999999</v>
      </c>
      <c r="BU189" s="744">
        <f t="shared" si="125"/>
        <v>7.0201889999999993</v>
      </c>
      <c r="BV189" s="744">
        <f t="shared" si="126"/>
        <v>2.5201890000000002</v>
      </c>
      <c r="BW189" s="744">
        <f t="shared" si="127"/>
        <v>0.36018899999999998</v>
      </c>
      <c r="BX189" s="744">
        <f t="shared" si="128"/>
        <v>6.2101889999999997</v>
      </c>
      <c r="BY189" s="744">
        <f t="shared" si="129"/>
        <v>1.800189</v>
      </c>
      <c r="BZ189" s="744">
        <f t="shared" si="130"/>
        <v>15.570189000000001</v>
      </c>
      <c r="CA189" s="744">
        <f t="shared" si="131"/>
        <v>68.400189000000012</v>
      </c>
      <c r="CB189" s="744">
        <f t="shared" si="132"/>
        <v>309.600189</v>
      </c>
      <c r="CC189" s="744">
        <f t="shared" si="133"/>
        <v>39.330188999999997</v>
      </c>
      <c r="CD189" s="744">
        <f t="shared" si="134"/>
        <v>9.0188999999999991E-2</v>
      </c>
      <c r="CE189" s="744">
        <f t="shared" si="135"/>
        <v>9.0188999999999991E-2</v>
      </c>
      <c r="CF189" s="744">
        <f t="shared" si="136"/>
        <v>9.0188999999999991E-2</v>
      </c>
      <c r="CG189" s="744" t="str">
        <f t="shared" si="137"/>
        <v/>
      </c>
      <c r="CH189" s="744" t="str">
        <f t="shared" si="138"/>
        <v/>
      </c>
      <c r="CI189" s="744" t="str">
        <f t="shared" si="139"/>
        <v/>
      </c>
      <c r="CJ189" s="744" t="str">
        <f t="shared" si="140"/>
        <v/>
      </c>
      <c r="CK189" s="744" t="str">
        <f t="shared" si="141"/>
        <v/>
      </c>
      <c r="CL189" s="744" t="str">
        <f t="shared" si="142"/>
        <v/>
      </c>
      <c r="CM189" s="744" t="str">
        <f t="shared" si="143"/>
        <v/>
      </c>
      <c r="CN189" s="744" t="str">
        <f t="shared" si="144"/>
        <v/>
      </c>
      <c r="CO189" s="744" t="str">
        <f t="shared" si="145"/>
        <v/>
      </c>
      <c r="CP189" s="744" t="str">
        <f t="shared" si="146"/>
        <v/>
      </c>
      <c r="CQ189" s="744" t="str">
        <f t="shared" si="147"/>
        <v/>
      </c>
      <c r="CR189" s="744" t="str">
        <f t="shared" si="148"/>
        <v/>
      </c>
      <c r="CS189" s="744" t="str">
        <f t="shared" si="149"/>
        <v/>
      </c>
      <c r="CT189" s="744" t="str">
        <f t="shared" si="150"/>
        <v/>
      </c>
      <c r="CU189" s="744" t="str">
        <f t="shared" si="151"/>
        <v/>
      </c>
      <c r="CV189" s="744" t="str">
        <f t="shared" si="152"/>
        <v/>
      </c>
      <c r="CW189" s="744" t="str">
        <f t="shared" si="153"/>
        <v/>
      </c>
      <c r="CX189" s="744">
        <f t="shared" si="154"/>
        <v>0.90018900000000002</v>
      </c>
    </row>
    <row r="190" spans="1:102">
      <c r="A190" s="630">
        <v>187</v>
      </c>
      <c r="B190" s="630" t="s">
        <v>4</v>
      </c>
      <c r="C190" s="631" t="s">
        <v>253</v>
      </c>
      <c r="D190" s="630" t="s">
        <v>1390</v>
      </c>
      <c r="E190" s="632" t="s">
        <v>223</v>
      </c>
      <c r="F190" s="1067">
        <v>1</v>
      </c>
      <c r="G190" s="1066">
        <v>1</v>
      </c>
      <c r="H190" s="1070">
        <v>0.98319999999999996</v>
      </c>
      <c r="I190" s="1070"/>
      <c r="J190" s="1070"/>
      <c r="K190" s="1070"/>
      <c r="L190" s="1072"/>
      <c r="M190" s="1070"/>
      <c r="N190" s="1070"/>
      <c r="O190" s="1070"/>
      <c r="P190" s="1073"/>
      <c r="Q190" s="1070"/>
      <c r="R190" s="1070"/>
      <c r="S190" s="1070"/>
      <c r="T190" s="1070"/>
      <c r="U190" s="1070"/>
      <c r="V190" s="1066">
        <v>5.7025600000000001</v>
      </c>
      <c r="W190" s="1070"/>
      <c r="X190" s="1070">
        <v>529.35487999999998</v>
      </c>
      <c r="Y190" s="1070">
        <v>0.29496</v>
      </c>
      <c r="Z190" s="1070"/>
      <c r="AA190" s="1070"/>
      <c r="AB190" s="1070"/>
      <c r="AC190" s="1070"/>
      <c r="AD190" s="1070"/>
      <c r="AE190" s="1070"/>
      <c r="AF190" s="1070"/>
      <c r="AG190" s="1070"/>
      <c r="AH190" s="1073"/>
      <c r="AI190" s="1070"/>
      <c r="AJ190" s="1070"/>
      <c r="AK190" s="1070"/>
      <c r="AL190" s="1082"/>
      <c r="AM190" s="1069"/>
      <c r="AN190" s="1070"/>
      <c r="AO190" s="1070"/>
      <c r="AP190" s="1070"/>
      <c r="AQ190" s="1070"/>
      <c r="AR190" s="1069"/>
      <c r="AS190" s="1282"/>
      <c r="AT190" s="1282"/>
      <c r="AU190" s="1069"/>
      <c r="AV190" s="1069"/>
      <c r="AW190" s="1069"/>
      <c r="AX190" s="1070"/>
      <c r="AY190" s="1070"/>
      <c r="AZ190" s="1078">
        <f t="shared" si="107"/>
        <v>0.98319999999999996</v>
      </c>
      <c r="BA190" s="59">
        <v>186</v>
      </c>
      <c r="BB190" s="59">
        <f t="shared" si="108"/>
        <v>186</v>
      </c>
      <c r="BC190" s="60" t="str">
        <f t="shared" si="109"/>
        <v>Óxido de Magnésio</v>
      </c>
      <c r="BD190" s="61" t="str">
        <f ca="1">IFERROR(IF(SEARCH('Calcular Dieta'!A$3,$BC$5:$BC$310)&gt;=1,BC190,"Não encontrado"),"Não encontrado")</f>
        <v>Óxido de Magnésio</v>
      </c>
      <c r="BE190" s="62">
        <f ca="1">COUNTIF(BD$5:BD190,"&lt;&gt;"&amp;"Não encontrado")</f>
        <v>186</v>
      </c>
      <c r="BF190" s="63" t="str">
        <f t="shared" ca="1" si="110"/>
        <v>ÓXIDO DE MAGNÉSIO</v>
      </c>
      <c r="BG190" s="744" t="str">
        <f t="shared" si="111"/>
        <v/>
      </c>
      <c r="BH190" s="744" t="str">
        <f t="shared" si="112"/>
        <v/>
      </c>
      <c r="BI190" s="744" t="str">
        <f t="shared" si="113"/>
        <v/>
      </c>
      <c r="BJ190" s="744" t="str">
        <f t="shared" si="114"/>
        <v/>
      </c>
      <c r="BK190" s="744" t="str">
        <f t="shared" si="115"/>
        <v/>
      </c>
      <c r="BL190" s="744" t="str">
        <f t="shared" si="116"/>
        <v/>
      </c>
      <c r="BM190" s="744" t="str">
        <f t="shared" si="117"/>
        <v/>
      </c>
      <c r="BN190" s="744" t="str">
        <f t="shared" si="118"/>
        <v/>
      </c>
      <c r="BO190" s="744" t="str">
        <f t="shared" si="119"/>
        <v/>
      </c>
      <c r="BP190" s="744" t="str">
        <f t="shared" si="120"/>
        <v/>
      </c>
      <c r="BQ190" s="744" t="str">
        <f t="shared" si="121"/>
        <v/>
      </c>
      <c r="BR190" s="744" t="str">
        <f t="shared" si="122"/>
        <v/>
      </c>
      <c r="BS190" s="744" t="str">
        <f t="shared" si="123"/>
        <v/>
      </c>
      <c r="BT190" s="744">
        <f t="shared" si="124"/>
        <v>5.70275</v>
      </c>
      <c r="BU190" s="744" t="str">
        <f t="shared" si="125"/>
        <v/>
      </c>
      <c r="BV190" s="744">
        <f t="shared" si="126"/>
        <v>529.35506999999996</v>
      </c>
      <c r="BW190" s="744">
        <f t="shared" si="127"/>
        <v>0.29515000000000002</v>
      </c>
      <c r="BX190" s="744" t="str">
        <f t="shared" si="128"/>
        <v/>
      </c>
      <c r="BY190" s="744" t="str">
        <f t="shared" si="129"/>
        <v/>
      </c>
      <c r="BZ190" s="744" t="str">
        <f t="shared" si="130"/>
        <v/>
      </c>
      <c r="CA190" s="744" t="str">
        <f t="shared" si="131"/>
        <v/>
      </c>
      <c r="CB190" s="744" t="str">
        <f t="shared" si="132"/>
        <v/>
      </c>
      <c r="CC190" s="744" t="str">
        <f t="shared" si="133"/>
        <v/>
      </c>
      <c r="CD190" s="744" t="str">
        <f t="shared" si="134"/>
        <v/>
      </c>
      <c r="CE190" s="744" t="str">
        <f t="shared" si="135"/>
        <v/>
      </c>
      <c r="CF190" s="744" t="str">
        <f t="shared" si="136"/>
        <v/>
      </c>
      <c r="CG190" s="744" t="str">
        <f t="shared" si="137"/>
        <v/>
      </c>
      <c r="CH190" s="744" t="str">
        <f t="shared" si="138"/>
        <v/>
      </c>
      <c r="CI190" s="744" t="str">
        <f t="shared" si="139"/>
        <v/>
      </c>
      <c r="CJ190" s="744" t="str">
        <f t="shared" si="140"/>
        <v/>
      </c>
      <c r="CK190" s="744" t="str">
        <f t="shared" si="141"/>
        <v/>
      </c>
      <c r="CL190" s="744" t="str">
        <f t="shared" si="142"/>
        <v/>
      </c>
      <c r="CM190" s="744" t="str">
        <f t="shared" si="143"/>
        <v/>
      </c>
      <c r="CN190" s="744" t="str">
        <f t="shared" si="144"/>
        <v/>
      </c>
      <c r="CO190" s="744" t="str">
        <f t="shared" si="145"/>
        <v/>
      </c>
      <c r="CP190" s="744" t="str">
        <f t="shared" si="146"/>
        <v/>
      </c>
      <c r="CQ190" s="744" t="str">
        <f t="shared" si="147"/>
        <v/>
      </c>
      <c r="CR190" s="744" t="str">
        <f t="shared" si="148"/>
        <v/>
      </c>
      <c r="CS190" s="744" t="str">
        <f t="shared" si="149"/>
        <v/>
      </c>
      <c r="CT190" s="744" t="str">
        <f t="shared" si="150"/>
        <v/>
      </c>
      <c r="CU190" s="744" t="str">
        <f t="shared" si="151"/>
        <v/>
      </c>
      <c r="CV190" s="744" t="str">
        <f t="shared" si="152"/>
        <v/>
      </c>
      <c r="CW190" s="744" t="str">
        <f t="shared" si="153"/>
        <v/>
      </c>
      <c r="CX190" s="744">
        <f t="shared" si="154"/>
        <v>0.98338999999999999</v>
      </c>
    </row>
    <row r="191" spans="1:102">
      <c r="A191" s="633">
        <v>188</v>
      </c>
      <c r="B191" s="630" t="s">
        <v>3</v>
      </c>
      <c r="C191" s="631" t="s">
        <v>249</v>
      </c>
      <c r="D191" s="630" t="s">
        <v>1390</v>
      </c>
      <c r="E191" s="632" t="s">
        <v>224</v>
      </c>
      <c r="F191" s="1067">
        <v>1</v>
      </c>
      <c r="G191" s="1066">
        <v>1</v>
      </c>
      <c r="H191" s="1070">
        <v>0.11269999999999999</v>
      </c>
      <c r="I191" s="1070">
        <v>2.6439419999999998E-2</v>
      </c>
      <c r="J191" s="1070">
        <v>1.66E-2</v>
      </c>
      <c r="K191" s="1070">
        <v>6.643665E-2</v>
      </c>
      <c r="L191" s="1072">
        <v>7.2387210000000007E-2</v>
      </c>
      <c r="M191" s="1070"/>
      <c r="N191" s="1070">
        <v>2.27</v>
      </c>
      <c r="O191" s="1070"/>
      <c r="P191" s="1073">
        <v>2.9414699999999998</v>
      </c>
      <c r="Q191" s="1070">
        <v>4.59816</v>
      </c>
      <c r="R191" s="1070">
        <v>0.22530984000000001</v>
      </c>
      <c r="S191" s="1070">
        <v>9.7021175999999987E-2</v>
      </c>
      <c r="T191" s="1070">
        <v>0.21565370400000003</v>
      </c>
      <c r="U191" s="1070"/>
      <c r="V191" s="1066">
        <v>4.32768</v>
      </c>
      <c r="W191" s="1070">
        <v>0.24793999999999999</v>
      </c>
      <c r="X191" s="1070">
        <v>0.92413999999999985</v>
      </c>
      <c r="Y191" s="1070">
        <v>9.0160000000000004E-2</v>
      </c>
      <c r="Z191" s="1070">
        <v>3.2006799999999997</v>
      </c>
      <c r="AA191" s="1070">
        <v>1.9159000000000002</v>
      </c>
      <c r="AB191" s="1070"/>
      <c r="AC191" s="1070">
        <v>108.58</v>
      </c>
      <c r="AD191" s="1070"/>
      <c r="AE191" s="1070">
        <v>686.87</v>
      </c>
      <c r="AF191" s="1070">
        <v>6.49</v>
      </c>
      <c r="AG191" s="1070"/>
      <c r="AH191" s="1073"/>
      <c r="AI191" s="1070"/>
      <c r="AJ191" s="1070"/>
      <c r="AK191" s="1070"/>
      <c r="AL191" s="1082"/>
      <c r="AM191" s="1069"/>
      <c r="AN191" s="1070"/>
      <c r="AO191" s="1070"/>
      <c r="AP191" s="1070"/>
      <c r="AQ191" s="1070"/>
      <c r="AR191" s="1069"/>
      <c r="AS191" s="1282"/>
      <c r="AT191" s="1282"/>
      <c r="AU191" s="1069"/>
      <c r="AV191" s="1069"/>
      <c r="AW191" s="1069"/>
      <c r="AX191" s="1070"/>
      <c r="AY191" s="1070"/>
      <c r="AZ191" s="1078">
        <f t="shared" si="107"/>
        <v>0.11269999999999999</v>
      </c>
      <c r="BA191" s="59">
        <v>187</v>
      </c>
      <c r="BB191" s="59">
        <f t="shared" si="108"/>
        <v>187</v>
      </c>
      <c r="BC191" s="60" t="str">
        <f t="shared" si="109"/>
        <v>Palma Miúda</v>
      </c>
      <c r="BD191" s="61" t="str">
        <f ca="1">IFERROR(IF(SEARCH('Calcular Dieta'!A$3,$BC$5:$BC$310)&gt;=1,BC191,"Não encontrado"),"Não encontrado")</f>
        <v>Palma Miúda</v>
      </c>
      <c r="BE191" s="62">
        <f ca="1">COUNTIF(BD$5:BD191,"&lt;&gt;"&amp;"Não encontrado")</f>
        <v>187</v>
      </c>
      <c r="BF191" s="63" t="str">
        <f t="shared" ca="1" si="110"/>
        <v>PALMA MIÚDA</v>
      </c>
      <c r="BG191" s="744">
        <f t="shared" si="111"/>
        <v>2.6630419999999998E-2</v>
      </c>
      <c r="BH191" s="744">
        <f t="shared" si="112"/>
        <v>1.6791E-2</v>
      </c>
      <c r="BI191" s="744">
        <f t="shared" si="113"/>
        <v>6.6627649999999997E-2</v>
      </c>
      <c r="BJ191" s="744">
        <f t="shared" si="114"/>
        <v>7.2578210000000004E-2</v>
      </c>
      <c r="BK191" s="744" t="str">
        <f t="shared" si="115"/>
        <v/>
      </c>
      <c r="BL191" s="744">
        <f t="shared" si="116"/>
        <v>2.2701910000000001</v>
      </c>
      <c r="BM191" s="744" t="str">
        <f t="shared" si="117"/>
        <v/>
      </c>
      <c r="BN191" s="744">
        <f t="shared" si="118"/>
        <v>2.9416609999999999</v>
      </c>
      <c r="BO191" s="744">
        <f t="shared" si="119"/>
        <v>4.5983510000000001</v>
      </c>
      <c r="BP191" s="744">
        <f t="shared" si="120"/>
        <v>0.22550084000000001</v>
      </c>
      <c r="BQ191" s="744">
        <f t="shared" si="121"/>
        <v>9.7212175999999983E-2</v>
      </c>
      <c r="BR191" s="744">
        <f t="shared" si="122"/>
        <v>0.21584470400000003</v>
      </c>
      <c r="BS191" s="744" t="str">
        <f t="shared" si="123"/>
        <v/>
      </c>
      <c r="BT191" s="744">
        <f t="shared" si="124"/>
        <v>4.327871</v>
      </c>
      <c r="BU191" s="744">
        <f t="shared" si="125"/>
        <v>0.24813099999999999</v>
      </c>
      <c r="BV191" s="744">
        <f t="shared" si="126"/>
        <v>0.9243309999999999</v>
      </c>
      <c r="BW191" s="744">
        <f t="shared" si="127"/>
        <v>9.0351000000000001E-2</v>
      </c>
      <c r="BX191" s="744">
        <f t="shared" si="128"/>
        <v>3.2008709999999998</v>
      </c>
      <c r="BY191" s="744">
        <f t="shared" si="129"/>
        <v>1.9160910000000002</v>
      </c>
      <c r="BZ191" s="744" t="str">
        <f t="shared" si="130"/>
        <v/>
      </c>
      <c r="CA191" s="744">
        <f t="shared" si="131"/>
        <v>108.580191</v>
      </c>
      <c r="CB191" s="744" t="str">
        <f t="shared" si="132"/>
        <v/>
      </c>
      <c r="CC191" s="744">
        <f t="shared" si="133"/>
        <v>686.87019099999998</v>
      </c>
      <c r="CD191" s="744">
        <f t="shared" si="134"/>
        <v>6.4901910000000003</v>
      </c>
      <c r="CE191" s="744" t="str">
        <f t="shared" si="135"/>
        <v/>
      </c>
      <c r="CF191" s="744" t="str">
        <f t="shared" si="136"/>
        <v/>
      </c>
      <c r="CG191" s="744" t="str">
        <f t="shared" si="137"/>
        <v/>
      </c>
      <c r="CH191" s="744" t="str">
        <f t="shared" si="138"/>
        <v/>
      </c>
      <c r="CI191" s="744" t="str">
        <f t="shared" si="139"/>
        <v/>
      </c>
      <c r="CJ191" s="744" t="str">
        <f t="shared" si="140"/>
        <v/>
      </c>
      <c r="CK191" s="744" t="str">
        <f t="shared" si="141"/>
        <v/>
      </c>
      <c r="CL191" s="744" t="str">
        <f t="shared" si="142"/>
        <v/>
      </c>
      <c r="CM191" s="744" t="str">
        <f t="shared" si="143"/>
        <v/>
      </c>
      <c r="CN191" s="744" t="str">
        <f t="shared" si="144"/>
        <v/>
      </c>
      <c r="CO191" s="744" t="str">
        <f t="shared" si="145"/>
        <v/>
      </c>
      <c r="CP191" s="744" t="str">
        <f t="shared" si="146"/>
        <v/>
      </c>
      <c r="CQ191" s="744" t="str">
        <f t="shared" si="147"/>
        <v/>
      </c>
      <c r="CR191" s="744" t="str">
        <f t="shared" si="148"/>
        <v/>
      </c>
      <c r="CS191" s="744" t="str">
        <f t="shared" si="149"/>
        <v/>
      </c>
      <c r="CT191" s="744" t="str">
        <f t="shared" si="150"/>
        <v/>
      </c>
      <c r="CU191" s="744" t="str">
        <f t="shared" si="151"/>
        <v/>
      </c>
      <c r="CV191" s="744" t="str">
        <f t="shared" si="152"/>
        <v/>
      </c>
      <c r="CW191" s="744" t="str">
        <f t="shared" si="153"/>
        <v/>
      </c>
      <c r="CX191" s="744">
        <f t="shared" si="154"/>
        <v>0.11289099999999999</v>
      </c>
    </row>
    <row r="192" spans="1:102">
      <c r="A192" s="630">
        <v>189</v>
      </c>
      <c r="B192" s="630" t="s">
        <v>3</v>
      </c>
      <c r="C192" s="631" t="s">
        <v>249</v>
      </c>
      <c r="D192" s="630" t="s">
        <v>1392</v>
      </c>
      <c r="E192" s="632" t="s">
        <v>225</v>
      </c>
      <c r="F192" s="1067">
        <v>0.2</v>
      </c>
      <c r="G192" s="1066">
        <v>1</v>
      </c>
      <c r="H192" s="1070">
        <v>0.23</v>
      </c>
      <c r="I192" s="1070">
        <v>0.161</v>
      </c>
      <c r="J192" s="1070">
        <v>9.2000000000000012E-2</v>
      </c>
      <c r="K192" s="1070"/>
      <c r="L192" s="1072">
        <v>0.13339999999999999</v>
      </c>
      <c r="M192" s="1070">
        <v>0.58816059999999992</v>
      </c>
      <c r="N192" s="1070"/>
      <c r="O192" s="1070"/>
      <c r="P192" s="1073">
        <v>5.52</v>
      </c>
      <c r="Q192" s="1070">
        <v>18.399999999999999</v>
      </c>
      <c r="R192" s="1070">
        <v>11.040000000000001</v>
      </c>
      <c r="S192" s="1070"/>
      <c r="T192" s="1070"/>
      <c r="U192" s="1070"/>
      <c r="V192" s="1066">
        <v>0.92</v>
      </c>
      <c r="W192" s="1070">
        <v>0.36800000000000005</v>
      </c>
      <c r="X192" s="1070">
        <v>0.57499999999999996</v>
      </c>
      <c r="Y192" s="1070">
        <v>2.7600000000000003E-2</v>
      </c>
      <c r="Z192" s="1070">
        <v>4.37</v>
      </c>
      <c r="AA192" s="1070">
        <v>0.29899999999999999</v>
      </c>
      <c r="AB192" s="1070">
        <v>0.69</v>
      </c>
      <c r="AC192" s="1070">
        <v>9.1999999999999993</v>
      </c>
      <c r="AD192" s="1070">
        <v>34.5</v>
      </c>
      <c r="AE192" s="1070">
        <v>34.5</v>
      </c>
      <c r="AF192" s="1070">
        <v>5.7500000000000002E-2</v>
      </c>
      <c r="AG192" s="1070">
        <v>1.38E-2</v>
      </c>
      <c r="AH192" s="1073">
        <v>9.1999999999999998E-3</v>
      </c>
      <c r="AI192" s="1070"/>
      <c r="AJ192" s="1070"/>
      <c r="AK192" s="1070"/>
      <c r="AL192" s="1082">
        <v>3450</v>
      </c>
      <c r="AM192" s="1069"/>
      <c r="AN192" s="1070"/>
      <c r="AO192" s="1070"/>
      <c r="AP192" s="1070"/>
      <c r="AQ192" s="1070"/>
      <c r="AR192" s="1069"/>
      <c r="AS192" s="1282"/>
      <c r="AT192" s="1282"/>
      <c r="AU192" s="1069"/>
      <c r="AV192" s="1069"/>
      <c r="AW192" s="1069"/>
      <c r="AX192" s="1070"/>
      <c r="AY192" s="1070"/>
      <c r="AZ192" s="1078">
        <f t="shared" si="107"/>
        <v>0.23</v>
      </c>
      <c r="BA192" s="59">
        <v>188</v>
      </c>
      <c r="BB192" s="59">
        <f t="shared" si="108"/>
        <v>188</v>
      </c>
      <c r="BC192" s="60" t="str">
        <f t="shared" si="109"/>
        <v>Pastagem (Água)</v>
      </c>
      <c r="BD192" s="61" t="str">
        <f ca="1">IFERROR(IF(SEARCH('Calcular Dieta'!A$3,$BC$5:$BC$310)&gt;=1,BC192,"Não encontrado"),"Não encontrado")</f>
        <v>Pastagem (Água)</v>
      </c>
      <c r="BE192" s="62">
        <f ca="1">COUNTIF(BD$5:BD192,"&lt;&gt;"&amp;"Não encontrado")</f>
        <v>188</v>
      </c>
      <c r="BF192" s="63" t="str">
        <f t="shared" ca="1" si="110"/>
        <v>PASTAGEM (ÁGUA)</v>
      </c>
      <c r="BG192" s="744">
        <f t="shared" si="111"/>
        <v>0.161192</v>
      </c>
      <c r="BH192" s="744">
        <f t="shared" si="112"/>
        <v>9.219200000000001E-2</v>
      </c>
      <c r="BI192" s="744" t="str">
        <f t="shared" si="113"/>
        <v/>
      </c>
      <c r="BJ192" s="744">
        <f t="shared" si="114"/>
        <v>0.13359199999999999</v>
      </c>
      <c r="BK192" s="744">
        <f t="shared" si="115"/>
        <v>0.58835259999999989</v>
      </c>
      <c r="BL192" s="744" t="str">
        <f t="shared" si="116"/>
        <v/>
      </c>
      <c r="BM192" s="744" t="str">
        <f t="shared" si="117"/>
        <v/>
      </c>
      <c r="BN192" s="744">
        <f t="shared" si="118"/>
        <v>5.5201919999999998</v>
      </c>
      <c r="BO192" s="744">
        <f t="shared" si="119"/>
        <v>18.400191999999997</v>
      </c>
      <c r="BP192" s="744">
        <f t="shared" si="120"/>
        <v>11.040192000000001</v>
      </c>
      <c r="BQ192" s="744" t="str">
        <f t="shared" si="121"/>
        <v/>
      </c>
      <c r="BR192" s="744" t="str">
        <f t="shared" si="122"/>
        <v/>
      </c>
      <c r="BS192" s="744" t="str">
        <f t="shared" si="123"/>
        <v/>
      </c>
      <c r="BT192" s="744">
        <f t="shared" si="124"/>
        <v>0.92019200000000001</v>
      </c>
      <c r="BU192" s="744">
        <f t="shared" si="125"/>
        <v>0.36819200000000007</v>
      </c>
      <c r="BV192" s="744">
        <f t="shared" si="126"/>
        <v>0.57519199999999993</v>
      </c>
      <c r="BW192" s="744">
        <f t="shared" si="127"/>
        <v>2.7792000000000004E-2</v>
      </c>
      <c r="BX192" s="744">
        <f t="shared" si="128"/>
        <v>4.3701920000000003</v>
      </c>
      <c r="BY192" s="744">
        <f t="shared" si="129"/>
        <v>0.29919200000000001</v>
      </c>
      <c r="BZ192" s="744">
        <f t="shared" si="130"/>
        <v>0.69019199999999992</v>
      </c>
      <c r="CA192" s="744">
        <f t="shared" si="131"/>
        <v>9.2001919999999995</v>
      </c>
      <c r="CB192" s="744">
        <f t="shared" si="132"/>
        <v>34.500191999999998</v>
      </c>
      <c r="CC192" s="744">
        <f t="shared" si="133"/>
        <v>34.500191999999998</v>
      </c>
      <c r="CD192" s="744">
        <f t="shared" si="134"/>
        <v>5.7692E-2</v>
      </c>
      <c r="CE192" s="744">
        <f t="shared" si="135"/>
        <v>1.3991999999999999E-2</v>
      </c>
      <c r="CF192" s="744">
        <f t="shared" si="136"/>
        <v>9.3919999999999993E-3</v>
      </c>
      <c r="CG192" s="744" t="str">
        <f t="shared" si="137"/>
        <v/>
      </c>
      <c r="CH192" s="744" t="str">
        <f t="shared" si="138"/>
        <v/>
      </c>
      <c r="CI192" s="744" t="str">
        <f t="shared" si="139"/>
        <v/>
      </c>
      <c r="CJ192" s="744">
        <f t="shared" si="140"/>
        <v>3450.000192</v>
      </c>
      <c r="CK192" s="744" t="str">
        <f t="shared" si="141"/>
        <v/>
      </c>
      <c r="CL192" s="744" t="str">
        <f t="shared" si="142"/>
        <v/>
      </c>
      <c r="CM192" s="744" t="str">
        <f t="shared" si="143"/>
        <v/>
      </c>
      <c r="CN192" s="744" t="str">
        <f t="shared" si="144"/>
        <v/>
      </c>
      <c r="CO192" s="744" t="str">
        <f t="shared" si="145"/>
        <v/>
      </c>
      <c r="CP192" s="744" t="str">
        <f t="shared" si="146"/>
        <v/>
      </c>
      <c r="CQ192" s="744" t="str">
        <f t="shared" si="147"/>
        <v/>
      </c>
      <c r="CR192" s="744" t="str">
        <f t="shared" si="148"/>
        <v/>
      </c>
      <c r="CS192" s="744" t="str">
        <f t="shared" si="149"/>
        <v/>
      </c>
      <c r="CT192" s="744" t="str">
        <f t="shared" si="150"/>
        <v/>
      </c>
      <c r="CU192" s="744" t="str">
        <f t="shared" si="151"/>
        <v/>
      </c>
      <c r="CV192" s="744" t="str">
        <f t="shared" si="152"/>
        <v/>
      </c>
      <c r="CW192" s="744" t="str">
        <f t="shared" si="153"/>
        <v/>
      </c>
      <c r="CX192" s="744">
        <f t="shared" si="154"/>
        <v>0.23019200000000001</v>
      </c>
    </row>
    <row r="193" spans="1:102">
      <c r="A193" s="633">
        <v>190</v>
      </c>
      <c r="B193" s="630" t="s">
        <v>3</v>
      </c>
      <c r="C193" s="631" t="s">
        <v>249</v>
      </c>
      <c r="D193" s="630" t="s">
        <v>1392</v>
      </c>
      <c r="E193" s="632" t="s">
        <v>226</v>
      </c>
      <c r="F193" s="1067">
        <v>0.2</v>
      </c>
      <c r="G193" s="1066">
        <v>1</v>
      </c>
      <c r="H193" s="1070">
        <v>0.25</v>
      </c>
      <c r="I193" s="1070">
        <v>0.17499999999999999</v>
      </c>
      <c r="J193" s="1070">
        <v>0.125</v>
      </c>
      <c r="K193" s="1070"/>
      <c r="L193" s="1072">
        <v>0.125</v>
      </c>
      <c r="M193" s="1070">
        <v>0.55112499999999998</v>
      </c>
      <c r="N193" s="1070"/>
      <c r="O193" s="1070"/>
      <c r="P193" s="1073">
        <v>6</v>
      </c>
      <c r="Q193" s="1070">
        <v>10</v>
      </c>
      <c r="R193" s="1070">
        <v>5</v>
      </c>
      <c r="S193" s="1070"/>
      <c r="T193" s="1070"/>
      <c r="U193" s="1070"/>
      <c r="V193" s="1066">
        <v>0.625</v>
      </c>
      <c r="W193" s="1070">
        <v>0.25</v>
      </c>
      <c r="X193" s="1070">
        <v>0.375</v>
      </c>
      <c r="Y193" s="1070">
        <v>3.7499999999999999E-2</v>
      </c>
      <c r="Z193" s="1070">
        <v>2.9</v>
      </c>
      <c r="AA193" s="1070">
        <v>0.32500000000000001</v>
      </c>
      <c r="AB193" s="1070">
        <v>0.45</v>
      </c>
      <c r="AC193" s="1070">
        <v>8.75</v>
      </c>
      <c r="AD193" s="1070">
        <v>61.25</v>
      </c>
      <c r="AE193" s="1070">
        <v>32.5</v>
      </c>
      <c r="AF193" s="1070">
        <v>6.25E-2</v>
      </c>
      <c r="AG193" s="1070">
        <v>1.4999999999999999E-2</v>
      </c>
      <c r="AH193" s="1073">
        <v>0.01</v>
      </c>
      <c r="AI193" s="1070"/>
      <c r="AJ193" s="1070"/>
      <c r="AK193" s="1070"/>
      <c r="AL193" s="1082">
        <v>3750</v>
      </c>
      <c r="AM193" s="1069"/>
      <c r="AN193" s="1070"/>
      <c r="AO193" s="1070"/>
      <c r="AP193" s="1070"/>
      <c r="AQ193" s="1070"/>
      <c r="AR193" s="1069"/>
      <c r="AS193" s="1282"/>
      <c r="AT193" s="1282"/>
      <c r="AU193" s="1069"/>
      <c r="AV193" s="1069"/>
      <c r="AW193" s="1069"/>
      <c r="AX193" s="1070"/>
      <c r="AY193" s="1070"/>
      <c r="AZ193" s="1078">
        <f t="shared" si="107"/>
        <v>0.25</v>
      </c>
      <c r="BA193" s="59">
        <v>189</v>
      </c>
      <c r="BB193" s="59">
        <f t="shared" si="108"/>
        <v>189</v>
      </c>
      <c r="BC193" s="60" t="str">
        <f t="shared" si="109"/>
        <v>Pastagem (Seca)</v>
      </c>
      <c r="BD193" s="61" t="str">
        <f ca="1">IFERROR(IF(SEARCH('Calcular Dieta'!A$3,$BC$5:$BC$310)&gt;=1,BC193,"Não encontrado"),"Não encontrado")</f>
        <v>Pastagem (Seca)</v>
      </c>
      <c r="BE193" s="62">
        <f ca="1">COUNTIF(BD$5:BD193,"&lt;&gt;"&amp;"Não encontrado")</f>
        <v>189</v>
      </c>
      <c r="BF193" s="63" t="str">
        <f t="shared" ca="1" si="110"/>
        <v>PASTAGEM (SECA)</v>
      </c>
      <c r="BG193" s="744">
        <f t="shared" si="111"/>
        <v>0.17519299999999999</v>
      </c>
      <c r="BH193" s="744">
        <f t="shared" si="112"/>
        <v>0.125193</v>
      </c>
      <c r="BI193" s="744" t="str">
        <f t="shared" si="113"/>
        <v/>
      </c>
      <c r="BJ193" s="744">
        <f t="shared" si="114"/>
        <v>0.125193</v>
      </c>
      <c r="BK193" s="744">
        <f t="shared" si="115"/>
        <v>0.55131799999999997</v>
      </c>
      <c r="BL193" s="744" t="str">
        <f t="shared" si="116"/>
        <v/>
      </c>
      <c r="BM193" s="744" t="str">
        <f t="shared" si="117"/>
        <v/>
      </c>
      <c r="BN193" s="744">
        <f t="shared" si="118"/>
        <v>6.0001930000000003</v>
      </c>
      <c r="BO193" s="744">
        <f t="shared" si="119"/>
        <v>10.000192999999999</v>
      </c>
      <c r="BP193" s="744">
        <f t="shared" si="120"/>
        <v>5.0001930000000003</v>
      </c>
      <c r="BQ193" s="744" t="str">
        <f t="shared" si="121"/>
        <v/>
      </c>
      <c r="BR193" s="744" t="str">
        <f t="shared" si="122"/>
        <v/>
      </c>
      <c r="BS193" s="744" t="str">
        <f t="shared" si="123"/>
        <v/>
      </c>
      <c r="BT193" s="744">
        <f t="shared" si="124"/>
        <v>0.625193</v>
      </c>
      <c r="BU193" s="744">
        <f t="shared" si="125"/>
        <v>0.250193</v>
      </c>
      <c r="BV193" s="744">
        <f t="shared" si="126"/>
        <v>0.375193</v>
      </c>
      <c r="BW193" s="744">
        <f t="shared" si="127"/>
        <v>3.7692999999999997E-2</v>
      </c>
      <c r="BX193" s="744">
        <f t="shared" si="128"/>
        <v>2.9001929999999998</v>
      </c>
      <c r="BY193" s="744">
        <f t="shared" si="129"/>
        <v>0.32519300000000001</v>
      </c>
      <c r="BZ193" s="744">
        <f t="shared" si="130"/>
        <v>0.45019300000000001</v>
      </c>
      <c r="CA193" s="744">
        <f t="shared" si="131"/>
        <v>8.7501929999999994</v>
      </c>
      <c r="CB193" s="744">
        <f t="shared" si="132"/>
        <v>61.250193000000003</v>
      </c>
      <c r="CC193" s="744">
        <f t="shared" si="133"/>
        <v>32.500193000000003</v>
      </c>
      <c r="CD193" s="744">
        <f t="shared" si="134"/>
        <v>6.2692999999999999E-2</v>
      </c>
      <c r="CE193" s="744">
        <f t="shared" si="135"/>
        <v>1.5193E-2</v>
      </c>
      <c r="CF193" s="744">
        <f t="shared" si="136"/>
        <v>1.0193000000000001E-2</v>
      </c>
      <c r="CG193" s="744" t="str">
        <f t="shared" si="137"/>
        <v/>
      </c>
      <c r="CH193" s="744" t="str">
        <f t="shared" si="138"/>
        <v/>
      </c>
      <c r="CI193" s="744" t="str">
        <f t="shared" si="139"/>
        <v/>
      </c>
      <c r="CJ193" s="744">
        <f t="shared" si="140"/>
        <v>3750.0001929999999</v>
      </c>
      <c r="CK193" s="744" t="str">
        <f t="shared" si="141"/>
        <v/>
      </c>
      <c r="CL193" s="744" t="str">
        <f t="shared" si="142"/>
        <v/>
      </c>
      <c r="CM193" s="744" t="str">
        <f t="shared" si="143"/>
        <v/>
      </c>
      <c r="CN193" s="744" t="str">
        <f t="shared" si="144"/>
        <v/>
      </c>
      <c r="CO193" s="744" t="str">
        <f t="shared" si="145"/>
        <v/>
      </c>
      <c r="CP193" s="744" t="str">
        <f t="shared" si="146"/>
        <v/>
      </c>
      <c r="CQ193" s="744" t="str">
        <f t="shared" si="147"/>
        <v/>
      </c>
      <c r="CR193" s="744" t="str">
        <f t="shared" si="148"/>
        <v/>
      </c>
      <c r="CS193" s="744" t="str">
        <f t="shared" si="149"/>
        <v/>
      </c>
      <c r="CT193" s="744" t="str">
        <f t="shared" si="150"/>
        <v/>
      </c>
      <c r="CU193" s="744" t="str">
        <f t="shared" si="151"/>
        <v/>
      </c>
      <c r="CV193" s="744" t="str">
        <f t="shared" si="152"/>
        <v/>
      </c>
      <c r="CW193" s="744" t="str">
        <f t="shared" si="153"/>
        <v/>
      </c>
      <c r="CX193" s="744">
        <f t="shared" si="154"/>
        <v>0.250193</v>
      </c>
    </row>
    <row r="194" spans="1:102">
      <c r="A194" s="630">
        <v>191</v>
      </c>
      <c r="B194" s="630" t="s">
        <v>4</v>
      </c>
      <c r="C194" s="631" t="s">
        <v>250</v>
      </c>
      <c r="D194" s="630" t="s">
        <v>1392</v>
      </c>
      <c r="E194" s="632" t="s">
        <v>227</v>
      </c>
      <c r="F194" s="1067">
        <v>1</v>
      </c>
      <c r="G194" s="1066">
        <v>1</v>
      </c>
      <c r="H194" s="1070">
        <v>0.92</v>
      </c>
      <c r="I194" s="1070"/>
      <c r="J194" s="1070"/>
      <c r="K194" s="1070"/>
      <c r="L194" s="1072">
        <v>0.72680000000000011</v>
      </c>
      <c r="M194" s="1070">
        <v>3.2044612000000003</v>
      </c>
      <c r="N194" s="1070"/>
      <c r="O194" s="1070"/>
      <c r="P194" s="1073">
        <v>60.812000000000005</v>
      </c>
      <c r="Q194" s="1070">
        <v>576.84</v>
      </c>
      <c r="R194" s="1070">
        <v>230.73599999999996</v>
      </c>
      <c r="S194" s="1070"/>
      <c r="T194" s="1070"/>
      <c r="U194" s="1070"/>
      <c r="V194" s="1066">
        <v>61.088000000000001</v>
      </c>
      <c r="W194" s="1070">
        <v>30.084</v>
      </c>
      <c r="X194" s="1070">
        <v>1.38</v>
      </c>
      <c r="Y194" s="1070">
        <v>3.036</v>
      </c>
      <c r="Z194" s="1070">
        <v>4.8760000000000003</v>
      </c>
      <c r="AA194" s="1070">
        <v>7.7279999999999998</v>
      </c>
      <c r="AB194" s="1070">
        <v>9.1999999999999993</v>
      </c>
      <c r="AC194" s="1070">
        <v>104.88</v>
      </c>
      <c r="AD194" s="1070">
        <v>230</v>
      </c>
      <c r="AE194" s="1070">
        <v>34.04</v>
      </c>
      <c r="AF194" s="1070">
        <v>3.1372000000000004</v>
      </c>
      <c r="AG194" s="1070">
        <v>0.17480000000000001</v>
      </c>
      <c r="AH194" s="1073">
        <v>1.3524</v>
      </c>
      <c r="AI194" s="1070"/>
      <c r="AJ194" s="1070"/>
      <c r="AK194" s="1070"/>
      <c r="AL194" s="1082"/>
      <c r="AM194" s="1069"/>
      <c r="AN194" s="1070"/>
      <c r="AO194" s="1070"/>
      <c r="AP194" s="1070"/>
      <c r="AQ194" s="1070"/>
      <c r="AR194" s="1069"/>
      <c r="AS194" s="1282"/>
      <c r="AT194" s="1282"/>
      <c r="AU194" s="1069"/>
      <c r="AV194" s="1069"/>
      <c r="AW194" s="1069"/>
      <c r="AX194" s="1070"/>
      <c r="AY194" s="1070"/>
      <c r="AZ194" s="1078">
        <f t="shared" si="107"/>
        <v>0.92</v>
      </c>
      <c r="BA194" s="59">
        <v>190</v>
      </c>
      <c r="BB194" s="59">
        <f t="shared" si="108"/>
        <v>190</v>
      </c>
      <c r="BC194" s="60" t="str">
        <f t="shared" si="109"/>
        <v>Peixe, Farinha</v>
      </c>
      <c r="BD194" s="61" t="str">
        <f ca="1">IFERROR(IF(SEARCH('Calcular Dieta'!A$3,$BC$5:$BC$310)&gt;=1,BC194,"Não encontrado"),"Não encontrado")</f>
        <v>Peixe, Farinha</v>
      </c>
      <c r="BE194" s="62">
        <f ca="1">COUNTIF(BD$5:BD194,"&lt;&gt;"&amp;"Não encontrado")</f>
        <v>190</v>
      </c>
      <c r="BF194" s="63" t="str">
        <f t="shared" ca="1" si="110"/>
        <v>PEIXE, FARINHA</v>
      </c>
      <c r="BG194" s="744" t="str">
        <f t="shared" si="111"/>
        <v/>
      </c>
      <c r="BH194" s="744" t="str">
        <f t="shared" si="112"/>
        <v/>
      </c>
      <c r="BI194" s="744" t="str">
        <f t="shared" si="113"/>
        <v/>
      </c>
      <c r="BJ194" s="744">
        <f t="shared" si="114"/>
        <v>0.72699400000000014</v>
      </c>
      <c r="BK194" s="744">
        <f t="shared" si="115"/>
        <v>3.2046552000000004</v>
      </c>
      <c r="BL194" s="744" t="str">
        <f t="shared" si="116"/>
        <v/>
      </c>
      <c r="BM194" s="744" t="str">
        <f t="shared" si="117"/>
        <v/>
      </c>
      <c r="BN194" s="744">
        <f t="shared" si="118"/>
        <v>60.812194000000005</v>
      </c>
      <c r="BO194" s="744">
        <f t="shared" si="119"/>
        <v>576.840194</v>
      </c>
      <c r="BP194" s="744">
        <f t="shared" si="120"/>
        <v>230.73619399999995</v>
      </c>
      <c r="BQ194" s="744" t="str">
        <f t="shared" si="121"/>
        <v/>
      </c>
      <c r="BR194" s="744" t="str">
        <f t="shared" si="122"/>
        <v/>
      </c>
      <c r="BS194" s="744" t="str">
        <f t="shared" si="123"/>
        <v/>
      </c>
      <c r="BT194" s="744">
        <f t="shared" si="124"/>
        <v>61.088194000000001</v>
      </c>
      <c r="BU194" s="744">
        <f t="shared" si="125"/>
        <v>30.084194</v>
      </c>
      <c r="BV194" s="744">
        <f t="shared" si="126"/>
        <v>1.3801939999999999</v>
      </c>
      <c r="BW194" s="744">
        <f t="shared" si="127"/>
        <v>3.0361940000000001</v>
      </c>
      <c r="BX194" s="744">
        <f t="shared" si="128"/>
        <v>4.8761939999999999</v>
      </c>
      <c r="BY194" s="744">
        <f t="shared" si="129"/>
        <v>7.7281939999999993</v>
      </c>
      <c r="BZ194" s="744">
        <f t="shared" si="130"/>
        <v>9.2001939999999998</v>
      </c>
      <c r="CA194" s="744">
        <f t="shared" si="131"/>
        <v>104.88019399999999</v>
      </c>
      <c r="CB194" s="744">
        <f t="shared" si="132"/>
        <v>230.00019399999999</v>
      </c>
      <c r="CC194" s="744">
        <f t="shared" si="133"/>
        <v>34.040194</v>
      </c>
      <c r="CD194" s="744">
        <f t="shared" si="134"/>
        <v>3.1373940000000005</v>
      </c>
      <c r="CE194" s="744">
        <f t="shared" si="135"/>
        <v>0.17499400000000001</v>
      </c>
      <c r="CF194" s="744">
        <f t="shared" si="136"/>
        <v>1.3525940000000001</v>
      </c>
      <c r="CG194" s="744" t="str">
        <f t="shared" si="137"/>
        <v/>
      </c>
      <c r="CH194" s="744" t="str">
        <f t="shared" si="138"/>
        <v/>
      </c>
      <c r="CI194" s="744" t="str">
        <f t="shared" si="139"/>
        <v/>
      </c>
      <c r="CJ194" s="744" t="str">
        <f t="shared" si="140"/>
        <v/>
      </c>
      <c r="CK194" s="744" t="str">
        <f t="shared" si="141"/>
        <v/>
      </c>
      <c r="CL194" s="744" t="str">
        <f t="shared" si="142"/>
        <v/>
      </c>
      <c r="CM194" s="744" t="str">
        <f t="shared" si="143"/>
        <v/>
      </c>
      <c r="CN194" s="744" t="str">
        <f t="shared" si="144"/>
        <v/>
      </c>
      <c r="CO194" s="744" t="str">
        <f t="shared" si="145"/>
        <v/>
      </c>
      <c r="CP194" s="744" t="str">
        <f t="shared" si="146"/>
        <v/>
      </c>
      <c r="CQ194" s="744" t="str">
        <f t="shared" si="147"/>
        <v/>
      </c>
      <c r="CR194" s="744" t="str">
        <f t="shared" si="148"/>
        <v/>
      </c>
      <c r="CS194" s="744" t="str">
        <f t="shared" si="149"/>
        <v/>
      </c>
      <c r="CT194" s="744" t="str">
        <f t="shared" si="150"/>
        <v/>
      </c>
      <c r="CU194" s="744" t="str">
        <f t="shared" si="151"/>
        <v/>
      </c>
      <c r="CV194" s="744" t="str">
        <f t="shared" si="152"/>
        <v/>
      </c>
      <c r="CW194" s="744" t="str">
        <f t="shared" si="153"/>
        <v/>
      </c>
      <c r="CX194" s="744">
        <f t="shared" si="154"/>
        <v>0.92019400000000007</v>
      </c>
    </row>
    <row r="195" spans="1:102">
      <c r="A195" s="633">
        <v>192</v>
      </c>
      <c r="B195" s="630" t="s">
        <v>4</v>
      </c>
      <c r="C195" s="631" t="s">
        <v>252</v>
      </c>
      <c r="D195" s="630" t="s">
        <v>1392</v>
      </c>
      <c r="E195" s="632" t="s">
        <v>228</v>
      </c>
      <c r="F195" s="1067">
        <v>1</v>
      </c>
      <c r="G195" s="1066">
        <v>1</v>
      </c>
      <c r="H195" s="1070">
        <v>0.91</v>
      </c>
      <c r="I195" s="1070">
        <v>0.22267700000000001</v>
      </c>
      <c r="J195" s="1070">
        <v>0.18381999999999998</v>
      </c>
      <c r="K195" s="1070"/>
      <c r="L195" s="1072">
        <v>0.7007000000000001</v>
      </c>
      <c r="M195" s="1070">
        <v>3.0893863000000001</v>
      </c>
      <c r="N195" s="1070"/>
      <c r="O195" s="1070"/>
      <c r="P195" s="1073">
        <v>33.67</v>
      </c>
      <c r="Q195" s="1070">
        <v>60.970000000000006</v>
      </c>
      <c r="R195" s="1070">
        <v>26.217100000000002</v>
      </c>
      <c r="S195" s="1070"/>
      <c r="T195" s="1070"/>
      <c r="U195" s="1070"/>
      <c r="V195" s="1066">
        <v>16.744000000000003</v>
      </c>
      <c r="W195" s="1070">
        <v>1.0919999999999999</v>
      </c>
      <c r="X195" s="1070">
        <v>1.5470000000000002</v>
      </c>
      <c r="Y195" s="1070">
        <v>0.81899999999999995</v>
      </c>
      <c r="Z195" s="1070">
        <v>7.1890000000000009</v>
      </c>
      <c r="AA195" s="1070">
        <v>0.72799999999999998</v>
      </c>
      <c r="AB195" s="1070">
        <v>5.46</v>
      </c>
      <c r="AC195" s="1070">
        <v>13.65</v>
      </c>
      <c r="AD195" s="1070">
        <v>343.98</v>
      </c>
      <c r="AE195" s="1070">
        <v>6.37</v>
      </c>
      <c r="AF195" s="1070"/>
      <c r="AG195" s="1070">
        <v>0.14560000000000001</v>
      </c>
      <c r="AH195" s="1073"/>
      <c r="AI195" s="1070"/>
      <c r="AJ195" s="1070"/>
      <c r="AK195" s="1070"/>
      <c r="AL195" s="1082"/>
      <c r="AM195" s="1069"/>
      <c r="AN195" s="1070"/>
      <c r="AO195" s="1070"/>
      <c r="AP195" s="1070"/>
      <c r="AQ195" s="1070"/>
      <c r="AR195" s="1069"/>
      <c r="AS195" s="1282"/>
      <c r="AT195" s="1282"/>
      <c r="AU195" s="1069"/>
      <c r="AV195" s="1069"/>
      <c r="AW195" s="1069"/>
      <c r="AX195" s="1070"/>
      <c r="AY195" s="1070"/>
      <c r="AZ195" s="1078">
        <f t="shared" si="107"/>
        <v>0.91</v>
      </c>
      <c r="BA195" s="59">
        <v>191</v>
      </c>
      <c r="BB195" s="59">
        <f t="shared" si="108"/>
        <v>191</v>
      </c>
      <c r="BC195" s="60" t="str">
        <f t="shared" si="109"/>
        <v>Polpa Cítrica</v>
      </c>
      <c r="BD195" s="61" t="str">
        <f ca="1">IFERROR(IF(SEARCH('Calcular Dieta'!A$3,$BC$5:$BC$310)&gt;=1,BC195,"Não encontrado"),"Não encontrado")</f>
        <v>Polpa Cítrica</v>
      </c>
      <c r="BE195" s="62">
        <f ca="1">COUNTIF(BD$5:BD195,"&lt;&gt;"&amp;"Não encontrado")</f>
        <v>191</v>
      </c>
      <c r="BF195" s="63" t="str">
        <f t="shared" ca="1" si="110"/>
        <v>POLPA CÍTRICA</v>
      </c>
      <c r="BG195" s="744">
        <f t="shared" si="111"/>
        <v>0.22287200000000001</v>
      </c>
      <c r="BH195" s="744">
        <f t="shared" si="112"/>
        <v>0.18401499999999998</v>
      </c>
      <c r="BI195" s="744" t="str">
        <f t="shared" si="113"/>
        <v/>
      </c>
      <c r="BJ195" s="744">
        <f t="shared" si="114"/>
        <v>0.70089500000000005</v>
      </c>
      <c r="BK195" s="744">
        <f t="shared" si="115"/>
        <v>3.0895813000000003</v>
      </c>
      <c r="BL195" s="744" t="str">
        <f t="shared" si="116"/>
        <v/>
      </c>
      <c r="BM195" s="744" t="str">
        <f t="shared" si="117"/>
        <v/>
      </c>
      <c r="BN195" s="744">
        <f t="shared" si="118"/>
        <v>33.670195</v>
      </c>
      <c r="BO195" s="744">
        <f t="shared" si="119"/>
        <v>60.970195000000004</v>
      </c>
      <c r="BP195" s="744">
        <f t="shared" si="120"/>
        <v>26.217295000000004</v>
      </c>
      <c r="BQ195" s="744" t="str">
        <f t="shared" si="121"/>
        <v/>
      </c>
      <c r="BR195" s="744" t="str">
        <f t="shared" si="122"/>
        <v/>
      </c>
      <c r="BS195" s="744" t="str">
        <f t="shared" si="123"/>
        <v/>
      </c>
      <c r="BT195" s="744">
        <f t="shared" si="124"/>
        <v>16.744195000000005</v>
      </c>
      <c r="BU195" s="744">
        <f t="shared" si="125"/>
        <v>1.0921949999999998</v>
      </c>
      <c r="BV195" s="744">
        <f t="shared" si="126"/>
        <v>1.5471950000000001</v>
      </c>
      <c r="BW195" s="744">
        <f t="shared" si="127"/>
        <v>0.8191949999999999</v>
      </c>
      <c r="BX195" s="744">
        <f t="shared" si="128"/>
        <v>7.1891950000000007</v>
      </c>
      <c r="BY195" s="744">
        <f t="shared" si="129"/>
        <v>0.72819499999999993</v>
      </c>
      <c r="BZ195" s="744">
        <f t="shared" si="130"/>
        <v>5.4601949999999997</v>
      </c>
      <c r="CA195" s="744">
        <f t="shared" si="131"/>
        <v>13.650195</v>
      </c>
      <c r="CB195" s="744">
        <f t="shared" si="132"/>
        <v>343.98019500000004</v>
      </c>
      <c r="CC195" s="744">
        <f t="shared" si="133"/>
        <v>6.3701949999999998</v>
      </c>
      <c r="CD195" s="744" t="str">
        <f t="shared" si="134"/>
        <v/>
      </c>
      <c r="CE195" s="744">
        <f t="shared" si="135"/>
        <v>0.14579500000000001</v>
      </c>
      <c r="CF195" s="744" t="str">
        <f t="shared" si="136"/>
        <v/>
      </c>
      <c r="CG195" s="744" t="str">
        <f t="shared" si="137"/>
        <v/>
      </c>
      <c r="CH195" s="744" t="str">
        <f t="shared" si="138"/>
        <v/>
      </c>
      <c r="CI195" s="744" t="str">
        <f t="shared" si="139"/>
        <v/>
      </c>
      <c r="CJ195" s="744" t="str">
        <f t="shared" si="140"/>
        <v/>
      </c>
      <c r="CK195" s="744" t="str">
        <f t="shared" si="141"/>
        <v/>
      </c>
      <c r="CL195" s="744" t="str">
        <f t="shared" si="142"/>
        <v/>
      </c>
      <c r="CM195" s="744" t="str">
        <f t="shared" si="143"/>
        <v/>
      </c>
      <c r="CN195" s="744" t="str">
        <f t="shared" si="144"/>
        <v/>
      </c>
      <c r="CO195" s="744" t="str">
        <f t="shared" si="145"/>
        <v/>
      </c>
      <c r="CP195" s="744" t="str">
        <f t="shared" si="146"/>
        <v/>
      </c>
      <c r="CQ195" s="744" t="str">
        <f t="shared" si="147"/>
        <v/>
      </c>
      <c r="CR195" s="744" t="str">
        <f t="shared" si="148"/>
        <v/>
      </c>
      <c r="CS195" s="744" t="str">
        <f t="shared" si="149"/>
        <v/>
      </c>
      <c r="CT195" s="744" t="str">
        <f t="shared" si="150"/>
        <v/>
      </c>
      <c r="CU195" s="744" t="str">
        <f t="shared" si="151"/>
        <v/>
      </c>
      <c r="CV195" s="744" t="str">
        <f t="shared" si="152"/>
        <v/>
      </c>
      <c r="CW195" s="744" t="str">
        <f t="shared" si="153"/>
        <v/>
      </c>
      <c r="CX195" s="744">
        <f t="shared" si="154"/>
        <v>0.91019499999999998</v>
      </c>
    </row>
    <row r="196" spans="1:102">
      <c r="A196" s="630">
        <v>193</v>
      </c>
      <c r="B196" s="630" t="s">
        <v>4</v>
      </c>
      <c r="C196" s="631" t="s">
        <v>749</v>
      </c>
      <c r="D196" s="630" t="s">
        <v>1390</v>
      </c>
      <c r="E196" s="632" t="s">
        <v>696</v>
      </c>
      <c r="F196" s="1067">
        <v>1</v>
      </c>
      <c r="G196" s="1066">
        <v>1</v>
      </c>
      <c r="H196" s="1068">
        <v>0.98</v>
      </c>
      <c r="I196" s="1068"/>
      <c r="J196" s="1069"/>
      <c r="K196" s="1069"/>
      <c r="L196" s="1074"/>
      <c r="M196" s="1069"/>
      <c r="N196" s="1069"/>
      <c r="O196" s="1069"/>
      <c r="P196" s="1076"/>
      <c r="Q196" s="1069">
        <v>196</v>
      </c>
      <c r="R196" s="1279">
        <v>168.56</v>
      </c>
      <c r="S196" s="1069">
        <v>27.439999999999994</v>
      </c>
      <c r="T196" s="1069">
        <v>24.108000000000001</v>
      </c>
      <c r="U196" s="1069"/>
      <c r="V196" s="1079">
        <v>205.79999999999998</v>
      </c>
      <c r="W196" s="1069">
        <v>78.399999999999991</v>
      </c>
      <c r="X196" s="1069">
        <v>19.599999999999998</v>
      </c>
      <c r="Y196" s="1069">
        <v>343</v>
      </c>
      <c r="Z196" s="1069"/>
      <c r="AA196" s="1069">
        <v>294</v>
      </c>
      <c r="AB196" s="1069">
        <v>100</v>
      </c>
      <c r="AC196" s="1069"/>
      <c r="AD196" s="1069"/>
      <c r="AE196" s="1069">
        <v>50</v>
      </c>
      <c r="AF196" s="1069">
        <v>3</v>
      </c>
      <c r="AG196" s="1069">
        <v>7.5</v>
      </c>
      <c r="AH196" s="1076">
        <v>1</v>
      </c>
      <c r="AI196" s="1069"/>
      <c r="AJ196" s="1069"/>
      <c r="AK196" s="1069"/>
      <c r="AL196" s="1081"/>
      <c r="AM196" s="1069"/>
      <c r="AN196" s="1069"/>
      <c r="AO196" s="1069"/>
      <c r="AP196" s="1069"/>
      <c r="AQ196" s="1069"/>
      <c r="AR196" s="1069"/>
      <c r="AS196" s="1282"/>
      <c r="AT196" s="1282"/>
      <c r="AU196" s="1069"/>
      <c r="AV196" s="1069"/>
      <c r="AW196" s="1069"/>
      <c r="AX196" s="1069"/>
      <c r="AY196" s="1069"/>
      <c r="AZ196" s="1078">
        <f t="shared" si="107"/>
        <v>0.98</v>
      </c>
      <c r="BA196" s="59">
        <v>192</v>
      </c>
      <c r="BB196" s="59">
        <f t="shared" si="108"/>
        <v>192</v>
      </c>
      <c r="BC196" s="60" t="str">
        <f t="shared" si="109"/>
        <v>Premix Big Energia</v>
      </c>
      <c r="BD196" s="61" t="str">
        <f ca="1">IFERROR(IF(SEARCH('Calcular Dieta'!A$3,$BC$5:$BC$310)&gt;=1,BC196,"Não encontrado"),"Não encontrado")</f>
        <v>Premix Big Energia</v>
      </c>
      <c r="BE196" s="62">
        <f ca="1">COUNTIF(BD$5:BD196,"&lt;&gt;"&amp;"Não encontrado")</f>
        <v>192</v>
      </c>
      <c r="BF196" s="63" t="str">
        <f t="shared" ca="1" si="110"/>
        <v>PREMIX BIG ENERGIA</v>
      </c>
      <c r="BG196" s="744" t="str">
        <f t="shared" si="111"/>
        <v/>
      </c>
      <c r="BH196" s="744" t="str">
        <f t="shared" si="112"/>
        <v/>
      </c>
      <c r="BI196" s="744" t="str">
        <f t="shared" si="113"/>
        <v/>
      </c>
      <c r="BJ196" s="744" t="str">
        <f t="shared" si="114"/>
        <v/>
      </c>
      <c r="BK196" s="744" t="str">
        <f t="shared" si="115"/>
        <v/>
      </c>
      <c r="BL196" s="744" t="str">
        <f t="shared" si="116"/>
        <v/>
      </c>
      <c r="BM196" s="744" t="str">
        <f t="shared" si="117"/>
        <v/>
      </c>
      <c r="BN196" s="744" t="str">
        <f t="shared" si="118"/>
        <v/>
      </c>
      <c r="BO196" s="744">
        <f t="shared" si="119"/>
        <v>196.00019599999999</v>
      </c>
      <c r="BP196" s="744">
        <f t="shared" si="120"/>
        <v>168.56019599999999</v>
      </c>
      <c r="BQ196" s="744">
        <f t="shared" si="121"/>
        <v>27.440195999999993</v>
      </c>
      <c r="BR196" s="744">
        <f t="shared" si="122"/>
        <v>24.108196</v>
      </c>
      <c r="BS196" s="744" t="str">
        <f t="shared" si="123"/>
        <v/>
      </c>
      <c r="BT196" s="744">
        <f t="shared" si="124"/>
        <v>205.80019599999997</v>
      </c>
      <c r="BU196" s="744">
        <f t="shared" si="125"/>
        <v>78.400195999999994</v>
      </c>
      <c r="BV196" s="744">
        <f t="shared" si="126"/>
        <v>19.600195999999997</v>
      </c>
      <c r="BW196" s="744">
        <f t="shared" si="127"/>
        <v>343.00019600000002</v>
      </c>
      <c r="BX196" s="744" t="str">
        <f t="shared" si="128"/>
        <v/>
      </c>
      <c r="BY196" s="744">
        <f t="shared" si="129"/>
        <v>294.00019600000002</v>
      </c>
      <c r="BZ196" s="744">
        <f t="shared" si="130"/>
        <v>100.000196</v>
      </c>
      <c r="CA196" s="744" t="str">
        <f t="shared" si="131"/>
        <v/>
      </c>
      <c r="CB196" s="744" t="str">
        <f t="shared" si="132"/>
        <v/>
      </c>
      <c r="CC196" s="744">
        <f t="shared" si="133"/>
        <v>50.000196000000003</v>
      </c>
      <c r="CD196" s="744">
        <f t="shared" si="134"/>
        <v>3.0001959999999999</v>
      </c>
      <c r="CE196" s="744">
        <f t="shared" si="135"/>
        <v>7.5001959999999999</v>
      </c>
      <c r="CF196" s="744">
        <f t="shared" si="136"/>
        <v>1.0001960000000001</v>
      </c>
      <c r="CG196" s="744" t="str">
        <f t="shared" si="137"/>
        <v/>
      </c>
      <c r="CH196" s="744" t="str">
        <f t="shared" si="138"/>
        <v/>
      </c>
      <c r="CI196" s="744" t="str">
        <f t="shared" si="139"/>
        <v/>
      </c>
      <c r="CJ196" s="744" t="str">
        <f t="shared" si="140"/>
        <v/>
      </c>
      <c r="CK196" s="744" t="str">
        <f t="shared" si="141"/>
        <v/>
      </c>
      <c r="CL196" s="744" t="str">
        <f t="shared" si="142"/>
        <v/>
      </c>
      <c r="CM196" s="744" t="str">
        <f t="shared" si="143"/>
        <v/>
      </c>
      <c r="CN196" s="744" t="str">
        <f t="shared" si="144"/>
        <v/>
      </c>
      <c r="CO196" s="744" t="str">
        <f t="shared" si="145"/>
        <v/>
      </c>
      <c r="CP196" s="744" t="str">
        <f t="shared" si="146"/>
        <v/>
      </c>
      <c r="CQ196" s="744" t="str">
        <f t="shared" si="147"/>
        <v/>
      </c>
      <c r="CR196" s="744" t="str">
        <f t="shared" si="148"/>
        <v/>
      </c>
      <c r="CS196" s="744" t="str">
        <f t="shared" si="149"/>
        <v/>
      </c>
      <c r="CT196" s="744" t="str">
        <f t="shared" si="150"/>
        <v/>
      </c>
      <c r="CU196" s="744" t="str">
        <f t="shared" si="151"/>
        <v/>
      </c>
      <c r="CV196" s="744" t="str">
        <f t="shared" si="152"/>
        <v/>
      </c>
      <c r="CW196" s="744" t="str">
        <f t="shared" si="153"/>
        <v/>
      </c>
      <c r="CX196" s="744">
        <f t="shared" si="154"/>
        <v>0.98019599999999996</v>
      </c>
    </row>
    <row r="197" spans="1:102">
      <c r="A197" s="633">
        <v>194</v>
      </c>
      <c r="B197" s="630" t="s">
        <v>4</v>
      </c>
      <c r="C197" s="631" t="s">
        <v>749</v>
      </c>
      <c r="D197" s="630" t="s">
        <v>1390</v>
      </c>
      <c r="E197" s="632" t="s">
        <v>697</v>
      </c>
      <c r="F197" s="1067">
        <v>1</v>
      </c>
      <c r="G197" s="1066">
        <v>1</v>
      </c>
      <c r="H197" s="1070">
        <v>1</v>
      </c>
      <c r="I197" s="1070"/>
      <c r="J197" s="1070"/>
      <c r="K197" s="1070"/>
      <c r="L197" s="1072"/>
      <c r="M197" s="1070"/>
      <c r="N197" s="1070"/>
      <c r="O197" s="1070"/>
      <c r="P197" s="1073"/>
      <c r="Q197" s="1070"/>
      <c r="R197" s="1070"/>
      <c r="S197" s="1070"/>
      <c r="T197" s="1070"/>
      <c r="U197" s="1070"/>
      <c r="V197" s="1066">
        <v>120</v>
      </c>
      <c r="W197" s="1070">
        <v>40</v>
      </c>
      <c r="X197" s="1070">
        <v>35</v>
      </c>
      <c r="Y197" s="1070">
        <v>110</v>
      </c>
      <c r="Z197" s="1070"/>
      <c r="AA197" s="1070">
        <v>350</v>
      </c>
      <c r="AB197" s="1070">
        <v>675</v>
      </c>
      <c r="AC197" s="1070">
        <v>2880</v>
      </c>
      <c r="AD197" s="1070"/>
      <c r="AE197" s="1070">
        <v>750</v>
      </c>
      <c r="AF197" s="1070">
        <v>30</v>
      </c>
      <c r="AG197" s="1070">
        <v>30</v>
      </c>
      <c r="AH197" s="1073">
        <v>13</v>
      </c>
      <c r="AI197" s="1070"/>
      <c r="AJ197" s="1070"/>
      <c r="AK197" s="1070"/>
      <c r="AL197" s="1082"/>
      <c r="AM197" s="1069"/>
      <c r="AN197" s="1070"/>
      <c r="AO197" s="1070"/>
      <c r="AP197" s="1070"/>
      <c r="AQ197" s="1070"/>
      <c r="AR197" s="1069"/>
      <c r="AS197" s="1282"/>
      <c r="AT197" s="1282"/>
      <c r="AU197" s="1069"/>
      <c r="AV197" s="1069"/>
      <c r="AW197" s="1069"/>
      <c r="AX197" s="1070"/>
      <c r="AY197" s="1070"/>
      <c r="AZ197" s="1078">
        <f t="shared" ref="AZ197:AZ260" si="155">(1-AY197)*H197</f>
        <v>1</v>
      </c>
      <c r="BA197" s="59">
        <v>193</v>
      </c>
      <c r="BB197" s="59">
        <f t="shared" si="108"/>
        <v>193</v>
      </c>
      <c r="BC197" s="60" t="str">
        <f t="shared" si="109"/>
        <v>Premix Capul Quelaphos Beef Confinamento</v>
      </c>
      <c r="BD197" s="61" t="str">
        <f ca="1">IFERROR(IF(SEARCH('Calcular Dieta'!A$3,$BC$5:$BC$310)&gt;=1,BC197,"Não encontrado"),"Não encontrado")</f>
        <v>Premix Capul Quelaphos Beef Confinamento</v>
      </c>
      <c r="BE197" s="62">
        <f ca="1">COUNTIF(BD$5:BD197,"&lt;&gt;"&amp;"Não encontrado")</f>
        <v>193</v>
      </c>
      <c r="BF197" s="63" t="str">
        <f t="shared" ca="1" si="110"/>
        <v>PREMIX CAPUL QUELAPHOS BEEF CONFINAMENTO</v>
      </c>
      <c r="BG197" s="744" t="str">
        <f t="shared" si="111"/>
        <v/>
      </c>
      <c r="BH197" s="744" t="str">
        <f t="shared" si="112"/>
        <v/>
      </c>
      <c r="BI197" s="744" t="str">
        <f t="shared" si="113"/>
        <v/>
      </c>
      <c r="BJ197" s="744" t="str">
        <f t="shared" si="114"/>
        <v/>
      </c>
      <c r="BK197" s="744" t="str">
        <f t="shared" si="115"/>
        <v/>
      </c>
      <c r="BL197" s="744" t="str">
        <f t="shared" si="116"/>
        <v/>
      </c>
      <c r="BM197" s="744" t="str">
        <f t="shared" si="117"/>
        <v/>
      </c>
      <c r="BN197" s="744" t="str">
        <f t="shared" si="118"/>
        <v/>
      </c>
      <c r="BO197" s="744" t="str">
        <f t="shared" si="119"/>
        <v/>
      </c>
      <c r="BP197" s="744" t="str">
        <f t="shared" si="120"/>
        <v/>
      </c>
      <c r="BQ197" s="744" t="str">
        <f t="shared" si="121"/>
        <v/>
      </c>
      <c r="BR197" s="744" t="str">
        <f t="shared" si="122"/>
        <v/>
      </c>
      <c r="BS197" s="744" t="str">
        <f t="shared" si="123"/>
        <v/>
      </c>
      <c r="BT197" s="744">
        <f t="shared" si="124"/>
        <v>120.000197</v>
      </c>
      <c r="BU197" s="744">
        <f t="shared" si="125"/>
        <v>40.000197</v>
      </c>
      <c r="BV197" s="744">
        <f t="shared" si="126"/>
        <v>35.000197</v>
      </c>
      <c r="BW197" s="744">
        <f t="shared" si="127"/>
        <v>110.000197</v>
      </c>
      <c r="BX197" s="744" t="str">
        <f t="shared" si="128"/>
        <v/>
      </c>
      <c r="BY197" s="744">
        <f t="shared" si="129"/>
        <v>350.00019700000001</v>
      </c>
      <c r="BZ197" s="744">
        <f t="shared" si="130"/>
        <v>675.00019699999996</v>
      </c>
      <c r="CA197" s="744">
        <f t="shared" si="131"/>
        <v>2880.0001969999998</v>
      </c>
      <c r="CB197" s="744" t="str">
        <f t="shared" si="132"/>
        <v/>
      </c>
      <c r="CC197" s="744">
        <f t="shared" si="133"/>
        <v>750.00019699999996</v>
      </c>
      <c r="CD197" s="744">
        <f t="shared" si="134"/>
        <v>30.000197</v>
      </c>
      <c r="CE197" s="744">
        <f t="shared" si="135"/>
        <v>30.000197</v>
      </c>
      <c r="CF197" s="744">
        <f t="shared" si="136"/>
        <v>13.000197</v>
      </c>
      <c r="CG197" s="744" t="str">
        <f t="shared" si="137"/>
        <v/>
      </c>
      <c r="CH197" s="744" t="str">
        <f t="shared" si="138"/>
        <v/>
      </c>
      <c r="CI197" s="744" t="str">
        <f t="shared" si="139"/>
        <v/>
      </c>
      <c r="CJ197" s="744" t="str">
        <f t="shared" si="140"/>
        <v/>
      </c>
      <c r="CK197" s="744" t="str">
        <f t="shared" si="141"/>
        <v/>
      </c>
      <c r="CL197" s="744" t="str">
        <f t="shared" si="142"/>
        <v/>
      </c>
      <c r="CM197" s="744" t="str">
        <f t="shared" si="143"/>
        <v/>
      </c>
      <c r="CN197" s="744" t="str">
        <f t="shared" si="144"/>
        <v/>
      </c>
      <c r="CO197" s="744" t="str">
        <f t="shared" si="145"/>
        <v/>
      </c>
      <c r="CP197" s="744" t="str">
        <f t="shared" si="146"/>
        <v/>
      </c>
      <c r="CQ197" s="744" t="str">
        <f t="shared" si="147"/>
        <v/>
      </c>
      <c r="CR197" s="744" t="str">
        <f t="shared" si="148"/>
        <v/>
      </c>
      <c r="CS197" s="744" t="str">
        <f t="shared" si="149"/>
        <v/>
      </c>
      <c r="CT197" s="744" t="str">
        <f t="shared" si="150"/>
        <v/>
      </c>
      <c r="CU197" s="744" t="str">
        <f t="shared" si="151"/>
        <v/>
      </c>
      <c r="CV197" s="744" t="str">
        <f t="shared" si="152"/>
        <v/>
      </c>
      <c r="CW197" s="744" t="str">
        <f t="shared" si="153"/>
        <v/>
      </c>
      <c r="CX197" s="744">
        <f t="shared" si="154"/>
        <v>1.000197</v>
      </c>
    </row>
    <row r="198" spans="1:102">
      <c r="A198" s="630">
        <v>195</v>
      </c>
      <c r="B198" s="630" t="s">
        <v>4</v>
      </c>
      <c r="C198" s="631" t="s">
        <v>749</v>
      </c>
      <c r="D198" s="630" t="s">
        <v>1390</v>
      </c>
      <c r="E198" s="632" t="s">
        <v>698</v>
      </c>
      <c r="F198" s="1067">
        <v>1</v>
      </c>
      <c r="G198" s="1066">
        <v>1</v>
      </c>
      <c r="H198" s="1070">
        <v>1</v>
      </c>
      <c r="I198" s="1070"/>
      <c r="J198" s="1070"/>
      <c r="K198" s="1070"/>
      <c r="L198" s="1072"/>
      <c r="M198" s="1070"/>
      <c r="N198" s="1070"/>
      <c r="O198" s="1070"/>
      <c r="P198" s="1073"/>
      <c r="Q198" s="1070">
        <v>1000</v>
      </c>
      <c r="R198" s="1070"/>
      <c r="S198" s="1070"/>
      <c r="T198" s="1070"/>
      <c r="U198" s="1070"/>
      <c r="V198" s="1066">
        <v>60</v>
      </c>
      <c r="W198" s="1070">
        <v>15</v>
      </c>
      <c r="X198" s="1070">
        <v>13.999999999999998</v>
      </c>
      <c r="Y198" s="1070">
        <v>34</v>
      </c>
      <c r="Z198" s="1070"/>
      <c r="AA198" s="1070">
        <v>12</v>
      </c>
      <c r="AB198" s="1070">
        <v>187</v>
      </c>
      <c r="AC198" s="1070">
        <v>755</v>
      </c>
      <c r="AD198" s="1070"/>
      <c r="AE198" s="1070">
        <v>300</v>
      </c>
      <c r="AF198" s="1070">
        <v>9.15</v>
      </c>
      <c r="AG198" s="1070">
        <v>10</v>
      </c>
      <c r="AH198" s="1073">
        <v>3.4</v>
      </c>
      <c r="AI198" s="1070"/>
      <c r="AJ198" s="1070"/>
      <c r="AK198" s="1070"/>
      <c r="AL198" s="1082"/>
      <c r="AM198" s="1069"/>
      <c r="AN198" s="1070"/>
      <c r="AO198" s="1070"/>
      <c r="AP198" s="1070"/>
      <c r="AQ198" s="1070"/>
      <c r="AR198" s="1069"/>
      <c r="AS198" s="1282"/>
      <c r="AT198" s="1282"/>
      <c r="AU198" s="1069"/>
      <c r="AV198" s="1069"/>
      <c r="AW198" s="1069"/>
      <c r="AX198" s="1070"/>
      <c r="AY198" s="1070"/>
      <c r="AZ198" s="1078">
        <f t="shared" si="155"/>
        <v>1</v>
      </c>
      <c r="BA198" s="59">
        <v>194</v>
      </c>
      <c r="BB198" s="59">
        <f t="shared" ref="BB198:BB261" si="156">IF(E198="","",COUNTIF($E$5:$E$310,"&lt;"&amp;E198)+1)</f>
        <v>194</v>
      </c>
      <c r="BC198" s="60" t="str">
        <f t="shared" ref="BC198:BC261" si="157">IFERROR(INDEX($E$5:$E$310,MATCH(BA198,$BB$5:$BB$310,0)),"-")</f>
        <v>Premix Fosbovi Confinamento 10</v>
      </c>
      <c r="BD198" s="61" t="str">
        <f ca="1">IFERROR(IF(SEARCH('Calcular Dieta'!A$3,$BC$5:$BC$310)&gt;=1,BC198,"Não encontrado"),"Não encontrado")</f>
        <v>Premix Fosbovi Confinamento 10</v>
      </c>
      <c r="BE198" s="62">
        <f ca="1">COUNTIF(BD$5:BD198,"&lt;&gt;"&amp;"Não encontrado")</f>
        <v>194</v>
      </c>
      <c r="BF198" s="63" t="str">
        <f t="shared" ref="BF198:BF261" ca="1" si="158">IFERROR(UPPER(INDEX($BD$5:$BD$310,MATCH(BA198,$BE$5:$BE$310,0))),"-")</f>
        <v>PREMIX FOSBOVI CONFINAMENTO 10</v>
      </c>
      <c r="BG198" s="744" t="str">
        <f t="shared" ref="BG198:BG261" si="159">IF(OR(I198="",I198=0),"",I198+(ROW()/1000000))</f>
        <v/>
      </c>
      <c r="BH198" s="744" t="str">
        <f t="shared" ref="BH198:BH261" si="160">IF(OR(J198="",J198=0),"",J198+(ROW()/1000000))</f>
        <v/>
      </c>
      <c r="BI198" s="744" t="str">
        <f t="shared" ref="BI198:BI261" si="161">IF(OR(K198="",K198=0),"",K198+(ROW()/1000000))</f>
        <v/>
      </c>
      <c r="BJ198" s="744" t="str">
        <f t="shared" ref="BJ198:BJ261" si="162">IF(OR(L198="",L198=0),"",L198+(ROW()/1000000))</f>
        <v/>
      </c>
      <c r="BK198" s="744" t="str">
        <f t="shared" ref="BK198:BK261" si="163">IF(OR(M198="",M198=0),"",M198+(ROW()/1000000))</f>
        <v/>
      </c>
      <c r="BL198" s="744" t="str">
        <f t="shared" ref="BL198:BL261" si="164">IF(OR(N198="",N198=0),"",N198+(ROW()/1000000))</f>
        <v/>
      </c>
      <c r="BM198" s="744" t="str">
        <f t="shared" ref="BM198:BM261" si="165">IF(OR(O198="",O198=0),"",O198+(ROW()/1000000))</f>
        <v/>
      </c>
      <c r="BN198" s="744" t="str">
        <f t="shared" ref="BN198:BN261" si="166">IF(OR(P198="",P198=0),"",P198+(ROW()/1000000))</f>
        <v/>
      </c>
      <c r="BO198" s="744">
        <f t="shared" ref="BO198:BO261" si="167">IF(OR(Q198="",Q198=0),"",Q198+(ROW()/1000000))</f>
        <v>1000.000198</v>
      </c>
      <c r="BP198" s="744" t="str">
        <f t="shared" ref="BP198:BP261" si="168">IF(OR(R198="",R198=0),"",R198+(ROW()/1000000))</f>
        <v/>
      </c>
      <c r="BQ198" s="744" t="str">
        <f t="shared" ref="BQ198:BQ261" si="169">IF(OR(S198="",S198=0),"",S198+(ROW()/1000000))</f>
        <v/>
      </c>
      <c r="BR198" s="744" t="str">
        <f t="shared" ref="BR198:BR261" si="170">IF(OR(T198="",T198=0),"",T198+(ROW()/1000000))</f>
        <v/>
      </c>
      <c r="BS198" s="744" t="str">
        <f t="shared" ref="BS198:BS261" si="171">IF(OR(U198="",U198=0),"",U198+(ROW()/1000000))</f>
        <v/>
      </c>
      <c r="BT198" s="744">
        <f t="shared" ref="BT198:BT261" si="172">IF(OR(V198="",V198=0),"",V198+(ROW()/1000000))</f>
        <v>60.000197999999997</v>
      </c>
      <c r="BU198" s="744">
        <f t="shared" ref="BU198:BU261" si="173">IF(OR(W198="",W198=0),"",W198+(ROW()/1000000))</f>
        <v>15.000197999999999</v>
      </c>
      <c r="BV198" s="744">
        <f t="shared" ref="BV198:BV261" si="174">IF(OR(X198="",X198=0),"",X198+(ROW()/1000000))</f>
        <v>14.000197999999997</v>
      </c>
      <c r="BW198" s="744">
        <f t="shared" ref="BW198:BW261" si="175">IF(OR(Y198="",Y198=0),"",Y198+(ROW()/1000000))</f>
        <v>34.000197999999997</v>
      </c>
      <c r="BX198" s="744" t="str">
        <f t="shared" ref="BX198:BX261" si="176">IF(OR(Z198="",Z198=0),"",Z198+(ROW()/1000000))</f>
        <v/>
      </c>
      <c r="BY198" s="744">
        <f t="shared" ref="BY198:BY261" si="177">IF(OR(AA198="",AA198=0),"",AA198+(ROW()/1000000))</f>
        <v>12.000197999999999</v>
      </c>
      <c r="BZ198" s="744">
        <f t="shared" ref="BZ198:BZ261" si="178">IF(OR(AB198="",AB198=0),"",AB198+(ROW()/1000000))</f>
        <v>187.00019800000001</v>
      </c>
      <c r="CA198" s="744">
        <f t="shared" ref="CA198:CA261" si="179">IF(OR(AC198="",AC198=0),"",AC198+(ROW()/1000000))</f>
        <v>755.00019799999995</v>
      </c>
      <c r="CB198" s="744" t="str">
        <f t="shared" ref="CB198:CB261" si="180">IF(OR(AD198="",AD198=0),"",AD198+(ROW()/1000000))</f>
        <v/>
      </c>
      <c r="CC198" s="744">
        <f t="shared" ref="CC198:CC261" si="181">IF(OR(AE198="",AE198=0),"",AE198+(ROW()/1000000))</f>
        <v>300.00019800000001</v>
      </c>
      <c r="CD198" s="744">
        <f t="shared" ref="CD198:CD261" si="182">IF(OR(AF198="",AF198=0),"",AF198+(ROW()/1000000))</f>
        <v>9.1501979999999996</v>
      </c>
      <c r="CE198" s="744">
        <f t="shared" ref="CE198:CE261" si="183">IF(OR(AG198="",AG198=0),"",AG198+(ROW()/1000000))</f>
        <v>10.000197999999999</v>
      </c>
      <c r="CF198" s="744">
        <f t="shared" ref="CF198:CF261" si="184">IF(OR(AH198="",AH198=0),"",AH198+(ROW()/1000000))</f>
        <v>3.4001980000000001</v>
      </c>
      <c r="CG198" s="744" t="str">
        <f t="shared" ref="CG198:CG261" si="185">IF(OR(AI198="",AI198=0),"",AI198+(ROW()/1000000))</f>
        <v/>
      </c>
      <c r="CH198" s="744" t="str">
        <f t="shared" ref="CH198:CH261" si="186">IF(OR(AJ198="",AJ198=0),"",AJ198+(ROW()/1000000))</f>
        <v/>
      </c>
      <c r="CI198" s="744" t="str">
        <f t="shared" ref="CI198:CI261" si="187">IF(OR(AK198="",AK198=0),"",AK198+(ROW()/1000000))</f>
        <v/>
      </c>
      <c r="CJ198" s="744" t="str">
        <f t="shared" ref="CJ198:CJ261" si="188">IF(OR(AL198="",AL198=0),"",AL198+(ROW()/1000000))</f>
        <v/>
      </c>
      <c r="CK198" s="744" t="str">
        <f t="shared" ref="CK198:CK261" si="189">IF(OR(AM198="",AM198=0),"",AM198+(ROW()/1000000))</f>
        <v/>
      </c>
      <c r="CL198" s="744" t="str">
        <f t="shared" ref="CL198:CL261" si="190">IF(OR(AN198="",AN198=0),"",AN198+(ROW()/1000000))</f>
        <v/>
      </c>
      <c r="CM198" s="744" t="str">
        <f t="shared" ref="CM198:CM261" si="191">IF(OR(AO198="",AO198=0),"",AO198+(ROW()/1000000))</f>
        <v/>
      </c>
      <c r="CN198" s="744" t="str">
        <f t="shared" ref="CN198:CN261" si="192">IF(OR(AP198="",AP198=0),"",AP198+(ROW()/1000000))</f>
        <v/>
      </c>
      <c r="CO198" s="744" t="str">
        <f t="shared" ref="CO198:CO261" si="193">IF(OR(AQ198="",AQ198=0),"",AQ198+(ROW()/1000000))</f>
        <v/>
      </c>
      <c r="CP198" s="744" t="str">
        <f t="shared" ref="CP198:CP261" si="194">IF(OR(AR198="",AR198=0),"",AR198+(ROW()/1000000))</f>
        <v/>
      </c>
      <c r="CQ198" s="744" t="str">
        <f t="shared" ref="CQ198:CQ261" si="195">IF(OR(AS198="",AS198=0),"",AS198+(ROW()/1000000))</f>
        <v/>
      </c>
      <c r="CR198" s="744" t="str">
        <f t="shared" ref="CR198:CR261" si="196">IF(OR(AT198="",AT198=0),"",AT198+(ROW()/1000000))</f>
        <v/>
      </c>
      <c r="CS198" s="744" t="str">
        <f t="shared" ref="CS198:CS261" si="197">IF(OR(AU198="",AU198=0),"",AU198+(ROW()/1000000))</f>
        <v/>
      </c>
      <c r="CT198" s="744" t="str">
        <f t="shared" ref="CT198:CT261" si="198">IF(OR(AV198="",AV198=0),"",AV198+(ROW()/1000000))</f>
        <v/>
      </c>
      <c r="CU198" s="744" t="str">
        <f t="shared" ref="CU198:CU261" si="199">IF(OR(AW198="",AW198=0),"",AW198+(ROW()/1000000))</f>
        <v/>
      </c>
      <c r="CV198" s="744" t="str">
        <f t="shared" ref="CV198:CV261" si="200">IF(OR(AX198="",AX198=0),"",AX198+(ROW()/1000000))</f>
        <v/>
      </c>
      <c r="CW198" s="744" t="str">
        <f t="shared" ref="CW198:CW261" si="201">IF(OR(AY198="",AY198=0),"",AY198+(ROW()/1000000))</f>
        <v/>
      </c>
      <c r="CX198" s="744">
        <f t="shared" ref="CX198:CX261" si="202">IF(OR(AZ198="",AZ198=0),"",AZ198+(ROW()/1000000))</f>
        <v>1.0001979999999999</v>
      </c>
    </row>
    <row r="199" spans="1:102">
      <c r="A199" s="633">
        <v>196</v>
      </c>
      <c r="B199" s="630" t="s">
        <v>4</v>
      </c>
      <c r="C199" s="631" t="s">
        <v>749</v>
      </c>
      <c r="D199" s="630" t="s">
        <v>1390</v>
      </c>
      <c r="E199" s="632" t="s">
        <v>695</v>
      </c>
      <c r="F199" s="1067">
        <v>1</v>
      </c>
      <c r="G199" s="1066">
        <v>1</v>
      </c>
      <c r="H199" s="1070">
        <v>1</v>
      </c>
      <c r="I199" s="1070"/>
      <c r="J199" s="1070"/>
      <c r="K199" s="1070"/>
      <c r="L199" s="1072"/>
      <c r="M199" s="1070"/>
      <c r="N199" s="1070"/>
      <c r="O199" s="1070"/>
      <c r="P199" s="1073"/>
      <c r="Q199" s="1070">
        <v>700</v>
      </c>
      <c r="R199" s="1070"/>
      <c r="S199" s="1070"/>
      <c r="T199" s="1070"/>
      <c r="U199" s="1070"/>
      <c r="V199" s="1066">
        <v>140</v>
      </c>
      <c r="W199" s="1070">
        <v>16</v>
      </c>
      <c r="X199" s="1070">
        <v>20</v>
      </c>
      <c r="Y199" s="1070">
        <v>55.999999999999993</v>
      </c>
      <c r="Z199" s="1070">
        <v>34</v>
      </c>
      <c r="AA199" s="1070">
        <v>36.000000000000007</v>
      </c>
      <c r="AB199" s="1070">
        <v>540</v>
      </c>
      <c r="AC199" s="1070">
        <v>2000</v>
      </c>
      <c r="AD199" s="1070"/>
      <c r="AE199" s="1070">
        <v>1070</v>
      </c>
      <c r="AF199" s="1070">
        <v>27.5</v>
      </c>
      <c r="AG199" s="1070">
        <v>8</v>
      </c>
      <c r="AH199" s="1073">
        <v>6.7</v>
      </c>
      <c r="AI199" s="1070"/>
      <c r="AJ199" s="1070"/>
      <c r="AK199" s="1070"/>
      <c r="AL199" s="1082"/>
      <c r="AM199" s="1069"/>
      <c r="AN199" s="1070"/>
      <c r="AO199" s="1070"/>
      <c r="AP199" s="1070"/>
      <c r="AQ199" s="1070"/>
      <c r="AR199" s="1069"/>
      <c r="AS199" s="1282"/>
      <c r="AT199" s="1282"/>
      <c r="AU199" s="1069"/>
      <c r="AV199" s="1069"/>
      <c r="AW199" s="1069"/>
      <c r="AX199" s="1070"/>
      <c r="AY199" s="1070"/>
      <c r="AZ199" s="1078">
        <f t="shared" si="155"/>
        <v>1</v>
      </c>
      <c r="BA199" s="59">
        <v>195</v>
      </c>
      <c r="BB199" s="59">
        <f t="shared" si="156"/>
        <v>195</v>
      </c>
      <c r="BC199" s="60" t="str">
        <f t="shared" si="157"/>
        <v>Premix Fosbovi Confinamento Crina Rumistar</v>
      </c>
      <c r="BD199" s="61" t="str">
        <f ca="1">IFERROR(IF(SEARCH('Calcular Dieta'!A$3,$BC$5:$BC$310)&gt;=1,BC199,"Não encontrado"),"Não encontrado")</f>
        <v>Premix Fosbovi Confinamento Crina Rumistar</v>
      </c>
      <c r="BE199" s="62">
        <f ca="1">COUNTIF(BD$5:BD199,"&lt;&gt;"&amp;"Não encontrado")</f>
        <v>195</v>
      </c>
      <c r="BF199" s="63" t="str">
        <f t="shared" ca="1" si="158"/>
        <v>PREMIX FOSBOVI CONFINAMENTO CRINA RUMISTAR</v>
      </c>
      <c r="BG199" s="744" t="str">
        <f t="shared" si="159"/>
        <v/>
      </c>
      <c r="BH199" s="744" t="str">
        <f t="shared" si="160"/>
        <v/>
      </c>
      <c r="BI199" s="744" t="str">
        <f t="shared" si="161"/>
        <v/>
      </c>
      <c r="BJ199" s="744" t="str">
        <f t="shared" si="162"/>
        <v/>
      </c>
      <c r="BK199" s="744" t="str">
        <f t="shared" si="163"/>
        <v/>
      </c>
      <c r="BL199" s="744" t="str">
        <f t="shared" si="164"/>
        <v/>
      </c>
      <c r="BM199" s="744" t="str">
        <f t="shared" si="165"/>
        <v/>
      </c>
      <c r="BN199" s="744" t="str">
        <f t="shared" si="166"/>
        <v/>
      </c>
      <c r="BO199" s="744">
        <f t="shared" si="167"/>
        <v>700.00019899999995</v>
      </c>
      <c r="BP199" s="744" t="str">
        <f t="shared" si="168"/>
        <v/>
      </c>
      <c r="BQ199" s="744" t="str">
        <f t="shared" si="169"/>
        <v/>
      </c>
      <c r="BR199" s="744" t="str">
        <f t="shared" si="170"/>
        <v/>
      </c>
      <c r="BS199" s="744" t="str">
        <f t="shared" si="171"/>
        <v/>
      </c>
      <c r="BT199" s="744">
        <f t="shared" si="172"/>
        <v>140.00019900000001</v>
      </c>
      <c r="BU199" s="744">
        <f t="shared" si="173"/>
        <v>16.000198999999999</v>
      </c>
      <c r="BV199" s="744">
        <f t="shared" si="174"/>
        <v>20.000198999999999</v>
      </c>
      <c r="BW199" s="744">
        <f t="shared" si="175"/>
        <v>56.000198999999995</v>
      </c>
      <c r="BX199" s="744">
        <f t="shared" si="176"/>
        <v>34.000199000000002</v>
      </c>
      <c r="BY199" s="744">
        <f t="shared" si="177"/>
        <v>36.000199000000009</v>
      </c>
      <c r="BZ199" s="744">
        <f t="shared" si="178"/>
        <v>540.00019899999995</v>
      </c>
      <c r="CA199" s="744">
        <f t="shared" si="179"/>
        <v>2000.0001990000001</v>
      </c>
      <c r="CB199" s="744" t="str">
        <f t="shared" si="180"/>
        <v/>
      </c>
      <c r="CC199" s="744">
        <f t="shared" si="181"/>
        <v>1070.0001990000001</v>
      </c>
      <c r="CD199" s="744">
        <f t="shared" si="182"/>
        <v>27.500198999999999</v>
      </c>
      <c r="CE199" s="744">
        <f t="shared" si="183"/>
        <v>8.0001990000000003</v>
      </c>
      <c r="CF199" s="744">
        <f t="shared" si="184"/>
        <v>6.7001990000000005</v>
      </c>
      <c r="CG199" s="744" t="str">
        <f t="shared" si="185"/>
        <v/>
      </c>
      <c r="CH199" s="744" t="str">
        <f t="shared" si="186"/>
        <v/>
      </c>
      <c r="CI199" s="744" t="str">
        <f t="shared" si="187"/>
        <v/>
      </c>
      <c r="CJ199" s="744" t="str">
        <f t="shared" si="188"/>
        <v/>
      </c>
      <c r="CK199" s="744" t="str">
        <f t="shared" si="189"/>
        <v/>
      </c>
      <c r="CL199" s="744" t="str">
        <f t="shared" si="190"/>
        <v/>
      </c>
      <c r="CM199" s="744" t="str">
        <f t="shared" si="191"/>
        <v/>
      </c>
      <c r="CN199" s="744" t="str">
        <f t="shared" si="192"/>
        <v/>
      </c>
      <c r="CO199" s="744" t="str">
        <f t="shared" si="193"/>
        <v/>
      </c>
      <c r="CP199" s="744" t="str">
        <f t="shared" si="194"/>
        <v/>
      </c>
      <c r="CQ199" s="744" t="str">
        <f t="shared" si="195"/>
        <v/>
      </c>
      <c r="CR199" s="744" t="str">
        <f t="shared" si="196"/>
        <v/>
      </c>
      <c r="CS199" s="744" t="str">
        <f t="shared" si="197"/>
        <v/>
      </c>
      <c r="CT199" s="744" t="str">
        <f t="shared" si="198"/>
        <v/>
      </c>
      <c r="CU199" s="744" t="str">
        <f t="shared" si="199"/>
        <v/>
      </c>
      <c r="CV199" s="744" t="str">
        <f t="shared" si="200"/>
        <v/>
      </c>
      <c r="CW199" s="744" t="str">
        <f t="shared" si="201"/>
        <v/>
      </c>
      <c r="CX199" s="744">
        <f t="shared" si="202"/>
        <v>1.0001990000000001</v>
      </c>
    </row>
    <row r="200" spans="1:102">
      <c r="A200" s="630">
        <v>197</v>
      </c>
      <c r="B200" s="630" t="s">
        <v>4</v>
      </c>
      <c r="C200" s="631" t="s">
        <v>749</v>
      </c>
      <c r="D200" s="630" t="s">
        <v>1390</v>
      </c>
      <c r="E200" s="632" t="s">
        <v>699</v>
      </c>
      <c r="F200" s="1067">
        <v>1</v>
      </c>
      <c r="G200" s="1066">
        <v>1</v>
      </c>
      <c r="H200" s="1070">
        <v>1</v>
      </c>
      <c r="I200" s="1070"/>
      <c r="J200" s="1070"/>
      <c r="K200" s="1070"/>
      <c r="L200" s="1072"/>
      <c r="M200" s="1070"/>
      <c r="N200" s="1070"/>
      <c r="O200" s="1070"/>
      <c r="P200" s="1073"/>
      <c r="Q200" s="1070">
        <v>350</v>
      </c>
      <c r="R200" s="1070"/>
      <c r="S200" s="1070"/>
      <c r="T200" s="1070"/>
      <c r="U200" s="1070"/>
      <c r="V200" s="1066">
        <v>64</v>
      </c>
      <c r="W200" s="1070">
        <v>18.000000000000004</v>
      </c>
      <c r="X200" s="1070"/>
      <c r="Y200" s="1070">
        <v>47</v>
      </c>
      <c r="Z200" s="1070"/>
      <c r="AA200" s="1070">
        <v>800</v>
      </c>
      <c r="AB200" s="1070">
        <v>200</v>
      </c>
      <c r="AC200" s="1070">
        <v>1000</v>
      </c>
      <c r="AD200" s="1070"/>
      <c r="AE200" s="1070">
        <v>400</v>
      </c>
      <c r="AF200" s="1070">
        <v>10</v>
      </c>
      <c r="AG200" s="1070">
        <v>2.2999999999999998</v>
      </c>
      <c r="AH200" s="1073">
        <v>2</v>
      </c>
      <c r="AI200" s="1070"/>
      <c r="AJ200" s="1070"/>
      <c r="AK200" s="1070"/>
      <c r="AL200" s="1082"/>
      <c r="AM200" s="1069"/>
      <c r="AN200" s="1070"/>
      <c r="AO200" s="1070"/>
      <c r="AP200" s="1070"/>
      <c r="AQ200" s="1070"/>
      <c r="AR200" s="1069"/>
      <c r="AS200" s="1282"/>
      <c r="AT200" s="1282"/>
      <c r="AU200" s="1069"/>
      <c r="AV200" s="1069"/>
      <c r="AW200" s="1069"/>
      <c r="AX200" s="1070"/>
      <c r="AY200" s="1070"/>
      <c r="AZ200" s="1078">
        <f t="shared" si="155"/>
        <v>1</v>
      </c>
      <c r="BA200" s="59">
        <v>196</v>
      </c>
      <c r="BB200" s="59">
        <f t="shared" si="156"/>
        <v>196</v>
      </c>
      <c r="BC200" s="60" t="str">
        <f t="shared" si="157"/>
        <v>Premix Fosbovi Proteico 35</v>
      </c>
      <c r="BD200" s="61" t="str">
        <f ca="1">IFERROR(IF(SEARCH('Calcular Dieta'!A$3,$BC$5:$BC$310)&gt;=1,BC200,"Não encontrado"),"Não encontrado")</f>
        <v>Premix Fosbovi Proteico 35</v>
      </c>
      <c r="BE200" s="62">
        <f ca="1">COUNTIF(BD$5:BD200,"&lt;&gt;"&amp;"Não encontrado")</f>
        <v>196</v>
      </c>
      <c r="BF200" s="63" t="str">
        <f t="shared" ca="1" si="158"/>
        <v>PREMIX FOSBOVI PROTEICO 35</v>
      </c>
      <c r="BG200" s="744" t="str">
        <f t="shared" si="159"/>
        <v/>
      </c>
      <c r="BH200" s="744" t="str">
        <f t="shared" si="160"/>
        <v/>
      </c>
      <c r="BI200" s="744" t="str">
        <f t="shared" si="161"/>
        <v/>
      </c>
      <c r="BJ200" s="744" t="str">
        <f t="shared" si="162"/>
        <v/>
      </c>
      <c r="BK200" s="744" t="str">
        <f t="shared" si="163"/>
        <v/>
      </c>
      <c r="BL200" s="744" t="str">
        <f t="shared" si="164"/>
        <v/>
      </c>
      <c r="BM200" s="744" t="str">
        <f t="shared" si="165"/>
        <v/>
      </c>
      <c r="BN200" s="744" t="str">
        <f t="shared" si="166"/>
        <v/>
      </c>
      <c r="BO200" s="744">
        <f t="shared" si="167"/>
        <v>350.00020000000001</v>
      </c>
      <c r="BP200" s="744" t="str">
        <f t="shared" si="168"/>
        <v/>
      </c>
      <c r="BQ200" s="744" t="str">
        <f t="shared" si="169"/>
        <v/>
      </c>
      <c r="BR200" s="744" t="str">
        <f t="shared" si="170"/>
        <v/>
      </c>
      <c r="BS200" s="744" t="str">
        <f t="shared" si="171"/>
        <v/>
      </c>
      <c r="BT200" s="744">
        <f t="shared" si="172"/>
        <v>64.000200000000007</v>
      </c>
      <c r="BU200" s="744">
        <f t="shared" si="173"/>
        <v>18.000200000000003</v>
      </c>
      <c r="BV200" s="744" t="str">
        <f t="shared" si="174"/>
        <v/>
      </c>
      <c r="BW200" s="744">
        <f t="shared" si="175"/>
        <v>47.0002</v>
      </c>
      <c r="BX200" s="744" t="str">
        <f t="shared" si="176"/>
        <v/>
      </c>
      <c r="BY200" s="744">
        <f t="shared" si="177"/>
        <v>800.00019999999995</v>
      </c>
      <c r="BZ200" s="744">
        <f t="shared" si="178"/>
        <v>200.00020000000001</v>
      </c>
      <c r="CA200" s="744">
        <f t="shared" si="179"/>
        <v>1000.0001999999999</v>
      </c>
      <c r="CB200" s="744" t="str">
        <f t="shared" si="180"/>
        <v/>
      </c>
      <c r="CC200" s="744">
        <f t="shared" si="181"/>
        <v>400.00020000000001</v>
      </c>
      <c r="CD200" s="744">
        <f t="shared" si="182"/>
        <v>10.0002</v>
      </c>
      <c r="CE200" s="744">
        <f t="shared" si="183"/>
        <v>2.3001999999999998</v>
      </c>
      <c r="CF200" s="744">
        <f t="shared" si="184"/>
        <v>2.0002</v>
      </c>
      <c r="CG200" s="744" t="str">
        <f t="shared" si="185"/>
        <v/>
      </c>
      <c r="CH200" s="744" t="str">
        <f t="shared" si="186"/>
        <v/>
      </c>
      <c r="CI200" s="744" t="str">
        <f t="shared" si="187"/>
        <v/>
      </c>
      <c r="CJ200" s="744" t="str">
        <f t="shared" si="188"/>
        <v/>
      </c>
      <c r="CK200" s="744" t="str">
        <f t="shared" si="189"/>
        <v/>
      </c>
      <c r="CL200" s="744" t="str">
        <f t="shared" si="190"/>
        <v/>
      </c>
      <c r="CM200" s="744" t="str">
        <f t="shared" si="191"/>
        <v/>
      </c>
      <c r="CN200" s="744" t="str">
        <f t="shared" si="192"/>
        <v/>
      </c>
      <c r="CO200" s="744" t="str">
        <f t="shared" si="193"/>
        <v/>
      </c>
      <c r="CP200" s="744" t="str">
        <f t="shared" si="194"/>
        <v/>
      </c>
      <c r="CQ200" s="744" t="str">
        <f t="shared" si="195"/>
        <v/>
      </c>
      <c r="CR200" s="744" t="str">
        <f t="shared" si="196"/>
        <v/>
      </c>
      <c r="CS200" s="744" t="str">
        <f t="shared" si="197"/>
        <v/>
      </c>
      <c r="CT200" s="744" t="str">
        <f t="shared" si="198"/>
        <v/>
      </c>
      <c r="CU200" s="744" t="str">
        <f t="shared" si="199"/>
        <v/>
      </c>
      <c r="CV200" s="744" t="str">
        <f t="shared" si="200"/>
        <v/>
      </c>
      <c r="CW200" s="744" t="str">
        <f t="shared" si="201"/>
        <v/>
      </c>
      <c r="CX200" s="744">
        <f t="shared" si="202"/>
        <v>1.0002</v>
      </c>
    </row>
    <row r="201" spans="1:102">
      <c r="A201" s="633">
        <v>198</v>
      </c>
      <c r="B201" s="630" t="s">
        <v>4</v>
      </c>
      <c r="C201" s="631" t="s">
        <v>749</v>
      </c>
      <c r="D201" s="630" t="s">
        <v>1390</v>
      </c>
      <c r="E201" s="632" t="s">
        <v>700</v>
      </c>
      <c r="F201" s="1067">
        <v>1</v>
      </c>
      <c r="G201" s="1066">
        <v>1</v>
      </c>
      <c r="H201" s="1070">
        <v>1</v>
      </c>
      <c r="I201" s="1070"/>
      <c r="J201" s="1070"/>
      <c r="K201" s="1070"/>
      <c r="L201" s="1072">
        <v>0.60199999999999998</v>
      </c>
      <c r="M201" s="1070"/>
      <c r="N201" s="1070"/>
      <c r="O201" s="1070"/>
      <c r="P201" s="1073"/>
      <c r="Q201" s="1070">
        <v>266</v>
      </c>
      <c r="R201" s="1070"/>
      <c r="S201" s="1070"/>
      <c r="T201" s="1070"/>
      <c r="U201" s="1070"/>
      <c r="V201" s="1066">
        <v>49</v>
      </c>
      <c r="W201" s="1070">
        <v>33.6</v>
      </c>
      <c r="X201" s="1070"/>
      <c r="Y201" s="1070">
        <v>13.3</v>
      </c>
      <c r="Z201" s="1070"/>
      <c r="AA201" s="1070">
        <v>16.600000000000001</v>
      </c>
      <c r="AB201" s="1070">
        <v>250</v>
      </c>
      <c r="AC201" s="1070">
        <v>750</v>
      </c>
      <c r="AD201" s="1070"/>
      <c r="AE201" s="1070">
        <v>500</v>
      </c>
      <c r="AF201" s="1070">
        <v>20</v>
      </c>
      <c r="AG201" s="1070">
        <v>2.5499999999999998</v>
      </c>
      <c r="AH201" s="1073">
        <v>2.5</v>
      </c>
      <c r="AI201" s="1070"/>
      <c r="AJ201" s="1070"/>
      <c r="AK201" s="1070"/>
      <c r="AL201" s="1082"/>
      <c r="AM201" s="1069"/>
      <c r="AN201" s="1070"/>
      <c r="AO201" s="1070"/>
      <c r="AP201" s="1070"/>
      <c r="AQ201" s="1070"/>
      <c r="AR201" s="1069"/>
      <c r="AS201" s="1282"/>
      <c r="AT201" s="1282"/>
      <c r="AU201" s="1069"/>
      <c r="AV201" s="1069"/>
      <c r="AW201" s="1069"/>
      <c r="AX201" s="1070"/>
      <c r="AY201" s="1070"/>
      <c r="AZ201" s="1078">
        <f t="shared" si="155"/>
        <v>1</v>
      </c>
      <c r="BA201" s="59">
        <v>197</v>
      </c>
      <c r="BB201" s="59">
        <f t="shared" si="156"/>
        <v>197</v>
      </c>
      <c r="BC201" s="60" t="str">
        <f t="shared" si="157"/>
        <v>Premix Fosbovinho Proteico ADE</v>
      </c>
      <c r="BD201" s="61" t="str">
        <f ca="1">IFERROR(IF(SEARCH('Calcular Dieta'!A$3,$BC$5:$BC$310)&gt;=1,BC201,"Não encontrado"),"Não encontrado")</f>
        <v>Premix Fosbovinho Proteico ADE</v>
      </c>
      <c r="BE201" s="62">
        <f ca="1">COUNTIF(BD$5:BD201,"&lt;&gt;"&amp;"Não encontrado")</f>
        <v>197</v>
      </c>
      <c r="BF201" s="63" t="str">
        <f t="shared" ca="1" si="158"/>
        <v>PREMIX FOSBOVINHO PROTEICO ADE</v>
      </c>
      <c r="BG201" s="744" t="str">
        <f t="shared" si="159"/>
        <v/>
      </c>
      <c r="BH201" s="744" t="str">
        <f t="shared" si="160"/>
        <v/>
      </c>
      <c r="BI201" s="744" t="str">
        <f t="shared" si="161"/>
        <v/>
      </c>
      <c r="BJ201" s="744">
        <f t="shared" si="162"/>
        <v>0.60220099999999999</v>
      </c>
      <c r="BK201" s="744" t="str">
        <f t="shared" si="163"/>
        <v/>
      </c>
      <c r="BL201" s="744" t="str">
        <f t="shared" si="164"/>
        <v/>
      </c>
      <c r="BM201" s="744" t="str">
        <f t="shared" si="165"/>
        <v/>
      </c>
      <c r="BN201" s="744" t="str">
        <f t="shared" si="166"/>
        <v/>
      </c>
      <c r="BO201" s="744">
        <f t="shared" si="167"/>
        <v>266.000201</v>
      </c>
      <c r="BP201" s="744" t="str">
        <f t="shared" si="168"/>
        <v/>
      </c>
      <c r="BQ201" s="744" t="str">
        <f t="shared" si="169"/>
        <v/>
      </c>
      <c r="BR201" s="744" t="str">
        <f t="shared" si="170"/>
        <v/>
      </c>
      <c r="BS201" s="744" t="str">
        <f t="shared" si="171"/>
        <v/>
      </c>
      <c r="BT201" s="744">
        <f t="shared" si="172"/>
        <v>49.000200999999997</v>
      </c>
      <c r="BU201" s="744">
        <f t="shared" si="173"/>
        <v>33.600200999999998</v>
      </c>
      <c r="BV201" s="744" t="str">
        <f t="shared" si="174"/>
        <v/>
      </c>
      <c r="BW201" s="744">
        <f t="shared" si="175"/>
        <v>13.300201000000001</v>
      </c>
      <c r="BX201" s="744" t="str">
        <f t="shared" si="176"/>
        <v/>
      </c>
      <c r="BY201" s="744">
        <f t="shared" si="177"/>
        <v>16.600201000000002</v>
      </c>
      <c r="BZ201" s="744">
        <f t="shared" si="178"/>
        <v>250.000201</v>
      </c>
      <c r="CA201" s="744">
        <f t="shared" si="179"/>
        <v>750.00020099999995</v>
      </c>
      <c r="CB201" s="744" t="str">
        <f t="shared" si="180"/>
        <v/>
      </c>
      <c r="CC201" s="744">
        <f t="shared" si="181"/>
        <v>500.000201</v>
      </c>
      <c r="CD201" s="744">
        <f t="shared" si="182"/>
        <v>20.000201000000001</v>
      </c>
      <c r="CE201" s="744">
        <f t="shared" si="183"/>
        <v>2.5502009999999999</v>
      </c>
      <c r="CF201" s="744">
        <f t="shared" si="184"/>
        <v>2.5002010000000001</v>
      </c>
      <c r="CG201" s="744" t="str">
        <f t="shared" si="185"/>
        <v/>
      </c>
      <c r="CH201" s="744" t="str">
        <f t="shared" si="186"/>
        <v/>
      </c>
      <c r="CI201" s="744" t="str">
        <f t="shared" si="187"/>
        <v/>
      </c>
      <c r="CJ201" s="744" t="str">
        <f t="shared" si="188"/>
        <v/>
      </c>
      <c r="CK201" s="744" t="str">
        <f t="shared" si="189"/>
        <v/>
      </c>
      <c r="CL201" s="744" t="str">
        <f t="shared" si="190"/>
        <v/>
      </c>
      <c r="CM201" s="744" t="str">
        <f t="shared" si="191"/>
        <v/>
      </c>
      <c r="CN201" s="744" t="str">
        <f t="shared" si="192"/>
        <v/>
      </c>
      <c r="CO201" s="744" t="str">
        <f t="shared" si="193"/>
        <v/>
      </c>
      <c r="CP201" s="744" t="str">
        <f t="shared" si="194"/>
        <v/>
      </c>
      <c r="CQ201" s="744" t="str">
        <f t="shared" si="195"/>
        <v/>
      </c>
      <c r="CR201" s="744" t="str">
        <f t="shared" si="196"/>
        <v/>
      </c>
      <c r="CS201" s="744" t="str">
        <f t="shared" si="197"/>
        <v/>
      </c>
      <c r="CT201" s="744" t="str">
        <f t="shared" si="198"/>
        <v/>
      </c>
      <c r="CU201" s="744" t="str">
        <f t="shared" si="199"/>
        <v/>
      </c>
      <c r="CV201" s="744" t="str">
        <f t="shared" si="200"/>
        <v/>
      </c>
      <c r="CW201" s="744" t="str">
        <f t="shared" si="201"/>
        <v/>
      </c>
      <c r="CX201" s="744">
        <f t="shared" si="202"/>
        <v>1.0002009999999999</v>
      </c>
    </row>
    <row r="202" spans="1:102">
      <c r="A202" s="630">
        <v>199</v>
      </c>
      <c r="B202" s="630" t="s">
        <v>4</v>
      </c>
      <c r="C202" s="631" t="s">
        <v>749</v>
      </c>
      <c r="D202" s="630" t="s">
        <v>1390</v>
      </c>
      <c r="E202" s="632" t="s">
        <v>701</v>
      </c>
      <c r="F202" s="1067">
        <v>1</v>
      </c>
      <c r="G202" s="1066">
        <v>1</v>
      </c>
      <c r="H202" s="1070">
        <v>1</v>
      </c>
      <c r="I202" s="1070"/>
      <c r="J202" s="1070"/>
      <c r="K202" s="1070"/>
      <c r="L202" s="1072"/>
      <c r="M202" s="1070"/>
      <c r="N202" s="1070"/>
      <c r="O202" s="1070"/>
      <c r="P202" s="1073"/>
      <c r="Q202" s="1070">
        <v>560</v>
      </c>
      <c r="R202" s="1070">
        <v>560</v>
      </c>
      <c r="S202" s="1070"/>
      <c r="T202" s="1070">
        <v>322.89999999999998</v>
      </c>
      <c r="U202" s="1070"/>
      <c r="V202" s="1066">
        <v>120</v>
      </c>
      <c r="W202" s="1070">
        <v>18.000000000000004</v>
      </c>
      <c r="X202" s="1070">
        <v>18.000000000000004</v>
      </c>
      <c r="Y202" s="1070">
        <v>60</v>
      </c>
      <c r="Z202" s="1070">
        <v>15</v>
      </c>
      <c r="AA202" s="1070">
        <v>250</v>
      </c>
      <c r="AB202" s="1070">
        <v>350</v>
      </c>
      <c r="AC202" s="1070">
        <v>1500</v>
      </c>
      <c r="AD202" s="1070"/>
      <c r="AE202" s="1070">
        <v>500</v>
      </c>
      <c r="AF202" s="1070">
        <v>20</v>
      </c>
      <c r="AG202" s="1070">
        <v>20</v>
      </c>
      <c r="AH202" s="1073">
        <v>5</v>
      </c>
      <c r="AI202" s="1070"/>
      <c r="AJ202" s="1070"/>
      <c r="AK202" s="1070"/>
      <c r="AL202" s="1082"/>
      <c r="AM202" s="1069"/>
      <c r="AN202" s="1070"/>
      <c r="AO202" s="1070"/>
      <c r="AP202" s="1070"/>
      <c r="AQ202" s="1070"/>
      <c r="AR202" s="1069"/>
      <c r="AS202" s="1282"/>
      <c r="AT202" s="1282"/>
      <c r="AU202" s="1069"/>
      <c r="AV202" s="1069"/>
      <c r="AW202" s="1069"/>
      <c r="AX202" s="1070"/>
      <c r="AY202" s="1070"/>
      <c r="AZ202" s="1078">
        <f t="shared" si="155"/>
        <v>1</v>
      </c>
      <c r="BA202" s="59">
        <v>198</v>
      </c>
      <c r="BB202" s="59">
        <f t="shared" si="156"/>
        <v>198</v>
      </c>
      <c r="BC202" s="60" t="str">
        <f t="shared" si="157"/>
        <v>Premix Fosquima Confinamento 56 PB</v>
      </c>
      <c r="BD202" s="61" t="str">
        <f ca="1">IFERROR(IF(SEARCH('Calcular Dieta'!A$3,$BC$5:$BC$310)&gt;=1,BC202,"Não encontrado"),"Não encontrado")</f>
        <v>Premix Fosquima Confinamento 56 PB</v>
      </c>
      <c r="BE202" s="62">
        <f ca="1">COUNTIF(BD$5:BD202,"&lt;&gt;"&amp;"Não encontrado")</f>
        <v>198</v>
      </c>
      <c r="BF202" s="63" t="str">
        <f t="shared" ca="1" si="158"/>
        <v>PREMIX FOSQUIMA CONFINAMENTO 56 PB</v>
      </c>
      <c r="BG202" s="744" t="str">
        <f t="shared" si="159"/>
        <v/>
      </c>
      <c r="BH202" s="744" t="str">
        <f t="shared" si="160"/>
        <v/>
      </c>
      <c r="BI202" s="744" t="str">
        <f t="shared" si="161"/>
        <v/>
      </c>
      <c r="BJ202" s="744" t="str">
        <f t="shared" si="162"/>
        <v/>
      </c>
      <c r="BK202" s="744" t="str">
        <f t="shared" si="163"/>
        <v/>
      </c>
      <c r="BL202" s="744" t="str">
        <f t="shared" si="164"/>
        <v/>
      </c>
      <c r="BM202" s="744" t="str">
        <f t="shared" si="165"/>
        <v/>
      </c>
      <c r="BN202" s="744" t="str">
        <f t="shared" si="166"/>
        <v/>
      </c>
      <c r="BO202" s="744">
        <f t="shared" si="167"/>
        <v>560.00020199999994</v>
      </c>
      <c r="BP202" s="744">
        <f t="shared" si="168"/>
        <v>560.00020199999994</v>
      </c>
      <c r="BQ202" s="744" t="str">
        <f t="shared" si="169"/>
        <v/>
      </c>
      <c r="BR202" s="744">
        <f t="shared" si="170"/>
        <v>322.90020199999998</v>
      </c>
      <c r="BS202" s="744" t="str">
        <f t="shared" si="171"/>
        <v/>
      </c>
      <c r="BT202" s="744">
        <f t="shared" si="172"/>
        <v>120.000202</v>
      </c>
      <c r="BU202" s="744">
        <f t="shared" si="173"/>
        <v>18.000202000000005</v>
      </c>
      <c r="BV202" s="744">
        <f t="shared" si="174"/>
        <v>18.000202000000005</v>
      </c>
      <c r="BW202" s="744">
        <f t="shared" si="175"/>
        <v>60.000202000000002</v>
      </c>
      <c r="BX202" s="744">
        <f t="shared" si="176"/>
        <v>15.000202</v>
      </c>
      <c r="BY202" s="744">
        <f t="shared" si="177"/>
        <v>250.000202</v>
      </c>
      <c r="BZ202" s="744">
        <f t="shared" si="178"/>
        <v>350.000202</v>
      </c>
      <c r="CA202" s="744">
        <f t="shared" si="179"/>
        <v>1500.0002019999999</v>
      </c>
      <c r="CB202" s="744" t="str">
        <f t="shared" si="180"/>
        <v/>
      </c>
      <c r="CC202" s="744">
        <f t="shared" si="181"/>
        <v>500.000202</v>
      </c>
      <c r="CD202" s="744">
        <f t="shared" si="182"/>
        <v>20.000202000000002</v>
      </c>
      <c r="CE202" s="744">
        <f t="shared" si="183"/>
        <v>20.000202000000002</v>
      </c>
      <c r="CF202" s="744">
        <f t="shared" si="184"/>
        <v>5.0002019999999998</v>
      </c>
      <c r="CG202" s="744" t="str">
        <f t="shared" si="185"/>
        <v/>
      </c>
      <c r="CH202" s="744" t="str">
        <f t="shared" si="186"/>
        <v/>
      </c>
      <c r="CI202" s="744" t="str">
        <f t="shared" si="187"/>
        <v/>
      </c>
      <c r="CJ202" s="744" t="str">
        <f t="shared" si="188"/>
        <v/>
      </c>
      <c r="CK202" s="744" t="str">
        <f t="shared" si="189"/>
        <v/>
      </c>
      <c r="CL202" s="744" t="str">
        <f t="shared" si="190"/>
        <v/>
      </c>
      <c r="CM202" s="744" t="str">
        <f t="shared" si="191"/>
        <v/>
      </c>
      <c r="CN202" s="744" t="str">
        <f t="shared" si="192"/>
        <v/>
      </c>
      <c r="CO202" s="744" t="str">
        <f t="shared" si="193"/>
        <v/>
      </c>
      <c r="CP202" s="744" t="str">
        <f t="shared" si="194"/>
        <v/>
      </c>
      <c r="CQ202" s="744" t="str">
        <f t="shared" si="195"/>
        <v/>
      </c>
      <c r="CR202" s="744" t="str">
        <f t="shared" si="196"/>
        <v/>
      </c>
      <c r="CS202" s="744" t="str">
        <f t="shared" si="197"/>
        <v/>
      </c>
      <c r="CT202" s="744" t="str">
        <f t="shared" si="198"/>
        <v/>
      </c>
      <c r="CU202" s="744" t="str">
        <f t="shared" si="199"/>
        <v/>
      </c>
      <c r="CV202" s="744" t="str">
        <f t="shared" si="200"/>
        <v/>
      </c>
      <c r="CW202" s="744" t="str">
        <f t="shared" si="201"/>
        <v/>
      </c>
      <c r="CX202" s="744">
        <f t="shared" si="202"/>
        <v>1.000202</v>
      </c>
    </row>
    <row r="203" spans="1:102">
      <c r="A203" s="633">
        <v>200</v>
      </c>
      <c r="B203" s="630" t="s">
        <v>4</v>
      </c>
      <c r="C203" s="631" t="s">
        <v>749</v>
      </c>
      <c r="D203" s="630" t="s">
        <v>1390</v>
      </c>
      <c r="E203" s="632" t="s">
        <v>702</v>
      </c>
      <c r="F203" s="1067">
        <v>1</v>
      </c>
      <c r="G203" s="1066">
        <v>1</v>
      </c>
      <c r="H203" s="1070">
        <v>1</v>
      </c>
      <c r="I203" s="1070"/>
      <c r="J203" s="1070"/>
      <c r="K203" s="1070"/>
      <c r="L203" s="1072"/>
      <c r="M203" s="1070"/>
      <c r="N203" s="1070"/>
      <c r="O203" s="1070"/>
      <c r="P203" s="1073"/>
      <c r="Q203" s="1070"/>
      <c r="R203" s="1070"/>
      <c r="S203" s="1070"/>
      <c r="T203" s="1070"/>
      <c r="U203" s="1070"/>
      <c r="V203" s="1066">
        <v>175</v>
      </c>
      <c r="W203" s="1070">
        <v>80</v>
      </c>
      <c r="X203" s="1070">
        <v>5</v>
      </c>
      <c r="Y203" s="1070">
        <v>107</v>
      </c>
      <c r="Z203" s="1070"/>
      <c r="AA203" s="1070">
        <v>120</v>
      </c>
      <c r="AB203" s="1070">
        <v>1300</v>
      </c>
      <c r="AC203" s="1070">
        <v>4000</v>
      </c>
      <c r="AD203" s="1070"/>
      <c r="AE203" s="1070">
        <v>100</v>
      </c>
      <c r="AF203" s="1070">
        <v>70</v>
      </c>
      <c r="AG203" s="1070">
        <v>107</v>
      </c>
      <c r="AH203" s="1073">
        <v>18</v>
      </c>
      <c r="AI203" s="1070"/>
      <c r="AJ203" s="1070"/>
      <c r="AK203" s="1070"/>
      <c r="AL203" s="1082"/>
      <c r="AM203" s="1069"/>
      <c r="AN203" s="1070"/>
      <c r="AO203" s="1070"/>
      <c r="AP203" s="1070"/>
      <c r="AQ203" s="1070"/>
      <c r="AR203" s="1069"/>
      <c r="AS203" s="1282"/>
      <c r="AT203" s="1282"/>
      <c r="AU203" s="1069"/>
      <c r="AV203" s="1069"/>
      <c r="AW203" s="1069"/>
      <c r="AX203" s="1070"/>
      <c r="AY203" s="1070"/>
      <c r="AZ203" s="1078">
        <f t="shared" si="155"/>
        <v>1</v>
      </c>
      <c r="BA203" s="59">
        <v>199</v>
      </c>
      <c r="BB203" s="59">
        <f t="shared" si="156"/>
        <v>199</v>
      </c>
      <c r="BC203" s="60" t="str">
        <f t="shared" si="157"/>
        <v>Premix Matsuda Fos 80S</v>
      </c>
      <c r="BD203" s="61" t="str">
        <f ca="1">IFERROR(IF(SEARCH('Calcular Dieta'!A$3,$BC$5:$BC$310)&gt;=1,BC203,"Não encontrado"),"Não encontrado")</f>
        <v>Premix Matsuda Fos 80S</v>
      </c>
      <c r="BE203" s="62">
        <f ca="1">COUNTIF(BD$5:BD203,"&lt;&gt;"&amp;"Não encontrado")</f>
        <v>199</v>
      </c>
      <c r="BF203" s="63" t="str">
        <f t="shared" ca="1" si="158"/>
        <v>PREMIX MATSUDA FOS 80S</v>
      </c>
      <c r="BG203" s="744" t="str">
        <f t="shared" si="159"/>
        <v/>
      </c>
      <c r="BH203" s="744" t="str">
        <f t="shared" si="160"/>
        <v/>
      </c>
      <c r="BI203" s="744" t="str">
        <f t="shared" si="161"/>
        <v/>
      </c>
      <c r="BJ203" s="744" t="str">
        <f t="shared" si="162"/>
        <v/>
      </c>
      <c r="BK203" s="744" t="str">
        <f t="shared" si="163"/>
        <v/>
      </c>
      <c r="BL203" s="744" t="str">
        <f t="shared" si="164"/>
        <v/>
      </c>
      <c r="BM203" s="744" t="str">
        <f t="shared" si="165"/>
        <v/>
      </c>
      <c r="BN203" s="744" t="str">
        <f t="shared" si="166"/>
        <v/>
      </c>
      <c r="BO203" s="744" t="str">
        <f t="shared" si="167"/>
        <v/>
      </c>
      <c r="BP203" s="744" t="str">
        <f t="shared" si="168"/>
        <v/>
      </c>
      <c r="BQ203" s="744" t="str">
        <f t="shared" si="169"/>
        <v/>
      </c>
      <c r="BR203" s="744" t="str">
        <f t="shared" si="170"/>
        <v/>
      </c>
      <c r="BS203" s="744" t="str">
        <f t="shared" si="171"/>
        <v/>
      </c>
      <c r="BT203" s="744">
        <f t="shared" si="172"/>
        <v>175.000203</v>
      </c>
      <c r="BU203" s="744">
        <f t="shared" si="173"/>
        <v>80.000202999999999</v>
      </c>
      <c r="BV203" s="744">
        <f t="shared" si="174"/>
        <v>5.000203</v>
      </c>
      <c r="BW203" s="744">
        <f t="shared" si="175"/>
        <v>107.000203</v>
      </c>
      <c r="BX203" s="744" t="str">
        <f t="shared" si="176"/>
        <v/>
      </c>
      <c r="BY203" s="744">
        <f t="shared" si="177"/>
        <v>120.000203</v>
      </c>
      <c r="BZ203" s="744">
        <f t="shared" si="178"/>
        <v>1300.0002030000001</v>
      </c>
      <c r="CA203" s="744">
        <f t="shared" si="179"/>
        <v>4000.0002030000001</v>
      </c>
      <c r="CB203" s="744" t="str">
        <f t="shared" si="180"/>
        <v/>
      </c>
      <c r="CC203" s="744">
        <f t="shared" si="181"/>
        <v>100.000203</v>
      </c>
      <c r="CD203" s="744">
        <f t="shared" si="182"/>
        <v>70.000202999999999</v>
      </c>
      <c r="CE203" s="744">
        <f t="shared" si="183"/>
        <v>107.000203</v>
      </c>
      <c r="CF203" s="744">
        <f t="shared" si="184"/>
        <v>18.000202999999999</v>
      </c>
      <c r="CG203" s="744" t="str">
        <f t="shared" si="185"/>
        <v/>
      </c>
      <c r="CH203" s="744" t="str">
        <f t="shared" si="186"/>
        <v/>
      </c>
      <c r="CI203" s="744" t="str">
        <f t="shared" si="187"/>
        <v/>
      </c>
      <c r="CJ203" s="744" t="str">
        <f t="shared" si="188"/>
        <v/>
      </c>
      <c r="CK203" s="744" t="str">
        <f t="shared" si="189"/>
        <v/>
      </c>
      <c r="CL203" s="744" t="str">
        <f t="shared" si="190"/>
        <v/>
      </c>
      <c r="CM203" s="744" t="str">
        <f t="shared" si="191"/>
        <v/>
      </c>
      <c r="CN203" s="744" t="str">
        <f t="shared" si="192"/>
        <v/>
      </c>
      <c r="CO203" s="744" t="str">
        <f t="shared" si="193"/>
        <v/>
      </c>
      <c r="CP203" s="744" t="str">
        <f t="shared" si="194"/>
        <v/>
      </c>
      <c r="CQ203" s="744" t="str">
        <f t="shared" si="195"/>
        <v/>
      </c>
      <c r="CR203" s="744" t="str">
        <f t="shared" si="196"/>
        <v/>
      </c>
      <c r="CS203" s="744" t="str">
        <f t="shared" si="197"/>
        <v/>
      </c>
      <c r="CT203" s="744" t="str">
        <f t="shared" si="198"/>
        <v/>
      </c>
      <c r="CU203" s="744" t="str">
        <f t="shared" si="199"/>
        <v/>
      </c>
      <c r="CV203" s="744" t="str">
        <f t="shared" si="200"/>
        <v/>
      </c>
      <c r="CW203" s="744" t="str">
        <f t="shared" si="201"/>
        <v/>
      </c>
      <c r="CX203" s="744">
        <f t="shared" si="202"/>
        <v>1.000203</v>
      </c>
    </row>
    <row r="204" spans="1:102">
      <c r="A204" s="630">
        <v>201</v>
      </c>
      <c r="B204" s="630" t="s">
        <v>4</v>
      </c>
      <c r="C204" s="631" t="s">
        <v>749</v>
      </c>
      <c r="D204" s="630" t="s">
        <v>1390</v>
      </c>
      <c r="E204" s="632" t="s">
        <v>703</v>
      </c>
      <c r="F204" s="1067">
        <v>1</v>
      </c>
      <c r="G204" s="1066">
        <v>1</v>
      </c>
      <c r="H204" s="1070">
        <v>0.9</v>
      </c>
      <c r="I204" s="1070"/>
      <c r="J204" s="1070"/>
      <c r="K204" s="1070"/>
      <c r="L204" s="1072"/>
      <c r="M204" s="1070"/>
      <c r="N204" s="1070"/>
      <c r="O204" s="1070"/>
      <c r="P204" s="1073"/>
      <c r="Q204" s="1070">
        <v>432</v>
      </c>
      <c r="R204" s="1070"/>
      <c r="S204" s="1070"/>
      <c r="T204" s="1070"/>
      <c r="U204" s="1070"/>
      <c r="V204" s="1066">
        <v>72.000000000000014</v>
      </c>
      <c r="W204" s="1070">
        <v>3.6000000000000005</v>
      </c>
      <c r="X204" s="1070">
        <v>2.7</v>
      </c>
      <c r="Y204" s="1070">
        <v>9.9</v>
      </c>
      <c r="Z204" s="1070">
        <v>10.8</v>
      </c>
      <c r="AA204" s="1070">
        <v>72.000000000000014</v>
      </c>
      <c r="AB204" s="1070">
        <v>75</v>
      </c>
      <c r="AC204" s="1070">
        <v>220</v>
      </c>
      <c r="AD204" s="1070"/>
      <c r="AE204" s="1070">
        <v>150</v>
      </c>
      <c r="AF204" s="1070">
        <v>4</v>
      </c>
      <c r="AG204" s="1070">
        <v>2500</v>
      </c>
      <c r="AH204" s="1073">
        <v>0.8</v>
      </c>
      <c r="AI204" s="1070"/>
      <c r="AJ204" s="1070"/>
      <c r="AK204" s="1070"/>
      <c r="AL204" s="1082"/>
      <c r="AM204" s="1069"/>
      <c r="AN204" s="1070"/>
      <c r="AO204" s="1070"/>
      <c r="AP204" s="1070"/>
      <c r="AQ204" s="1070"/>
      <c r="AR204" s="1069"/>
      <c r="AS204" s="1282"/>
      <c r="AT204" s="1282"/>
      <c r="AU204" s="1069"/>
      <c r="AV204" s="1069"/>
      <c r="AW204" s="1069"/>
      <c r="AX204" s="1070"/>
      <c r="AY204" s="1070"/>
      <c r="AZ204" s="1078">
        <f t="shared" si="155"/>
        <v>0.9</v>
      </c>
      <c r="BA204" s="59">
        <v>200</v>
      </c>
      <c r="BB204" s="59">
        <f t="shared" si="156"/>
        <v>200</v>
      </c>
      <c r="BC204" s="60" t="str">
        <f t="shared" si="157"/>
        <v>Premix Minerthal Confinamento Pasto Aguas</v>
      </c>
      <c r="BD204" s="61" t="str">
        <f ca="1">IFERROR(IF(SEARCH('Calcular Dieta'!A$3,$BC$5:$BC$310)&gt;=1,BC204,"Não encontrado"),"Não encontrado")</f>
        <v>Premix Minerthal Confinamento Pasto Aguas</v>
      </c>
      <c r="BE204" s="62">
        <f ca="1">COUNTIF(BD$5:BD204,"&lt;&gt;"&amp;"Não encontrado")</f>
        <v>200</v>
      </c>
      <c r="BF204" s="63" t="str">
        <f t="shared" ca="1" si="158"/>
        <v>PREMIX MINERTHAL CONFINAMENTO PASTO AGUAS</v>
      </c>
      <c r="BG204" s="744" t="str">
        <f t="shared" si="159"/>
        <v/>
      </c>
      <c r="BH204" s="744" t="str">
        <f t="shared" si="160"/>
        <v/>
      </c>
      <c r="BI204" s="744" t="str">
        <f t="shared" si="161"/>
        <v/>
      </c>
      <c r="BJ204" s="744" t="str">
        <f t="shared" si="162"/>
        <v/>
      </c>
      <c r="BK204" s="744" t="str">
        <f t="shared" si="163"/>
        <v/>
      </c>
      <c r="BL204" s="744" t="str">
        <f t="shared" si="164"/>
        <v/>
      </c>
      <c r="BM204" s="744" t="str">
        <f t="shared" si="165"/>
        <v/>
      </c>
      <c r="BN204" s="744" t="str">
        <f t="shared" si="166"/>
        <v/>
      </c>
      <c r="BO204" s="744">
        <f t="shared" si="167"/>
        <v>432.000204</v>
      </c>
      <c r="BP204" s="744" t="str">
        <f t="shared" si="168"/>
        <v/>
      </c>
      <c r="BQ204" s="744" t="str">
        <f t="shared" si="169"/>
        <v/>
      </c>
      <c r="BR204" s="744" t="str">
        <f t="shared" si="170"/>
        <v/>
      </c>
      <c r="BS204" s="744" t="str">
        <f t="shared" si="171"/>
        <v/>
      </c>
      <c r="BT204" s="744">
        <f t="shared" si="172"/>
        <v>72.000204000000011</v>
      </c>
      <c r="BU204" s="744">
        <f t="shared" si="173"/>
        <v>3.6002040000000006</v>
      </c>
      <c r="BV204" s="744">
        <f t="shared" si="174"/>
        <v>2.7002040000000003</v>
      </c>
      <c r="BW204" s="744">
        <f t="shared" si="175"/>
        <v>9.9002040000000004</v>
      </c>
      <c r="BX204" s="744">
        <f t="shared" si="176"/>
        <v>10.800204000000001</v>
      </c>
      <c r="BY204" s="744">
        <f t="shared" si="177"/>
        <v>72.000204000000011</v>
      </c>
      <c r="BZ204" s="744">
        <f t="shared" si="178"/>
        <v>75.000203999999997</v>
      </c>
      <c r="CA204" s="744">
        <f t="shared" si="179"/>
        <v>220.000204</v>
      </c>
      <c r="CB204" s="744" t="str">
        <f t="shared" si="180"/>
        <v/>
      </c>
      <c r="CC204" s="744">
        <f t="shared" si="181"/>
        <v>150.000204</v>
      </c>
      <c r="CD204" s="744">
        <f t="shared" si="182"/>
        <v>4.0002040000000001</v>
      </c>
      <c r="CE204" s="744">
        <f t="shared" si="183"/>
        <v>2500.0002039999999</v>
      </c>
      <c r="CF204" s="744">
        <f t="shared" si="184"/>
        <v>0.80020400000000003</v>
      </c>
      <c r="CG204" s="744" t="str">
        <f t="shared" si="185"/>
        <v/>
      </c>
      <c r="CH204" s="744" t="str">
        <f t="shared" si="186"/>
        <v/>
      </c>
      <c r="CI204" s="744" t="str">
        <f t="shared" si="187"/>
        <v/>
      </c>
      <c r="CJ204" s="744" t="str">
        <f t="shared" si="188"/>
        <v/>
      </c>
      <c r="CK204" s="744" t="str">
        <f t="shared" si="189"/>
        <v/>
      </c>
      <c r="CL204" s="744" t="str">
        <f t="shared" si="190"/>
        <v/>
      </c>
      <c r="CM204" s="744" t="str">
        <f t="shared" si="191"/>
        <v/>
      </c>
      <c r="CN204" s="744" t="str">
        <f t="shared" si="192"/>
        <v/>
      </c>
      <c r="CO204" s="744" t="str">
        <f t="shared" si="193"/>
        <v/>
      </c>
      <c r="CP204" s="744" t="str">
        <f t="shared" si="194"/>
        <v/>
      </c>
      <c r="CQ204" s="744" t="str">
        <f t="shared" si="195"/>
        <v/>
      </c>
      <c r="CR204" s="744" t="str">
        <f t="shared" si="196"/>
        <v/>
      </c>
      <c r="CS204" s="744" t="str">
        <f t="shared" si="197"/>
        <v/>
      </c>
      <c r="CT204" s="744" t="str">
        <f t="shared" si="198"/>
        <v/>
      </c>
      <c r="CU204" s="744" t="str">
        <f t="shared" si="199"/>
        <v/>
      </c>
      <c r="CV204" s="744" t="str">
        <f t="shared" si="200"/>
        <v/>
      </c>
      <c r="CW204" s="744" t="str">
        <f t="shared" si="201"/>
        <v/>
      </c>
      <c r="CX204" s="744">
        <f t="shared" si="202"/>
        <v>0.900204</v>
      </c>
    </row>
    <row r="205" spans="1:102">
      <c r="A205" s="633">
        <v>202</v>
      </c>
      <c r="B205" s="630" t="s">
        <v>4</v>
      </c>
      <c r="C205" s="631" t="s">
        <v>749</v>
      </c>
      <c r="D205" s="630" t="s">
        <v>1390</v>
      </c>
      <c r="E205" s="632" t="s">
        <v>704</v>
      </c>
      <c r="F205" s="1067">
        <v>1</v>
      </c>
      <c r="G205" s="1066">
        <v>1</v>
      </c>
      <c r="H205" s="1070">
        <v>0.98</v>
      </c>
      <c r="I205" s="1070"/>
      <c r="J205" s="1070"/>
      <c r="K205" s="1070"/>
      <c r="L205" s="1072"/>
      <c r="M205" s="1070"/>
      <c r="N205" s="1070"/>
      <c r="O205" s="1070"/>
      <c r="P205" s="1073"/>
      <c r="Q205" s="1070"/>
      <c r="R205" s="1070"/>
      <c r="S205" s="1070"/>
      <c r="T205" s="1070"/>
      <c r="U205" s="1070"/>
      <c r="V205" s="1066">
        <v>196</v>
      </c>
      <c r="W205" s="1070">
        <v>31.36</v>
      </c>
      <c r="X205" s="1070">
        <v>9.7999999999999989</v>
      </c>
      <c r="Y205" s="1070">
        <v>34.300000000000004</v>
      </c>
      <c r="Z205" s="1070">
        <v>94.08</v>
      </c>
      <c r="AA205" s="1070">
        <v>117.6</v>
      </c>
      <c r="AB205" s="1070">
        <v>800</v>
      </c>
      <c r="AC205" s="1070">
        <v>3200</v>
      </c>
      <c r="AD205" s="1070"/>
      <c r="AE205" s="1070">
        <v>2400</v>
      </c>
      <c r="AF205" s="1070">
        <v>50</v>
      </c>
      <c r="AG205" s="1070">
        <v>12</v>
      </c>
      <c r="AH205" s="1073">
        <v>20</v>
      </c>
      <c r="AI205" s="1070"/>
      <c r="AJ205" s="1070"/>
      <c r="AK205" s="1070"/>
      <c r="AL205" s="1082"/>
      <c r="AM205" s="1069"/>
      <c r="AN205" s="1070"/>
      <c r="AO205" s="1070"/>
      <c r="AP205" s="1070"/>
      <c r="AQ205" s="1070"/>
      <c r="AR205" s="1069"/>
      <c r="AS205" s="1282"/>
      <c r="AT205" s="1282"/>
      <c r="AU205" s="1069"/>
      <c r="AV205" s="1069"/>
      <c r="AW205" s="1069"/>
      <c r="AX205" s="1070"/>
      <c r="AY205" s="1070"/>
      <c r="AZ205" s="1078">
        <f t="shared" si="155"/>
        <v>0.98</v>
      </c>
      <c r="BA205" s="59">
        <v>201</v>
      </c>
      <c r="BB205" s="59">
        <f t="shared" si="156"/>
        <v>201</v>
      </c>
      <c r="BC205" s="60" t="str">
        <f t="shared" si="157"/>
        <v>Premix Poli Confinamento 250</v>
      </c>
      <c r="BD205" s="61" t="str">
        <f ca="1">IFERROR(IF(SEARCH('Calcular Dieta'!A$3,$BC$5:$BC$310)&gt;=1,BC205,"Não encontrado"),"Não encontrado")</f>
        <v>Premix Poli Confinamento 250</v>
      </c>
      <c r="BE205" s="62">
        <f ca="1">COUNTIF(BD$5:BD205,"&lt;&gt;"&amp;"Não encontrado")</f>
        <v>201</v>
      </c>
      <c r="BF205" s="63" t="str">
        <f t="shared" ca="1" si="158"/>
        <v>PREMIX POLI CONFINAMENTO 250</v>
      </c>
      <c r="BG205" s="744" t="str">
        <f t="shared" si="159"/>
        <v/>
      </c>
      <c r="BH205" s="744" t="str">
        <f t="shared" si="160"/>
        <v/>
      </c>
      <c r="BI205" s="744" t="str">
        <f t="shared" si="161"/>
        <v/>
      </c>
      <c r="BJ205" s="744" t="str">
        <f t="shared" si="162"/>
        <v/>
      </c>
      <c r="BK205" s="744" t="str">
        <f t="shared" si="163"/>
        <v/>
      </c>
      <c r="BL205" s="744" t="str">
        <f t="shared" si="164"/>
        <v/>
      </c>
      <c r="BM205" s="744" t="str">
        <f t="shared" si="165"/>
        <v/>
      </c>
      <c r="BN205" s="744" t="str">
        <f t="shared" si="166"/>
        <v/>
      </c>
      <c r="BO205" s="744" t="str">
        <f t="shared" si="167"/>
        <v/>
      </c>
      <c r="BP205" s="744" t="str">
        <f t="shared" si="168"/>
        <v/>
      </c>
      <c r="BQ205" s="744" t="str">
        <f t="shared" si="169"/>
        <v/>
      </c>
      <c r="BR205" s="744" t="str">
        <f t="shared" si="170"/>
        <v/>
      </c>
      <c r="BS205" s="744" t="str">
        <f t="shared" si="171"/>
        <v/>
      </c>
      <c r="BT205" s="744">
        <f t="shared" si="172"/>
        <v>196.00020499999999</v>
      </c>
      <c r="BU205" s="744">
        <f t="shared" si="173"/>
        <v>31.360205000000001</v>
      </c>
      <c r="BV205" s="744">
        <f t="shared" si="174"/>
        <v>9.8002049999999983</v>
      </c>
      <c r="BW205" s="744">
        <f t="shared" si="175"/>
        <v>34.300205000000005</v>
      </c>
      <c r="BX205" s="744">
        <f t="shared" si="176"/>
        <v>94.080204999999992</v>
      </c>
      <c r="BY205" s="744">
        <f t="shared" si="177"/>
        <v>117.60020499999999</v>
      </c>
      <c r="BZ205" s="744">
        <f t="shared" si="178"/>
        <v>800.00020500000005</v>
      </c>
      <c r="CA205" s="744">
        <f t="shared" si="179"/>
        <v>3200.0002049999998</v>
      </c>
      <c r="CB205" s="744" t="str">
        <f t="shared" si="180"/>
        <v/>
      </c>
      <c r="CC205" s="744">
        <f t="shared" si="181"/>
        <v>2400.0002049999998</v>
      </c>
      <c r="CD205" s="744">
        <f t="shared" si="182"/>
        <v>50.000205000000001</v>
      </c>
      <c r="CE205" s="744">
        <f t="shared" si="183"/>
        <v>12.000204999999999</v>
      </c>
      <c r="CF205" s="744">
        <f t="shared" si="184"/>
        <v>20.000205000000001</v>
      </c>
      <c r="CG205" s="744" t="str">
        <f t="shared" si="185"/>
        <v/>
      </c>
      <c r="CH205" s="744" t="str">
        <f t="shared" si="186"/>
        <v/>
      </c>
      <c r="CI205" s="744" t="str">
        <f t="shared" si="187"/>
        <v/>
      </c>
      <c r="CJ205" s="744" t="str">
        <f t="shared" si="188"/>
        <v/>
      </c>
      <c r="CK205" s="744" t="str">
        <f t="shared" si="189"/>
        <v/>
      </c>
      <c r="CL205" s="744" t="str">
        <f t="shared" si="190"/>
        <v/>
      </c>
      <c r="CM205" s="744" t="str">
        <f t="shared" si="191"/>
        <v/>
      </c>
      <c r="CN205" s="744" t="str">
        <f t="shared" si="192"/>
        <v/>
      </c>
      <c r="CO205" s="744" t="str">
        <f t="shared" si="193"/>
        <v/>
      </c>
      <c r="CP205" s="744" t="str">
        <f t="shared" si="194"/>
        <v/>
      </c>
      <c r="CQ205" s="744" t="str">
        <f t="shared" si="195"/>
        <v/>
      </c>
      <c r="CR205" s="744" t="str">
        <f t="shared" si="196"/>
        <v/>
      </c>
      <c r="CS205" s="744" t="str">
        <f t="shared" si="197"/>
        <v/>
      </c>
      <c r="CT205" s="744" t="str">
        <f t="shared" si="198"/>
        <v/>
      </c>
      <c r="CU205" s="744" t="str">
        <f t="shared" si="199"/>
        <v/>
      </c>
      <c r="CV205" s="744" t="str">
        <f t="shared" si="200"/>
        <v/>
      </c>
      <c r="CW205" s="744" t="str">
        <f t="shared" si="201"/>
        <v/>
      </c>
      <c r="CX205" s="744">
        <f t="shared" si="202"/>
        <v>0.98020499999999999</v>
      </c>
    </row>
    <row r="206" spans="1:102">
      <c r="A206" s="630">
        <v>203</v>
      </c>
      <c r="B206" s="630" t="s">
        <v>4</v>
      </c>
      <c r="C206" s="631" t="s">
        <v>749</v>
      </c>
      <c r="D206" s="630" t="s">
        <v>1390</v>
      </c>
      <c r="E206" s="632" t="s">
        <v>705</v>
      </c>
      <c r="F206" s="1067">
        <v>1</v>
      </c>
      <c r="G206" s="1066">
        <v>1</v>
      </c>
      <c r="H206" s="1070">
        <v>1</v>
      </c>
      <c r="I206" s="1070"/>
      <c r="J206" s="1070"/>
      <c r="K206" s="1070"/>
      <c r="L206" s="1072"/>
      <c r="M206" s="1070"/>
      <c r="N206" s="1070"/>
      <c r="O206" s="1070"/>
      <c r="P206" s="1073"/>
      <c r="Q206" s="1070"/>
      <c r="R206" s="1070"/>
      <c r="S206" s="1070"/>
      <c r="T206" s="1070"/>
      <c r="U206" s="1070"/>
      <c r="V206" s="1066">
        <v>130</v>
      </c>
      <c r="W206" s="1070">
        <v>60</v>
      </c>
      <c r="X206" s="1070">
        <v>10</v>
      </c>
      <c r="Y206" s="1070">
        <v>128</v>
      </c>
      <c r="Z206" s="1070"/>
      <c r="AA206" s="1070">
        <v>120</v>
      </c>
      <c r="AB206" s="1070">
        <v>1</v>
      </c>
      <c r="AC206" s="1070">
        <v>3.07</v>
      </c>
      <c r="AD206" s="1070"/>
      <c r="AE206" s="1070">
        <v>900</v>
      </c>
      <c r="AF206" s="1070"/>
      <c r="AG206" s="1070">
        <v>58</v>
      </c>
      <c r="AH206" s="1073">
        <v>18</v>
      </c>
      <c r="AI206" s="1070"/>
      <c r="AJ206" s="1070"/>
      <c r="AK206" s="1070"/>
      <c r="AL206" s="1082"/>
      <c r="AM206" s="1069"/>
      <c r="AN206" s="1070"/>
      <c r="AO206" s="1070"/>
      <c r="AP206" s="1070"/>
      <c r="AQ206" s="1070"/>
      <c r="AR206" s="1069"/>
      <c r="AS206" s="1282"/>
      <c r="AT206" s="1282"/>
      <c r="AU206" s="1069"/>
      <c r="AV206" s="1069"/>
      <c r="AW206" s="1069"/>
      <c r="AX206" s="1070"/>
      <c r="AY206" s="1070"/>
      <c r="AZ206" s="1078">
        <f t="shared" si="155"/>
        <v>1</v>
      </c>
      <c r="BA206" s="59">
        <v>202</v>
      </c>
      <c r="BB206" s="59">
        <f t="shared" si="156"/>
        <v>202</v>
      </c>
      <c r="BC206" s="60" t="str">
        <f t="shared" si="157"/>
        <v>Premix Potenfós 60</v>
      </c>
      <c r="BD206" s="61" t="str">
        <f ca="1">IFERROR(IF(SEARCH('Calcular Dieta'!A$3,$BC$5:$BC$310)&gt;=1,BC206,"Não encontrado"),"Não encontrado")</f>
        <v>Premix Potenfós 60</v>
      </c>
      <c r="BE206" s="62">
        <f ca="1">COUNTIF(BD$5:BD206,"&lt;&gt;"&amp;"Não encontrado")</f>
        <v>202</v>
      </c>
      <c r="BF206" s="63" t="str">
        <f t="shared" ca="1" si="158"/>
        <v>PREMIX POTENFÓS 60</v>
      </c>
      <c r="BG206" s="744" t="str">
        <f t="shared" si="159"/>
        <v/>
      </c>
      <c r="BH206" s="744" t="str">
        <f t="shared" si="160"/>
        <v/>
      </c>
      <c r="BI206" s="744" t="str">
        <f t="shared" si="161"/>
        <v/>
      </c>
      <c r="BJ206" s="744" t="str">
        <f t="shared" si="162"/>
        <v/>
      </c>
      <c r="BK206" s="744" t="str">
        <f t="shared" si="163"/>
        <v/>
      </c>
      <c r="BL206" s="744" t="str">
        <f t="shared" si="164"/>
        <v/>
      </c>
      <c r="BM206" s="744" t="str">
        <f t="shared" si="165"/>
        <v/>
      </c>
      <c r="BN206" s="744" t="str">
        <f t="shared" si="166"/>
        <v/>
      </c>
      <c r="BO206" s="744" t="str">
        <f t="shared" si="167"/>
        <v/>
      </c>
      <c r="BP206" s="744" t="str">
        <f t="shared" si="168"/>
        <v/>
      </c>
      <c r="BQ206" s="744" t="str">
        <f t="shared" si="169"/>
        <v/>
      </c>
      <c r="BR206" s="744" t="str">
        <f t="shared" si="170"/>
        <v/>
      </c>
      <c r="BS206" s="744" t="str">
        <f t="shared" si="171"/>
        <v/>
      </c>
      <c r="BT206" s="744">
        <f t="shared" si="172"/>
        <v>130.00020599999999</v>
      </c>
      <c r="BU206" s="744">
        <f t="shared" si="173"/>
        <v>60.000205999999999</v>
      </c>
      <c r="BV206" s="744">
        <f t="shared" si="174"/>
        <v>10.000206</v>
      </c>
      <c r="BW206" s="744">
        <f t="shared" si="175"/>
        <v>128.00020599999999</v>
      </c>
      <c r="BX206" s="744" t="str">
        <f t="shared" si="176"/>
        <v/>
      </c>
      <c r="BY206" s="744">
        <f t="shared" si="177"/>
        <v>120.00020600000001</v>
      </c>
      <c r="BZ206" s="744">
        <f t="shared" si="178"/>
        <v>1.0002059999999999</v>
      </c>
      <c r="CA206" s="744">
        <f t="shared" si="179"/>
        <v>3.0702059999999998</v>
      </c>
      <c r="CB206" s="744" t="str">
        <f t="shared" si="180"/>
        <v/>
      </c>
      <c r="CC206" s="744">
        <f t="shared" si="181"/>
        <v>900.00020600000005</v>
      </c>
      <c r="CD206" s="744" t="str">
        <f t="shared" si="182"/>
        <v/>
      </c>
      <c r="CE206" s="744">
        <f t="shared" si="183"/>
        <v>58.000205999999999</v>
      </c>
      <c r="CF206" s="744">
        <f t="shared" si="184"/>
        <v>18.000205999999999</v>
      </c>
      <c r="CG206" s="744" t="str">
        <f t="shared" si="185"/>
        <v/>
      </c>
      <c r="CH206" s="744" t="str">
        <f t="shared" si="186"/>
        <v/>
      </c>
      <c r="CI206" s="744" t="str">
        <f t="shared" si="187"/>
        <v/>
      </c>
      <c r="CJ206" s="744" t="str">
        <f t="shared" si="188"/>
        <v/>
      </c>
      <c r="CK206" s="744" t="str">
        <f t="shared" si="189"/>
        <v/>
      </c>
      <c r="CL206" s="744" t="str">
        <f t="shared" si="190"/>
        <v/>
      </c>
      <c r="CM206" s="744" t="str">
        <f t="shared" si="191"/>
        <v/>
      </c>
      <c r="CN206" s="744" t="str">
        <f t="shared" si="192"/>
        <v/>
      </c>
      <c r="CO206" s="744" t="str">
        <f t="shared" si="193"/>
        <v/>
      </c>
      <c r="CP206" s="744" t="str">
        <f t="shared" si="194"/>
        <v/>
      </c>
      <c r="CQ206" s="744" t="str">
        <f t="shared" si="195"/>
        <v/>
      </c>
      <c r="CR206" s="744" t="str">
        <f t="shared" si="196"/>
        <v/>
      </c>
      <c r="CS206" s="744" t="str">
        <f t="shared" si="197"/>
        <v/>
      </c>
      <c r="CT206" s="744" t="str">
        <f t="shared" si="198"/>
        <v/>
      </c>
      <c r="CU206" s="744" t="str">
        <f t="shared" si="199"/>
        <v/>
      </c>
      <c r="CV206" s="744" t="str">
        <f t="shared" si="200"/>
        <v/>
      </c>
      <c r="CW206" s="744" t="str">
        <f t="shared" si="201"/>
        <v/>
      </c>
      <c r="CX206" s="744">
        <f t="shared" si="202"/>
        <v>1.0002059999999999</v>
      </c>
    </row>
    <row r="207" spans="1:102">
      <c r="A207" s="633">
        <v>204</v>
      </c>
      <c r="B207" s="630" t="s">
        <v>4</v>
      </c>
      <c r="C207" s="631" t="s">
        <v>749</v>
      </c>
      <c r="D207" s="630" t="s">
        <v>1390</v>
      </c>
      <c r="E207" s="632" t="s">
        <v>706</v>
      </c>
      <c r="F207" s="1067">
        <v>1</v>
      </c>
      <c r="G207" s="1066">
        <v>1</v>
      </c>
      <c r="H207" s="1070">
        <v>1</v>
      </c>
      <c r="I207" s="1070"/>
      <c r="J207" s="1070"/>
      <c r="K207" s="1070"/>
      <c r="L207" s="1072"/>
      <c r="M207" s="1070"/>
      <c r="N207" s="1070"/>
      <c r="O207" s="1070"/>
      <c r="P207" s="1073"/>
      <c r="Q207" s="1070"/>
      <c r="R207" s="1070"/>
      <c r="S207" s="1070"/>
      <c r="T207" s="1070"/>
      <c r="U207" s="1070"/>
      <c r="V207" s="1066">
        <v>170</v>
      </c>
      <c r="W207" s="1070">
        <v>90</v>
      </c>
      <c r="X207" s="1070">
        <v>20</v>
      </c>
      <c r="Y207" s="1070">
        <v>103.00000000000001</v>
      </c>
      <c r="Z207" s="1070"/>
      <c r="AA207" s="1070">
        <v>200</v>
      </c>
      <c r="AB207" s="1070">
        <v>1.8</v>
      </c>
      <c r="AC207" s="1070">
        <v>6</v>
      </c>
      <c r="AD207" s="1070"/>
      <c r="AE207" s="1070">
        <v>2</v>
      </c>
      <c r="AF207" s="1070">
        <v>100</v>
      </c>
      <c r="AG207" s="1070">
        <v>110</v>
      </c>
      <c r="AH207" s="1073">
        <v>32</v>
      </c>
      <c r="AI207" s="1070"/>
      <c r="AJ207" s="1070"/>
      <c r="AK207" s="1070"/>
      <c r="AL207" s="1082"/>
      <c r="AM207" s="1069"/>
      <c r="AN207" s="1070"/>
      <c r="AO207" s="1070"/>
      <c r="AP207" s="1070"/>
      <c r="AQ207" s="1070"/>
      <c r="AR207" s="1069"/>
      <c r="AS207" s="1282"/>
      <c r="AT207" s="1282"/>
      <c r="AU207" s="1069"/>
      <c r="AV207" s="1069"/>
      <c r="AW207" s="1069"/>
      <c r="AX207" s="1070"/>
      <c r="AY207" s="1070"/>
      <c r="AZ207" s="1078">
        <f t="shared" si="155"/>
        <v>1</v>
      </c>
      <c r="BA207" s="59">
        <v>203</v>
      </c>
      <c r="BB207" s="59">
        <f t="shared" si="156"/>
        <v>203</v>
      </c>
      <c r="BC207" s="60" t="str">
        <f t="shared" si="157"/>
        <v>Premix Potenfós Reprodução</v>
      </c>
      <c r="BD207" s="61" t="str">
        <f ca="1">IFERROR(IF(SEARCH('Calcular Dieta'!A$3,$BC$5:$BC$310)&gt;=1,BC207,"Não encontrado"),"Não encontrado")</f>
        <v>Premix Potenfós Reprodução</v>
      </c>
      <c r="BE207" s="62">
        <f ca="1">COUNTIF(BD$5:BD207,"&lt;&gt;"&amp;"Não encontrado")</f>
        <v>203</v>
      </c>
      <c r="BF207" s="63" t="str">
        <f t="shared" ca="1" si="158"/>
        <v>PREMIX POTENFÓS REPRODUÇÃO</v>
      </c>
      <c r="BG207" s="744" t="str">
        <f t="shared" si="159"/>
        <v/>
      </c>
      <c r="BH207" s="744" t="str">
        <f t="shared" si="160"/>
        <v/>
      </c>
      <c r="BI207" s="744" t="str">
        <f t="shared" si="161"/>
        <v/>
      </c>
      <c r="BJ207" s="744" t="str">
        <f t="shared" si="162"/>
        <v/>
      </c>
      <c r="BK207" s="744" t="str">
        <f t="shared" si="163"/>
        <v/>
      </c>
      <c r="BL207" s="744" t="str">
        <f t="shared" si="164"/>
        <v/>
      </c>
      <c r="BM207" s="744" t="str">
        <f t="shared" si="165"/>
        <v/>
      </c>
      <c r="BN207" s="744" t="str">
        <f t="shared" si="166"/>
        <v/>
      </c>
      <c r="BO207" s="744" t="str">
        <f t="shared" si="167"/>
        <v/>
      </c>
      <c r="BP207" s="744" t="str">
        <f t="shared" si="168"/>
        <v/>
      </c>
      <c r="BQ207" s="744" t="str">
        <f t="shared" si="169"/>
        <v/>
      </c>
      <c r="BR207" s="744" t="str">
        <f t="shared" si="170"/>
        <v/>
      </c>
      <c r="BS207" s="744" t="str">
        <f t="shared" si="171"/>
        <v/>
      </c>
      <c r="BT207" s="744">
        <f t="shared" si="172"/>
        <v>170.00020699999999</v>
      </c>
      <c r="BU207" s="744">
        <f t="shared" si="173"/>
        <v>90.000207000000003</v>
      </c>
      <c r="BV207" s="744">
        <f t="shared" si="174"/>
        <v>20.000207</v>
      </c>
      <c r="BW207" s="744">
        <f t="shared" si="175"/>
        <v>103.00020700000002</v>
      </c>
      <c r="BX207" s="744" t="str">
        <f t="shared" si="176"/>
        <v/>
      </c>
      <c r="BY207" s="744">
        <f t="shared" si="177"/>
        <v>200.00020699999999</v>
      </c>
      <c r="BZ207" s="744">
        <f t="shared" si="178"/>
        <v>1.8002070000000001</v>
      </c>
      <c r="CA207" s="744">
        <f t="shared" si="179"/>
        <v>6.0002069999999996</v>
      </c>
      <c r="CB207" s="744" t="str">
        <f t="shared" si="180"/>
        <v/>
      </c>
      <c r="CC207" s="744">
        <f t="shared" si="181"/>
        <v>2.0002070000000001</v>
      </c>
      <c r="CD207" s="744">
        <f t="shared" si="182"/>
        <v>100.000207</v>
      </c>
      <c r="CE207" s="744">
        <f t="shared" si="183"/>
        <v>110.000207</v>
      </c>
      <c r="CF207" s="744">
        <f t="shared" si="184"/>
        <v>32.000207000000003</v>
      </c>
      <c r="CG207" s="744" t="str">
        <f t="shared" si="185"/>
        <v/>
      </c>
      <c r="CH207" s="744" t="str">
        <f t="shared" si="186"/>
        <v/>
      </c>
      <c r="CI207" s="744" t="str">
        <f t="shared" si="187"/>
        <v/>
      </c>
      <c r="CJ207" s="744" t="str">
        <f t="shared" si="188"/>
        <v/>
      </c>
      <c r="CK207" s="744" t="str">
        <f t="shared" si="189"/>
        <v/>
      </c>
      <c r="CL207" s="744" t="str">
        <f t="shared" si="190"/>
        <v/>
      </c>
      <c r="CM207" s="744" t="str">
        <f t="shared" si="191"/>
        <v/>
      </c>
      <c r="CN207" s="744" t="str">
        <f t="shared" si="192"/>
        <v/>
      </c>
      <c r="CO207" s="744" t="str">
        <f t="shared" si="193"/>
        <v/>
      </c>
      <c r="CP207" s="744" t="str">
        <f t="shared" si="194"/>
        <v/>
      </c>
      <c r="CQ207" s="744" t="str">
        <f t="shared" si="195"/>
        <v/>
      </c>
      <c r="CR207" s="744" t="str">
        <f t="shared" si="196"/>
        <v/>
      </c>
      <c r="CS207" s="744" t="str">
        <f t="shared" si="197"/>
        <v/>
      </c>
      <c r="CT207" s="744" t="str">
        <f t="shared" si="198"/>
        <v/>
      </c>
      <c r="CU207" s="744" t="str">
        <f t="shared" si="199"/>
        <v/>
      </c>
      <c r="CV207" s="744" t="str">
        <f t="shared" si="200"/>
        <v/>
      </c>
      <c r="CW207" s="744" t="str">
        <f t="shared" si="201"/>
        <v/>
      </c>
      <c r="CX207" s="744">
        <f t="shared" si="202"/>
        <v>1.0002070000000001</v>
      </c>
    </row>
    <row r="208" spans="1:102">
      <c r="A208" s="630">
        <v>205</v>
      </c>
      <c r="B208" s="630" t="s">
        <v>4</v>
      </c>
      <c r="C208" s="631" t="s">
        <v>749</v>
      </c>
      <c r="D208" s="630" t="s">
        <v>1390</v>
      </c>
      <c r="E208" s="632" t="s">
        <v>707</v>
      </c>
      <c r="F208" s="1067">
        <v>1</v>
      </c>
      <c r="G208" s="1066">
        <v>1</v>
      </c>
      <c r="H208" s="1070">
        <v>0.99</v>
      </c>
      <c r="I208" s="1070"/>
      <c r="J208" s="1070"/>
      <c r="K208" s="1070"/>
      <c r="L208" s="1072"/>
      <c r="M208" s="1070"/>
      <c r="N208" s="1070"/>
      <c r="O208" s="1070"/>
      <c r="P208" s="1073"/>
      <c r="Q208" s="1070"/>
      <c r="R208" s="1070"/>
      <c r="S208" s="1070"/>
      <c r="T208" s="1070"/>
      <c r="U208" s="1070"/>
      <c r="V208" s="1066">
        <v>148.5</v>
      </c>
      <c r="W208" s="1070">
        <v>79.2</v>
      </c>
      <c r="X208" s="1070"/>
      <c r="Y208" s="1070">
        <v>132.66</v>
      </c>
      <c r="Z208" s="1070"/>
      <c r="AA208" s="1070">
        <v>118.79999999999998</v>
      </c>
      <c r="AB208" s="1070">
        <v>1600</v>
      </c>
      <c r="AC208" s="1070">
        <v>4500</v>
      </c>
      <c r="AD208" s="1070"/>
      <c r="AE208" s="1070">
        <v>1400</v>
      </c>
      <c r="AF208" s="1070">
        <v>180</v>
      </c>
      <c r="AG208" s="1070">
        <v>210</v>
      </c>
      <c r="AH208" s="1073">
        <v>27</v>
      </c>
      <c r="AI208" s="1070"/>
      <c r="AJ208" s="1070"/>
      <c r="AK208" s="1070"/>
      <c r="AL208" s="1082"/>
      <c r="AM208" s="1069"/>
      <c r="AN208" s="1070"/>
      <c r="AO208" s="1070"/>
      <c r="AP208" s="1070"/>
      <c r="AQ208" s="1070"/>
      <c r="AR208" s="1069"/>
      <c r="AS208" s="1282"/>
      <c r="AT208" s="1282"/>
      <c r="AU208" s="1069"/>
      <c r="AV208" s="1069"/>
      <c r="AW208" s="1069"/>
      <c r="AX208" s="1070"/>
      <c r="AY208" s="1070"/>
      <c r="AZ208" s="1078">
        <f t="shared" si="155"/>
        <v>0.99</v>
      </c>
      <c r="BA208" s="59">
        <v>204</v>
      </c>
      <c r="BB208" s="59">
        <f t="shared" si="156"/>
        <v>204</v>
      </c>
      <c r="BC208" s="60" t="str">
        <f t="shared" si="157"/>
        <v>Premix Premiphós 80</v>
      </c>
      <c r="BD208" s="61" t="str">
        <f ca="1">IFERROR(IF(SEARCH('Calcular Dieta'!A$3,$BC$5:$BC$310)&gt;=1,BC208,"Não encontrado"),"Não encontrado")</f>
        <v>Premix Premiphós 80</v>
      </c>
      <c r="BE208" s="62">
        <f ca="1">COUNTIF(BD$5:BD208,"&lt;&gt;"&amp;"Não encontrado")</f>
        <v>204</v>
      </c>
      <c r="BF208" s="63" t="str">
        <f t="shared" ca="1" si="158"/>
        <v>PREMIX PREMIPHÓS 80</v>
      </c>
      <c r="BG208" s="744" t="str">
        <f t="shared" si="159"/>
        <v/>
      </c>
      <c r="BH208" s="744" t="str">
        <f t="shared" si="160"/>
        <v/>
      </c>
      <c r="BI208" s="744" t="str">
        <f t="shared" si="161"/>
        <v/>
      </c>
      <c r="BJ208" s="744" t="str">
        <f t="shared" si="162"/>
        <v/>
      </c>
      <c r="BK208" s="744" t="str">
        <f t="shared" si="163"/>
        <v/>
      </c>
      <c r="BL208" s="744" t="str">
        <f t="shared" si="164"/>
        <v/>
      </c>
      <c r="BM208" s="744" t="str">
        <f t="shared" si="165"/>
        <v/>
      </c>
      <c r="BN208" s="744" t="str">
        <f t="shared" si="166"/>
        <v/>
      </c>
      <c r="BO208" s="744" t="str">
        <f t="shared" si="167"/>
        <v/>
      </c>
      <c r="BP208" s="744" t="str">
        <f t="shared" si="168"/>
        <v/>
      </c>
      <c r="BQ208" s="744" t="str">
        <f t="shared" si="169"/>
        <v/>
      </c>
      <c r="BR208" s="744" t="str">
        <f t="shared" si="170"/>
        <v/>
      </c>
      <c r="BS208" s="744" t="str">
        <f t="shared" si="171"/>
        <v/>
      </c>
      <c r="BT208" s="744">
        <f t="shared" si="172"/>
        <v>148.50020799999999</v>
      </c>
      <c r="BU208" s="744">
        <f t="shared" si="173"/>
        <v>79.200208000000003</v>
      </c>
      <c r="BV208" s="744" t="str">
        <f t="shared" si="174"/>
        <v/>
      </c>
      <c r="BW208" s="744">
        <f t="shared" si="175"/>
        <v>132.66020799999998</v>
      </c>
      <c r="BX208" s="744" t="str">
        <f t="shared" si="176"/>
        <v/>
      </c>
      <c r="BY208" s="744">
        <f t="shared" si="177"/>
        <v>118.80020799999998</v>
      </c>
      <c r="BZ208" s="744">
        <f t="shared" si="178"/>
        <v>1600.0002079999999</v>
      </c>
      <c r="CA208" s="744">
        <f t="shared" si="179"/>
        <v>4500.0002080000004</v>
      </c>
      <c r="CB208" s="744" t="str">
        <f t="shared" si="180"/>
        <v/>
      </c>
      <c r="CC208" s="744">
        <f t="shared" si="181"/>
        <v>1400.0002079999999</v>
      </c>
      <c r="CD208" s="744">
        <f t="shared" si="182"/>
        <v>180.00020799999999</v>
      </c>
      <c r="CE208" s="744">
        <f t="shared" si="183"/>
        <v>210.00020799999999</v>
      </c>
      <c r="CF208" s="744">
        <f t="shared" si="184"/>
        <v>27.000208000000001</v>
      </c>
      <c r="CG208" s="744" t="str">
        <f t="shared" si="185"/>
        <v/>
      </c>
      <c r="CH208" s="744" t="str">
        <f t="shared" si="186"/>
        <v/>
      </c>
      <c r="CI208" s="744" t="str">
        <f t="shared" si="187"/>
        <v/>
      </c>
      <c r="CJ208" s="744" t="str">
        <f t="shared" si="188"/>
        <v/>
      </c>
      <c r="CK208" s="744" t="str">
        <f t="shared" si="189"/>
        <v/>
      </c>
      <c r="CL208" s="744" t="str">
        <f t="shared" si="190"/>
        <v/>
      </c>
      <c r="CM208" s="744" t="str">
        <f t="shared" si="191"/>
        <v/>
      </c>
      <c r="CN208" s="744" t="str">
        <f t="shared" si="192"/>
        <v/>
      </c>
      <c r="CO208" s="744" t="str">
        <f t="shared" si="193"/>
        <v/>
      </c>
      <c r="CP208" s="744" t="str">
        <f t="shared" si="194"/>
        <v/>
      </c>
      <c r="CQ208" s="744" t="str">
        <f t="shared" si="195"/>
        <v/>
      </c>
      <c r="CR208" s="744" t="str">
        <f t="shared" si="196"/>
        <v/>
      </c>
      <c r="CS208" s="744" t="str">
        <f t="shared" si="197"/>
        <v/>
      </c>
      <c r="CT208" s="744" t="str">
        <f t="shared" si="198"/>
        <v/>
      </c>
      <c r="CU208" s="744" t="str">
        <f t="shared" si="199"/>
        <v/>
      </c>
      <c r="CV208" s="744" t="str">
        <f t="shared" si="200"/>
        <v/>
      </c>
      <c r="CW208" s="744" t="str">
        <f t="shared" si="201"/>
        <v/>
      </c>
      <c r="CX208" s="744">
        <f t="shared" si="202"/>
        <v>0.99020799999999998</v>
      </c>
    </row>
    <row r="209" spans="1:102">
      <c r="A209" s="633">
        <v>206</v>
      </c>
      <c r="B209" s="630" t="s">
        <v>4</v>
      </c>
      <c r="C209" s="631" t="s">
        <v>749</v>
      </c>
      <c r="D209" s="630" t="s">
        <v>1390</v>
      </c>
      <c r="E209" s="632" t="s">
        <v>708</v>
      </c>
      <c r="F209" s="1067">
        <v>1</v>
      </c>
      <c r="G209" s="1066">
        <v>1</v>
      </c>
      <c r="H209" s="1070">
        <v>0.98</v>
      </c>
      <c r="I209" s="1070"/>
      <c r="J209" s="1070"/>
      <c r="K209" s="1070"/>
      <c r="L209" s="1072"/>
      <c r="M209" s="1070"/>
      <c r="N209" s="1070"/>
      <c r="O209" s="1070"/>
      <c r="P209" s="1073"/>
      <c r="Q209" s="1070"/>
      <c r="R209" s="1070"/>
      <c r="S209" s="1070"/>
      <c r="T209" s="1070"/>
      <c r="U209" s="1070"/>
      <c r="V209" s="1066">
        <v>199.92</v>
      </c>
      <c r="W209" s="1070">
        <v>24.5</v>
      </c>
      <c r="X209" s="1070">
        <v>6.8599999999999985</v>
      </c>
      <c r="Y209" s="1070">
        <v>34.300000000000004</v>
      </c>
      <c r="Z209" s="1070">
        <v>29.4</v>
      </c>
      <c r="AA209" s="1070">
        <v>392</v>
      </c>
      <c r="AB209" s="1070">
        <v>844</v>
      </c>
      <c r="AC209" s="1070">
        <v>3072</v>
      </c>
      <c r="AD209" s="1070"/>
      <c r="AE209" s="1070">
        <v>1209.5</v>
      </c>
      <c r="AF209" s="1070">
        <v>57</v>
      </c>
      <c r="AG209" s="1070">
        <v>30</v>
      </c>
      <c r="AH209" s="1073">
        <v>19</v>
      </c>
      <c r="AI209" s="1070"/>
      <c r="AJ209" s="1070"/>
      <c r="AK209" s="1070"/>
      <c r="AL209" s="1082"/>
      <c r="AM209" s="1069"/>
      <c r="AN209" s="1070"/>
      <c r="AO209" s="1070"/>
      <c r="AP209" s="1070"/>
      <c r="AQ209" s="1070"/>
      <c r="AR209" s="1069"/>
      <c r="AS209" s="1282"/>
      <c r="AT209" s="1282"/>
      <c r="AU209" s="1069"/>
      <c r="AV209" s="1069"/>
      <c r="AW209" s="1069"/>
      <c r="AX209" s="1070"/>
      <c r="AY209" s="1070"/>
      <c r="AZ209" s="1078">
        <f t="shared" si="155"/>
        <v>0.98</v>
      </c>
      <c r="BA209" s="59">
        <v>205</v>
      </c>
      <c r="BB209" s="59">
        <f t="shared" si="156"/>
        <v>205</v>
      </c>
      <c r="BC209" s="60" t="str">
        <f t="shared" si="157"/>
        <v>Premix Qualicorte Px 50</v>
      </c>
      <c r="BD209" s="61" t="str">
        <f ca="1">IFERROR(IF(SEARCH('Calcular Dieta'!A$3,$BC$5:$BC$310)&gt;=1,BC209,"Não encontrado"),"Não encontrado")</f>
        <v>Premix Qualicorte Px 50</v>
      </c>
      <c r="BE209" s="62">
        <f ca="1">COUNTIF(BD$5:BD209,"&lt;&gt;"&amp;"Não encontrado")</f>
        <v>205</v>
      </c>
      <c r="BF209" s="63" t="str">
        <f t="shared" ca="1" si="158"/>
        <v>PREMIX QUALICORTE PX 50</v>
      </c>
      <c r="BG209" s="744" t="str">
        <f t="shared" si="159"/>
        <v/>
      </c>
      <c r="BH209" s="744" t="str">
        <f t="shared" si="160"/>
        <v/>
      </c>
      <c r="BI209" s="744" t="str">
        <f t="shared" si="161"/>
        <v/>
      </c>
      <c r="BJ209" s="744" t="str">
        <f t="shared" si="162"/>
        <v/>
      </c>
      <c r="BK209" s="744" t="str">
        <f t="shared" si="163"/>
        <v/>
      </c>
      <c r="BL209" s="744" t="str">
        <f t="shared" si="164"/>
        <v/>
      </c>
      <c r="BM209" s="744" t="str">
        <f t="shared" si="165"/>
        <v/>
      </c>
      <c r="BN209" s="744" t="str">
        <f t="shared" si="166"/>
        <v/>
      </c>
      <c r="BO209" s="744" t="str">
        <f t="shared" si="167"/>
        <v/>
      </c>
      <c r="BP209" s="744" t="str">
        <f t="shared" si="168"/>
        <v/>
      </c>
      <c r="BQ209" s="744" t="str">
        <f t="shared" si="169"/>
        <v/>
      </c>
      <c r="BR209" s="744" t="str">
        <f t="shared" si="170"/>
        <v/>
      </c>
      <c r="BS209" s="744" t="str">
        <f t="shared" si="171"/>
        <v/>
      </c>
      <c r="BT209" s="744">
        <f t="shared" si="172"/>
        <v>199.920209</v>
      </c>
      <c r="BU209" s="744">
        <f t="shared" si="173"/>
        <v>24.500209000000002</v>
      </c>
      <c r="BV209" s="744">
        <f t="shared" si="174"/>
        <v>6.8602089999999984</v>
      </c>
      <c r="BW209" s="744">
        <f t="shared" si="175"/>
        <v>34.300209000000002</v>
      </c>
      <c r="BX209" s="744">
        <f t="shared" si="176"/>
        <v>29.400209</v>
      </c>
      <c r="BY209" s="744">
        <f t="shared" si="177"/>
        <v>392.00020899999998</v>
      </c>
      <c r="BZ209" s="744">
        <f t="shared" si="178"/>
        <v>844.00020900000004</v>
      </c>
      <c r="CA209" s="744">
        <f t="shared" si="179"/>
        <v>3072.0002089999998</v>
      </c>
      <c r="CB209" s="744" t="str">
        <f t="shared" si="180"/>
        <v/>
      </c>
      <c r="CC209" s="744">
        <f t="shared" si="181"/>
        <v>1209.500209</v>
      </c>
      <c r="CD209" s="744">
        <f t="shared" si="182"/>
        <v>57.000208999999998</v>
      </c>
      <c r="CE209" s="744">
        <f t="shared" si="183"/>
        <v>30.000209000000002</v>
      </c>
      <c r="CF209" s="744">
        <f t="shared" si="184"/>
        <v>19.000209000000002</v>
      </c>
      <c r="CG209" s="744" t="str">
        <f t="shared" si="185"/>
        <v/>
      </c>
      <c r="CH209" s="744" t="str">
        <f t="shared" si="186"/>
        <v/>
      </c>
      <c r="CI209" s="744" t="str">
        <f t="shared" si="187"/>
        <v/>
      </c>
      <c r="CJ209" s="744" t="str">
        <f t="shared" si="188"/>
        <v/>
      </c>
      <c r="CK209" s="744" t="str">
        <f t="shared" si="189"/>
        <v/>
      </c>
      <c r="CL209" s="744" t="str">
        <f t="shared" si="190"/>
        <v/>
      </c>
      <c r="CM209" s="744" t="str">
        <f t="shared" si="191"/>
        <v/>
      </c>
      <c r="CN209" s="744" t="str">
        <f t="shared" si="192"/>
        <v/>
      </c>
      <c r="CO209" s="744" t="str">
        <f t="shared" si="193"/>
        <v/>
      </c>
      <c r="CP209" s="744" t="str">
        <f t="shared" si="194"/>
        <v/>
      </c>
      <c r="CQ209" s="744" t="str">
        <f t="shared" si="195"/>
        <v/>
      </c>
      <c r="CR209" s="744" t="str">
        <f t="shared" si="196"/>
        <v/>
      </c>
      <c r="CS209" s="744" t="str">
        <f t="shared" si="197"/>
        <v/>
      </c>
      <c r="CT209" s="744" t="str">
        <f t="shared" si="198"/>
        <v/>
      </c>
      <c r="CU209" s="744" t="str">
        <f t="shared" si="199"/>
        <v/>
      </c>
      <c r="CV209" s="744" t="str">
        <f t="shared" si="200"/>
        <v/>
      </c>
      <c r="CW209" s="744" t="str">
        <f t="shared" si="201"/>
        <v/>
      </c>
      <c r="CX209" s="744">
        <f t="shared" si="202"/>
        <v>0.980209</v>
      </c>
    </row>
    <row r="210" spans="1:102">
      <c r="A210" s="630">
        <v>207</v>
      </c>
      <c r="B210" s="630" t="s">
        <v>4</v>
      </c>
      <c r="C210" s="631" t="s">
        <v>250</v>
      </c>
      <c r="D210" s="630" t="s">
        <v>1392</v>
      </c>
      <c r="E210" s="632" t="s">
        <v>55</v>
      </c>
      <c r="F210" s="1067">
        <v>1</v>
      </c>
      <c r="G210" s="1066">
        <v>1</v>
      </c>
      <c r="H210" s="1070">
        <v>0.9</v>
      </c>
      <c r="I210" s="1070">
        <v>0.40500000000000003</v>
      </c>
      <c r="J210" s="1070">
        <v>0.108</v>
      </c>
      <c r="K210" s="1070"/>
      <c r="L210" s="1072">
        <v>0.72</v>
      </c>
      <c r="M210" s="1070">
        <v>3.1744799999999995</v>
      </c>
      <c r="N210" s="1070"/>
      <c r="O210" s="1070"/>
      <c r="P210" s="1073">
        <v>21.6</v>
      </c>
      <c r="Q210" s="1070">
        <v>189</v>
      </c>
      <c r="R210" s="1070">
        <v>136.08000000000001</v>
      </c>
      <c r="S210" s="1070"/>
      <c r="T210" s="1070"/>
      <c r="U210" s="1070"/>
      <c r="V210" s="1066">
        <v>0.36</v>
      </c>
      <c r="W210" s="1070">
        <v>8.1</v>
      </c>
      <c r="X210" s="1070">
        <v>3.24</v>
      </c>
      <c r="Y210" s="1070">
        <v>1.35</v>
      </c>
      <c r="Z210" s="1070">
        <v>5.76</v>
      </c>
      <c r="AA210" s="1070">
        <v>2.0699999999999998</v>
      </c>
      <c r="AB210" s="1070">
        <v>4.5</v>
      </c>
      <c r="AC210" s="1070">
        <v>102.6</v>
      </c>
      <c r="AD210" s="1070">
        <v>333</v>
      </c>
      <c r="AE210" s="1070">
        <v>3.6</v>
      </c>
      <c r="AF210" s="1070">
        <v>2.7E-2</v>
      </c>
      <c r="AG210" s="1070">
        <v>1.8000000000000002E-2</v>
      </c>
      <c r="AH210" s="1073">
        <v>0.33300000000000002</v>
      </c>
      <c r="AI210" s="1070"/>
      <c r="AJ210" s="1070"/>
      <c r="AK210" s="1070"/>
      <c r="AL210" s="1082">
        <v>0.9</v>
      </c>
      <c r="AM210" s="1069"/>
      <c r="AN210" s="1070"/>
      <c r="AO210" s="1070"/>
      <c r="AP210" s="1070"/>
      <c r="AQ210" s="1070"/>
      <c r="AR210" s="1069"/>
      <c r="AS210" s="1282"/>
      <c r="AT210" s="1282"/>
      <c r="AU210" s="1069"/>
      <c r="AV210" s="1069"/>
      <c r="AW210" s="1069"/>
      <c r="AX210" s="1070"/>
      <c r="AY210" s="1070"/>
      <c r="AZ210" s="1078">
        <f t="shared" si="155"/>
        <v>0.9</v>
      </c>
      <c r="BA210" s="59">
        <v>206</v>
      </c>
      <c r="BB210" s="59">
        <f t="shared" si="156"/>
        <v>206</v>
      </c>
      <c r="BC210" s="60" t="str">
        <f t="shared" si="157"/>
        <v>Refinazil</v>
      </c>
      <c r="BD210" s="61" t="str">
        <f ca="1">IFERROR(IF(SEARCH('Calcular Dieta'!A$3,$BC$5:$BC$310)&gt;=1,BC210,"Não encontrado"),"Não encontrado")</f>
        <v>Refinazil</v>
      </c>
      <c r="BE210" s="62">
        <f ca="1">COUNTIF(BD$5:BD210,"&lt;&gt;"&amp;"Não encontrado")</f>
        <v>206</v>
      </c>
      <c r="BF210" s="63" t="str">
        <f t="shared" ca="1" si="158"/>
        <v>REFINAZIL</v>
      </c>
      <c r="BG210" s="744">
        <f t="shared" si="159"/>
        <v>0.40521000000000001</v>
      </c>
      <c r="BH210" s="744">
        <f t="shared" si="160"/>
        <v>0.10821</v>
      </c>
      <c r="BI210" s="744" t="str">
        <f t="shared" si="161"/>
        <v/>
      </c>
      <c r="BJ210" s="744">
        <f t="shared" si="162"/>
        <v>0.72021000000000002</v>
      </c>
      <c r="BK210" s="744">
        <f t="shared" si="163"/>
        <v>3.1746899999999996</v>
      </c>
      <c r="BL210" s="744" t="str">
        <f t="shared" si="164"/>
        <v/>
      </c>
      <c r="BM210" s="744" t="str">
        <f t="shared" si="165"/>
        <v/>
      </c>
      <c r="BN210" s="744">
        <f t="shared" si="166"/>
        <v>21.600210000000001</v>
      </c>
      <c r="BO210" s="744">
        <f t="shared" si="167"/>
        <v>189.00021000000001</v>
      </c>
      <c r="BP210" s="744">
        <f t="shared" si="168"/>
        <v>136.08021000000002</v>
      </c>
      <c r="BQ210" s="744" t="str">
        <f t="shared" si="169"/>
        <v/>
      </c>
      <c r="BR210" s="744" t="str">
        <f t="shared" si="170"/>
        <v/>
      </c>
      <c r="BS210" s="744" t="str">
        <f t="shared" si="171"/>
        <v/>
      </c>
      <c r="BT210" s="744">
        <f t="shared" si="172"/>
        <v>0.36020999999999997</v>
      </c>
      <c r="BU210" s="744">
        <f t="shared" si="173"/>
        <v>8.1002099999999988</v>
      </c>
      <c r="BV210" s="744">
        <f t="shared" si="174"/>
        <v>3.2402100000000003</v>
      </c>
      <c r="BW210" s="744">
        <f t="shared" si="175"/>
        <v>1.3502100000000001</v>
      </c>
      <c r="BX210" s="744">
        <f t="shared" si="176"/>
        <v>5.7602099999999998</v>
      </c>
      <c r="BY210" s="744">
        <f t="shared" si="177"/>
        <v>2.0702099999999999</v>
      </c>
      <c r="BZ210" s="744">
        <f t="shared" si="178"/>
        <v>4.50021</v>
      </c>
      <c r="CA210" s="744">
        <f t="shared" si="179"/>
        <v>102.60020999999999</v>
      </c>
      <c r="CB210" s="744">
        <f t="shared" si="180"/>
        <v>333.00020999999998</v>
      </c>
      <c r="CC210" s="744">
        <f t="shared" si="181"/>
        <v>3.6002100000000001</v>
      </c>
      <c r="CD210" s="744">
        <f t="shared" si="182"/>
        <v>2.7209999999999998E-2</v>
      </c>
      <c r="CE210" s="744">
        <f t="shared" si="183"/>
        <v>1.821E-2</v>
      </c>
      <c r="CF210" s="744">
        <f t="shared" si="184"/>
        <v>0.33321000000000001</v>
      </c>
      <c r="CG210" s="744" t="str">
        <f t="shared" si="185"/>
        <v/>
      </c>
      <c r="CH210" s="744" t="str">
        <f t="shared" si="186"/>
        <v/>
      </c>
      <c r="CI210" s="744" t="str">
        <f t="shared" si="187"/>
        <v/>
      </c>
      <c r="CJ210" s="744">
        <f t="shared" si="188"/>
        <v>0.90021000000000007</v>
      </c>
      <c r="CK210" s="744" t="str">
        <f t="shared" si="189"/>
        <v/>
      </c>
      <c r="CL210" s="744" t="str">
        <f t="shared" si="190"/>
        <v/>
      </c>
      <c r="CM210" s="744" t="str">
        <f t="shared" si="191"/>
        <v/>
      </c>
      <c r="CN210" s="744" t="str">
        <f t="shared" si="192"/>
        <v/>
      </c>
      <c r="CO210" s="744" t="str">
        <f t="shared" si="193"/>
        <v/>
      </c>
      <c r="CP210" s="744" t="str">
        <f t="shared" si="194"/>
        <v/>
      </c>
      <c r="CQ210" s="744" t="str">
        <f t="shared" si="195"/>
        <v/>
      </c>
      <c r="CR210" s="744" t="str">
        <f t="shared" si="196"/>
        <v/>
      </c>
      <c r="CS210" s="744" t="str">
        <f t="shared" si="197"/>
        <v/>
      </c>
      <c r="CT210" s="744" t="str">
        <f t="shared" si="198"/>
        <v/>
      </c>
      <c r="CU210" s="744" t="str">
        <f t="shared" si="199"/>
        <v/>
      </c>
      <c r="CV210" s="744" t="str">
        <f t="shared" si="200"/>
        <v/>
      </c>
      <c r="CW210" s="744" t="str">
        <f t="shared" si="201"/>
        <v/>
      </c>
      <c r="CX210" s="744">
        <f t="shared" si="202"/>
        <v>0.90021000000000007</v>
      </c>
    </row>
    <row r="211" spans="1:102">
      <c r="A211" s="633">
        <v>208</v>
      </c>
      <c r="B211" s="630" t="s">
        <v>4</v>
      </c>
      <c r="C211" s="631" t="s">
        <v>250</v>
      </c>
      <c r="D211" s="630" t="s">
        <v>1390</v>
      </c>
      <c r="E211" s="632" t="s">
        <v>229</v>
      </c>
      <c r="F211" s="1067">
        <v>1</v>
      </c>
      <c r="G211" s="1066">
        <v>1</v>
      </c>
      <c r="H211" s="1070">
        <v>0.91180000000000005</v>
      </c>
      <c r="I211" s="1070">
        <v>0.40739224000000002</v>
      </c>
      <c r="J211" s="1070">
        <v>0.11849999999999999</v>
      </c>
      <c r="K211" s="1070">
        <v>0.10886891999999999</v>
      </c>
      <c r="L211" s="1072">
        <v>0.81150200000000006</v>
      </c>
      <c r="M211" s="1070"/>
      <c r="N211" s="1070"/>
      <c r="O211" s="1070"/>
      <c r="P211" s="1073">
        <v>74.85878000000001</v>
      </c>
      <c r="Q211" s="1070">
        <v>289.49650000000003</v>
      </c>
      <c r="R211" s="1070">
        <v>89.356400000000008</v>
      </c>
      <c r="S211" s="1070">
        <v>190.56619999999998</v>
      </c>
      <c r="T211" s="1070">
        <v>219.19672</v>
      </c>
      <c r="U211" s="1070"/>
      <c r="V211" s="1066">
        <v>0.45590000000000003</v>
      </c>
      <c r="W211" s="1070">
        <v>7.8414799999999998</v>
      </c>
      <c r="X211" s="1070">
        <v>2.9177600000000004</v>
      </c>
      <c r="Y211" s="1070">
        <v>1.64124</v>
      </c>
      <c r="Z211" s="1070">
        <v>9.5739000000000019</v>
      </c>
      <c r="AA211" s="1070">
        <v>6.0178800000000008</v>
      </c>
      <c r="AB211" s="1070">
        <v>6.69</v>
      </c>
      <c r="AC211" s="1070">
        <v>63.3</v>
      </c>
      <c r="AD211" s="1070"/>
      <c r="AE211" s="1070">
        <v>22</v>
      </c>
      <c r="AF211" s="1070"/>
      <c r="AG211" s="1070">
        <v>0.72</v>
      </c>
      <c r="AH211" s="1073">
        <v>1.1399999999999999</v>
      </c>
      <c r="AI211" s="1070"/>
      <c r="AJ211" s="1070"/>
      <c r="AK211" s="1070"/>
      <c r="AL211" s="1082"/>
      <c r="AM211" s="1069"/>
      <c r="AN211" s="1070"/>
      <c r="AO211" s="1070"/>
      <c r="AP211" s="1070"/>
      <c r="AQ211" s="1070"/>
      <c r="AR211" s="1069"/>
      <c r="AS211" s="1282"/>
      <c r="AT211" s="1282"/>
      <c r="AU211" s="1069"/>
      <c r="AV211" s="1069"/>
      <c r="AW211" s="1069"/>
      <c r="AX211" s="1070"/>
      <c r="AY211" s="1070"/>
      <c r="AZ211" s="1078">
        <f t="shared" si="155"/>
        <v>0.91180000000000005</v>
      </c>
      <c r="BA211" s="59">
        <v>207</v>
      </c>
      <c r="BB211" s="59">
        <f t="shared" si="156"/>
        <v>207</v>
      </c>
      <c r="BC211" s="60" t="str">
        <f t="shared" si="157"/>
        <v>Res. Seco Dest. Com Solúveis, Milho - (DDGS)</v>
      </c>
      <c r="BD211" s="61" t="str">
        <f ca="1">IFERROR(IF(SEARCH('Calcular Dieta'!A$3,$BC$5:$BC$310)&gt;=1,BC211,"Não encontrado"),"Não encontrado")</f>
        <v>Res. Seco Dest. Com Solúveis, Milho - (DDGS)</v>
      </c>
      <c r="BE211" s="62">
        <f ca="1">COUNTIF(BD$5:BD211,"&lt;&gt;"&amp;"Não encontrado")</f>
        <v>207</v>
      </c>
      <c r="BF211" s="63" t="str">
        <f t="shared" ca="1" si="158"/>
        <v>RES. SECO DEST. COM SOLÚVEIS, MILHO - (DDGS)</v>
      </c>
      <c r="BG211" s="744">
        <f t="shared" si="159"/>
        <v>0.40760324000000003</v>
      </c>
      <c r="BH211" s="744">
        <f t="shared" si="160"/>
        <v>0.118711</v>
      </c>
      <c r="BI211" s="744">
        <f t="shared" si="161"/>
        <v>0.10907992</v>
      </c>
      <c r="BJ211" s="744">
        <f t="shared" si="162"/>
        <v>0.81171300000000002</v>
      </c>
      <c r="BK211" s="744" t="str">
        <f t="shared" si="163"/>
        <v/>
      </c>
      <c r="BL211" s="744" t="str">
        <f t="shared" si="164"/>
        <v/>
      </c>
      <c r="BM211" s="744" t="str">
        <f t="shared" si="165"/>
        <v/>
      </c>
      <c r="BN211" s="744">
        <f t="shared" si="166"/>
        <v>74.858991000000003</v>
      </c>
      <c r="BO211" s="744">
        <f t="shared" si="167"/>
        <v>289.496711</v>
      </c>
      <c r="BP211" s="744">
        <f t="shared" si="168"/>
        <v>89.356611000000001</v>
      </c>
      <c r="BQ211" s="744">
        <f t="shared" si="169"/>
        <v>190.56641099999999</v>
      </c>
      <c r="BR211" s="744">
        <f t="shared" si="170"/>
        <v>219.19693100000001</v>
      </c>
      <c r="BS211" s="744" t="str">
        <f t="shared" si="171"/>
        <v/>
      </c>
      <c r="BT211" s="744">
        <f t="shared" si="172"/>
        <v>0.45611100000000004</v>
      </c>
      <c r="BU211" s="744">
        <f t="shared" si="173"/>
        <v>7.841691</v>
      </c>
      <c r="BV211" s="744">
        <f t="shared" si="174"/>
        <v>2.9179710000000005</v>
      </c>
      <c r="BW211" s="744">
        <f t="shared" si="175"/>
        <v>1.641451</v>
      </c>
      <c r="BX211" s="744">
        <f t="shared" si="176"/>
        <v>9.574111000000002</v>
      </c>
      <c r="BY211" s="744">
        <f t="shared" si="177"/>
        <v>6.018091000000001</v>
      </c>
      <c r="BZ211" s="744">
        <f t="shared" si="178"/>
        <v>6.6902110000000006</v>
      </c>
      <c r="CA211" s="744">
        <f t="shared" si="179"/>
        <v>63.300210999999997</v>
      </c>
      <c r="CB211" s="744" t="str">
        <f t="shared" si="180"/>
        <v/>
      </c>
      <c r="CC211" s="744">
        <f t="shared" si="181"/>
        <v>22.000211</v>
      </c>
      <c r="CD211" s="744" t="str">
        <f t="shared" si="182"/>
        <v/>
      </c>
      <c r="CE211" s="744">
        <f t="shared" si="183"/>
        <v>0.72021099999999993</v>
      </c>
      <c r="CF211" s="744">
        <f t="shared" si="184"/>
        <v>1.1402109999999999</v>
      </c>
      <c r="CG211" s="744" t="str">
        <f t="shared" si="185"/>
        <v/>
      </c>
      <c r="CH211" s="744" t="str">
        <f t="shared" si="186"/>
        <v/>
      </c>
      <c r="CI211" s="744" t="str">
        <f t="shared" si="187"/>
        <v/>
      </c>
      <c r="CJ211" s="744" t="str">
        <f t="shared" si="188"/>
        <v/>
      </c>
      <c r="CK211" s="744" t="str">
        <f t="shared" si="189"/>
        <v/>
      </c>
      <c r="CL211" s="744" t="str">
        <f t="shared" si="190"/>
        <v/>
      </c>
      <c r="CM211" s="744" t="str">
        <f t="shared" si="191"/>
        <v/>
      </c>
      <c r="CN211" s="744" t="str">
        <f t="shared" si="192"/>
        <v/>
      </c>
      <c r="CO211" s="744" t="str">
        <f t="shared" si="193"/>
        <v/>
      </c>
      <c r="CP211" s="744" t="str">
        <f t="shared" si="194"/>
        <v/>
      </c>
      <c r="CQ211" s="744" t="str">
        <f t="shared" si="195"/>
        <v/>
      </c>
      <c r="CR211" s="744" t="str">
        <f t="shared" si="196"/>
        <v/>
      </c>
      <c r="CS211" s="744" t="str">
        <f t="shared" si="197"/>
        <v/>
      </c>
      <c r="CT211" s="744" t="str">
        <f t="shared" si="198"/>
        <v/>
      </c>
      <c r="CU211" s="744" t="str">
        <f t="shared" si="199"/>
        <v/>
      </c>
      <c r="CV211" s="744" t="str">
        <f t="shared" si="200"/>
        <v/>
      </c>
      <c r="CW211" s="744" t="str">
        <f t="shared" si="201"/>
        <v/>
      </c>
      <c r="CX211" s="744">
        <f t="shared" si="202"/>
        <v>0.91201100000000002</v>
      </c>
    </row>
    <row r="212" spans="1:102">
      <c r="A212" s="630">
        <v>209</v>
      </c>
      <c r="B212" s="630" t="s">
        <v>4</v>
      </c>
      <c r="C212" s="631" t="s">
        <v>250</v>
      </c>
      <c r="D212" s="630" t="s">
        <v>1390</v>
      </c>
      <c r="E212" s="632" t="s">
        <v>230</v>
      </c>
      <c r="F212" s="1067">
        <v>1</v>
      </c>
      <c r="G212" s="1066">
        <v>1</v>
      </c>
      <c r="H212" s="1070">
        <v>0.2228</v>
      </c>
      <c r="I212" s="1070">
        <v>0.12951364000000001</v>
      </c>
      <c r="J212" s="1070">
        <v>5.1799999999999999E-2</v>
      </c>
      <c r="K212" s="1070">
        <v>3.9301919999999997E-2</v>
      </c>
      <c r="L212" s="1072">
        <v>0.20533247999999998</v>
      </c>
      <c r="M212" s="1070"/>
      <c r="N212" s="1070">
        <v>3.63</v>
      </c>
      <c r="O212" s="1070"/>
      <c r="P212" s="1073">
        <v>14.080960000000001</v>
      </c>
      <c r="Q212" s="1070">
        <v>57.014520000000005</v>
      </c>
      <c r="R212" s="1070">
        <v>21.411079999999998</v>
      </c>
      <c r="S212" s="1070">
        <v>35.336079999999995</v>
      </c>
      <c r="T212" s="1070">
        <v>43.445999999999998</v>
      </c>
      <c r="U212" s="1070"/>
      <c r="V212" s="1066">
        <v>0.73524</v>
      </c>
      <c r="W212" s="1070">
        <v>1.7378400000000001</v>
      </c>
      <c r="X212" s="1070"/>
      <c r="Y212" s="1070"/>
      <c r="Z212" s="1070"/>
      <c r="AA212" s="1070"/>
      <c r="AB212" s="1070">
        <v>15.23</v>
      </c>
      <c r="AC212" s="1070"/>
      <c r="AD212" s="1070"/>
      <c r="AE212" s="1070"/>
      <c r="AF212" s="1070"/>
      <c r="AG212" s="1070"/>
      <c r="AH212" s="1073"/>
      <c r="AI212" s="1070"/>
      <c r="AJ212" s="1070"/>
      <c r="AK212" s="1070"/>
      <c r="AL212" s="1082"/>
      <c r="AM212" s="1069"/>
      <c r="AN212" s="1070"/>
      <c r="AO212" s="1070"/>
      <c r="AP212" s="1070"/>
      <c r="AQ212" s="1070"/>
      <c r="AR212" s="1069"/>
      <c r="AS212" s="1282"/>
      <c r="AT212" s="1282"/>
      <c r="AU212" s="1069"/>
      <c r="AV212" s="1069"/>
      <c r="AW212" s="1069"/>
      <c r="AX212" s="1070"/>
      <c r="AY212" s="1070"/>
      <c r="AZ212" s="1078">
        <f t="shared" si="155"/>
        <v>0.2228</v>
      </c>
      <c r="BA212" s="59">
        <v>208</v>
      </c>
      <c r="BB212" s="59">
        <f t="shared" si="156"/>
        <v>208</v>
      </c>
      <c r="BC212" s="60" t="str">
        <f t="shared" si="157"/>
        <v>Resíduo de Cervejaria Úmido</v>
      </c>
      <c r="BD212" s="61" t="str">
        <f ca="1">IFERROR(IF(SEARCH('Calcular Dieta'!A$3,$BC$5:$BC$310)&gt;=1,BC212,"Não encontrado"),"Não encontrado")</f>
        <v>Resíduo de Cervejaria Úmido</v>
      </c>
      <c r="BE212" s="62">
        <f ca="1">COUNTIF(BD$5:BD212,"&lt;&gt;"&amp;"Não encontrado")</f>
        <v>208</v>
      </c>
      <c r="BF212" s="63" t="str">
        <f t="shared" ca="1" si="158"/>
        <v>RESÍDUO DE CERVEJARIA ÚMIDO</v>
      </c>
      <c r="BG212" s="744">
        <f t="shared" si="159"/>
        <v>0.12972564</v>
      </c>
      <c r="BH212" s="744">
        <f t="shared" si="160"/>
        <v>5.2011999999999996E-2</v>
      </c>
      <c r="BI212" s="744">
        <f t="shared" si="161"/>
        <v>3.9513919999999994E-2</v>
      </c>
      <c r="BJ212" s="744">
        <f t="shared" si="162"/>
        <v>0.20554447999999997</v>
      </c>
      <c r="BK212" s="744" t="str">
        <f t="shared" si="163"/>
        <v/>
      </c>
      <c r="BL212" s="744">
        <f t="shared" si="164"/>
        <v>3.6302119999999998</v>
      </c>
      <c r="BM212" s="744" t="str">
        <f t="shared" si="165"/>
        <v/>
      </c>
      <c r="BN212" s="744">
        <f t="shared" si="166"/>
        <v>14.081172</v>
      </c>
      <c r="BO212" s="744">
        <f t="shared" si="167"/>
        <v>57.014732000000002</v>
      </c>
      <c r="BP212" s="744">
        <f t="shared" si="168"/>
        <v>21.411292</v>
      </c>
      <c r="BQ212" s="744">
        <f t="shared" si="169"/>
        <v>35.336291999999993</v>
      </c>
      <c r="BR212" s="744">
        <f t="shared" si="170"/>
        <v>43.446211999999996</v>
      </c>
      <c r="BS212" s="744" t="str">
        <f t="shared" si="171"/>
        <v/>
      </c>
      <c r="BT212" s="744">
        <f t="shared" si="172"/>
        <v>0.73545199999999999</v>
      </c>
      <c r="BU212" s="744">
        <f t="shared" si="173"/>
        <v>1.7380520000000002</v>
      </c>
      <c r="BV212" s="744" t="str">
        <f t="shared" si="174"/>
        <v/>
      </c>
      <c r="BW212" s="744" t="str">
        <f t="shared" si="175"/>
        <v/>
      </c>
      <c r="BX212" s="744" t="str">
        <f t="shared" si="176"/>
        <v/>
      </c>
      <c r="BY212" s="744" t="str">
        <f t="shared" si="177"/>
        <v/>
      </c>
      <c r="BZ212" s="744">
        <f t="shared" si="178"/>
        <v>15.230212</v>
      </c>
      <c r="CA212" s="744" t="str">
        <f t="shared" si="179"/>
        <v/>
      </c>
      <c r="CB212" s="744" t="str">
        <f t="shared" si="180"/>
        <v/>
      </c>
      <c r="CC212" s="744" t="str">
        <f t="shared" si="181"/>
        <v/>
      </c>
      <c r="CD212" s="744" t="str">
        <f t="shared" si="182"/>
        <v/>
      </c>
      <c r="CE212" s="744" t="str">
        <f t="shared" si="183"/>
        <v/>
      </c>
      <c r="CF212" s="744" t="str">
        <f t="shared" si="184"/>
        <v/>
      </c>
      <c r="CG212" s="744" t="str">
        <f t="shared" si="185"/>
        <v/>
      </c>
      <c r="CH212" s="744" t="str">
        <f t="shared" si="186"/>
        <v/>
      </c>
      <c r="CI212" s="744" t="str">
        <f t="shared" si="187"/>
        <v/>
      </c>
      <c r="CJ212" s="744" t="str">
        <f t="shared" si="188"/>
        <v/>
      </c>
      <c r="CK212" s="744" t="str">
        <f t="shared" si="189"/>
        <v/>
      </c>
      <c r="CL212" s="744" t="str">
        <f t="shared" si="190"/>
        <v/>
      </c>
      <c r="CM212" s="744" t="str">
        <f t="shared" si="191"/>
        <v/>
      </c>
      <c r="CN212" s="744" t="str">
        <f t="shared" si="192"/>
        <v/>
      </c>
      <c r="CO212" s="744" t="str">
        <f t="shared" si="193"/>
        <v/>
      </c>
      <c r="CP212" s="744" t="str">
        <f t="shared" si="194"/>
        <v/>
      </c>
      <c r="CQ212" s="744" t="str">
        <f t="shared" si="195"/>
        <v/>
      </c>
      <c r="CR212" s="744" t="str">
        <f t="shared" si="196"/>
        <v/>
      </c>
      <c r="CS212" s="744" t="str">
        <f t="shared" si="197"/>
        <v/>
      </c>
      <c r="CT212" s="744" t="str">
        <f t="shared" si="198"/>
        <v/>
      </c>
      <c r="CU212" s="744" t="str">
        <f t="shared" si="199"/>
        <v/>
      </c>
      <c r="CV212" s="744" t="str">
        <f t="shared" si="200"/>
        <v/>
      </c>
      <c r="CW212" s="744" t="str">
        <f t="shared" si="201"/>
        <v/>
      </c>
      <c r="CX212" s="744">
        <f t="shared" si="202"/>
        <v>0.22301199999999999</v>
      </c>
    </row>
    <row r="213" spans="1:102">
      <c r="A213" s="633">
        <v>210</v>
      </c>
      <c r="B213" s="630" t="s">
        <v>4</v>
      </c>
      <c r="C213" s="631" t="s">
        <v>250</v>
      </c>
      <c r="D213" s="630" t="s">
        <v>1390</v>
      </c>
      <c r="E213" s="632" t="s">
        <v>231</v>
      </c>
      <c r="F213" s="1067">
        <v>1</v>
      </c>
      <c r="G213" s="1066">
        <v>1</v>
      </c>
      <c r="H213" s="1070">
        <v>0.875</v>
      </c>
      <c r="I213" s="1070">
        <v>0.37143750000000003</v>
      </c>
      <c r="J213" s="1070"/>
      <c r="K213" s="1070">
        <v>0.12775</v>
      </c>
      <c r="L213" s="1072">
        <v>0.75451250000000003</v>
      </c>
      <c r="M213" s="1070"/>
      <c r="N213" s="1070">
        <v>3.36</v>
      </c>
      <c r="O213" s="1070"/>
      <c r="P213" s="1073">
        <v>110.94999999999999</v>
      </c>
      <c r="Q213" s="1070">
        <v>206.0625</v>
      </c>
      <c r="R213" s="1070">
        <v>66.150000000000006</v>
      </c>
      <c r="S213" s="1279">
        <v>139.91249999999999</v>
      </c>
      <c r="T213" s="1070">
        <v>161.26250000000002</v>
      </c>
      <c r="U213" s="1070"/>
      <c r="V213" s="1066">
        <v>0.4375</v>
      </c>
      <c r="W213" s="1070">
        <v>2.8</v>
      </c>
      <c r="X213" s="1070">
        <v>2.8</v>
      </c>
      <c r="Y213" s="1070">
        <v>1.575</v>
      </c>
      <c r="Z213" s="1070">
        <v>9.1875000000000018</v>
      </c>
      <c r="AA213" s="1070">
        <v>5.7749999999999995</v>
      </c>
      <c r="AB213" s="1070">
        <v>6.69</v>
      </c>
      <c r="AC213" s="1070">
        <v>63.3</v>
      </c>
      <c r="AD213" s="1070"/>
      <c r="AE213" s="1070">
        <v>23</v>
      </c>
      <c r="AF213" s="1070">
        <v>0.1</v>
      </c>
      <c r="AG213" s="1070">
        <v>0.72</v>
      </c>
      <c r="AH213" s="1073">
        <v>1.1000000000000001</v>
      </c>
      <c r="AI213" s="1070"/>
      <c r="AJ213" s="1070"/>
      <c r="AK213" s="1070"/>
      <c r="AL213" s="1082"/>
      <c r="AM213" s="1069"/>
      <c r="AN213" s="1070"/>
      <c r="AO213" s="1070"/>
      <c r="AP213" s="1070"/>
      <c r="AQ213" s="1070"/>
      <c r="AR213" s="1069"/>
      <c r="AS213" s="1282"/>
      <c r="AT213" s="1282"/>
      <c r="AU213" s="1069"/>
      <c r="AV213" s="1069"/>
      <c r="AW213" s="1069"/>
      <c r="AX213" s="1070"/>
      <c r="AY213" s="1070"/>
      <c r="AZ213" s="1078">
        <f t="shared" si="155"/>
        <v>0.875</v>
      </c>
      <c r="BA213" s="59">
        <v>209</v>
      </c>
      <c r="BB213" s="59">
        <f t="shared" si="156"/>
        <v>209</v>
      </c>
      <c r="BC213" s="60" t="str">
        <f t="shared" si="157"/>
        <v>Resíduo Seco de Destilaria, Milho (DDG)</v>
      </c>
      <c r="BD213" s="61" t="str">
        <f ca="1">IFERROR(IF(SEARCH('Calcular Dieta'!A$3,$BC$5:$BC$310)&gt;=1,BC213,"Não encontrado"),"Não encontrado")</f>
        <v>Resíduo Seco de Destilaria, Milho (DDG)</v>
      </c>
      <c r="BE213" s="62">
        <f ca="1">COUNTIF(BD$5:BD213,"&lt;&gt;"&amp;"Não encontrado")</f>
        <v>209</v>
      </c>
      <c r="BF213" s="63" t="str">
        <f t="shared" ca="1" si="158"/>
        <v>RESÍDUO SECO DE DESTILARIA, MILHO (DDG)</v>
      </c>
      <c r="BG213" s="744">
        <f t="shared" si="159"/>
        <v>0.37165050000000005</v>
      </c>
      <c r="BH213" s="744" t="str">
        <f t="shared" si="160"/>
        <v/>
      </c>
      <c r="BI213" s="744">
        <f t="shared" si="161"/>
        <v>0.12796299999999999</v>
      </c>
      <c r="BJ213" s="744">
        <f t="shared" si="162"/>
        <v>0.75472550000000005</v>
      </c>
      <c r="BK213" s="744" t="str">
        <f t="shared" si="163"/>
        <v/>
      </c>
      <c r="BL213" s="744">
        <f t="shared" si="164"/>
        <v>3.3602129999999999</v>
      </c>
      <c r="BM213" s="744" t="str">
        <f t="shared" si="165"/>
        <v/>
      </c>
      <c r="BN213" s="744">
        <f t="shared" si="166"/>
        <v>110.95021299999999</v>
      </c>
      <c r="BO213" s="744">
        <f t="shared" si="167"/>
        <v>206.062713</v>
      </c>
      <c r="BP213" s="744">
        <f t="shared" si="168"/>
        <v>66.150213000000008</v>
      </c>
      <c r="BQ213" s="744">
        <f t="shared" si="169"/>
        <v>139.912713</v>
      </c>
      <c r="BR213" s="744">
        <f t="shared" si="170"/>
        <v>161.26271300000002</v>
      </c>
      <c r="BS213" s="744" t="str">
        <f t="shared" si="171"/>
        <v/>
      </c>
      <c r="BT213" s="744">
        <f t="shared" si="172"/>
        <v>0.43771300000000002</v>
      </c>
      <c r="BU213" s="744">
        <f t="shared" si="173"/>
        <v>2.8002129999999998</v>
      </c>
      <c r="BV213" s="744">
        <f t="shared" si="174"/>
        <v>2.8002129999999998</v>
      </c>
      <c r="BW213" s="744">
        <f t="shared" si="175"/>
        <v>1.575213</v>
      </c>
      <c r="BX213" s="744">
        <f t="shared" si="176"/>
        <v>9.1877130000000022</v>
      </c>
      <c r="BY213" s="744">
        <f t="shared" si="177"/>
        <v>5.775212999999999</v>
      </c>
      <c r="BZ213" s="744">
        <f t="shared" si="178"/>
        <v>6.690213</v>
      </c>
      <c r="CA213" s="744">
        <f t="shared" si="179"/>
        <v>63.300212999999999</v>
      </c>
      <c r="CB213" s="744" t="str">
        <f t="shared" si="180"/>
        <v/>
      </c>
      <c r="CC213" s="744">
        <f t="shared" si="181"/>
        <v>23.000212999999999</v>
      </c>
      <c r="CD213" s="744">
        <f t="shared" si="182"/>
        <v>0.10021300000000001</v>
      </c>
      <c r="CE213" s="744">
        <f t="shared" si="183"/>
        <v>0.72021299999999999</v>
      </c>
      <c r="CF213" s="744">
        <f t="shared" si="184"/>
        <v>1.1002130000000001</v>
      </c>
      <c r="CG213" s="744" t="str">
        <f t="shared" si="185"/>
        <v/>
      </c>
      <c r="CH213" s="744" t="str">
        <f t="shared" si="186"/>
        <v/>
      </c>
      <c r="CI213" s="744" t="str">
        <f t="shared" si="187"/>
        <v/>
      </c>
      <c r="CJ213" s="744" t="str">
        <f t="shared" si="188"/>
        <v/>
      </c>
      <c r="CK213" s="744" t="str">
        <f t="shared" si="189"/>
        <v/>
      </c>
      <c r="CL213" s="744" t="str">
        <f t="shared" si="190"/>
        <v/>
      </c>
      <c r="CM213" s="744" t="str">
        <f t="shared" si="191"/>
        <v/>
      </c>
      <c r="CN213" s="744" t="str">
        <f t="shared" si="192"/>
        <v/>
      </c>
      <c r="CO213" s="744" t="str">
        <f t="shared" si="193"/>
        <v/>
      </c>
      <c r="CP213" s="744" t="str">
        <f t="shared" si="194"/>
        <v/>
      </c>
      <c r="CQ213" s="744" t="str">
        <f t="shared" si="195"/>
        <v/>
      </c>
      <c r="CR213" s="744" t="str">
        <f t="shared" si="196"/>
        <v/>
      </c>
      <c r="CS213" s="744" t="str">
        <f t="shared" si="197"/>
        <v/>
      </c>
      <c r="CT213" s="744" t="str">
        <f t="shared" si="198"/>
        <v/>
      </c>
      <c r="CU213" s="744" t="str">
        <f t="shared" si="199"/>
        <v/>
      </c>
      <c r="CV213" s="744" t="str">
        <f t="shared" si="200"/>
        <v/>
      </c>
      <c r="CW213" s="744" t="str">
        <f t="shared" si="201"/>
        <v/>
      </c>
      <c r="CX213" s="744">
        <f t="shared" si="202"/>
        <v>0.87521300000000002</v>
      </c>
    </row>
    <row r="214" spans="1:102">
      <c r="A214" s="630">
        <v>211</v>
      </c>
      <c r="B214" s="630" t="s">
        <v>4</v>
      </c>
      <c r="C214" s="631" t="s">
        <v>250</v>
      </c>
      <c r="D214" s="630" t="s">
        <v>1390</v>
      </c>
      <c r="E214" s="632" t="s">
        <v>232</v>
      </c>
      <c r="F214" s="1067">
        <v>1</v>
      </c>
      <c r="G214" s="1066">
        <v>1</v>
      </c>
      <c r="H214" s="1070">
        <v>0.318</v>
      </c>
      <c r="I214" s="1070">
        <v>0.1531806</v>
      </c>
      <c r="J214" s="1070"/>
      <c r="K214" s="1070">
        <v>5.0880000000000002E-2</v>
      </c>
      <c r="L214" s="1072">
        <v>0.29574</v>
      </c>
      <c r="M214" s="1070"/>
      <c r="N214" s="1070"/>
      <c r="O214" s="1070"/>
      <c r="P214" s="1073">
        <v>21.210599999999999</v>
      </c>
      <c r="Q214" s="1070">
        <v>101.76</v>
      </c>
      <c r="R214" s="1070">
        <v>43.756799999999998</v>
      </c>
      <c r="S214" s="1279">
        <v>58.003200000000007</v>
      </c>
      <c r="T214" s="1070">
        <v>82.044000000000011</v>
      </c>
      <c r="U214" s="1070"/>
      <c r="V214" s="1066">
        <v>0.159</v>
      </c>
      <c r="W214" s="1070">
        <v>1.1129999999999998</v>
      </c>
      <c r="X214" s="1070">
        <v>1.1129999999999998</v>
      </c>
      <c r="Y214" s="1070"/>
      <c r="Z214" s="1070">
        <v>3.18</v>
      </c>
      <c r="AA214" s="1070">
        <v>2.0670000000000002</v>
      </c>
      <c r="AB214" s="1070">
        <v>7.02</v>
      </c>
      <c r="AC214" s="1070">
        <v>55.1</v>
      </c>
      <c r="AD214" s="1070"/>
      <c r="AE214" s="1070">
        <v>30.5</v>
      </c>
      <c r="AF214" s="1070">
        <v>0.1</v>
      </c>
      <c r="AG214" s="1070">
        <v>0.11</v>
      </c>
      <c r="AH214" s="1073">
        <v>1</v>
      </c>
      <c r="AI214" s="1070"/>
      <c r="AJ214" s="1070"/>
      <c r="AK214" s="1070"/>
      <c r="AL214" s="1082"/>
      <c r="AM214" s="1069"/>
      <c r="AN214" s="1070"/>
      <c r="AO214" s="1070"/>
      <c r="AP214" s="1070"/>
      <c r="AQ214" s="1070"/>
      <c r="AR214" s="1069"/>
      <c r="AS214" s="1282"/>
      <c r="AT214" s="1282"/>
      <c r="AU214" s="1069"/>
      <c r="AV214" s="1069"/>
      <c r="AW214" s="1069"/>
      <c r="AX214" s="1070"/>
      <c r="AY214" s="1070"/>
      <c r="AZ214" s="1078">
        <f t="shared" si="155"/>
        <v>0.318</v>
      </c>
      <c r="BA214" s="59">
        <v>210</v>
      </c>
      <c r="BB214" s="59">
        <f t="shared" si="156"/>
        <v>210</v>
      </c>
      <c r="BC214" s="60" t="str">
        <f t="shared" si="157"/>
        <v>Resíduo Úmido de Destilaria, Milho (WDG)</v>
      </c>
      <c r="BD214" s="61" t="str">
        <f ca="1">IFERROR(IF(SEARCH('Calcular Dieta'!A$3,$BC$5:$BC$310)&gt;=1,BC214,"Não encontrado"),"Não encontrado")</f>
        <v>Resíduo Úmido de Destilaria, Milho (WDG)</v>
      </c>
      <c r="BE214" s="62">
        <f ca="1">COUNTIF(BD$5:BD214,"&lt;&gt;"&amp;"Não encontrado")</f>
        <v>210</v>
      </c>
      <c r="BF214" s="63" t="str">
        <f t="shared" ca="1" si="158"/>
        <v>RESÍDUO ÚMIDO DE DESTILARIA, MILHO (WDG)</v>
      </c>
      <c r="BG214" s="744">
        <f t="shared" si="159"/>
        <v>0.15339459999999999</v>
      </c>
      <c r="BH214" s="744" t="str">
        <f t="shared" si="160"/>
        <v/>
      </c>
      <c r="BI214" s="744">
        <f t="shared" si="161"/>
        <v>5.1094000000000001E-2</v>
      </c>
      <c r="BJ214" s="744">
        <f t="shared" si="162"/>
        <v>0.29595399999999999</v>
      </c>
      <c r="BK214" s="744" t="str">
        <f t="shared" si="163"/>
        <v/>
      </c>
      <c r="BL214" s="744" t="str">
        <f t="shared" si="164"/>
        <v/>
      </c>
      <c r="BM214" s="744" t="str">
        <f t="shared" si="165"/>
        <v/>
      </c>
      <c r="BN214" s="744">
        <f t="shared" si="166"/>
        <v>21.210813999999999</v>
      </c>
      <c r="BO214" s="744">
        <f t="shared" si="167"/>
        <v>101.760214</v>
      </c>
      <c r="BP214" s="744">
        <f t="shared" si="168"/>
        <v>43.757013999999998</v>
      </c>
      <c r="BQ214" s="744">
        <f t="shared" si="169"/>
        <v>58.003414000000006</v>
      </c>
      <c r="BR214" s="744">
        <f t="shared" si="170"/>
        <v>82.044214000000011</v>
      </c>
      <c r="BS214" s="744" t="str">
        <f t="shared" si="171"/>
        <v/>
      </c>
      <c r="BT214" s="744">
        <f t="shared" si="172"/>
        <v>0.15921399999999999</v>
      </c>
      <c r="BU214" s="744">
        <f t="shared" si="173"/>
        <v>1.1132139999999997</v>
      </c>
      <c r="BV214" s="744">
        <f t="shared" si="174"/>
        <v>1.1132139999999997</v>
      </c>
      <c r="BW214" s="744" t="str">
        <f t="shared" si="175"/>
        <v/>
      </c>
      <c r="BX214" s="744">
        <f t="shared" si="176"/>
        <v>3.1802140000000003</v>
      </c>
      <c r="BY214" s="744">
        <f t="shared" si="177"/>
        <v>2.0672140000000003</v>
      </c>
      <c r="BZ214" s="744">
        <f t="shared" si="178"/>
        <v>7.0202139999999993</v>
      </c>
      <c r="CA214" s="744">
        <f t="shared" si="179"/>
        <v>55.100214000000001</v>
      </c>
      <c r="CB214" s="744" t="str">
        <f t="shared" si="180"/>
        <v/>
      </c>
      <c r="CC214" s="744">
        <f t="shared" si="181"/>
        <v>30.500214</v>
      </c>
      <c r="CD214" s="744">
        <f t="shared" si="182"/>
        <v>0.10021400000000001</v>
      </c>
      <c r="CE214" s="744">
        <f t="shared" si="183"/>
        <v>0.11021400000000001</v>
      </c>
      <c r="CF214" s="744">
        <f t="shared" si="184"/>
        <v>1.0002139999999999</v>
      </c>
      <c r="CG214" s="744" t="str">
        <f t="shared" si="185"/>
        <v/>
      </c>
      <c r="CH214" s="744" t="str">
        <f t="shared" si="186"/>
        <v/>
      </c>
      <c r="CI214" s="744" t="str">
        <f t="shared" si="187"/>
        <v/>
      </c>
      <c r="CJ214" s="744" t="str">
        <f t="shared" si="188"/>
        <v/>
      </c>
      <c r="CK214" s="744" t="str">
        <f t="shared" si="189"/>
        <v/>
      </c>
      <c r="CL214" s="744" t="str">
        <f t="shared" si="190"/>
        <v/>
      </c>
      <c r="CM214" s="744" t="str">
        <f t="shared" si="191"/>
        <v/>
      </c>
      <c r="CN214" s="744" t="str">
        <f t="shared" si="192"/>
        <v/>
      </c>
      <c r="CO214" s="744" t="str">
        <f t="shared" si="193"/>
        <v/>
      </c>
      <c r="CP214" s="744" t="str">
        <f t="shared" si="194"/>
        <v/>
      </c>
      <c r="CQ214" s="744" t="str">
        <f t="shared" si="195"/>
        <v/>
      </c>
      <c r="CR214" s="744" t="str">
        <f t="shared" si="196"/>
        <v/>
      </c>
      <c r="CS214" s="744" t="str">
        <f t="shared" si="197"/>
        <v/>
      </c>
      <c r="CT214" s="744" t="str">
        <f t="shared" si="198"/>
        <v/>
      </c>
      <c r="CU214" s="744" t="str">
        <f t="shared" si="199"/>
        <v/>
      </c>
      <c r="CV214" s="744" t="str">
        <f t="shared" si="200"/>
        <v/>
      </c>
      <c r="CW214" s="744" t="str">
        <f t="shared" si="201"/>
        <v/>
      </c>
      <c r="CX214" s="744">
        <f t="shared" si="202"/>
        <v>0.318214</v>
      </c>
    </row>
    <row r="215" spans="1:102">
      <c r="A215" s="633">
        <v>212</v>
      </c>
      <c r="B215" s="630" t="s">
        <v>3</v>
      </c>
      <c r="C215" s="631" t="s">
        <v>249</v>
      </c>
      <c r="D215" s="630" t="s">
        <v>1390</v>
      </c>
      <c r="E215" s="632" t="s">
        <v>233</v>
      </c>
      <c r="F215" s="1067">
        <v>1</v>
      </c>
      <c r="G215" s="1066">
        <v>1</v>
      </c>
      <c r="H215" s="1070">
        <v>0.43590000000000001</v>
      </c>
      <c r="I215" s="1070">
        <v>0.26659643999999999</v>
      </c>
      <c r="J215" s="1070">
        <v>0.16899</v>
      </c>
      <c r="K215" s="1070">
        <v>9.977751E-2</v>
      </c>
      <c r="L215" s="1072">
        <v>0.27108620999999999</v>
      </c>
      <c r="M215" s="1070"/>
      <c r="N215" s="1070">
        <v>2.29</v>
      </c>
      <c r="O215" s="1070"/>
      <c r="P215" s="1073">
        <v>18.525750000000002</v>
      </c>
      <c r="Q215" s="1070">
        <v>52.438769999999998</v>
      </c>
      <c r="R215" s="1070">
        <v>8.9795400000000019</v>
      </c>
      <c r="S215" s="1279">
        <v>43.459229999999998</v>
      </c>
      <c r="T215" s="1070">
        <v>45.028469999999999</v>
      </c>
      <c r="U215" s="1070"/>
      <c r="V215" s="1066"/>
      <c r="W215" s="1070"/>
      <c r="X215" s="1070"/>
      <c r="Y215" s="1070"/>
      <c r="Z215" s="1070"/>
      <c r="AA215" s="1070"/>
      <c r="AB215" s="1070"/>
      <c r="AC215" s="1070"/>
      <c r="AD215" s="1070"/>
      <c r="AE215" s="1070"/>
      <c r="AF215" s="1070"/>
      <c r="AG215" s="1070"/>
      <c r="AH215" s="1073"/>
      <c r="AI215" s="1070"/>
      <c r="AJ215" s="1070"/>
      <c r="AK215" s="1070"/>
      <c r="AL215" s="1082"/>
      <c r="AM215" s="1069"/>
      <c r="AN215" s="1070"/>
      <c r="AO215" s="1070"/>
      <c r="AP215" s="1070"/>
      <c r="AQ215" s="1070"/>
      <c r="AR215" s="1069"/>
      <c r="AS215" s="1282"/>
      <c r="AT215" s="1282"/>
      <c r="AU215" s="1069"/>
      <c r="AV215" s="1069"/>
      <c r="AW215" s="1069"/>
      <c r="AX215" s="1070"/>
      <c r="AY215" s="1070"/>
      <c r="AZ215" s="1078">
        <f t="shared" si="155"/>
        <v>0.43590000000000001</v>
      </c>
      <c r="BA215" s="59">
        <v>211</v>
      </c>
      <c r="BB215" s="59">
        <f t="shared" si="156"/>
        <v>211</v>
      </c>
      <c r="BC215" s="60" t="str">
        <f t="shared" si="157"/>
        <v>Sabiá</v>
      </c>
      <c r="BD215" s="61" t="str">
        <f ca="1">IFERROR(IF(SEARCH('Calcular Dieta'!A$3,$BC$5:$BC$310)&gt;=1,BC215,"Não encontrado"),"Não encontrado")</f>
        <v>Sabiá</v>
      </c>
      <c r="BE215" s="62">
        <f ca="1">COUNTIF(BD$5:BD215,"&lt;&gt;"&amp;"Não encontrado")</f>
        <v>211</v>
      </c>
      <c r="BF215" s="63" t="str">
        <f t="shared" ca="1" si="158"/>
        <v>SABIÁ</v>
      </c>
      <c r="BG215" s="744">
        <f t="shared" si="159"/>
        <v>0.26681144000000001</v>
      </c>
      <c r="BH215" s="744">
        <f t="shared" si="160"/>
        <v>0.16920499999999999</v>
      </c>
      <c r="BI215" s="744">
        <f t="shared" si="161"/>
        <v>9.9992510000000007E-2</v>
      </c>
      <c r="BJ215" s="744">
        <f t="shared" si="162"/>
        <v>0.27130121000000001</v>
      </c>
      <c r="BK215" s="744" t="str">
        <f t="shared" si="163"/>
        <v/>
      </c>
      <c r="BL215" s="744">
        <f t="shared" si="164"/>
        <v>2.2902149999999999</v>
      </c>
      <c r="BM215" s="744" t="str">
        <f t="shared" si="165"/>
        <v/>
      </c>
      <c r="BN215" s="744">
        <f t="shared" si="166"/>
        <v>18.525965000000003</v>
      </c>
      <c r="BO215" s="744">
        <f t="shared" si="167"/>
        <v>52.438984999999995</v>
      </c>
      <c r="BP215" s="744">
        <f t="shared" si="168"/>
        <v>8.9797550000000026</v>
      </c>
      <c r="BQ215" s="744">
        <f t="shared" si="169"/>
        <v>43.459444999999995</v>
      </c>
      <c r="BR215" s="744">
        <f t="shared" si="170"/>
        <v>45.028684999999996</v>
      </c>
      <c r="BS215" s="744" t="str">
        <f t="shared" si="171"/>
        <v/>
      </c>
      <c r="BT215" s="744" t="str">
        <f t="shared" si="172"/>
        <v/>
      </c>
      <c r="BU215" s="744" t="str">
        <f t="shared" si="173"/>
        <v/>
      </c>
      <c r="BV215" s="744" t="str">
        <f t="shared" si="174"/>
        <v/>
      </c>
      <c r="BW215" s="744" t="str">
        <f t="shared" si="175"/>
        <v/>
      </c>
      <c r="BX215" s="744" t="str">
        <f t="shared" si="176"/>
        <v/>
      </c>
      <c r="BY215" s="744" t="str">
        <f t="shared" si="177"/>
        <v/>
      </c>
      <c r="BZ215" s="744" t="str">
        <f t="shared" si="178"/>
        <v/>
      </c>
      <c r="CA215" s="744" t="str">
        <f t="shared" si="179"/>
        <v/>
      </c>
      <c r="CB215" s="744" t="str">
        <f t="shared" si="180"/>
        <v/>
      </c>
      <c r="CC215" s="744" t="str">
        <f t="shared" si="181"/>
        <v/>
      </c>
      <c r="CD215" s="744" t="str">
        <f t="shared" si="182"/>
        <v/>
      </c>
      <c r="CE215" s="744" t="str">
        <f t="shared" si="183"/>
        <v/>
      </c>
      <c r="CF215" s="744" t="str">
        <f t="shared" si="184"/>
        <v/>
      </c>
      <c r="CG215" s="744" t="str">
        <f t="shared" si="185"/>
        <v/>
      </c>
      <c r="CH215" s="744" t="str">
        <f t="shared" si="186"/>
        <v/>
      </c>
      <c r="CI215" s="744" t="str">
        <f t="shared" si="187"/>
        <v/>
      </c>
      <c r="CJ215" s="744" t="str">
        <f t="shared" si="188"/>
        <v/>
      </c>
      <c r="CK215" s="744" t="str">
        <f t="shared" si="189"/>
        <v/>
      </c>
      <c r="CL215" s="744" t="str">
        <f t="shared" si="190"/>
        <v/>
      </c>
      <c r="CM215" s="744" t="str">
        <f t="shared" si="191"/>
        <v/>
      </c>
      <c r="CN215" s="744" t="str">
        <f t="shared" si="192"/>
        <v/>
      </c>
      <c r="CO215" s="744" t="str">
        <f t="shared" si="193"/>
        <v/>
      </c>
      <c r="CP215" s="744" t="str">
        <f t="shared" si="194"/>
        <v/>
      </c>
      <c r="CQ215" s="744" t="str">
        <f t="shared" si="195"/>
        <v/>
      </c>
      <c r="CR215" s="744" t="str">
        <f t="shared" si="196"/>
        <v/>
      </c>
      <c r="CS215" s="744" t="str">
        <f t="shared" si="197"/>
        <v/>
      </c>
      <c r="CT215" s="744" t="str">
        <f t="shared" si="198"/>
        <v/>
      </c>
      <c r="CU215" s="744" t="str">
        <f t="shared" si="199"/>
        <v/>
      </c>
      <c r="CV215" s="744" t="str">
        <f t="shared" si="200"/>
        <v/>
      </c>
      <c r="CW215" s="744" t="str">
        <f t="shared" si="201"/>
        <v/>
      </c>
      <c r="CX215" s="744">
        <f t="shared" si="202"/>
        <v>0.43611500000000003</v>
      </c>
    </row>
    <row r="216" spans="1:102">
      <c r="A216" s="630">
        <v>213</v>
      </c>
      <c r="B216" s="630" t="s">
        <v>4</v>
      </c>
      <c r="C216" s="631" t="s">
        <v>253</v>
      </c>
      <c r="D216" s="630" t="s">
        <v>1390</v>
      </c>
      <c r="E216" s="632" t="s">
        <v>496</v>
      </c>
      <c r="F216" s="1067">
        <v>1.5</v>
      </c>
      <c r="G216" s="1066">
        <v>1</v>
      </c>
      <c r="H216" s="1070">
        <v>0.98970000000000002</v>
      </c>
      <c r="I216" s="1070"/>
      <c r="J216" s="1070"/>
      <c r="K216" s="1070"/>
      <c r="L216" s="1072"/>
      <c r="M216" s="1070"/>
      <c r="N216" s="1070"/>
      <c r="O216" s="1070"/>
      <c r="P216" s="1073"/>
      <c r="Q216" s="1070"/>
      <c r="R216" s="1070"/>
      <c r="S216" s="1070"/>
      <c r="T216" s="1070"/>
      <c r="U216" s="1070"/>
      <c r="V216" s="1066"/>
      <c r="W216" s="1070">
        <v>2.9691000000000001</v>
      </c>
      <c r="X216" s="1070"/>
      <c r="Y216" s="1070">
        <v>391.42634999999996</v>
      </c>
      <c r="Z216" s="1070">
        <v>0.59382000000000001</v>
      </c>
      <c r="AA216" s="1070"/>
      <c r="AB216" s="1070">
        <v>1.34</v>
      </c>
      <c r="AC216" s="1070">
        <v>9.94</v>
      </c>
      <c r="AD216" s="1070"/>
      <c r="AE216" s="1070">
        <v>2.71</v>
      </c>
      <c r="AF216" s="1070"/>
      <c r="AG216" s="1070"/>
      <c r="AH216" s="1073"/>
      <c r="AI216" s="1070"/>
      <c r="AJ216" s="1070"/>
      <c r="AK216" s="1070"/>
      <c r="AL216" s="1082"/>
      <c r="AM216" s="1069"/>
      <c r="AN216" s="1070"/>
      <c r="AO216" s="1070"/>
      <c r="AP216" s="1070"/>
      <c r="AQ216" s="1070"/>
      <c r="AR216" s="1069"/>
      <c r="AS216" s="1282"/>
      <c r="AT216" s="1282"/>
      <c r="AU216" s="1069"/>
      <c r="AV216" s="1069"/>
      <c r="AW216" s="1069"/>
      <c r="AX216" s="1070"/>
      <c r="AY216" s="1070"/>
      <c r="AZ216" s="1078">
        <f t="shared" si="155"/>
        <v>0.98970000000000002</v>
      </c>
      <c r="BA216" s="59">
        <v>212</v>
      </c>
      <c r="BB216" s="59">
        <f t="shared" si="156"/>
        <v>212</v>
      </c>
      <c r="BC216" s="60" t="str">
        <f t="shared" si="157"/>
        <v>Sal Comum (BRC)</v>
      </c>
      <c r="BD216" s="61" t="str">
        <f ca="1">IFERROR(IF(SEARCH('Calcular Dieta'!A$3,$BC$5:$BC$310)&gt;=1,BC216,"Não encontrado"),"Não encontrado")</f>
        <v>Sal Comum (BRC)</v>
      </c>
      <c r="BE216" s="62">
        <f ca="1">COUNTIF(BD$5:BD216,"&lt;&gt;"&amp;"Não encontrado")</f>
        <v>212</v>
      </c>
      <c r="BF216" s="63" t="str">
        <f t="shared" ca="1" si="158"/>
        <v>SAL COMUM (BRC)</v>
      </c>
      <c r="BG216" s="744" t="str">
        <f t="shared" si="159"/>
        <v/>
      </c>
      <c r="BH216" s="744" t="str">
        <f t="shared" si="160"/>
        <v/>
      </c>
      <c r="BI216" s="744" t="str">
        <f t="shared" si="161"/>
        <v/>
      </c>
      <c r="BJ216" s="744" t="str">
        <f t="shared" si="162"/>
        <v/>
      </c>
      <c r="BK216" s="744" t="str">
        <f t="shared" si="163"/>
        <v/>
      </c>
      <c r="BL216" s="744" t="str">
        <f t="shared" si="164"/>
        <v/>
      </c>
      <c r="BM216" s="744" t="str">
        <f t="shared" si="165"/>
        <v/>
      </c>
      <c r="BN216" s="744" t="str">
        <f t="shared" si="166"/>
        <v/>
      </c>
      <c r="BO216" s="744" t="str">
        <f t="shared" si="167"/>
        <v/>
      </c>
      <c r="BP216" s="744" t="str">
        <f t="shared" si="168"/>
        <v/>
      </c>
      <c r="BQ216" s="744" t="str">
        <f t="shared" si="169"/>
        <v/>
      </c>
      <c r="BR216" s="744" t="str">
        <f t="shared" si="170"/>
        <v/>
      </c>
      <c r="BS216" s="744" t="str">
        <f t="shared" si="171"/>
        <v/>
      </c>
      <c r="BT216" s="744" t="str">
        <f t="shared" si="172"/>
        <v/>
      </c>
      <c r="BU216" s="744">
        <f t="shared" si="173"/>
        <v>2.9693160000000001</v>
      </c>
      <c r="BV216" s="744" t="str">
        <f t="shared" si="174"/>
        <v/>
      </c>
      <c r="BW216" s="744">
        <f t="shared" si="175"/>
        <v>391.42656599999998</v>
      </c>
      <c r="BX216" s="744">
        <f t="shared" si="176"/>
        <v>0.59403600000000001</v>
      </c>
      <c r="BY216" s="744" t="str">
        <f t="shared" si="177"/>
        <v/>
      </c>
      <c r="BZ216" s="744">
        <f t="shared" si="178"/>
        <v>1.3402160000000001</v>
      </c>
      <c r="CA216" s="744">
        <f t="shared" si="179"/>
        <v>9.9402159999999995</v>
      </c>
      <c r="CB216" s="744" t="str">
        <f t="shared" si="180"/>
        <v/>
      </c>
      <c r="CC216" s="744">
        <f t="shared" si="181"/>
        <v>2.710216</v>
      </c>
      <c r="CD216" s="744" t="str">
        <f t="shared" si="182"/>
        <v/>
      </c>
      <c r="CE216" s="744" t="str">
        <f t="shared" si="183"/>
        <v/>
      </c>
      <c r="CF216" s="744" t="str">
        <f t="shared" si="184"/>
        <v/>
      </c>
      <c r="CG216" s="744" t="str">
        <f t="shared" si="185"/>
        <v/>
      </c>
      <c r="CH216" s="744" t="str">
        <f t="shared" si="186"/>
        <v/>
      </c>
      <c r="CI216" s="744" t="str">
        <f t="shared" si="187"/>
        <v/>
      </c>
      <c r="CJ216" s="744" t="str">
        <f t="shared" si="188"/>
        <v/>
      </c>
      <c r="CK216" s="744" t="str">
        <f t="shared" si="189"/>
        <v/>
      </c>
      <c r="CL216" s="744" t="str">
        <f t="shared" si="190"/>
        <v/>
      </c>
      <c r="CM216" s="744" t="str">
        <f t="shared" si="191"/>
        <v/>
      </c>
      <c r="CN216" s="744" t="str">
        <f t="shared" si="192"/>
        <v/>
      </c>
      <c r="CO216" s="744" t="str">
        <f t="shared" si="193"/>
        <v/>
      </c>
      <c r="CP216" s="744" t="str">
        <f t="shared" si="194"/>
        <v/>
      </c>
      <c r="CQ216" s="744" t="str">
        <f t="shared" si="195"/>
        <v/>
      </c>
      <c r="CR216" s="744" t="str">
        <f t="shared" si="196"/>
        <v/>
      </c>
      <c r="CS216" s="744" t="str">
        <f t="shared" si="197"/>
        <v/>
      </c>
      <c r="CT216" s="744" t="str">
        <f t="shared" si="198"/>
        <v/>
      </c>
      <c r="CU216" s="744" t="str">
        <f t="shared" si="199"/>
        <v/>
      </c>
      <c r="CV216" s="744" t="str">
        <f t="shared" si="200"/>
        <v/>
      </c>
      <c r="CW216" s="744" t="str">
        <f t="shared" si="201"/>
        <v/>
      </c>
      <c r="CX216" s="744">
        <f t="shared" si="202"/>
        <v>0.98991600000000002</v>
      </c>
    </row>
    <row r="217" spans="1:102">
      <c r="A217" s="633">
        <v>214</v>
      </c>
      <c r="B217" s="630" t="s">
        <v>4</v>
      </c>
      <c r="C217" s="631" t="s">
        <v>253</v>
      </c>
      <c r="D217" s="630" t="s">
        <v>1392</v>
      </c>
      <c r="E217" s="632" t="s">
        <v>711</v>
      </c>
      <c r="F217" s="1067">
        <v>1.5</v>
      </c>
      <c r="G217" s="1066">
        <v>1</v>
      </c>
      <c r="H217" s="1070">
        <v>1</v>
      </c>
      <c r="I217" s="1070"/>
      <c r="J217" s="1070"/>
      <c r="K217" s="1070"/>
      <c r="L217" s="1072"/>
      <c r="M217" s="1070"/>
      <c r="N217" s="1070"/>
      <c r="O217" s="1070"/>
      <c r="P217" s="1073"/>
      <c r="Q217" s="1070"/>
      <c r="R217" s="1070"/>
      <c r="S217" s="1070"/>
      <c r="T217" s="1070"/>
      <c r="U217" s="1070"/>
      <c r="V217" s="1066"/>
      <c r="W217" s="1070"/>
      <c r="X217" s="1070"/>
      <c r="Y217" s="1070">
        <v>370</v>
      </c>
      <c r="Z217" s="1070"/>
      <c r="AA217" s="1070"/>
      <c r="AB217" s="1070"/>
      <c r="AC217" s="1070"/>
      <c r="AD217" s="1070"/>
      <c r="AE217" s="1070"/>
      <c r="AF217" s="1070"/>
      <c r="AG217" s="1070"/>
      <c r="AH217" s="1073"/>
      <c r="AI217" s="1070"/>
      <c r="AJ217" s="1070"/>
      <c r="AK217" s="1070"/>
      <c r="AL217" s="1082"/>
      <c r="AM217" s="1069"/>
      <c r="AN217" s="1070"/>
      <c r="AO217" s="1070"/>
      <c r="AP217" s="1070"/>
      <c r="AQ217" s="1070"/>
      <c r="AR217" s="1069"/>
      <c r="AS217" s="1282"/>
      <c r="AT217" s="1282"/>
      <c r="AU217" s="1069"/>
      <c r="AV217" s="1069"/>
      <c r="AW217" s="1069"/>
      <c r="AX217" s="1070"/>
      <c r="AY217" s="1070"/>
      <c r="AZ217" s="1078">
        <f t="shared" si="155"/>
        <v>1</v>
      </c>
      <c r="BA217" s="59">
        <v>213</v>
      </c>
      <c r="BB217" s="59">
        <f t="shared" si="156"/>
        <v>213</v>
      </c>
      <c r="BC217" s="60" t="str">
        <f t="shared" si="157"/>
        <v>Sal Comum (NaCl)</v>
      </c>
      <c r="BD217" s="61" t="str">
        <f ca="1">IFERROR(IF(SEARCH('Calcular Dieta'!A$3,$BC$5:$BC$310)&gt;=1,BC217,"Não encontrado"),"Não encontrado")</f>
        <v>Sal Comum (NaCl)</v>
      </c>
      <c r="BE217" s="62">
        <f ca="1">COUNTIF(BD$5:BD217,"&lt;&gt;"&amp;"Não encontrado")</f>
        <v>213</v>
      </c>
      <c r="BF217" s="63" t="str">
        <f t="shared" ca="1" si="158"/>
        <v>SAL COMUM (NACL)</v>
      </c>
      <c r="BG217" s="744" t="str">
        <f t="shared" si="159"/>
        <v/>
      </c>
      <c r="BH217" s="744" t="str">
        <f t="shared" si="160"/>
        <v/>
      </c>
      <c r="BI217" s="744" t="str">
        <f t="shared" si="161"/>
        <v/>
      </c>
      <c r="BJ217" s="744" t="str">
        <f t="shared" si="162"/>
        <v/>
      </c>
      <c r="BK217" s="744" t="str">
        <f t="shared" si="163"/>
        <v/>
      </c>
      <c r="BL217" s="744" t="str">
        <f t="shared" si="164"/>
        <v/>
      </c>
      <c r="BM217" s="744" t="str">
        <f t="shared" si="165"/>
        <v/>
      </c>
      <c r="BN217" s="744" t="str">
        <f t="shared" si="166"/>
        <v/>
      </c>
      <c r="BO217" s="744" t="str">
        <f t="shared" si="167"/>
        <v/>
      </c>
      <c r="BP217" s="744" t="str">
        <f t="shared" si="168"/>
        <v/>
      </c>
      <c r="BQ217" s="744" t="str">
        <f t="shared" si="169"/>
        <v/>
      </c>
      <c r="BR217" s="744" t="str">
        <f t="shared" si="170"/>
        <v/>
      </c>
      <c r="BS217" s="744" t="str">
        <f t="shared" si="171"/>
        <v/>
      </c>
      <c r="BT217" s="744" t="str">
        <f t="shared" si="172"/>
        <v/>
      </c>
      <c r="BU217" s="744" t="str">
        <f t="shared" si="173"/>
        <v/>
      </c>
      <c r="BV217" s="744" t="str">
        <f t="shared" si="174"/>
        <v/>
      </c>
      <c r="BW217" s="744">
        <f t="shared" si="175"/>
        <v>370.00021700000002</v>
      </c>
      <c r="BX217" s="744" t="str">
        <f t="shared" si="176"/>
        <v/>
      </c>
      <c r="BY217" s="744" t="str">
        <f t="shared" si="177"/>
        <v/>
      </c>
      <c r="BZ217" s="744" t="str">
        <f t="shared" si="178"/>
        <v/>
      </c>
      <c r="CA217" s="744" t="str">
        <f t="shared" si="179"/>
        <v/>
      </c>
      <c r="CB217" s="744" t="str">
        <f t="shared" si="180"/>
        <v/>
      </c>
      <c r="CC217" s="744" t="str">
        <f t="shared" si="181"/>
        <v/>
      </c>
      <c r="CD217" s="744" t="str">
        <f t="shared" si="182"/>
        <v/>
      </c>
      <c r="CE217" s="744" t="str">
        <f t="shared" si="183"/>
        <v/>
      </c>
      <c r="CF217" s="744" t="str">
        <f t="shared" si="184"/>
        <v/>
      </c>
      <c r="CG217" s="744" t="str">
        <f t="shared" si="185"/>
        <v/>
      </c>
      <c r="CH217" s="744" t="str">
        <f t="shared" si="186"/>
        <v/>
      </c>
      <c r="CI217" s="744" t="str">
        <f t="shared" si="187"/>
        <v/>
      </c>
      <c r="CJ217" s="744" t="str">
        <f t="shared" si="188"/>
        <v/>
      </c>
      <c r="CK217" s="744" t="str">
        <f t="shared" si="189"/>
        <v/>
      </c>
      <c r="CL217" s="744" t="str">
        <f t="shared" si="190"/>
        <v/>
      </c>
      <c r="CM217" s="744" t="str">
        <f t="shared" si="191"/>
        <v/>
      </c>
      <c r="CN217" s="744" t="str">
        <f t="shared" si="192"/>
        <v/>
      </c>
      <c r="CO217" s="744" t="str">
        <f t="shared" si="193"/>
        <v/>
      </c>
      <c r="CP217" s="744" t="str">
        <f t="shared" si="194"/>
        <v/>
      </c>
      <c r="CQ217" s="744" t="str">
        <f t="shared" si="195"/>
        <v/>
      </c>
      <c r="CR217" s="744" t="str">
        <f t="shared" si="196"/>
        <v/>
      </c>
      <c r="CS217" s="744" t="str">
        <f t="shared" si="197"/>
        <v/>
      </c>
      <c r="CT217" s="744" t="str">
        <f t="shared" si="198"/>
        <v/>
      </c>
      <c r="CU217" s="744" t="str">
        <f t="shared" si="199"/>
        <v/>
      </c>
      <c r="CV217" s="744" t="str">
        <f t="shared" si="200"/>
        <v/>
      </c>
      <c r="CW217" s="744" t="str">
        <f t="shared" si="201"/>
        <v/>
      </c>
      <c r="CX217" s="744">
        <f t="shared" si="202"/>
        <v>1.0002169999999999</v>
      </c>
    </row>
    <row r="218" spans="1:102">
      <c r="A218" s="630">
        <v>215</v>
      </c>
      <c r="B218" s="630" t="s">
        <v>4</v>
      </c>
      <c r="C218" s="631" t="s">
        <v>749</v>
      </c>
      <c r="D218" s="630" t="s">
        <v>1390</v>
      </c>
      <c r="E218" s="632" t="s">
        <v>480</v>
      </c>
      <c r="F218" s="1067">
        <v>5</v>
      </c>
      <c r="G218" s="1066">
        <v>1</v>
      </c>
      <c r="H218" s="1070">
        <v>0.99399999999999999</v>
      </c>
      <c r="I218" s="1070"/>
      <c r="J218" s="1070"/>
      <c r="K218" s="1070"/>
      <c r="L218" s="1072"/>
      <c r="M218" s="1070"/>
      <c r="N218" s="1070"/>
      <c r="O218" s="1070"/>
      <c r="P218" s="1073"/>
      <c r="Q218" s="1070"/>
      <c r="R218" s="1070"/>
      <c r="S218" s="1070"/>
      <c r="T218" s="1070"/>
      <c r="U218" s="1070"/>
      <c r="V218" s="1066">
        <v>179.43650772882003</v>
      </c>
      <c r="W218" s="1070">
        <v>43.000000000000014</v>
      </c>
      <c r="X218" s="1070">
        <v>6.7654365854444318</v>
      </c>
      <c r="Y218" s="1070">
        <v>0.83519259889276243</v>
      </c>
      <c r="Z218" s="1070">
        <v>142</v>
      </c>
      <c r="AA218" s="1070">
        <v>56.000000000000007</v>
      </c>
      <c r="AB218" s="1070">
        <v>378</v>
      </c>
      <c r="AC218" s="1070">
        <v>2088</v>
      </c>
      <c r="AD218" s="1070">
        <v>0</v>
      </c>
      <c r="AE218" s="1070">
        <v>1120.0000000000002</v>
      </c>
      <c r="AF218" s="1070">
        <v>25</v>
      </c>
      <c r="AG218" s="1070">
        <v>40</v>
      </c>
      <c r="AH218" s="1073">
        <v>27</v>
      </c>
      <c r="AI218" s="1070"/>
      <c r="AJ218" s="1070"/>
      <c r="AK218" s="1070"/>
      <c r="AL218" s="1082"/>
      <c r="AM218" s="1069"/>
      <c r="AN218" s="1070"/>
      <c r="AO218" s="1070"/>
      <c r="AP218" s="1070"/>
      <c r="AQ218" s="1070"/>
      <c r="AR218" s="1069"/>
      <c r="AS218" s="1282"/>
      <c r="AT218" s="1282"/>
      <c r="AU218" s="1069"/>
      <c r="AV218" s="1069"/>
      <c r="AW218" s="1069"/>
      <c r="AX218" s="1070"/>
      <c r="AY218" s="1070"/>
      <c r="AZ218" s="1078">
        <f t="shared" si="155"/>
        <v>0.99399999999999999</v>
      </c>
      <c r="BA218" s="59">
        <v>214</v>
      </c>
      <c r="BB218" s="59">
        <f t="shared" si="156"/>
        <v>214</v>
      </c>
      <c r="BC218" s="60" t="str">
        <f t="shared" si="157"/>
        <v>Sal Mineral (Decumbes Seca)</v>
      </c>
      <c r="BD218" s="61" t="str">
        <f ca="1">IFERROR(IF(SEARCH('Calcular Dieta'!A$3,$BC$5:$BC$310)&gt;=1,BC218,"Não encontrado"),"Não encontrado")</f>
        <v>Sal Mineral (Decumbes Seca)</v>
      </c>
      <c r="BE218" s="62">
        <f ca="1">COUNTIF(BD$5:BD218,"&lt;&gt;"&amp;"Não encontrado")</f>
        <v>214</v>
      </c>
      <c r="BF218" s="63" t="str">
        <f t="shared" ca="1" si="158"/>
        <v>SAL MINERAL (DECUMBES SECA)</v>
      </c>
      <c r="BG218" s="744" t="str">
        <f t="shared" si="159"/>
        <v/>
      </c>
      <c r="BH218" s="744" t="str">
        <f t="shared" si="160"/>
        <v/>
      </c>
      <c r="BI218" s="744" t="str">
        <f t="shared" si="161"/>
        <v/>
      </c>
      <c r="BJ218" s="744" t="str">
        <f t="shared" si="162"/>
        <v/>
      </c>
      <c r="BK218" s="744" t="str">
        <f t="shared" si="163"/>
        <v/>
      </c>
      <c r="BL218" s="744" t="str">
        <f t="shared" si="164"/>
        <v/>
      </c>
      <c r="BM218" s="744" t="str">
        <f t="shared" si="165"/>
        <v/>
      </c>
      <c r="BN218" s="744" t="str">
        <f t="shared" si="166"/>
        <v/>
      </c>
      <c r="BO218" s="744" t="str">
        <f t="shared" si="167"/>
        <v/>
      </c>
      <c r="BP218" s="744" t="str">
        <f t="shared" si="168"/>
        <v/>
      </c>
      <c r="BQ218" s="744" t="str">
        <f t="shared" si="169"/>
        <v/>
      </c>
      <c r="BR218" s="744" t="str">
        <f t="shared" si="170"/>
        <v/>
      </c>
      <c r="BS218" s="744" t="str">
        <f t="shared" si="171"/>
        <v/>
      </c>
      <c r="BT218" s="744">
        <f t="shared" si="172"/>
        <v>179.43672572882002</v>
      </c>
      <c r="BU218" s="744">
        <f t="shared" si="173"/>
        <v>43.000218000000011</v>
      </c>
      <c r="BV218" s="744">
        <f t="shared" si="174"/>
        <v>6.7656545854444321</v>
      </c>
      <c r="BW218" s="744">
        <f t="shared" si="175"/>
        <v>0.83541059889276248</v>
      </c>
      <c r="BX218" s="744">
        <f t="shared" si="176"/>
        <v>142.00021799999999</v>
      </c>
      <c r="BY218" s="744">
        <f t="shared" si="177"/>
        <v>56.000218000000004</v>
      </c>
      <c r="BZ218" s="744">
        <f t="shared" si="178"/>
        <v>378.00021800000002</v>
      </c>
      <c r="CA218" s="744">
        <f t="shared" si="179"/>
        <v>2088.0002180000001</v>
      </c>
      <c r="CB218" s="744" t="str">
        <f t="shared" si="180"/>
        <v/>
      </c>
      <c r="CC218" s="744">
        <f t="shared" si="181"/>
        <v>1120.0002180000001</v>
      </c>
      <c r="CD218" s="744">
        <f t="shared" si="182"/>
        <v>25.000218</v>
      </c>
      <c r="CE218" s="744">
        <f t="shared" si="183"/>
        <v>40.000217999999997</v>
      </c>
      <c r="CF218" s="744">
        <f t="shared" si="184"/>
        <v>27.000218</v>
      </c>
      <c r="CG218" s="744" t="str">
        <f t="shared" si="185"/>
        <v/>
      </c>
      <c r="CH218" s="744" t="str">
        <f t="shared" si="186"/>
        <v/>
      </c>
      <c r="CI218" s="744" t="str">
        <f t="shared" si="187"/>
        <v/>
      </c>
      <c r="CJ218" s="744" t="str">
        <f t="shared" si="188"/>
        <v/>
      </c>
      <c r="CK218" s="744" t="str">
        <f t="shared" si="189"/>
        <v/>
      </c>
      <c r="CL218" s="744" t="str">
        <f t="shared" si="190"/>
        <v/>
      </c>
      <c r="CM218" s="744" t="str">
        <f t="shared" si="191"/>
        <v/>
      </c>
      <c r="CN218" s="744" t="str">
        <f t="shared" si="192"/>
        <v/>
      </c>
      <c r="CO218" s="744" t="str">
        <f t="shared" si="193"/>
        <v/>
      </c>
      <c r="CP218" s="744" t="str">
        <f t="shared" si="194"/>
        <v/>
      </c>
      <c r="CQ218" s="744" t="str">
        <f t="shared" si="195"/>
        <v/>
      </c>
      <c r="CR218" s="744" t="str">
        <f t="shared" si="196"/>
        <v/>
      </c>
      <c r="CS218" s="744" t="str">
        <f t="shared" si="197"/>
        <v/>
      </c>
      <c r="CT218" s="744" t="str">
        <f t="shared" si="198"/>
        <v/>
      </c>
      <c r="CU218" s="744" t="str">
        <f t="shared" si="199"/>
        <v/>
      </c>
      <c r="CV218" s="744" t="str">
        <f t="shared" si="200"/>
        <v/>
      </c>
      <c r="CW218" s="744" t="str">
        <f t="shared" si="201"/>
        <v/>
      </c>
      <c r="CX218" s="744">
        <f t="shared" si="202"/>
        <v>0.99421800000000005</v>
      </c>
    </row>
    <row r="219" spans="1:102">
      <c r="A219" s="633">
        <v>216</v>
      </c>
      <c r="B219" s="630" t="s">
        <v>4</v>
      </c>
      <c r="C219" s="631" t="s">
        <v>749</v>
      </c>
      <c r="D219" s="630" t="s">
        <v>470</v>
      </c>
      <c r="E219" s="632" t="s">
        <v>760</v>
      </c>
      <c r="F219" s="1067">
        <v>5</v>
      </c>
      <c r="G219" s="1066">
        <v>1</v>
      </c>
      <c r="H219" s="1070">
        <v>0.99828958883325059</v>
      </c>
      <c r="I219" s="1070"/>
      <c r="J219" s="1070"/>
      <c r="K219" s="1070">
        <v>0</v>
      </c>
      <c r="L219" s="1072">
        <v>0</v>
      </c>
      <c r="M219" s="1070">
        <v>0</v>
      </c>
      <c r="N219" s="1070">
        <v>0</v>
      </c>
      <c r="O219" s="1070">
        <v>0</v>
      </c>
      <c r="P219" s="1073">
        <v>0</v>
      </c>
      <c r="Q219" s="1070">
        <v>0</v>
      </c>
      <c r="R219" s="1070">
        <v>0</v>
      </c>
      <c r="S219" s="1070">
        <v>0</v>
      </c>
      <c r="T219" s="1070">
        <v>0</v>
      </c>
      <c r="U219" s="1070">
        <v>0</v>
      </c>
      <c r="V219" s="1066">
        <v>45</v>
      </c>
      <c r="W219" s="1070">
        <v>0.49304677623261717</v>
      </c>
      <c r="X219" s="1070">
        <v>0</v>
      </c>
      <c r="Y219" s="1070">
        <v>65.000000000000028</v>
      </c>
      <c r="Z219" s="1070">
        <v>9.8609355246523436E-2</v>
      </c>
      <c r="AA219" s="1070">
        <v>15</v>
      </c>
      <c r="AB219" s="1070">
        <v>0.22251951101401335</v>
      </c>
      <c r="AC219" s="1070">
        <v>1.6506298055815616</v>
      </c>
      <c r="AD219" s="1070">
        <v>0</v>
      </c>
      <c r="AE219" s="1070">
        <v>0.45002080212535533</v>
      </c>
      <c r="AF219" s="1070">
        <v>26</v>
      </c>
      <c r="AG219" s="1070">
        <v>32631.57894736842</v>
      </c>
      <c r="AH219" s="1073">
        <v>7</v>
      </c>
      <c r="AI219" s="1070">
        <v>0</v>
      </c>
      <c r="AJ219" s="1070">
        <v>0</v>
      </c>
      <c r="AK219" s="1070">
        <v>0</v>
      </c>
      <c r="AL219" s="1082">
        <v>0</v>
      </c>
      <c r="AM219" s="1069"/>
      <c r="AN219" s="1070">
        <v>0</v>
      </c>
      <c r="AO219" s="1070">
        <v>0</v>
      </c>
      <c r="AP219" s="1070"/>
      <c r="AQ219" s="1070">
        <v>0</v>
      </c>
      <c r="AR219" s="1069"/>
      <c r="AS219" s="1282"/>
      <c r="AT219" s="1282"/>
      <c r="AU219" s="1069"/>
      <c r="AV219" s="1069"/>
      <c r="AW219" s="1069"/>
      <c r="AX219" s="1070"/>
      <c r="AY219" s="1070"/>
      <c r="AZ219" s="1078">
        <f t="shared" si="155"/>
        <v>0.99828958883325059</v>
      </c>
      <c r="BA219" s="59">
        <v>215</v>
      </c>
      <c r="BB219" s="59">
        <f t="shared" si="156"/>
        <v>215</v>
      </c>
      <c r="BC219" s="60" t="str">
        <f t="shared" si="157"/>
        <v>Sal Mineral (Ovino Recria)</v>
      </c>
      <c r="BD219" s="61" t="str">
        <f ca="1">IFERROR(IF(SEARCH('Calcular Dieta'!A$3,$BC$5:$BC$310)&gt;=1,BC219,"Não encontrado"),"Não encontrado")</f>
        <v>Sal Mineral (Ovino Recria)</v>
      </c>
      <c r="BE219" s="62">
        <f ca="1">COUNTIF(BD$5:BD219,"&lt;&gt;"&amp;"Não encontrado")</f>
        <v>215</v>
      </c>
      <c r="BF219" s="63" t="str">
        <f t="shared" ca="1" si="158"/>
        <v>SAL MINERAL (OVINO RECRIA)</v>
      </c>
      <c r="BG219" s="744" t="str">
        <f t="shared" si="159"/>
        <v/>
      </c>
      <c r="BH219" s="744" t="str">
        <f t="shared" si="160"/>
        <v/>
      </c>
      <c r="BI219" s="744" t="str">
        <f t="shared" si="161"/>
        <v/>
      </c>
      <c r="BJ219" s="744" t="str">
        <f t="shared" si="162"/>
        <v/>
      </c>
      <c r="BK219" s="744" t="str">
        <f t="shared" si="163"/>
        <v/>
      </c>
      <c r="BL219" s="744" t="str">
        <f t="shared" si="164"/>
        <v/>
      </c>
      <c r="BM219" s="744" t="str">
        <f t="shared" si="165"/>
        <v/>
      </c>
      <c r="BN219" s="744" t="str">
        <f t="shared" si="166"/>
        <v/>
      </c>
      <c r="BO219" s="744" t="str">
        <f t="shared" si="167"/>
        <v/>
      </c>
      <c r="BP219" s="744" t="str">
        <f t="shared" si="168"/>
        <v/>
      </c>
      <c r="BQ219" s="744" t="str">
        <f t="shared" si="169"/>
        <v/>
      </c>
      <c r="BR219" s="744" t="str">
        <f t="shared" si="170"/>
        <v/>
      </c>
      <c r="BS219" s="744" t="str">
        <f t="shared" si="171"/>
        <v/>
      </c>
      <c r="BT219" s="744">
        <f t="shared" si="172"/>
        <v>45.000219000000001</v>
      </c>
      <c r="BU219" s="744">
        <f t="shared" si="173"/>
        <v>0.49326577623261719</v>
      </c>
      <c r="BV219" s="744" t="str">
        <f t="shared" si="174"/>
        <v/>
      </c>
      <c r="BW219" s="744">
        <f t="shared" si="175"/>
        <v>65.00021900000003</v>
      </c>
      <c r="BX219" s="744">
        <f t="shared" si="176"/>
        <v>9.8828355246523433E-2</v>
      </c>
      <c r="BY219" s="744">
        <f t="shared" si="177"/>
        <v>15.000219</v>
      </c>
      <c r="BZ219" s="744">
        <f t="shared" si="178"/>
        <v>0.22273851101401335</v>
      </c>
      <c r="CA219" s="744">
        <f t="shared" si="179"/>
        <v>1.6508488055815616</v>
      </c>
      <c r="CB219" s="744" t="str">
        <f t="shared" si="180"/>
        <v/>
      </c>
      <c r="CC219" s="744">
        <f t="shared" si="181"/>
        <v>0.45023980212535536</v>
      </c>
      <c r="CD219" s="744">
        <f t="shared" si="182"/>
        <v>26.000219000000001</v>
      </c>
      <c r="CE219" s="744">
        <f t="shared" si="183"/>
        <v>32631.579166368421</v>
      </c>
      <c r="CF219" s="744">
        <f t="shared" si="184"/>
        <v>7.0002190000000004</v>
      </c>
      <c r="CG219" s="744" t="str">
        <f t="shared" si="185"/>
        <v/>
      </c>
      <c r="CH219" s="744" t="str">
        <f t="shared" si="186"/>
        <v/>
      </c>
      <c r="CI219" s="744" t="str">
        <f t="shared" si="187"/>
        <v/>
      </c>
      <c r="CJ219" s="744" t="str">
        <f t="shared" si="188"/>
        <v/>
      </c>
      <c r="CK219" s="744" t="str">
        <f t="shared" si="189"/>
        <v/>
      </c>
      <c r="CL219" s="744" t="str">
        <f t="shared" si="190"/>
        <v/>
      </c>
      <c r="CM219" s="744" t="str">
        <f t="shared" si="191"/>
        <v/>
      </c>
      <c r="CN219" s="744" t="str">
        <f t="shared" si="192"/>
        <v/>
      </c>
      <c r="CO219" s="744" t="str">
        <f t="shared" si="193"/>
        <v/>
      </c>
      <c r="CP219" s="744" t="str">
        <f t="shared" si="194"/>
        <v/>
      </c>
      <c r="CQ219" s="744" t="str">
        <f t="shared" si="195"/>
        <v/>
      </c>
      <c r="CR219" s="744" t="str">
        <f t="shared" si="196"/>
        <v/>
      </c>
      <c r="CS219" s="744" t="str">
        <f t="shared" si="197"/>
        <v/>
      </c>
      <c r="CT219" s="744" t="str">
        <f t="shared" si="198"/>
        <v/>
      </c>
      <c r="CU219" s="744" t="str">
        <f t="shared" si="199"/>
        <v/>
      </c>
      <c r="CV219" s="744" t="str">
        <f t="shared" si="200"/>
        <v/>
      </c>
      <c r="CW219" s="744" t="str">
        <f t="shared" si="201"/>
        <v/>
      </c>
      <c r="CX219" s="744">
        <f t="shared" si="202"/>
        <v>0.99850858883325055</v>
      </c>
    </row>
    <row r="220" spans="1:102">
      <c r="A220" s="630">
        <v>261</v>
      </c>
      <c r="B220" s="630" t="s">
        <v>4</v>
      </c>
      <c r="C220" s="631" t="s">
        <v>749</v>
      </c>
      <c r="D220" s="630" t="s">
        <v>470</v>
      </c>
      <c r="E220" s="632" t="s">
        <v>471</v>
      </c>
      <c r="F220" s="1067">
        <v>1</v>
      </c>
      <c r="G220" s="1066">
        <v>1</v>
      </c>
      <c r="H220" s="1070">
        <v>0.99</v>
      </c>
      <c r="I220" s="1070"/>
      <c r="J220" s="1070"/>
      <c r="K220" s="1070"/>
      <c r="L220" s="1072"/>
      <c r="M220" s="1070"/>
      <c r="N220" s="1070"/>
      <c r="O220" s="1070"/>
      <c r="P220" s="1073"/>
      <c r="Q220" s="1070"/>
      <c r="R220" s="1070"/>
      <c r="S220" s="1070"/>
      <c r="T220" s="1070"/>
      <c r="U220" s="1070"/>
      <c r="V220" s="1066">
        <v>209.82500000000002</v>
      </c>
      <c r="W220" s="1070">
        <v>125.89500000000002</v>
      </c>
      <c r="X220" s="1070">
        <v>0</v>
      </c>
      <c r="Y220" s="1070">
        <v>120.67275000000002</v>
      </c>
      <c r="Z220" s="1070">
        <v>0</v>
      </c>
      <c r="AA220" s="1070">
        <v>12.985499999999986</v>
      </c>
      <c r="AB220" s="1070">
        <v>629.34299999999996</v>
      </c>
      <c r="AC220" s="1070">
        <v>2164.1400000000008</v>
      </c>
      <c r="AD220" s="1070">
        <v>0</v>
      </c>
      <c r="AE220" s="1070">
        <v>0</v>
      </c>
      <c r="AF220" s="1070">
        <v>29.081250000000001</v>
      </c>
      <c r="AG220" s="1070">
        <v>70.643100000000004</v>
      </c>
      <c r="AH220" s="1073">
        <v>61.505399999999995</v>
      </c>
      <c r="AI220" s="1070"/>
      <c r="AJ220" s="1070"/>
      <c r="AK220" s="1070"/>
      <c r="AL220" s="1082"/>
      <c r="AM220" s="1069"/>
      <c r="AN220" s="1070"/>
      <c r="AO220" s="1070"/>
      <c r="AP220" s="1070"/>
      <c r="AQ220" s="1070"/>
      <c r="AR220" s="1069"/>
      <c r="AS220" s="1282"/>
      <c r="AT220" s="1282"/>
      <c r="AU220" s="1069"/>
      <c r="AV220" s="1069"/>
      <c r="AW220" s="1069"/>
      <c r="AX220" s="1070"/>
      <c r="AY220" s="1070"/>
      <c r="AZ220" s="1078">
        <f t="shared" si="155"/>
        <v>0.99</v>
      </c>
      <c r="BA220" s="59">
        <v>216</v>
      </c>
      <c r="BB220" s="59">
        <f t="shared" si="156"/>
        <v>216</v>
      </c>
      <c r="BC220" s="60" t="str">
        <f t="shared" si="157"/>
        <v>Sal Mineral (Pastagem Seca)</v>
      </c>
      <c r="BD220" s="61" t="str">
        <f ca="1">IFERROR(IF(SEARCH('Calcular Dieta'!A$3,$BC$5:$BC$310)&gt;=1,BC220,"Não encontrado"),"Não encontrado")</f>
        <v>Sal Mineral (Pastagem Seca)</v>
      </c>
      <c r="BE220" s="62">
        <f ca="1">COUNTIF(BD$5:BD220,"&lt;&gt;"&amp;"Não encontrado")</f>
        <v>216</v>
      </c>
      <c r="BF220" s="63" t="str">
        <f t="shared" ca="1" si="158"/>
        <v>SAL MINERAL (PASTAGEM SECA)</v>
      </c>
      <c r="BG220" s="744" t="str">
        <f t="shared" si="159"/>
        <v/>
      </c>
      <c r="BH220" s="744" t="str">
        <f t="shared" si="160"/>
        <v/>
      </c>
      <c r="BI220" s="744" t="str">
        <f t="shared" si="161"/>
        <v/>
      </c>
      <c r="BJ220" s="744" t="str">
        <f t="shared" si="162"/>
        <v/>
      </c>
      <c r="BK220" s="744" t="str">
        <f t="shared" si="163"/>
        <v/>
      </c>
      <c r="BL220" s="744" t="str">
        <f t="shared" si="164"/>
        <v/>
      </c>
      <c r="BM220" s="744" t="str">
        <f t="shared" si="165"/>
        <v/>
      </c>
      <c r="BN220" s="744" t="str">
        <f t="shared" si="166"/>
        <v/>
      </c>
      <c r="BO220" s="744" t="str">
        <f t="shared" si="167"/>
        <v/>
      </c>
      <c r="BP220" s="744" t="str">
        <f t="shared" si="168"/>
        <v/>
      </c>
      <c r="BQ220" s="744" t="str">
        <f t="shared" si="169"/>
        <v/>
      </c>
      <c r="BR220" s="744" t="str">
        <f t="shared" si="170"/>
        <v/>
      </c>
      <c r="BS220" s="744" t="str">
        <f t="shared" si="171"/>
        <v/>
      </c>
      <c r="BT220" s="744">
        <f t="shared" si="172"/>
        <v>209.82522000000003</v>
      </c>
      <c r="BU220" s="744">
        <f t="shared" si="173"/>
        <v>125.89522000000002</v>
      </c>
      <c r="BV220" s="744" t="str">
        <f t="shared" si="174"/>
        <v/>
      </c>
      <c r="BW220" s="744">
        <f t="shared" si="175"/>
        <v>120.67297000000002</v>
      </c>
      <c r="BX220" s="744" t="str">
        <f t="shared" si="176"/>
        <v/>
      </c>
      <c r="BY220" s="744">
        <f t="shared" si="177"/>
        <v>12.985719999999986</v>
      </c>
      <c r="BZ220" s="744">
        <f t="shared" si="178"/>
        <v>629.34321999999997</v>
      </c>
      <c r="CA220" s="744">
        <f t="shared" si="179"/>
        <v>2164.1402200000007</v>
      </c>
      <c r="CB220" s="744" t="str">
        <f t="shared" si="180"/>
        <v/>
      </c>
      <c r="CC220" s="744" t="str">
        <f t="shared" si="181"/>
        <v/>
      </c>
      <c r="CD220" s="744">
        <f t="shared" si="182"/>
        <v>29.081469999999999</v>
      </c>
      <c r="CE220" s="744">
        <f t="shared" si="183"/>
        <v>70.643320000000003</v>
      </c>
      <c r="CF220" s="744">
        <f t="shared" si="184"/>
        <v>61.505619999999993</v>
      </c>
      <c r="CG220" s="744" t="str">
        <f t="shared" si="185"/>
        <v/>
      </c>
      <c r="CH220" s="744" t="str">
        <f t="shared" si="186"/>
        <v/>
      </c>
      <c r="CI220" s="744" t="str">
        <f t="shared" si="187"/>
        <v/>
      </c>
      <c r="CJ220" s="744" t="str">
        <f t="shared" si="188"/>
        <v/>
      </c>
      <c r="CK220" s="744" t="str">
        <f t="shared" si="189"/>
        <v/>
      </c>
      <c r="CL220" s="744" t="str">
        <f t="shared" si="190"/>
        <v/>
      </c>
      <c r="CM220" s="744" t="str">
        <f t="shared" si="191"/>
        <v/>
      </c>
      <c r="CN220" s="744" t="str">
        <f t="shared" si="192"/>
        <v/>
      </c>
      <c r="CO220" s="744" t="str">
        <f t="shared" si="193"/>
        <v/>
      </c>
      <c r="CP220" s="744" t="str">
        <f t="shared" si="194"/>
        <v/>
      </c>
      <c r="CQ220" s="744" t="str">
        <f t="shared" si="195"/>
        <v/>
      </c>
      <c r="CR220" s="744" t="str">
        <f t="shared" si="196"/>
        <v/>
      </c>
      <c r="CS220" s="744" t="str">
        <f t="shared" si="197"/>
        <v/>
      </c>
      <c r="CT220" s="744" t="str">
        <f t="shared" si="198"/>
        <v/>
      </c>
      <c r="CU220" s="744" t="str">
        <f t="shared" si="199"/>
        <v/>
      </c>
      <c r="CV220" s="744" t="str">
        <f t="shared" si="200"/>
        <v/>
      </c>
      <c r="CW220" s="744" t="str">
        <f t="shared" si="201"/>
        <v/>
      </c>
      <c r="CX220" s="744">
        <f t="shared" si="202"/>
        <v>0.99021999999999999</v>
      </c>
    </row>
    <row r="221" spans="1:102">
      <c r="A221" s="633">
        <v>217</v>
      </c>
      <c r="B221" s="630" t="s">
        <v>4</v>
      </c>
      <c r="C221" s="631" t="s">
        <v>749</v>
      </c>
      <c r="D221" s="630" t="s">
        <v>470</v>
      </c>
      <c r="E221" s="632" t="s">
        <v>493</v>
      </c>
      <c r="F221" s="1067">
        <v>1.54</v>
      </c>
      <c r="G221" s="1066">
        <v>1</v>
      </c>
      <c r="H221" s="1070">
        <v>0.996</v>
      </c>
      <c r="I221" s="1070"/>
      <c r="J221" s="1070"/>
      <c r="K221" s="1070"/>
      <c r="L221" s="1072"/>
      <c r="M221" s="1070"/>
      <c r="N221" s="1070"/>
      <c r="O221" s="1070"/>
      <c r="P221" s="1073"/>
      <c r="Q221" s="1070"/>
      <c r="R221" s="1070"/>
      <c r="S221" s="1070"/>
      <c r="T221" s="1070"/>
      <c r="U221" s="1070"/>
      <c r="V221" s="1066">
        <v>74.572092983438637</v>
      </c>
      <c r="W221" s="1070">
        <v>37.000000003423636</v>
      </c>
      <c r="X221" s="1070">
        <v>26.107633741121397</v>
      </c>
      <c r="Y221" s="1070">
        <v>80.000000562514984</v>
      </c>
      <c r="Z221" s="1070">
        <v>0.15971060407278481</v>
      </c>
      <c r="AA221" s="1070">
        <v>58.061078003828641</v>
      </c>
      <c r="AB221" s="1070">
        <v>9100.7795256947211</v>
      </c>
      <c r="AC221" s="1070">
        <v>8102.2837764098294</v>
      </c>
      <c r="AD221" s="1070">
        <v>7615</v>
      </c>
      <c r="AE221" s="1070">
        <v>11722.254933868786</v>
      </c>
      <c r="AF221" s="1070">
        <v>37</v>
      </c>
      <c r="AG221" s="1070">
        <v>0</v>
      </c>
      <c r="AH221" s="1073">
        <v>46</v>
      </c>
      <c r="AI221" s="1070"/>
      <c r="AJ221" s="1070"/>
      <c r="AK221" s="1070"/>
      <c r="AL221" s="1082"/>
      <c r="AM221" s="1069"/>
      <c r="AN221" s="1070"/>
      <c r="AO221" s="1070"/>
      <c r="AP221" s="1070"/>
      <c r="AQ221" s="1070"/>
      <c r="AR221" s="1069"/>
      <c r="AS221" s="1282"/>
      <c r="AT221" s="1282"/>
      <c r="AU221" s="1069"/>
      <c r="AV221" s="1069"/>
      <c r="AW221" s="1069"/>
      <c r="AX221" s="1070"/>
      <c r="AY221" s="1070"/>
      <c r="AZ221" s="1078">
        <f t="shared" si="155"/>
        <v>0.996</v>
      </c>
      <c r="BA221" s="59">
        <v>217</v>
      </c>
      <c r="BB221" s="59">
        <f t="shared" si="156"/>
        <v>217</v>
      </c>
      <c r="BC221" s="60" t="str">
        <f t="shared" si="157"/>
        <v>Sal Mineral Bezerro (Iomar Mombaça)</v>
      </c>
      <c r="BD221" s="61" t="str">
        <f ca="1">IFERROR(IF(SEARCH('Calcular Dieta'!A$3,$BC$5:$BC$310)&gt;=1,BC221,"Não encontrado"),"Não encontrado")</f>
        <v>Sal Mineral Bezerro (Iomar Mombaça)</v>
      </c>
      <c r="BE221" s="62">
        <f ca="1">COUNTIF(BD$5:BD221,"&lt;&gt;"&amp;"Não encontrado")</f>
        <v>217</v>
      </c>
      <c r="BF221" s="63" t="str">
        <f t="shared" ca="1" si="158"/>
        <v>SAL MINERAL BEZERRO (IOMAR MOMBAÇA)</v>
      </c>
      <c r="BG221" s="744" t="str">
        <f t="shared" si="159"/>
        <v/>
      </c>
      <c r="BH221" s="744" t="str">
        <f t="shared" si="160"/>
        <v/>
      </c>
      <c r="BI221" s="744" t="str">
        <f t="shared" si="161"/>
        <v/>
      </c>
      <c r="BJ221" s="744" t="str">
        <f t="shared" si="162"/>
        <v/>
      </c>
      <c r="BK221" s="744" t="str">
        <f t="shared" si="163"/>
        <v/>
      </c>
      <c r="BL221" s="744" t="str">
        <f t="shared" si="164"/>
        <v/>
      </c>
      <c r="BM221" s="744" t="str">
        <f t="shared" si="165"/>
        <v/>
      </c>
      <c r="BN221" s="744" t="str">
        <f t="shared" si="166"/>
        <v/>
      </c>
      <c r="BO221" s="744" t="str">
        <f t="shared" si="167"/>
        <v/>
      </c>
      <c r="BP221" s="744" t="str">
        <f t="shared" si="168"/>
        <v/>
      </c>
      <c r="BQ221" s="744" t="str">
        <f t="shared" si="169"/>
        <v/>
      </c>
      <c r="BR221" s="744" t="str">
        <f t="shared" si="170"/>
        <v/>
      </c>
      <c r="BS221" s="744" t="str">
        <f t="shared" si="171"/>
        <v/>
      </c>
      <c r="BT221" s="744">
        <f t="shared" si="172"/>
        <v>74.572313983438633</v>
      </c>
      <c r="BU221" s="744">
        <f t="shared" si="173"/>
        <v>37.00022100342364</v>
      </c>
      <c r="BV221" s="744">
        <f t="shared" si="174"/>
        <v>26.107854741121397</v>
      </c>
      <c r="BW221" s="744">
        <f t="shared" si="175"/>
        <v>80.00022156251498</v>
      </c>
      <c r="BX221" s="744">
        <f t="shared" si="176"/>
        <v>0.15993160407278481</v>
      </c>
      <c r="BY221" s="744">
        <f t="shared" si="177"/>
        <v>58.061299003828644</v>
      </c>
      <c r="BZ221" s="744">
        <f t="shared" si="178"/>
        <v>9100.7797466947213</v>
      </c>
      <c r="CA221" s="744">
        <f t="shared" si="179"/>
        <v>8102.2839974098297</v>
      </c>
      <c r="CB221" s="744">
        <f t="shared" si="180"/>
        <v>7615.0002210000002</v>
      </c>
      <c r="CC221" s="744">
        <f t="shared" si="181"/>
        <v>11722.255154868786</v>
      </c>
      <c r="CD221" s="744">
        <f t="shared" si="182"/>
        <v>37.000221000000003</v>
      </c>
      <c r="CE221" s="744" t="str">
        <f t="shared" si="183"/>
        <v/>
      </c>
      <c r="CF221" s="744">
        <f t="shared" si="184"/>
        <v>46.000221000000003</v>
      </c>
      <c r="CG221" s="744" t="str">
        <f t="shared" si="185"/>
        <v/>
      </c>
      <c r="CH221" s="744" t="str">
        <f t="shared" si="186"/>
        <v/>
      </c>
      <c r="CI221" s="744" t="str">
        <f t="shared" si="187"/>
        <v/>
      </c>
      <c r="CJ221" s="744" t="str">
        <f t="shared" si="188"/>
        <v/>
      </c>
      <c r="CK221" s="744" t="str">
        <f t="shared" si="189"/>
        <v/>
      </c>
      <c r="CL221" s="744" t="str">
        <f t="shared" si="190"/>
        <v/>
      </c>
      <c r="CM221" s="744" t="str">
        <f t="shared" si="191"/>
        <v/>
      </c>
      <c r="CN221" s="744" t="str">
        <f t="shared" si="192"/>
        <v/>
      </c>
      <c r="CO221" s="744" t="str">
        <f t="shared" si="193"/>
        <v/>
      </c>
      <c r="CP221" s="744" t="str">
        <f t="shared" si="194"/>
        <v/>
      </c>
      <c r="CQ221" s="744" t="str">
        <f t="shared" si="195"/>
        <v/>
      </c>
      <c r="CR221" s="744" t="str">
        <f t="shared" si="196"/>
        <v/>
      </c>
      <c r="CS221" s="744" t="str">
        <f t="shared" si="197"/>
        <v/>
      </c>
      <c r="CT221" s="744" t="str">
        <f t="shared" si="198"/>
        <v/>
      </c>
      <c r="CU221" s="744" t="str">
        <f t="shared" si="199"/>
        <v/>
      </c>
      <c r="CV221" s="744" t="str">
        <f t="shared" si="200"/>
        <v/>
      </c>
      <c r="CW221" s="744" t="str">
        <f t="shared" si="201"/>
        <v/>
      </c>
      <c r="CX221" s="744">
        <f t="shared" si="202"/>
        <v>0.99622100000000002</v>
      </c>
    </row>
    <row r="222" spans="1:102">
      <c r="A222" s="630">
        <v>218</v>
      </c>
      <c r="B222" s="630" t="s">
        <v>4</v>
      </c>
      <c r="C222" s="631" t="s">
        <v>749</v>
      </c>
      <c r="D222" s="630" t="s">
        <v>470</v>
      </c>
      <c r="E222" s="632" t="s">
        <v>674</v>
      </c>
      <c r="F222" s="1067">
        <v>1.54</v>
      </c>
      <c r="G222" s="1066">
        <v>1</v>
      </c>
      <c r="H222" s="1070">
        <v>0.996</v>
      </c>
      <c r="I222" s="1070"/>
      <c r="J222" s="1070"/>
      <c r="K222" s="1070"/>
      <c r="L222" s="1072"/>
      <c r="M222" s="1070"/>
      <c r="N222" s="1070"/>
      <c r="O222" s="1070"/>
      <c r="P222" s="1073"/>
      <c r="Q222" s="1070"/>
      <c r="R222" s="1070"/>
      <c r="S222" s="1070"/>
      <c r="T222" s="1070"/>
      <c r="U222" s="1070"/>
      <c r="V222" s="1066">
        <v>66.666666666666671</v>
      </c>
      <c r="W222" s="1070">
        <v>40.000000000000007</v>
      </c>
      <c r="X222" s="1070">
        <v>0</v>
      </c>
      <c r="Y222" s="1070">
        <v>80</v>
      </c>
      <c r="Z222" s="1070">
        <v>0</v>
      </c>
      <c r="AA222" s="1070">
        <v>0</v>
      </c>
      <c r="AB222" s="1070">
        <v>0</v>
      </c>
      <c r="AC222" s="1070">
        <v>0</v>
      </c>
      <c r="AD222" s="1070">
        <v>7782</v>
      </c>
      <c r="AE222" s="1070">
        <v>0</v>
      </c>
      <c r="AF222" s="1070">
        <v>37.000000000035897</v>
      </c>
      <c r="AG222" s="1070">
        <v>5500</v>
      </c>
      <c r="AH222" s="1073">
        <v>46</v>
      </c>
      <c r="AI222" s="1070"/>
      <c r="AJ222" s="1070"/>
      <c r="AK222" s="1070"/>
      <c r="AL222" s="1082"/>
      <c r="AM222" s="1069"/>
      <c r="AN222" s="1070"/>
      <c r="AO222" s="1070"/>
      <c r="AP222" s="1070"/>
      <c r="AQ222" s="1070"/>
      <c r="AR222" s="1069"/>
      <c r="AS222" s="1282"/>
      <c r="AT222" s="1282"/>
      <c r="AU222" s="1069"/>
      <c r="AV222" s="1069"/>
      <c r="AW222" s="1069"/>
      <c r="AX222" s="1070"/>
      <c r="AY222" s="1070"/>
      <c r="AZ222" s="1078">
        <f t="shared" si="155"/>
        <v>0.996</v>
      </c>
      <c r="BA222" s="59">
        <v>218</v>
      </c>
      <c r="BB222" s="59">
        <f t="shared" si="156"/>
        <v>218</v>
      </c>
      <c r="BC222" s="60" t="str">
        <f t="shared" si="157"/>
        <v>Sal Mineral Vaca Leite Iomar</v>
      </c>
      <c r="BD222" s="61" t="str">
        <f ca="1">IFERROR(IF(SEARCH('Calcular Dieta'!A$3,$BC$5:$BC$310)&gt;=1,BC222,"Não encontrado"),"Não encontrado")</f>
        <v>Sal Mineral Vaca Leite Iomar</v>
      </c>
      <c r="BE222" s="62">
        <f ca="1">COUNTIF(BD$5:BD222,"&lt;&gt;"&amp;"Não encontrado")</f>
        <v>218</v>
      </c>
      <c r="BF222" s="63" t="str">
        <f t="shared" ca="1" si="158"/>
        <v>SAL MINERAL VACA LEITE IOMAR</v>
      </c>
      <c r="BG222" s="744" t="str">
        <f t="shared" si="159"/>
        <v/>
      </c>
      <c r="BH222" s="744" t="str">
        <f t="shared" si="160"/>
        <v/>
      </c>
      <c r="BI222" s="744" t="str">
        <f t="shared" si="161"/>
        <v/>
      </c>
      <c r="BJ222" s="744" t="str">
        <f t="shared" si="162"/>
        <v/>
      </c>
      <c r="BK222" s="744" t="str">
        <f t="shared" si="163"/>
        <v/>
      </c>
      <c r="BL222" s="744" t="str">
        <f t="shared" si="164"/>
        <v/>
      </c>
      <c r="BM222" s="744" t="str">
        <f t="shared" si="165"/>
        <v/>
      </c>
      <c r="BN222" s="744" t="str">
        <f t="shared" si="166"/>
        <v/>
      </c>
      <c r="BO222" s="744" t="str">
        <f t="shared" si="167"/>
        <v/>
      </c>
      <c r="BP222" s="744" t="str">
        <f t="shared" si="168"/>
        <v/>
      </c>
      <c r="BQ222" s="744" t="str">
        <f t="shared" si="169"/>
        <v/>
      </c>
      <c r="BR222" s="744" t="str">
        <f t="shared" si="170"/>
        <v/>
      </c>
      <c r="BS222" s="744" t="str">
        <f t="shared" si="171"/>
        <v/>
      </c>
      <c r="BT222" s="744">
        <f t="shared" si="172"/>
        <v>66.666888666666665</v>
      </c>
      <c r="BU222" s="744">
        <f t="shared" si="173"/>
        <v>40.000222000000008</v>
      </c>
      <c r="BV222" s="744" t="str">
        <f t="shared" si="174"/>
        <v/>
      </c>
      <c r="BW222" s="744">
        <f t="shared" si="175"/>
        <v>80.000221999999994</v>
      </c>
      <c r="BX222" s="744" t="str">
        <f t="shared" si="176"/>
        <v/>
      </c>
      <c r="BY222" s="744" t="str">
        <f t="shared" si="177"/>
        <v/>
      </c>
      <c r="BZ222" s="744" t="str">
        <f t="shared" si="178"/>
        <v/>
      </c>
      <c r="CA222" s="744" t="str">
        <f t="shared" si="179"/>
        <v/>
      </c>
      <c r="CB222" s="744">
        <f t="shared" si="180"/>
        <v>7782.0002219999997</v>
      </c>
      <c r="CC222" s="744" t="str">
        <f t="shared" si="181"/>
        <v/>
      </c>
      <c r="CD222" s="744">
        <f t="shared" si="182"/>
        <v>37.000222000035897</v>
      </c>
      <c r="CE222" s="744">
        <f t="shared" si="183"/>
        <v>5500.0002219999997</v>
      </c>
      <c r="CF222" s="744">
        <f t="shared" si="184"/>
        <v>46.000222000000001</v>
      </c>
      <c r="CG222" s="744" t="str">
        <f t="shared" si="185"/>
        <v/>
      </c>
      <c r="CH222" s="744" t="str">
        <f t="shared" si="186"/>
        <v/>
      </c>
      <c r="CI222" s="744" t="str">
        <f t="shared" si="187"/>
        <v/>
      </c>
      <c r="CJ222" s="744" t="str">
        <f t="shared" si="188"/>
        <v/>
      </c>
      <c r="CK222" s="744" t="str">
        <f t="shared" si="189"/>
        <v/>
      </c>
      <c r="CL222" s="744" t="str">
        <f t="shared" si="190"/>
        <v/>
      </c>
      <c r="CM222" s="744" t="str">
        <f t="shared" si="191"/>
        <v/>
      </c>
      <c r="CN222" s="744" t="str">
        <f t="shared" si="192"/>
        <v/>
      </c>
      <c r="CO222" s="744" t="str">
        <f t="shared" si="193"/>
        <v/>
      </c>
      <c r="CP222" s="744" t="str">
        <f t="shared" si="194"/>
        <v/>
      </c>
      <c r="CQ222" s="744" t="str">
        <f t="shared" si="195"/>
        <v/>
      </c>
      <c r="CR222" s="744" t="str">
        <f t="shared" si="196"/>
        <v/>
      </c>
      <c r="CS222" s="744" t="str">
        <f t="shared" si="197"/>
        <v/>
      </c>
      <c r="CT222" s="744" t="str">
        <f t="shared" si="198"/>
        <v/>
      </c>
      <c r="CU222" s="744" t="str">
        <f t="shared" si="199"/>
        <v/>
      </c>
      <c r="CV222" s="744" t="str">
        <f t="shared" si="200"/>
        <v/>
      </c>
      <c r="CW222" s="744" t="str">
        <f t="shared" si="201"/>
        <v/>
      </c>
      <c r="CX222" s="744">
        <f t="shared" si="202"/>
        <v>0.99622199999999994</v>
      </c>
    </row>
    <row r="223" spans="1:102">
      <c r="A223" s="633">
        <v>219</v>
      </c>
      <c r="B223" s="630" t="s">
        <v>4</v>
      </c>
      <c r="C223" s="631" t="s">
        <v>253</v>
      </c>
      <c r="D223" s="630" t="s">
        <v>1390</v>
      </c>
      <c r="E223" s="632" t="s">
        <v>234</v>
      </c>
      <c r="F223" s="1067">
        <v>45</v>
      </c>
      <c r="G223" s="1066">
        <v>1</v>
      </c>
      <c r="H223" s="1070">
        <v>1</v>
      </c>
      <c r="I223" s="1070"/>
      <c r="J223" s="1070"/>
      <c r="K223" s="1070"/>
      <c r="L223" s="1072"/>
      <c r="M223" s="1070"/>
      <c r="N223" s="1070"/>
      <c r="O223" s="1070"/>
      <c r="P223" s="1073"/>
      <c r="Q223" s="1070"/>
      <c r="R223" s="1070"/>
      <c r="S223" s="1070"/>
      <c r="T223" s="1070"/>
      <c r="U223" s="1070"/>
      <c r="V223" s="1066"/>
      <c r="W223" s="1070"/>
      <c r="X223" s="1070"/>
      <c r="Y223" s="1070"/>
      <c r="Z223" s="1070"/>
      <c r="AA223" s="1070"/>
      <c r="AB223" s="1070"/>
      <c r="AC223" s="1070"/>
      <c r="AD223" s="1070"/>
      <c r="AE223" s="1070"/>
      <c r="AF223" s="1070"/>
      <c r="AG223" s="1070"/>
      <c r="AH223" s="1073">
        <v>456000</v>
      </c>
      <c r="AI223" s="1070"/>
      <c r="AJ223" s="1070"/>
      <c r="AK223" s="1070"/>
      <c r="AL223" s="1082"/>
      <c r="AM223" s="1069"/>
      <c r="AN223" s="1070"/>
      <c r="AO223" s="1070"/>
      <c r="AP223" s="1070"/>
      <c r="AQ223" s="1070"/>
      <c r="AR223" s="1069"/>
      <c r="AS223" s="1282"/>
      <c r="AT223" s="1282"/>
      <c r="AU223" s="1069"/>
      <c r="AV223" s="1069"/>
      <c r="AW223" s="1069"/>
      <c r="AX223" s="1070"/>
      <c r="AY223" s="1070"/>
      <c r="AZ223" s="1078">
        <f t="shared" si="155"/>
        <v>1</v>
      </c>
      <c r="BA223" s="59">
        <v>219</v>
      </c>
      <c r="BB223" s="59">
        <f t="shared" si="156"/>
        <v>219</v>
      </c>
      <c r="BC223" s="60" t="str">
        <f t="shared" si="157"/>
        <v>Selenito de Sódio</v>
      </c>
      <c r="BD223" s="61" t="str">
        <f ca="1">IFERROR(IF(SEARCH('Calcular Dieta'!A$3,$BC$5:$BC$310)&gt;=1,BC223,"Não encontrado"),"Não encontrado")</f>
        <v>Selenito de Sódio</v>
      </c>
      <c r="BE223" s="62">
        <f ca="1">COUNTIF(BD$5:BD223,"&lt;&gt;"&amp;"Não encontrado")</f>
        <v>219</v>
      </c>
      <c r="BF223" s="63" t="str">
        <f t="shared" ca="1" si="158"/>
        <v>SELENITO DE SÓDIO</v>
      </c>
      <c r="BG223" s="744" t="str">
        <f t="shared" si="159"/>
        <v/>
      </c>
      <c r="BH223" s="744" t="str">
        <f t="shared" si="160"/>
        <v/>
      </c>
      <c r="BI223" s="744" t="str">
        <f t="shared" si="161"/>
        <v/>
      </c>
      <c r="BJ223" s="744" t="str">
        <f t="shared" si="162"/>
        <v/>
      </c>
      <c r="BK223" s="744" t="str">
        <f t="shared" si="163"/>
        <v/>
      </c>
      <c r="BL223" s="744" t="str">
        <f t="shared" si="164"/>
        <v/>
      </c>
      <c r="BM223" s="744" t="str">
        <f t="shared" si="165"/>
        <v/>
      </c>
      <c r="BN223" s="744" t="str">
        <f t="shared" si="166"/>
        <v/>
      </c>
      <c r="BO223" s="744" t="str">
        <f t="shared" si="167"/>
        <v/>
      </c>
      <c r="BP223" s="744" t="str">
        <f t="shared" si="168"/>
        <v/>
      </c>
      <c r="BQ223" s="744" t="str">
        <f t="shared" si="169"/>
        <v/>
      </c>
      <c r="BR223" s="744" t="str">
        <f t="shared" si="170"/>
        <v/>
      </c>
      <c r="BS223" s="744" t="str">
        <f t="shared" si="171"/>
        <v/>
      </c>
      <c r="BT223" s="744" t="str">
        <f t="shared" si="172"/>
        <v/>
      </c>
      <c r="BU223" s="744" t="str">
        <f t="shared" si="173"/>
        <v/>
      </c>
      <c r="BV223" s="744" t="str">
        <f t="shared" si="174"/>
        <v/>
      </c>
      <c r="BW223" s="744" t="str">
        <f t="shared" si="175"/>
        <v/>
      </c>
      <c r="BX223" s="744" t="str">
        <f t="shared" si="176"/>
        <v/>
      </c>
      <c r="BY223" s="744" t="str">
        <f t="shared" si="177"/>
        <v/>
      </c>
      <c r="BZ223" s="744" t="str">
        <f t="shared" si="178"/>
        <v/>
      </c>
      <c r="CA223" s="744" t="str">
        <f t="shared" si="179"/>
        <v/>
      </c>
      <c r="CB223" s="744" t="str">
        <f t="shared" si="180"/>
        <v/>
      </c>
      <c r="CC223" s="744" t="str">
        <f t="shared" si="181"/>
        <v/>
      </c>
      <c r="CD223" s="744" t="str">
        <f t="shared" si="182"/>
        <v/>
      </c>
      <c r="CE223" s="744" t="str">
        <f t="shared" si="183"/>
        <v/>
      </c>
      <c r="CF223" s="744">
        <f t="shared" si="184"/>
        <v>456000.00022300001</v>
      </c>
      <c r="CG223" s="744" t="str">
        <f t="shared" si="185"/>
        <v/>
      </c>
      <c r="CH223" s="744" t="str">
        <f t="shared" si="186"/>
        <v/>
      </c>
      <c r="CI223" s="744" t="str">
        <f t="shared" si="187"/>
        <v/>
      </c>
      <c r="CJ223" s="744" t="str">
        <f t="shared" si="188"/>
        <v/>
      </c>
      <c r="CK223" s="744" t="str">
        <f t="shared" si="189"/>
        <v/>
      </c>
      <c r="CL223" s="744" t="str">
        <f t="shared" si="190"/>
        <v/>
      </c>
      <c r="CM223" s="744" t="str">
        <f t="shared" si="191"/>
        <v/>
      </c>
      <c r="CN223" s="744" t="str">
        <f t="shared" si="192"/>
        <v/>
      </c>
      <c r="CO223" s="744" t="str">
        <f t="shared" si="193"/>
        <v/>
      </c>
      <c r="CP223" s="744" t="str">
        <f t="shared" si="194"/>
        <v/>
      </c>
      <c r="CQ223" s="744" t="str">
        <f t="shared" si="195"/>
        <v/>
      </c>
      <c r="CR223" s="744" t="str">
        <f t="shared" si="196"/>
        <v/>
      </c>
      <c r="CS223" s="744" t="str">
        <f t="shared" si="197"/>
        <v/>
      </c>
      <c r="CT223" s="744" t="str">
        <f t="shared" si="198"/>
        <v/>
      </c>
      <c r="CU223" s="744" t="str">
        <f t="shared" si="199"/>
        <v/>
      </c>
      <c r="CV223" s="744" t="str">
        <f t="shared" si="200"/>
        <v/>
      </c>
      <c r="CW223" s="744" t="str">
        <f t="shared" si="201"/>
        <v/>
      </c>
      <c r="CX223" s="744">
        <f t="shared" si="202"/>
        <v>1.0002230000000001</v>
      </c>
    </row>
    <row r="224" spans="1:102">
      <c r="A224" s="630">
        <v>220</v>
      </c>
      <c r="B224" s="630" t="s">
        <v>3</v>
      </c>
      <c r="C224" s="631" t="s">
        <v>254</v>
      </c>
      <c r="D224" s="630" t="s">
        <v>1390</v>
      </c>
      <c r="E224" s="632" t="s">
        <v>726</v>
      </c>
      <c r="F224" s="1067">
        <v>0.3</v>
      </c>
      <c r="G224" s="1066">
        <v>1</v>
      </c>
      <c r="H224" s="1068">
        <v>0.25679999999999997</v>
      </c>
      <c r="I224" s="1068">
        <v>0.15926736</v>
      </c>
      <c r="J224" s="1069">
        <v>0.10967928</v>
      </c>
      <c r="K224" s="1069">
        <v>7.3470479999999991E-2</v>
      </c>
      <c r="L224" s="1074">
        <v>0.15086999999999998</v>
      </c>
      <c r="M224" s="1069"/>
      <c r="N224" s="1279">
        <v>1.89</v>
      </c>
      <c r="O224" s="1069"/>
      <c r="P224" s="1076">
        <v>4.3655999999999997</v>
      </c>
      <c r="Q224" s="1069">
        <v>8.9109599999999993</v>
      </c>
      <c r="R224" s="1279"/>
      <c r="S224" s="1069"/>
      <c r="T224" s="1069"/>
      <c r="U224" s="1069"/>
      <c r="V224" s="1079">
        <v>0.77039999999999997</v>
      </c>
      <c r="W224" s="1069">
        <v>0.12839999999999999</v>
      </c>
      <c r="X224" s="1069"/>
      <c r="Y224" s="1069"/>
      <c r="Z224" s="1069"/>
      <c r="AA224" s="1069"/>
      <c r="AB224" s="1069"/>
      <c r="AC224" s="1069"/>
      <c r="AD224" s="1069"/>
      <c r="AE224" s="1069"/>
      <c r="AF224" s="1069"/>
      <c r="AG224" s="1069"/>
      <c r="AH224" s="1076"/>
      <c r="AI224" s="1069"/>
      <c r="AJ224" s="1069"/>
      <c r="AK224" s="1069"/>
      <c r="AL224" s="1081"/>
      <c r="AM224" s="1069"/>
      <c r="AN224" s="1069"/>
      <c r="AO224" s="1069"/>
      <c r="AP224" s="1069"/>
      <c r="AQ224" s="1069"/>
      <c r="AR224" s="1069"/>
      <c r="AS224" s="1282"/>
      <c r="AT224" s="1282"/>
      <c r="AU224" s="1069"/>
      <c r="AV224" s="1069"/>
      <c r="AW224" s="1069"/>
      <c r="AX224" s="1069"/>
      <c r="AY224" s="1069"/>
      <c r="AZ224" s="1078">
        <f t="shared" si="155"/>
        <v>0.25679999999999997</v>
      </c>
      <c r="BA224" s="59">
        <v>220</v>
      </c>
      <c r="BB224" s="59">
        <f t="shared" si="156"/>
        <v>220</v>
      </c>
      <c r="BC224" s="60" t="str">
        <f t="shared" si="157"/>
        <v>Silagem de Cana-de-Açúcar</v>
      </c>
      <c r="BD224" s="61" t="str">
        <f ca="1">IFERROR(IF(SEARCH('Calcular Dieta'!A$3,$BC$5:$BC$310)&gt;=1,BC224,"Não encontrado"),"Não encontrado")</f>
        <v>Silagem de Cana-de-Açúcar</v>
      </c>
      <c r="BE224" s="62">
        <f ca="1">COUNTIF(BD$5:BD224,"&lt;&gt;"&amp;"Não encontrado")</f>
        <v>220</v>
      </c>
      <c r="BF224" s="63" t="str">
        <f t="shared" ca="1" si="158"/>
        <v>SILAGEM DE CANA-DE-AÇÚCAR</v>
      </c>
      <c r="BG224" s="744">
        <f t="shared" si="159"/>
        <v>0.15949136</v>
      </c>
      <c r="BH224" s="744">
        <f t="shared" si="160"/>
        <v>0.10990328000000001</v>
      </c>
      <c r="BI224" s="744">
        <f t="shared" si="161"/>
        <v>7.3694479999999993E-2</v>
      </c>
      <c r="BJ224" s="744">
        <f t="shared" si="162"/>
        <v>0.15109399999999998</v>
      </c>
      <c r="BK224" s="744" t="str">
        <f t="shared" si="163"/>
        <v/>
      </c>
      <c r="BL224" s="744">
        <f t="shared" si="164"/>
        <v>1.8902239999999999</v>
      </c>
      <c r="BM224" s="744" t="str">
        <f t="shared" si="165"/>
        <v/>
      </c>
      <c r="BN224" s="744">
        <f t="shared" si="166"/>
        <v>4.3658239999999999</v>
      </c>
      <c r="BO224" s="744">
        <f t="shared" si="167"/>
        <v>8.9111839999999987</v>
      </c>
      <c r="BP224" s="744" t="str">
        <f t="shared" si="168"/>
        <v/>
      </c>
      <c r="BQ224" s="744" t="str">
        <f t="shared" si="169"/>
        <v/>
      </c>
      <c r="BR224" s="744" t="str">
        <f t="shared" si="170"/>
        <v/>
      </c>
      <c r="BS224" s="744" t="str">
        <f t="shared" si="171"/>
        <v/>
      </c>
      <c r="BT224" s="744">
        <f t="shared" si="172"/>
        <v>0.77062399999999998</v>
      </c>
      <c r="BU224" s="744">
        <f t="shared" si="173"/>
        <v>0.12862399999999999</v>
      </c>
      <c r="BV224" s="744" t="str">
        <f t="shared" si="174"/>
        <v/>
      </c>
      <c r="BW224" s="744" t="str">
        <f t="shared" si="175"/>
        <v/>
      </c>
      <c r="BX224" s="744" t="str">
        <f t="shared" si="176"/>
        <v/>
      </c>
      <c r="BY224" s="744" t="str">
        <f t="shared" si="177"/>
        <v/>
      </c>
      <c r="BZ224" s="744" t="str">
        <f t="shared" si="178"/>
        <v/>
      </c>
      <c r="CA224" s="744" t="str">
        <f t="shared" si="179"/>
        <v/>
      </c>
      <c r="CB224" s="744" t="str">
        <f t="shared" si="180"/>
        <v/>
      </c>
      <c r="CC224" s="744" t="str">
        <f t="shared" si="181"/>
        <v/>
      </c>
      <c r="CD224" s="744" t="str">
        <f t="shared" si="182"/>
        <v/>
      </c>
      <c r="CE224" s="744" t="str">
        <f t="shared" si="183"/>
        <v/>
      </c>
      <c r="CF224" s="744" t="str">
        <f t="shared" si="184"/>
        <v/>
      </c>
      <c r="CG224" s="744" t="str">
        <f t="shared" si="185"/>
        <v/>
      </c>
      <c r="CH224" s="744" t="str">
        <f t="shared" si="186"/>
        <v/>
      </c>
      <c r="CI224" s="744" t="str">
        <f t="shared" si="187"/>
        <v/>
      </c>
      <c r="CJ224" s="744" t="str">
        <f t="shared" si="188"/>
        <v/>
      </c>
      <c r="CK224" s="744" t="str">
        <f t="shared" si="189"/>
        <v/>
      </c>
      <c r="CL224" s="744" t="str">
        <f t="shared" si="190"/>
        <v/>
      </c>
      <c r="CM224" s="744" t="str">
        <f t="shared" si="191"/>
        <v/>
      </c>
      <c r="CN224" s="744" t="str">
        <f t="shared" si="192"/>
        <v/>
      </c>
      <c r="CO224" s="744" t="str">
        <f t="shared" si="193"/>
        <v/>
      </c>
      <c r="CP224" s="744" t="str">
        <f t="shared" si="194"/>
        <v/>
      </c>
      <c r="CQ224" s="744" t="str">
        <f t="shared" si="195"/>
        <v/>
      </c>
      <c r="CR224" s="744" t="str">
        <f t="shared" si="196"/>
        <v/>
      </c>
      <c r="CS224" s="744" t="str">
        <f t="shared" si="197"/>
        <v/>
      </c>
      <c r="CT224" s="744" t="str">
        <f t="shared" si="198"/>
        <v/>
      </c>
      <c r="CU224" s="744" t="str">
        <f t="shared" si="199"/>
        <v/>
      </c>
      <c r="CV224" s="744" t="str">
        <f t="shared" si="200"/>
        <v/>
      </c>
      <c r="CW224" s="744" t="str">
        <f t="shared" si="201"/>
        <v/>
      </c>
      <c r="CX224" s="744">
        <f t="shared" si="202"/>
        <v>0.25702399999999997</v>
      </c>
    </row>
    <row r="225" spans="1:102">
      <c r="A225" s="633">
        <v>221</v>
      </c>
      <c r="B225" s="630" t="s">
        <v>3</v>
      </c>
      <c r="C225" s="631" t="s">
        <v>254</v>
      </c>
      <c r="D225" s="630" t="s">
        <v>1390</v>
      </c>
      <c r="E225" s="632" t="s">
        <v>727</v>
      </c>
      <c r="F225" s="1067">
        <v>0.3</v>
      </c>
      <c r="G225" s="1066">
        <v>1</v>
      </c>
      <c r="H225" s="1070">
        <v>0.27529999999999999</v>
      </c>
      <c r="I225" s="1070">
        <v>0.20730089999999998</v>
      </c>
      <c r="J225" s="1070">
        <v>0.13869999999999999</v>
      </c>
      <c r="K225" s="1070">
        <v>3.3256239999999999E-2</v>
      </c>
      <c r="L225" s="1072">
        <v>0.13822813</v>
      </c>
      <c r="M225" s="1070"/>
      <c r="N225" s="1070">
        <v>1.73</v>
      </c>
      <c r="O225" s="1070"/>
      <c r="P225" s="1073">
        <v>6.1116599999999996</v>
      </c>
      <c r="Q225" s="1070">
        <v>15.19656</v>
      </c>
      <c r="R225" s="1070"/>
      <c r="S225" s="1070"/>
      <c r="T225" s="1070"/>
      <c r="U225" s="1070"/>
      <c r="V225" s="1066">
        <v>0.85342999999999991</v>
      </c>
      <c r="W225" s="1070">
        <v>0.55059999999999998</v>
      </c>
      <c r="X225" s="1070">
        <v>0.55059999999999998</v>
      </c>
      <c r="Y225" s="1070">
        <v>5.5059999999999998E-2</v>
      </c>
      <c r="Z225" s="1070">
        <v>8.2589999999999986</v>
      </c>
      <c r="AA225" s="1070"/>
      <c r="AB225" s="1070"/>
      <c r="AC225" s="1070"/>
      <c r="AD225" s="1070"/>
      <c r="AE225" s="1070"/>
      <c r="AF225" s="1070"/>
      <c r="AG225" s="1070"/>
      <c r="AH225" s="1073"/>
      <c r="AI225" s="1070"/>
      <c r="AJ225" s="1070"/>
      <c r="AK225" s="1070"/>
      <c r="AL225" s="1082"/>
      <c r="AM225" s="1069"/>
      <c r="AN225" s="1070"/>
      <c r="AO225" s="1070"/>
      <c r="AP225" s="1070"/>
      <c r="AQ225" s="1070"/>
      <c r="AR225" s="1069"/>
      <c r="AS225" s="1282"/>
      <c r="AT225" s="1282"/>
      <c r="AU225" s="1069"/>
      <c r="AV225" s="1069"/>
      <c r="AW225" s="1069"/>
      <c r="AX225" s="1070"/>
      <c r="AY225" s="1070"/>
      <c r="AZ225" s="1078">
        <f t="shared" si="155"/>
        <v>0.27529999999999999</v>
      </c>
      <c r="BA225" s="59">
        <v>221</v>
      </c>
      <c r="BB225" s="59">
        <f t="shared" si="156"/>
        <v>221</v>
      </c>
      <c r="BC225" s="60" t="str">
        <f t="shared" si="157"/>
        <v>Silagem de Capim Elefante</v>
      </c>
      <c r="BD225" s="61" t="str">
        <f ca="1">IFERROR(IF(SEARCH('Calcular Dieta'!A$3,$BC$5:$BC$310)&gt;=1,BC225,"Não encontrado"),"Não encontrado")</f>
        <v>Silagem de Capim Elefante</v>
      </c>
      <c r="BE225" s="62">
        <f ca="1">COUNTIF(BD$5:BD225,"&lt;&gt;"&amp;"Não encontrado")</f>
        <v>221</v>
      </c>
      <c r="BF225" s="63" t="str">
        <f t="shared" ca="1" si="158"/>
        <v>SILAGEM DE CAPIM ELEFANTE</v>
      </c>
      <c r="BG225" s="744">
        <f t="shared" si="159"/>
        <v>0.20752589999999999</v>
      </c>
      <c r="BH225" s="744">
        <f t="shared" si="160"/>
        <v>0.13892499999999999</v>
      </c>
      <c r="BI225" s="744">
        <f t="shared" si="161"/>
        <v>3.3481240000000002E-2</v>
      </c>
      <c r="BJ225" s="744">
        <f t="shared" si="162"/>
        <v>0.13845313000000001</v>
      </c>
      <c r="BK225" s="744" t="str">
        <f t="shared" si="163"/>
        <v/>
      </c>
      <c r="BL225" s="744">
        <f t="shared" si="164"/>
        <v>1.7302249999999999</v>
      </c>
      <c r="BM225" s="744" t="str">
        <f t="shared" si="165"/>
        <v/>
      </c>
      <c r="BN225" s="744">
        <f t="shared" si="166"/>
        <v>6.111885</v>
      </c>
      <c r="BO225" s="744">
        <f t="shared" si="167"/>
        <v>15.196785</v>
      </c>
      <c r="BP225" s="744" t="str">
        <f t="shared" si="168"/>
        <v/>
      </c>
      <c r="BQ225" s="744" t="str">
        <f t="shared" si="169"/>
        <v/>
      </c>
      <c r="BR225" s="744" t="str">
        <f t="shared" si="170"/>
        <v/>
      </c>
      <c r="BS225" s="744" t="str">
        <f t="shared" si="171"/>
        <v/>
      </c>
      <c r="BT225" s="744">
        <f t="shared" si="172"/>
        <v>0.85365499999999994</v>
      </c>
      <c r="BU225" s="744">
        <f t="shared" si="173"/>
        <v>0.55082500000000001</v>
      </c>
      <c r="BV225" s="744">
        <f t="shared" si="174"/>
        <v>0.55082500000000001</v>
      </c>
      <c r="BW225" s="744">
        <f t="shared" si="175"/>
        <v>5.5285000000000001E-2</v>
      </c>
      <c r="BX225" s="744">
        <f t="shared" si="176"/>
        <v>8.2592249999999989</v>
      </c>
      <c r="BY225" s="744" t="str">
        <f t="shared" si="177"/>
        <v/>
      </c>
      <c r="BZ225" s="744" t="str">
        <f t="shared" si="178"/>
        <v/>
      </c>
      <c r="CA225" s="744" t="str">
        <f t="shared" si="179"/>
        <v/>
      </c>
      <c r="CB225" s="744" t="str">
        <f t="shared" si="180"/>
        <v/>
      </c>
      <c r="CC225" s="744" t="str">
        <f t="shared" si="181"/>
        <v/>
      </c>
      <c r="CD225" s="744" t="str">
        <f t="shared" si="182"/>
        <v/>
      </c>
      <c r="CE225" s="744" t="str">
        <f t="shared" si="183"/>
        <v/>
      </c>
      <c r="CF225" s="744" t="str">
        <f t="shared" si="184"/>
        <v/>
      </c>
      <c r="CG225" s="744" t="str">
        <f t="shared" si="185"/>
        <v/>
      </c>
      <c r="CH225" s="744" t="str">
        <f t="shared" si="186"/>
        <v/>
      </c>
      <c r="CI225" s="744" t="str">
        <f t="shared" si="187"/>
        <v/>
      </c>
      <c r="CJ225" s="744" t="str">
        <f t="shared" si="188"/>
        <v/>
      </c>
      <c r="CK225" s="744" t="str">
        <f t="shared" si="189"/>
        <v/>
      </c>
      <c r="CL225" s="744" t="str">
        <f t="shared" si="190"/>
        <v/>
      </c>
      <c r="CM225" s="744" t="str">
        <f t="shared" si="191"/>
        <v/>
      </c>
      <c r="CN225" s="744" t="str">
        <f t="shared" si="192"/>
        <v/>
      </c>
      <c r="CO225" s="744" t="str">
        <f t="shared" si="193"/>
        <v/>
      </c>
      <c r="CP225" s="744" t="str">
        <f t="shared" si="194"/>
        <v/>
      </c>
      <c r="CQ225" s="744" t="str">
        <f t="shared" si="195"/>
        <v/>
      </c>
      <c r="CR225" s="744" t="str">
        <f t="shared" si="196"/>
        <v/>
      </c>
      <c r="CS225" s="744" t="str">
        <f t="shared" si="197"/>
        <v/>
      </c>
      <c r="CT225" s="744" t="str">
        <f t="shared" si="198"/>
        <v/>
      </c>
      <c r="CU225" s="744" t="str">
        <f t="shared" si="199"/>
        <v/>
      </c>
      <c r="CV225" s="744" t="str">
        <f t="shared" si="200"/>
        <v/>
      </c>
      <c r="CW225" s="744" t="str">
        <f t="shared" si="201"/>
        <v/>
      </c>
      <c r="CX225" s="744">
        <f t="shared" si="202"/>
        <v>0.27552499999999996</v>
      </c>
    </row>
    <row r="226" spans="1:102">
      <c r="A226" s="630">
        <v>222</v>
      </c>
      <c r="B226" s="630" t="s">
        <v>3</v>
      </c>
      <c r="C226" s="631" t="s">
        <v>254</v>
      </c>
      <c r="D226" s="630" t="s">
        <v>1390</v>
      </c>
      <c r="E226" s="632" t="s">
        <v>759</v>
      </c>
      <c r="F226" s="1067">
        <v>0.3</v>
      </c>
      <c r="G226" s="1066">
        <v>1</v>
      </c>
      <c r="H226" s="1070">
        <v>0.24410000000000001</v>
      </c>
      <c r="I226" s="1070">
        <v>0.17450709</v>
      </c>
      <c r="J226" s="1070">
        <v>0.1047</v>
      </c>
      <c r="K226" s="1070">
        <v>1.281525E-2</v>
      </c>
      <c r="L226" s="1072">
        <v>0.12065863000000002</v>
      </c>
      <c r="M226" s="1070"/>
      <c r="N226" s="1070">
        <v>1.73</v>
      </c>
      <c r="O226" s="1070"/>
      <c r="P226" s="1073">
        <v>4.1741099999999998</v>
      </c>
      <c r="Q226" s="1070">
        <v>17.96576</v>
      </c>
      <c r="R226" s="1070"/>
      <c r="S226" s="1070"/>
      <c r="T226" s="1070"/>
      <c r="U226" s="1070"/>
      <c r="V226" s="1066">
        <v>1.0740400000000001</v>
      </c>
      <c r="W226" s="1070">
        <v>0.29292000000000001</v>
      </c>
      <c r="X226" s="1070"/>
      <c r="Y226" s="1070"/>
      <c r="Z226" s="1070"/>
      <c r="AA226" s="1070"/>
      <c r="AB226" s="1070"/>
      <c r="AC226" s="1070"/>
      <c r="AD226" s="1070"/>
      <c r="AE226" s="1070"/>
      <c r="AF226" s="1070"/>
      <c r="AG226" s="1070"/>
      <c r="AH226" s="1073"/>
      <c r="AI226" s="1070"/>
      <c r="AJ226" s="1070"/>
      <c r="AK226" s="1070"/>
      <c r="AL226" s="1082"/>
      <c r="AM226" s="1069"/>
      <c r="AN226" s="1070"/>
      <c r="AO226" s="1070"/>
      <c r="AP226" s="1070"/>
      <c r="AQ226" s="1070"/>
      <c r="AR226" s="1069"/>
      <c r="AS226" s="1282"/>
      <c r="AT226" s="1282"/>
      <c r="AU226" s="1069"/>
      <c r="AV226" s="1069"/>
      <c r="AW226" s="1069"/>
      <c r="AX226" s="1070"/>
      <c r="AY226" s="1070"/>
      <c r="AZ226" s="1078">
        <f t="shared" si="155"/>
        <v>0.24410000000000001</v>
      </c>
      <c r="BA226" s="59">
        <v>222</v>
      </c>
      <c r="BB226" s="59">
        <f t="shared" si="156"/>
        <v>222</v>
      </c>
      <c r="BC226" s="60" t="str">
        <f t="shared" si="157"/>
        <v>Silagem de Capim Mombaça</v>
      </c>
      <c r="BD226" s="61" t="str">
        <f ca="1">IFERROR(IF(SEARCH('Calcular Dieta'!A$3,$BC$5:$BC$310)&gt;=1,BC226,"Não encontrado"),"Não encontrado")</f>
        <v>Silagem de Capim Mombaça</v>
      </c>
      <c r="BE226" s="62">
        <f ca="1">COUNTIF(BD$5:BD226,"&lt;&gt;"&amp;"Não encontrado")</f>
        <v>222</v>
      </c>
      <c r="BF226" s="63" t="str">
        <f t="shared" ca="1" si="158"/>
        <v>SILAGEM DE CAPIM MOMBAÇA</v>
      </c>
      <c r="BG226" s="744">
        <f t="shared" si="159"/>
        <v>0.17473309000000001</v>
      </c>
      <c r="BH226" s="744">
        <f t="shared" si="160"/>
        <v>0.10492600000000001</v>
      </c>
      <c r="BI226" s="744">
        <f t="shared" si="161"/>
        <v>1.3041250000000001E-2</v>
      </c>
      <c r="BJ226" s="744">
        <f t="shared" si="162"/>
        <v>0.12088463000000002</v>
      </c>
      <c r="BK226" s="744" t="str">
        <f t="shared" si="163"/>
        <v/>
      </c>
      <c r="BL226" s="744">
        <f t="shared" si="164"/>
        <v>1.730226</v>
      </c>
      <c r="BM226" s="744" t="str">
        <f t="shared" si="165"/>
        <v/>
      </c>
      <c r="BN226" s="744">
        <f t="shared" si="166"/>
        <v>4.1743359999999994</v>
      </c>
      <c r="BO226" s="744">
        <f t="shared" si="167"/>
        <v>17.965986000000001</v>
      </c>
      <c r="BP226" s="744" t="str">
        <f t="shared" si="168"/>
        <v/>
      </c>
      <c r="BQ226" s="744" t="str">
        <f t="shared" si="169"/>
        <v/>
      </c>
      <c r="BR226" s="744" t="str">
        <f t="shared" si="170"/>
        <v/>
      </c>
      <c r="BS226" s="744" t="str">
        <f t="shared" si="171"/>
        <v/>
      </c>
      <c r="BT226" s="744">
        <f t="shared" si="172"/>
        <v>1.0742660000000002</v>
      </c>
      <c r="BU226" s="744">
        <f t="shared" si="173"/>
        <v>0.29314600000000002</v>
      </c>
      <c r="BV226" s="744" t="str">
        <f t="shared" si="174"/>
        <v/>
      </c>
      <c r="BW226" s="744" t="str">
        <f t="shared" si="175"/>
        <v/>
      </c>
      <c r="BX226" s="744" t="str">
        <f t="shared" si="176"/>
        <v/>
      </c>
      <c r="BY226" s="744" t="str">
        <f t="shared" si="177"/>
        <v/>
      </c>
      <c r="BZ226" s="744" t="str">
        <f t="shared" si="178"/>
        <v/>
      </c>
      <c r="CA226" s="744" t="str">
        <f t="shared" si="179"/>
        <v/>
      </c>
      <c r="CB226" s="744" t="str">
        <f t="shared" si="180"/>
        <v/>
      </c>
      <c r="CC226" s="744" t="str">
        <f t="shared" si="181"/>
        <v/>
      </c>
      <c r="CD226" s="744" t="str">
        <f t="shared" si="182"/>
        <v/>
      </c>
      <c r="CE226" s="744" t="str">
        <f t="shared" si="183"/>
        <v/>
      </c>
      <c r="CF226" s="744" t="str">
        <f t="shared" si="184"/>
        <v/>
      </c>
      <c r="CG226" s="744" t="str">
        <f t="shared" si="185"/>
        <v/>
      </c>
      <c r="CH226" s="744" t="str">
        <f t="shared" si="186"/>
        <v/>
      </c>
      <c r="CI226" s="744" t="str">
        <f t="shared" si="187"/>
        <v/>
      </c>
      <c r="CJ226" s="744" t="str">
        <f t="shared" si="188"/>
        <v/>
      </c>
      <c r="CK226" s="744" t="str">
        <f t="shared" si="189"/>
        <v/>
      </c>
      <c r="CL226" s="744" t="str">
        <f t="shared" si="190"/>
        <v/>
      </c>
      <c r="CM226" s="744" t="str">
        <f t="shared" si="191"/>
        <v/>
      </c>
      <c r="CN226" s="744" t="str">
        <f t="shared" si="192"/>
        <v/>
      </c>
      <c r="CO226" s="744" t="str">
        <f t="shared" si="193"/>
        <v/>
      </c>
      <c r="CP226" s="744" t="str">
        <f t="shared" si="194"/>
        <v/>
      </c>
      <c r="CQ226" s="744" t="str">
        <f t="shared" si="195"/>
        <v/>
      </c>
      <c r="CR226" s="744" t="str">
        <f t="shared" si="196"/>
        <v/>
      </c>
      <c r="CS226" s="744" t="str">
        <f t="shared" si="197"/>
        <v/>
      </c>
      <c r="CT226" s="744" t="str">
        <f t="shared" si="198"/>
        <v/>
      </c>
      <c r="CU226" s="744" t="str">
        <f t="shared" si="199"/>
        <v/>
      </c>
      <c r="CV226" s="744" t="str">
        <f t="shared" si="200"/>
        <v/>
      </c>
      <c r="CW226" s="744" t="str">
        <f t="shared" si="201"/>
        <v/>
      </c>
      <c r="CX226" s="744">
        <f t="shared" si="202"/>
        <v>0.24432600000000002</v>
      </c>
    </row>
    <row r="227" spans="1:102">
      <c r="A227" s="633">
        <v>223</v>
      </c>
      <c r="B227" s="630" t="s">
        <v>3</v>
      </c>
      <c r="C227" s="631" t="s">
        <v>254</v>
      </c>
      <c r="D227" s="630" t="s">
        <v>1390</v>
      </c>
      <c r="E227" s="632" t="s">
        <v>728</v>
      </c>
      <c r="F227" s="1067">
        <v>0.4</v>
      </c>
      <c r="G227" s="1066">
        <v>1</v>
      </c>
      <c r="H227" s="1070">
        <v>0.29289999999999999</v>
      </c>
      <c r="I227" s="1070">
        <v>0.18637226999999998</v>
      </c>
      <c r="J227" s="1070">
        <v>0.13730000000000001</v>
      </c>
      <c r="K227" s="1070">
        <v>4.5750980000000004E-2</v>
      </c>
      <c r="L227" s="1072">
        <v>0.14340384</v>
      </c>
      <c r="M227" s="1070"/>
      <c r="N227" s="1070">
        <v>1.76</v>
      </c>
      <c r="O227" s="1070"/>
      <c r="P227" s="1073">
        <v>5.3893599999999999</v>
      </c>
      <c r="Q227" s="1070">
        <v>34.532910000000001</v>
      </c>
      <c r="R227" s="1070"/>
      <c r="S227" s="1070"/>
      <c r="T227" s="1070"/>
      <c r="U227" s="1070"/>
      <c r="V227" s="1066"/>
      <c r="W227" s="1070"/>
      <c r="X227" s="1070"/>
      <c r="Y227" s="1070"/>
      <c r="Z227" s="1070"/>
      <c r="AA227" s="1070"/>
      <c r="AB227" s="1070"/>
      <c r="AC227" s="1070"/>
      <c r="AD227" s="1070"/>
      <c r="AE227" s="1070"/>
      <c r="AF227" s="1070"/>
      <c r="AG227" s="1070"/>
      <c r="AH227" s="1073"/>
      <c r="AI227" s="1070"/>
      <c r="AJ227" s="1070"/>
      <c r="AK227" s="1070"/>
      <c r="AL227" s="1082"/>
      <c r="AM227" s="1069"/>
      <c r="AN227" s="1070"/>
      <c r="AO227" s="1070"/>
      <c r="AP227" s="1070"/>
      <c r="AQ227" s="1070"/>
      <c r="AR227" s="1069"/>
      <c r="AS227" s="1282"/>
      <c r="AT227" s="1282"/>
      <c r="AU227" s="1069"/>
      <c r="AV227" s="1069"/>
      <c r="AW227" s="1069"/>
      <c r="AX227" s="1070"/>
      <c r="AY227" s="1070"/>
      <c r="AZ227" s="1078">
        <f t="shared" si="155"/>
        <v>0.29289999999999999</v>
      </c>
      <c r="BA227" s="59">
        <v>223</v>
      </c>
      <c r="BB227" s="59">
        <f t="shared" si="156"/>
        <v>223</v>
      </c>
      <c r="BC227" s="60" t="str">
        <f t="shared" si="157"/>
        <v>Silagem de Estilosantes</v>
      </c>
      <c r="BD227" s="61" t="str">
        <f ca="1">IFERROR(IF(SEARCH('Calcular Dieta'!A$3,$BC$5:$BC$310)&gt;=1,BC227,"Não encontrado"),"Não encontrado")</f>
        <v>Silagem de Estilosantes</v>
      </c>
      <c r="BE227" s="62">
        <f ca="1">COUNTIF(BD$5:BD227,"&lt;&gt;"&amp;"Não encontrado")</f>
        <v>223</v>
      </c>
      <c r="BF227" s="63" t="str">
        <f t="shared" ca="1" si="158"/>
        <v>SILAGEM DE ESTILOSANTES</v>
      </c>
      <c r="BG227" s="744">
        <f t="shared" si="159"/>
        <v>0.18659926999999998</v>
      </c>
      <c r="BH227" s="744">
        <f t="shared" si="160"/>
        <v>0.13752700000000001</v>
      </c>
      <c r="BI227" s="744">
        <f t="shared" si="161"/>
        <v>4.5977980000000002E-2</v>
      </c>
      <c r="BJ227" s="744">
        <f t="shared" si="162"/>
        <v>0.14363084000000001</v>
      </c>
      <c r="BK227" s="744" t="str">
        <f t="shared" si="163"/>
        <v/>
      </c>
      <c r="BL227" s="744">
        <f t="shared" si="164"/>
        <v>1.760227</v>
      </c>
      <c r="BM227" s="744" t="str">
        <f t="shared" si="165"/>
        <v/>
      </c>
      <c r="BN227" s="744">
        <f t="shared" si="166"/>
        <v>5.3895869999999997</v>
      </c>
      <c r="BO227" s="744">
        <f t="shared" si="167"/>
        <v>34.533137000000004</v>
      </c>
      <c r="BP227" s="744" t="str">
        <f t="shared" si="168"/>
        <v/>
      </c>
      <c r="BQ227" s="744" t="str">
        <f t="shared" si="169"/>
        <v/>
      </c>
      <c r="BR227" s="744" t="str">
        <f t="shared" si="170"/>
        <v/>
      </c>
      <c r="BS227" s="744" t="str">
        <f t="shared" si="171"/>
        <v/>
      </c>
      <c r="BT227" s="744" t="str">
        <f t="shared" si="172"/>
        <v/>
      </c>
      <c r="BU227" s="744" t="str">
        <f t="shared" si="173"/>
        <v/>
      </c>
      <c r="BV227" s="744" t="str">
        <f t="shared" si="174"/>
        <v/>
      </c>
      <c r="BW227" s="744" t="str">
        <f t="shared" si="175"/>
        <v/>
      </c>
      <c r="BX227" s="744" t="str">
        <f t="shared" si="176"/>
        <v/>
      </c>
      <c r="BY227" s="744" t="str">
        <f t="shared" si="177"/>
        <v/>
      </c>
      <c r="BZ227" s="744" t="str">
        <f t="shared" si="178"/>
        <v/>
      </c>
      <c r="CA227" s="744" t="str">
        <f t="shared" si="179"/>
        <v/>
      </c>
      <c r="CB227" s="744" t="str">
        <f t="shared" si="180"/>
        <v/>
      </c>
      <c r="CC227" s="744" t="str">
        <f t="shared" si="181"/>
        <v/>
      </c>
      <c r="CD227" s="744" t="str">
        <f t="shared" si="182"/>
        <v/>
      </c>
      <c r="CE227" s="744" t="str">
        <f t="shared" si="183"/>
        <v/>
      </c>
      <c r="CF227" s="744" t="str">
        <f t="shared" si="184"/>
        <v/>
      </c>
      <c r="CG227" s="744" t="str">
        <f t="shared" si="185"/>
        <v/>
      </c>
      <c r="CH227" s="744" t="str">
        <f t="shared" si="186"/>
        <v/>
      </c>
      <c r="CI227" s="744" t="str">
        <f t="shared" si="187"/>
        <v/>
      </c>
      <c r="CJ227" s="744" t="str">
        <f t="shared" si="188"/>
        <v/>
      </c>
      <c r="CK227" s="744" t="str">
        <f t="shared" si="189"/>
        <v/>
      </c>
      <c r="CL227" s="744" t="str">
        <f t="shared" si="190"/>
        <v/>
      </c>
      <c r="CM227" s="744" t="str">
        <f t="shared" si="191"/>
        <v/>
      </c>
      <c r="CN227" s="744" t="str">
        <f t="shared" si="192"/>
        <v/>
      </c>
      <c r="CO227" s="744" t="str">
        <f t="shared" si="193"/>
        <v/>
      </c>
      <c r="CP227" s="744" t="str">
        <f t="shared" si="194"/>
        <v/>
      </c>
      <c r="CQ227" s="744" t="str">
        <f t="shared" si="195"/>
        <v/>
      </c>
      <c r="CR227" s="744" t="str">
        <f t="shared" si="196"/>
        <v/>
      </c>
      <c r="CS227" s="744" t="str">
        <f t="shared" si="197"/>
        <v/>
      </c>
      <c r="CT227" s="744" t="str">
        <f t="shared" si="198"/>
        <v/>
      </c>
      <c r="CU227" s="744" t="str">
        <f t="shared" si="199"/>
        <v/>
      </c>
      <c r="CV227" s="744" t="str">
        <f t="shared" si="200"/>
        <v/>
      </c>
      <c r="CW227" s="744" t="str">
        <f t="shared" si="201"/>
        <v/>
      </c>
      <c r="CX227" s="744">
        <f t="shared" si="202"/>
        <v>0.29312699999999997</v>
      </c>
    </row>
    <row r="228" spans="1:102">
      <c r="A228" s="630">
        <v>224</v>
      </c>
      <c r="B228" s="630" t="s">
        <v>3</v>
      </c>
      <c r="C228" s="631" t="s">
        <v>254</v>
      </c>
      <c r="D228" s="630" t="s">
        <v>1392</v>
      </c>
      <c r="E228" s="632" t="s">
        <v>729</v>
      </c>
      <c r="F228" s="1067">
        <v>0.3</v>
      </c>
      <c r="G228" s="1066">
        <v>1</v>
      </c>
      <c r="H228" s="1070">
        <v>0.3</v>
      </c>
      <c r="I228" s="1070">
        <v>0.13500000000000001</v>
      </c>
      <c r="J228" s="1070">
        <v>0.108</v>
      </c>
      <c r="K228" s="1070"/>
      <c r="L228" s="1072">
        <v>0.183</v>
      </c>
      <c r="M228" s="1070">
        <v>0.80684699999999998</v>
      </c>
      <c r="N228" s="1070"/>
      <c r="O228" s="1070"/>
      <c r="P228" s="1073">
        <v>21.3</v>
      </c>
      <c r="Q228" s="1070">
        <v>33</v>
      </c>
      <c r="R228" s="1070">
        <v>19.8</v>
      </c>
      <c r="S228" s="1070"/>
      <c r="T228" s="1070"/>
      <c r="U228" s="1070"/>
      <c r="V228" s="1066">
        <v>3</v>
      </c>
      <c r="W228" s="1070">
        <v>0.9</v>
      </c>
      <c r="X228" s="1070">
        <v>0.9</v>
      </c>
      <c r="Y228" s="1070">
        <v>0.06</v>
      </c>
      <c r="Z228" s="1070">
        <v>4.2</v>
      </c>
      <c r="AA228" s="1070">
        <v>0.3</v>
      </c>
      <c r="AB228" s="1070">
        <v>1.5</v>
      </c>
      <c r="AC228" s="1070">
        <v>4.5</v>
      </c>
      <c r="AD228" s="1070">
        <v>7.5</v>
      </c>
      <c r="AE228" s="1070">
        <v>3</v>
      </c>
      <c r="AF228" s="1070">
        <v>7.4999999999999997E-2</v>
      </c>
      <c r="AG228" s="1070">
        <v>0.03</v>
      </c>
      <c r="AH228" s="1073">
        <v>0.03</v>
      </c>
      <c r="AI228" s="1070"/>
      <c r="AJ228" s="1070"/>
      <c r="AK228" s="1070"/>
      <c r="AL228" s="1082">
        <v>4500</v>
      </c>
      <c r="AM228" s="1069"/>
      <c r="AN228" s="1070"/>
      <c r="AO228" s="1070"/>
      <c r="AP228" s="1070"/>
      <c r="AQ228" s="1070"/>
      <c r="AR228" s="1069"/>
      <c r="AS228" s="1282"/>
      <c r="AT228" s="1282"/>
      <c r="AU228" s="1069"/>
      <c r="AV228" s="1069"/>
      <c r="AW228" s="1069"/>
      <c r="AX228" s="1070"/>
      <c r="AY228" s="1070"/>
      <c r="AZ228" s="1078">
        <f t="shared" si="155"/>
        <v>0.3</v>
      </c>
      <c r="BA228" s="59">
        <v>224</v>
      </c>
      <c r="BB228" s="59">
        <f t="shared" si="156"/>
        <v>224</v>
      </c>
      <c r="BC228" s="60" t="str">
        <f t="shared" si="157"/>
        <v>Silagem de Girassol</v>
      </c>
      <c r="BD228" s="61" t="str">
        <f ca="1">IFERROR(IF(SEARCH('Calcular Dieta'!A$3,$BC$5:$BC$310)&gt;=1,BC228,"Não encontrado"),"Não encontrado")</f>
        <v>Silagem de Girassol</v>
      </c>
      <c r="BE228" s="62">
        <f ca="1">COUNTIF(BD$5:BD228,"&lt;&gt;"&amp;"Não encontrado")</f>
        <v>224</v>
      </c>
      <c r="BF228" s="63" t="str">
        <f t="shared" ca="1" si="158"/>
        <v>SILAGEM DE GIRASSOL</v>
      </c>
      <c r="BG228" s="744">
        <f t="shared" si="159"/>
        <v>0.13522800000000001</v>
      </c>
      <c r="BH228" s="744">
        <f t="shared" si="160"/>
        <v>0.108228</v>
      </c>
      <c r="BI228" s="744" t="str">
        <f t="shared" si="161"/>
        <v/>
      </c>
      <c r="BJ228" s="744">
        <f t="shared" si="162"/>
        <v>0.183228</v>
      </c>
      <c r="BK228" s="744">
        <f t="shared" si="163"/>
        <v>0.80707499999999999</v>
      </c>
      <c r="BL228" s="744" t="str">
        <f t="shared" si="164"/>
        <v/>
      </c>
      <c r="BM228" s="744" t="str">
        <f t="shared" si="165"/>
        <v/>
      </c>
      <c r="BN228" s="744">
        <f t="shared" si="166"/>
        <v>21.300228000000001</v>
      </c>
      <c r="BO228" s="744">
        <f t="shared" si="167"/>
        <v>33.000228</v>
      </c>
      <c r="BP228" s="744">
        <f t="shared" si="168"/>
        <v>19.800228000000001</v>
      </c>
      <c r="BQ228" s="744" t="str">
        <f t="shared" si="169"/>
        <v/>
      </c>
      <c r="BR228" s="744" t="str">
        <f t="shared" si="170"/>
        <v/>
      </c>
      <c r="BS228" s="744" t="str">
        <f t="shared" si="171"/>
        <v/>
      </c>
      <c r="BT228" s="744">
        <f t="shared" si="172"/>
        <v>3.0002279999999999</v>
      </c>
      <c r="BU228" s="744">
        <f t="shared" si="173"/>
        <v>0.90022800000000003</v>
      </c>
      <c r="BV228" s="744">
        <f t="shared" si="174"/>
        <v>0.90022800000000003</v>
      </c>
      <c r="BW228" s="744">
        <f t="shared" si="175"/>
        <v>6.0227999999999997E-2</v>
      </c>
      <c r="BX228" s="744">
        <f t="shared" si="176"/>
        <v>4.2002280000000001</v>
      </c>
      <c r="BY228" s="744">
        <f t="shared" si="177"/>
        <v>0.30022799999999999</v>
      </c>
      <c r="BZ228" s="744">
        <f t="shared" si="178"/>
        <v>1.5002279999999999</v>
      </c>
      <c r="CA228" s="744">
        <f t="shared" si="179"/>
        <v>4.5002279999999999</v>
      </c>
      <c r="CB228" s="744">
        <f t="shared" si="180"/>
        <v>7.5002279999999999</v>
      </c>
      <c r="CC228" s="744">
        <f t="shared" si="181"/>
        <v>3.0002279999999999</v>
      </c>
      <c r="CD228" s="744">
        <f t="shared" si="182"/>
        <v>7.5228000000000003E-2</v>
      </c>
      <c r="CE228" s="744">
        <f t="shared" si="183"/>
        <v>3.0227999999999998E-2</v>
      </c>
      <c r="CF228" s="744">
        <f t="shared" si="184"/>
        <v>3.0227999999999998E-2</v>
      </c>
      <c r="CG228" s="744" t="str">
        <f t="shared" si="185"/>
        <v/>
      </c>
      <c r="CH228" s="744" t="str">
        <f t="shared" si="186"/>
        <v/>
      </c>
      <c r="CI228" s="744" t="str">
        <f t="shared" si="187"/>
        <v/>
      </c>
      <c r="CJ228" s="744">
        <f t="shared" si="188"/>
        <v>4500.0002279999999</v>
      </c>
      <c r="CK228" s="744" t="str">
        <f t="shared" si="189"/>
        <v/>
      </c>
      <c r="CL228" s="744" t="str">
        <f t="shared" si="190"/>
        <v/>
      </c>
      <c r="CM228" s="744" t="str">
        <f t="shared" si="191"/>
        <v/>
      </c>
      <c r="CN228" s="744" t="str">
        <f t="shared" si="192"/>
        <v/>
      </c>
      <c r="CO228" s="744" t="str">
        <f t="shared" si="193"/>
        <v/>
      </c>
      <c r="CP228" s="744" t="str">
        <f t="shared" si="194"/>
        <v/>
      </c>
      <c r="CQ228" s="744" t="str">
        <f t="shared" si="195"/>
        <v/>
      </c>
      <c r="CR228" s="744" t="str">
        <f t="shared" si="196"/>
        <v/>
      </c>
      <c r="CS228" s="744" t="str">
        <f t="shared" si="197"/>
        <v/>
      </c>
      <c r="CT228" s="744" t="str">
        <f t="shared" si="198"/>
        <v/>
      </c>
      <c r="CU228" s="744" t="str">
        <f t="shared" si="199"/>
        <v/>
      </c>
      <c r="CV228" s="744" t="str">
        <f t="shared" si="200"/>
        <v/>
      </c>
      <c r="CW228" s="744" t="str">
        <f t="shared" si="201"/>
        <v/>
      </c>
      <c r="CX228" s="744">
        <f t="shared" si="202"/>
        <v>0.30022799999999999</v>
      </c>
    </row>
    <row r="229" spans="1:102">
      <c r="A229" s="633">
        <v>225</v>
      </c>
      <c r="B229" s="630" t="s">
        <v>3</v>
      </c>
      <c r="C229" s="631" t="s">
        <v>254</v>
      </c>
      <c r="D229" s="630" t="s">
        <v>1390</v>
      </c>
      <c r="E229" s="632" t="s">
        <v>730</v>
      </c>
      <c r="F229" s="1067">
        <v>0.3</v>
      </c>
      <c r="G229" s="1066">
        <v>1</v>
      </c>
      <c r="H229" s="1070">
        <v>0.2477</v>
      </c>
      <c r="I229" s="1070">
        <v>0.11909416</v>
      </c>
      <c r="J229" s="1070">
        <v>8.5599999999999996E-2</v>
      </c>
      <c r="K229" s="1070">
        <v>4.6914380000000006E-2</v>
      </c>
      <c r="L229" s="1072">
        <v>0.13888539</v>
      </c>
      <c r="M229" s="1070"/>
      <c r="N229" s="1070">
        <v>2.02</v>
      </c>
      <c r="O229" s="1070"/>
      <c r="P229" s="1073">
        <v>30.690030000000004</v>
      </c>
      <c r="Q229" s="1070">
        <v>23.803969999999996</v>
      </c>
      <c r="R229" s="1070"/>
      <c r="S229" s="1070"/>
      <c r="T229" s="1070"/>
      <c r="U229" s="1070"/>
      <c r="V229" s="1066">
        <v>2.5265400000000002</v>
      </c>
      <c r="W229" s="1070">
        <v>0.59448000000000001</v>
      </c>
      <c r="X229" s="1070">
        <v>1.6843600000000003</v>
      </c>
      <c r="Y229" s="1070">
        <v>4.9540000000000001E-2</v>
      </c>
      <c r="Z229" s="1070">
        <v>5.1273900000000001</v>
      </c>
      <c r="AA229" s="1070"/>
      <c r="AB229" s="1070"/>
      <c r="AC229" s="1070"/>
      <c r="AD229" s="1070"/>
      <c r="AE229" s="1070"/>
      <c r="AF229" s="1070"/>
      <c r="AG229" s="1070"/>
      <c r="AH229" s="1073"/>
      <c r="AI229" s="1070"/>
      <c r="AJ229" s="1070"/>
      <c r="AK229" s="1070"/>
      <c r="AL229" s="1082"/>
      <c r="AM229" s="1069"/>
      <c r="AN229" s="1070"/>
      <c r="AO229" s="1070"/>
      <c r="AP229" s="1070"/>
      <c r="AQ229" s="1070"/>
      <c r="AR229" s="1069"/>
      <c r="AS229" s="1282"/>
      <c r="AT229" s="1282"/>
      <c r="AU229" s="1069"/>
      <c r="AV229" s="1069"/>
      <c r="AW229" s="1069"/>
      <c r="AX229" s="1070"/>
      <c r="AY229" s="1070"/>
      <c r="AZ229" s="1078">
        <f t="shared" si="155"/>
        <v>0.2477</v>
      </c>
      <c r="BA229" s="59">
        <v>225</v>
      </c>
      <c r="BB229" s="59">
        <f t="shared" si="156"/>
        <v>225</v>
      </c>
      <c r="BC229" s="60" t="str">
        <f t="shared" si="157"/>
        <v>Silagem de Girassol (BRC3.0)</v>
      </c>
      <c r="BD229" s="61" t="str">
        <f ca="1">IFERROR(IF(SEARCH('Calcular Dieta'!A$3,$BC$5:$BC$310)&gt;=1,BC229,"Não encontrado"),"Não encontrado")</f>
        <v>Silagem de Girassol (BRC3.0)</v>
      </c>
      <c r="BE229" s="62">
        <f ca="1">COUNTIF(BD$5:BD229,"&lt;&gt;"&amp;"Não encontrado")</f>
        <v>225</v>
      </c>
      <c r="BF229" s="63" t="str">
        <f t="shared" ca="1" si="158"/>
        <v>SILAGEM DE GIRASSOL (BRC3.0)</v>
      </c>
      <c r="BG229" s="744">
        <f t="shared" si="159"/>
        <v>0.11932316</v>
      </c>
      <c r="BH229" s="744">
        <f t="shared" si="160"/>
        <v>8.5828999999999989E-2</v>
      </c>
      <c r="BI229" s="744">
        <f t="shared" si="161"/>
        <v>4.7143380000000006E-2</v>
      </c>
      <c r="BJ229" s="744">
        <f t="shared" si="162"/>
        <v>0.13911439</v>
      </c>
      <c r="BK229" s="744" t="str">
        <f t="shared" si="163"/>
        <v/>
      </c>
      <c r="BL229" s="744">
        <f t="shared" si="164"/>
        <v>2.0202290000000001</v>
      </c>
      <c r="BM229" s="744" t="str">
        <f t="shared" si="165"/>
        <v/>
      </c>
      <c r="BN229" s="744">
        <f t="shared" si="166"/>
        <v>30.690259000000005</v>
      </c>
      <c r="BO229" s="744">
        <f t="shared" si="167"/>
        <v>23.804198999999997</v>
      </c>
      <c r="BP229" s="744" t="str">
        <f t="shared" si="168"/>
        <v/>
      </c>
      <c r="BQ229" s="744" t="str">
        <f t="shared" si="169"/>
        <v/>
      </c>
      <c r="BR229" s="744" t="str">
        <f t="shared" si="170"/>
        <v/>
      </c>
      <c r="BS229" s="744" t="str">
        <f t="shared" si="171"/>
        <v/>
      </c>
      <c r="BT229" s="744">
        <f t="shared" si="172"/>
        <v>2.5267690000000003</v>
      </c>
      <c r="BU229" s="744">
        <f t="shared" si="173"/>
        <v>0.59470900000000004</v>
      </c>
      <c r="BV229" s="744">
        <f t="shared" si="174"/>
        <v>1.6845890000000003</v>
      </c>
      <c r="BW229" s="744">
        <f t="shared" si="175"/>
        <v>4.9769000000000001E-2</v>
      </c>
      <c r="BX229" s="744">
        <f t="shared" si="176"/>
        <v>5.1276190000000001</v>
      </c>
      <c r="BY229" s="744" t="str">
        <f t="shared" si="177"/>
        <v/>
      </c>
      <c r="BZ229" s="744" t="str">
        <f t="shared" si="178"/>
        <v/>
      </c>
      <c r="CA229" s="744" t="str">
        <f t="shared" si="179"/>
        <v/>
      </c>
      <c r="CB229" s="744" t="str">
        <f t="shared" si="180"/>
        <v/>
      </c>
      <c r="CC229" s="744" t="str">
        <f t="shared" si="181"/>
        <v/>
      </c>
      <c r="CD229" s="744" t="str">
        <f t="shared" si="182"/>
        <v/>
      </c>
      <c r="CE229" s="744" t="str">
        <f t="shared" si="183"/>
        <v/>
      </c>
      <c r="CF229" s="744" t="str">
        <f t="shared" si="184"/>
        <v/>
      </c>
      <c r="CG229" s="744" t="str">
        <f t="shared" si="185"/>
        <v/>
      </c>
      <c r="CH229" s="744" t="str">
        <f t="shared" si="186"/>
        <v/>
      </c>
      <c r="CI229" s="744" t="str">
        <f t="shared" si="187"/>
        <v/>
      </c>
      <c r="CJ229" s="744" t="str">
        <f t="shared" si="188"/>
        <v/>
      </c>
      <c r="CK229" s="744" t="str">
        <f t="shared" si="189"/>
        <v/>
      </c>
      <c r="CL229" s="744" t="str">
        <f t="shared" si="190"/>
        <v/>
      </c>
      <c r="CM229" s="744" t="str">
        <f t="shared" si="191"/>
        <v/>
      </c>
      <c r="CN229" s="744" t="str">
        <f t="shared" si="192"/>
        <v/>
      </c>
      <c r="CO229" s="744" t="str">
        <f t="shared" si="193"/>
        <v/>
      </c>
      <c r="CP229" s="744" t="str">
        <f t="shared" si="194"/>
        <v/>
      </c>
      <c r="CQ229" s="744" t="str">
        <f t="shared" si="195"/>
        <v/>
      </c>
      <c r="CR229" s="744" t="str">
        <f t="shared" si="196"/>
        <v/>
      </c>
      <c r="CS229" s="744" t="str">
        <f t="shared" si="197"/>
        <v/>
      </c>
      <c r="CT229" s="744" t="str">
        <f t="shared" si="198"/>
        <v/>
      </c>
      <c r="CU229" s="744" t="str">
        <f t="shared" si="199"/>
        <v/>
      </c>
      <c r="CV229" s="744" t="str">
        <f t="shared" si="200"/>
        <v/>
      </c>
      <c r="CW229" s="744" t="str">
        <f t="shared" si="201"/>
        <v/>
      </c>
      <c r="CX229" s="744">
        <f t="shared" si="202"/>
        <v>0.24792900000000001</v>
      </c>
    </row>
    <row r="230" spans="1:102">
      <c r="A230" s="630">
        <v>226</v>
      </c>
      <c r="B230" s="630" t="s">
        <v>3</v>
      </c>
      <c r="C230" s="631" t="s">
        <v>254</v>
      </c>
      <c r="D230" s="630" t="s">
        <v>1390</v>
      </c>
      <c r="E230" s="632" t="s">
        <v>735</v>
      </c>
      <c r="F230" s="1067">
        <v>0.3</v>
      </c>
      <c r="G230" s="1066">
        <v>1</v>
      </c>
      <c r="H230" s="1070">
        <v>0.31140000000000001</v>
      </c>
      <c r="I230" s="1070">
        <v>0.16809372</v>
      </c>
      <c r="J230" s="1070">
        <v>9.5000000000000001E-2</v>
      </c>
      <c r="K230" s="1070">
        <v>0.10481723999999999</v>
      </c>
      <c r="L230" s="1072">
        <v>0.19879776000000002</v>
      </c>
      <c r="M230" s="1070"/>
      <c r="N230" s="1070">
        <v>2.29</v>
      </c>
      <c r="O230" s="1070"/>
      <c r="P230" s="1073">
        <v>8.9060400000000008</v>
      </c>
      <c r="Q230" s="1070">
        <v>22.358520000000002</v>
      </c>
      <c r="R230" s="1070">
        <v>15.75684</v>
      </c>
      <c r="S230" s="1070">
        <v>5.1692400000000003</v>
      </c>
      <c r="T230" s="1070">
        <v>13.63932</v>
      </c>
      <c r="U230" s="1070"/>
      <c r="V230" s="1066">
        <v>0.87192000000000025</v>
      </c>
      <c r="W230" s="1070">
        <v>0.59166000000000007</v>
      </c>
      <c r="X230" s="1070">
        <v>0.43596000000000013</v>
      </c>
      <c r="Y230" s="1070">
        <v>0.12456000000000002</v>
      </c>
      <c r="Z230" s="1070">
        <v>2.9894400000000001</v>
      </c>
      <c r="AA230" s="1070">
        <v>0.24912000000000004</v>
      </c>
      <c r="AB230" s="1070">
        <v>5.6</v>
      </c>
      <c r="AC230" s="1070">
        <v>19.41</v>
      </c>
      <c r="AD230" s="1070">
        <v>185.19</v>
      </c>
      <c r="AE230" s="1070">
        <v>26.07</v>
      </c>
      <c r="AF230" s="1070">
        <v>0.08</v>
      </c>
      <c r="AG230" s="1070">
        <v>0.2</v>
      </c>
      <c r="AH230" s="1073">
        <v>0.03</v>
      </c>
      <c r="AI230" s="1070"/>
      <c r="AJ230" s="1070"/>
      <c r="AK230" s="1070"/>
      <c r="AL230" s="1082"/>
      <c r="AM230" s="1069"/>
      <c r="AN230" s="1070"/>
      <c r="AO230" s="1070"/>
      <c r="AP230" s="1070"/>
      <c r="AQ230" s="1070"/>
      <c r="AR230" s="1069"/>
      <c r="AS230" s="1282"/>
      <c r="AT230" s="1282"/>
      <c r="AU230" s="1069"/>
      <c r="AV230" s="1069"/>
      <c r="AW230" s="1069"/>
      <c r="AX230" s="1070"/>
      <c r="AY230" s="1070"/>
      <c r="AZ230" s="1078">
        <f t="shared" si="155"/>
        <v>0.31140000000000001</v>
      </c>
      <c r="BA230" s="59">
        <v>226</v>
      </c>
      <c r="BB230" s="59">
        <f t="shared" si="156"/>
        <v>226</v>
      </c>
      <c r="BC230" s="60" t="str">
        <f t="shared" si="157"/>
        <v>Silagem de Milho</v>
      </c>
      <c r="BD230" s="61" t="str">
        <f ca="1">IFERROR(IF(SEARCH('Calcular Dieta'!A$3,$BC$5:$BC$310)&gt;=1,BC230,"Não encontrado"),"Não encontrado")</f>
        <v>Silagem de Milho</v>
      </c>
      <c r="BE230" s="62">
        <f ca="1">COUNTIF(BD$5:BD230,"&lt;&gt;"&amp;"Não encontrado")</f>
        <v>226</v>
      </c>
      <c r="BF230" s="63" t="str">
        <f t="shared" ca="1" si="158"/>
        <v>SILAGEM DE MILHO</v>
      </c>
      <c r="BG230" s="744">
        <f t="shared" si="159"/>
        <v>0.16832372000000001</v>
      </c>
      <c r="BH230" s="744">
        <f t="shared" si="160"/>
        <v>9.5229999999999995E-2</v>
      </c>
      <c r="BI230" s="744">
        <f t="shared" si="161"/>
        <v>0.10504723999999999</v>
      </c>
      <c r="BJ230" s="744">
        <f t="shared" si="162"/>
        <v>0.19902776000000003</v>
      </c>
      <c r="BK230" s="744" t="str">
        <f t="shared" si="163"/>
        <v/>
      </c>
      <c r="BL230" s="744">
        <f t="shared" si="164"/>
        <v>2.2902300000000002</v>
      </c>
      <c r="BM230" s="744" t="str">
        <f t="shared" si="165"/>
        <v/>
      </c>
      <c r="BN230" s="744">
        <f t="shared" si="166"/>
        <v>8.906270000000001</v>
      </c>
      <c r="BO230" s="744">
        <f t="shared" si="167"/>
        <v>22.358750000000001</v>
      </c>
      <c r="BP230" s="744">
        <f t="shared" si="168"/>
        <v>15.757070000000001</v>
      </c>
      <c r="BQ230" s="744">
        <f t="shared" si="169"/>
        <v>5.1694700000000005</v>
      </c>
      <c r="BR230" s="744">
        <f t="shared" si="170"/>
        <v>13.63955</v>
      </c>
      <c r="BS230" s="744" t="str">
        <f t="shared" si="171"/>
        <v/>
      </c>
      <c r="BT230" s="744">
        <f t="shared" si="172"/>
        <v>0.8721500000000002</v>
      </c>
      <c r="BU230" s="744">
        <f t="shared" si="173"/>
        <v>0.59189000000000003</v>
      </c>
      <c r="BV230" s="744">
        <f t="shared" si="174"/>
        <v>0.43619000000000013</v>
      </c>
      <c r="BW230" s="744">
        <f t="shared" si="175"/>
        <v>0.12479000000000001</v>
      </c>
      <c r="BX230" s="744">
        <f t="shared" si="176"/>
        <v>2.9896700000000003</v>
      </c>
      <c r="BY230" s="744">
        <f t="shared" si="177"/>
        <v>0.24935000000000004</v>
      </c>
      <c r="BZ230" s="744">
        <f t="shared" si="178"/>
        <v>5.6002299999999998</v>
      </c>
      <c r="CA230" s="744">
        <f t="shared" si="179"/>
        <v>19.410229999999999</v>
      </c>
      <c r="CB230" s="744">
        <f t="shared" si="180"/>
        <v>185.19022999999999</v>
      </c>
      <c r="CC230" s="744">
        <f t="shared" si="181"/>
        <v>26.070229999999999</v>
      </c>
      <c r="CD230" s="744">
        <f t="shared" si="182"/>
        <v>8.0229999999999996E-2</v>
      </c>
      <c r="CE230" s="744">
        <f t="shared" si="183"/>
        <v>0.20023000000000002</v>
      </c>
      <c r="CF230" s="744">
        <f t="shared" si="184"/>
        <v>3.023E-2</v>
      </c>
      <c r="CG230" s="744" t="str">
        <f t="shared" si="185"/>
        <v/>
      </c>
      <c r="CH230" s="744" t="str">
        <f t="shared" si="186"/>
        <v/>
      </c>
      <c r="CI230" s="744" t="str">
        <f t="shared" si="187"/>
        <v/>
      </c>
      <c r="CJ230" s="744" t="str">
        <f t="shared" si="188"/>
        <v/>
      </c>
      <c r="CK230" s="744" t="str">
        <f t="shared" si="189"/>
        <v/>
      </c>
      <c r="CL230" s="744" t="str">
        <f t="shared" si="190"/>
        <v/>
      </c>
      <c r="CM230" s="744" t="str">
        <f t="shared" si="191"/>
        <v/>
      </c>
      <c r="CN230" s="744" t="str">
        <f t="shared" si="192"/>
        <v/>
      </c>
      <c r="CO230" s="744" t="str">
        <f t="shared" si="193"/>
        <v/>
      </c>
      <c r="CP230" s="744" t="str">
        <f t="shared" si="194"/>
        <v/>
      </c>
      <c r="CQ230" s="744" t="str">
        <f t="shared" si="195"/>
        <v/>
      </c>
      <c r="CR230" s="744" t="str">
        <f t="shared" si="196"/>
        <v/>
      </c>
      <c r="CS230" s="744" t="str">
        <f t="shared" si="197"/>
        <v/>
      </c>
      <c r="CT230" s="744" t="str">
        <f t="shared" si="198"/>
        <v/>
      </c>
      <c r="CU230" s="744" t="str">
        <f t="shared" si="199"/>
        <v/>
      </c>
      <c r="CV230" s="744" t="str">
        <f t="shared" si="200"/>
        <v/>
      </c>
      <c r="CW230" s="744" t="str">
        <f t="shared" si="201"/>
        <v/>
      </c>
      <c r="CX230" s="744">
        <f t="shared" si="202"/>
        <v>0.31163000000000002</v>
      </c>
    </row>
    <row r="231" spans="1:102">
      <c r="A231" s="633">
        <v>227</v>
      </c>
      <c r="B231" s="630" t="s">
        <v>3</v>
      </c>
      <c r="C231" s="631" t="s">
        <v>254</v>
      </c>
      <c r="D231" s="630" t="s">
        <v>1390</v>
      </c>
      <c r="E231" s="632" t="s">
        <v>732</v>
      </c>
      <c r="F231" s="1067">
        <v>0.3</v>
      </c>
      <c r="G231" s="1066">
        <v>1</v>
      </c>
      <c r="H231" s="1070">
        <v>0.55220000000000002</v>
      </c>
      <c r="I231" s="1070">
        <v>0.1880241</v>
      </c>
      <c r="J231" s="1070">
        <v>9.2438279999999998E-2</v>
      </c>
      <c r="K231" s="1070">
        <v>0.33706288000000001</v>
      </c>
      <c r="L231" s="1072">
        <v>0.47439502</v>
      </c>
      <c r="M231" s="1070"/>
      <c r="N231" s="1070">
        <v>3.19</v>
      </c>
      <c r="O231" s="1070"/>
      <c r="P231" s="1073">
        <v>20.431400000000004</v>
      </c>
      <c r="Q231" s="1070">
        <v>44.78342</v>
      </c>
      <c r="R231" s="1070">
        <v>22.6402</v>
      </c>
      <c r="S231" s="1070">
        <v>21.480580000000003</v>
      </c>
      <c r="T231" s="1070">
        <v>31.972380000000001</v>
      </c>
      <c r="U231" s="1070"/>
      <c r="V231" s="1066">
        <v>0.27610000000000007</v>
      </c>
      <c r="W231" s="1070">
        <v>1.4909400000000002</v>
      </c>
      <c r="X231" s="1070">
        <v>0.6626399999999999</v>
      </c>
      <c r="Y231" s="1070">
        <v>0.11044000000000001</v>
      </c>
      <c r="Z231" s="1070">
        <v>2.5953399999999998</v>
      </c>
      <c r="AA231" s="1070">
        <v>0.55220000000000014</v>
      </c>
      <c r="AB231" s="1070">
        <v>3.75</v>
      </c>
      <c r="AC231" s="1070">
        <v>21.5</v>
      </c>
      <c r="AD231" s="1070">
        <v>37</v>
      </c>
      <c r="AE231" s="1070">
        <v>11.1</v>
      </c>
      <c r="AF231" s="1070"/>
      <c r="AG231" s="1070"/>
      <c r="AH231" s="1073"/>
      <c r="AI231" s="1070"/>
      <c r="AJ231" s="1070"/>
      <c r="AK231" s="1070"/>
      <c r="AL231" s="1082"/>
      <c r="AM231" s="1069"/>
      <c r="AN231" s="1070"/>
      <c r="AO231" s="1070"/>
      <c r="AP231" s="1070"/>
      <c r="AQ231" s="1070"/>
      <c r="AR231" s="1069"/>
      <c r="AS231" s="1282"/>
      <c r="AT231" s="1282"/>
      <c r="AU231" s="1069"/>
      <c r="AV231" s="1069"/>
      <c r="AW231" s="1069"/>
      <c r="AX231" s="1070"/>
      <c r="AY231" s="1070"/>
      <c r="AZ231" s="1078">
        <f t="shared" si="155"/>
        <v>0.55220000000000002</v>
      </c>
      <c r="BA231" s="59">
        <v>227</v>
      </c>
      <c r="BB231" s="59">
        <f t="shared" si="156"/>
        <v>227</v>
      </c>
      <c r="BC231" s="60" t="str">
        <f t="shared" si="157"/>
        <v>Silagem de Milho Espiga (Earlage)</v>
      </c>
      <c r="BD231" s="61" t="str">
        <f ca="1">IFERROR(IF(SEARCH('Calcular Dieta'!A$3,$BC$5:$BC$310)&gt;=1,BC231,"Não encontrado"),"Não encontrado")</f>
        <v>Silagem de Milho Espiga (Earlage)</v>
      </c>
      <c r="BE231" s="62">
        <f ca="1">COUNTIF(BD$5:BD231,"&lt;&gt;"&amp;"Não encontrado")</f>
        <v>227</v>
      </c>
      <c r="BF231" s="63" t="str">
        <f t="shared" ca="1" si="158"/>
        <v>SILAGEM DE MILHO ESPIGA (EARLAGE)</v>
      </c>
      <c r="BG231" s="744">
        <f t="shared" si="159"/>
        <v>0.18825510000000001</v>
      </c>
      <c r="BH231" s="744">
        <f t="shared" si="160"/>
        <v>9.2669279999999993E-2</v>
      </c>
      <c r="BI231" s="744">
        <f t="shared" si="161"/>
        <v>0.33729387999999999</v>
      </c>
      <c r="BJ231" s="744">
        <f t="shared" si="162"/>
        <v>0.47462601999999998</v>
      </c>
      <c r="BK231" s="744" t="str">
        <f t="shared" si="163"/>
        <v/>
      </c>
      <c r="BL231" s="744">
        <f t="shared" si="164"/>
        <v>3.1902309999999998</v>
      </c>
      <c r="BM231" s="744" t="str">
        <f t="shared" si="165"/>
        <v/>
      </c>
      <c r="BN231" s="744">
        <f t="shared" si="166"/>
        <v>20.431631000000003</v>
      </c>
      <c r="BO231" s="744">
        <f t="shared" si="167"/>
        <v>44.783650999999999</v>
      </c>
      <c r="BP231" s="744">
        <f t="shared" si="168"/>
        <v>22.640431</v>
      </c>
      <c r="BQ231" s="744">
        <f t="shared" si="169"/>
        <v>21.480811000000003</v>
      </c>
      <c r="BR231" s="744">
        <f t="shared" si="170"/>
        <v>31.972611000000001</v>
      </c>
      <c r="BS231" s="744" t="str">
        <f t="shared" si="171"/>
        <v/>
      </c>
      <c r="BT231" s="744">
        <f t="shared" si="172"/>
        <v>0.27633100000000005</v>
      </c>
      <c r="BU231" s="744">
        <f t="shared" si="173"/>
        <v>1.4911710000000002</v>
      </c>
      <c r="BV231" s="744">
        <f t="shared" si="174"/>
        <v>0.66287099999999988</v>
      </c>
      <c r="BW231" s="744">
        <f t="shared" si="175"/>
        <v>0.11067100000000001</v>
      </c>
      <c r="BX231" s="744">
        <f t="shared" si="176"/>
        <v>2.5955709999999996</v>
      </c>
      <c r="BY231" s="744">
        <f t="shared" si="177"/>
        <v>0.55243100000000012</v>
      </c>
      <c r="BZ231" s="744">
        <f t="shared" si="178"/>
        <v>3.7502309999999999</v>
      </c>
      <c r="CA231" s="744">
        <f t="shared" si="179"/>
        <v>21.500230999999999</v>
      </c>
      <c r="CB231" s="744">
        <f t="shared" si="180"/>
        <v>37.000230999999999</v>
      </c>
      <c r="CC231" s="744">
        <f t="shared" si="181"/>
        <v>11.100230999999999</v>
      </c>
      <c r="CD231" s="744" t="str">
        <f t="shared" si="182"/>
        <v/>
      </c>
      <c r="CE231" s="744" t="str">
        <f t="shared" si="183"/>
        <v/>
      </c>
      <c r="CF231" s="744" t="str">
        <f t="shared" si="184"/>
        <v/>
      </c>
      <c r="CG231" s="744" t="str">
        <f t="shared" si="185"/>
        <v/>
      </c>
      <c r="CH231" s="744" t="str">
        <f t="shared" si="186"/>
        <v/>
      </c>
      <c r="CI231" s="744" t="str">
        <f t="shared" si="187"/>
        <v/>
      </c>
      <c r="CJ231" s="744" t="str">
        <f t="shared" si="188"/>
        <v/>
      </c>
      <c r="CK231" s="744" t="str">
        <f t="shared" si="189"/>
        <v/>
      </c>
      <c r="CL231" s="744" t="str">
        <f t="shared" si="190"/>
        <v/>
      </c>
      <c r="CM231" s="744" t="str">
        <f t="shared" si="191"/>
        <v/>
      </c>
      <c r="CN231" s="744" t="str">
        <f t="shared" si="192"/>
        <v/>
      </c>
      <c r="CO231" s="744" t="str">
        <f t="shared" si="193"/>
        <v/>
      </c>
      <c r="CP231" s="744" t="str">
        <f t="shared" si="194"/>
        <v/>
      </c>
      <c r="CQ231" s="744" t="str">
        <f t="shared" si="195"/>
        <v/>
      </c>
      <c r="CR231" s="744" t="str">
        <f t="shared" si="196"/>
        <v/>
      </c>
      <c r="CS231" s="744" t="str">
        <f t="shared" si="197"/>
        <v/>
      </c>
      <c r="CT231" s="744" t="str">
        <f t="shared" si="198"/>
        <v/>
      </c>
      <c r="CU231" s="744" t="str">
        <f t="shared" si="199"/>
        <v/>
      </c>
      <c r="CV231" s="744" t="str">
        <f t="shared" si="200"/>
        <v/>
      </c>
      <c r="CW231" s="744" t="str">
        <f t="shared" si="201"/>
        <v/>
      </c>
      <c r="CX231" s="744">
        <f t="shared" si="202"/>
        <v>0.55243100000000001</v>
      </c>
    </row>
    <row r="232" spans="1:102">
      <c r="A232" s="630">
        <v>228</v>
      </c>
      <c r="B232" s="630" t="s">
        <v>4</v>
      </c>
      <c r="C232" s="631" t="s">
        <v>252</v>
      </c>
      <c r="D232" s="630" t="s">
        <v>1390</v>
      </c>
      <c r="E232" s="632" t="s">
        <v>731</v>
      </c>
      <c r="F232" s="1067">
        <v>0.3</v>
      </c>
      <c r="G232" s="1066">
        <v>1</v>
      </c>
      <c r="H232" s="1070">
        <v>0.65760000000000007</v>
      </c>
      <c r="I232" s="1070">
        <v>5.2936800000000006E-2</v>
      </c>
      <c r="J232" s="1070">
        <v>2.8000000000000001E-2</v>
      </c>
      <c r="K232" s="1070">
        <v>0.50168304000000008</v>
      </c>
      <c r="L232" s="1072">
        <v>0.65470656000000005</v>
      </c>
      <c r="M232" s="1070"/>
      <c r="N232" s="1070">
        <v>3.74</v>
      </c>
      <c r="O232" s="1070"/>
      <c r="P232" s="1073">
        <v>30.70992</v>
      </c>
      <c r="Q232" s="1070">
        <v>61.222560000000009</v>
      </c>
      <c r="R232" s="1070">
        <v>27.421920000000004</v>
      </c>
      <c r="S232" s="1279">
        <v>33.800640000000001</v>
      </c>
      <c r="T232" s="1070">
        <v>45.768960000000007</v>
      </c>
      <c r="U232" s="1070"/>
      <c r="V232" s="1066"/>
      <c r="W232" s="1070"/>
      <c r="X232" s="1070"/>
      <c r="Y232" s="1070"/>
      <c r="Z232" s="1070"/>
      <c r="AA232" s="1070"/>
      <c r="AB232" s="1070"/>
      <c r="AC232" s="1070"/>
      <c r="AD232" s="1070"/>
      <c r="AE232" s="1070"/>
      <c r="AF232" s="1070"/>
      <c r="AG232" s="1070"/>
      <c r="AH232" s="1073"/>
      <c r="AI232" s="1070"/>
      <c r="AJ232" s="1070"/>
      <c r="AK232" s="1070"/>
      <c r="AL232" s="1082"/>
      <c r="AM232" s="1069"/>
      <c r="AN232" s="1070"/>
      <c r="AO232" s="1070"/>
      <c r="AP232" s="1070"/>
      <c r="AQ232" s="1070"/>
      <c r="AR232" s="1069"/>
      <c r="AS232" s="1282"/>
      <c r="AT232" s="1282"/>
      <c r="AU232" s="1069"/>
      <c r="AV232" s="1069"/>
      <c r="AW232" s="1069"/>
      <c r="AX232" s="1070"/>
      <c r="AY232" s="1070"/>
      <c r="AZ232" s="1078">
        <f t="shared" si="155"/>
        <v>0.65760000000000007</v>
      </c>
      <c r="BA232" s="59">
        <v>228</v>
      </c>
      <c r="BB232" s="59">
        <f t="shared" si="156"/>
        <v>228</v>
      </c>
      <c r="BC232" s="60" t="str">
        <f t="shared" si="157"/>
        <v>Silagem de Milho Grão Reidratado</v>
      </c>
      <c r="BD232" s="61" t="str">
        <f ca="1">IFERROR(IF(SEARCH('Calcular Dieta'!A$3,$BC$5:$BC$310)&gt;=1,BC232,"Não encontrado"),"Não encontrado")</f>
        <v>Silagem de Milho Grão Reidratado</v>
      </c>
      <c r="BE232" s="62">
        <f ca="1">COUNTIF(BD$5:BD232,"&lt;&gt;"&amp;"Não encontrado")</f>
        <v>228</v>
      </c>
      <c r="BF232" s="63" t="str">
        <f t="shared" ca="1" si="158"/>
        <v>SILAGEM DE MILHO GRÃO REIDRATADO</v>
      </c>
      <c r="BG232" s="744">
        <f t="shared" si="159"/>
        <v>5.3168800000000009E-2</v>
      </c>
      <c r="BH232" s="744">
        <f t="shared" si="160"/>
        <v>2.8232E-2</v>
      </c>
      <c r="BI232" s="744">
        <f t="shared" si="161"/>
        <v>0.50191504000000009</v>
      </c>
      <c r="BJ232" s="744">
        <f t="shared" si="162"/>
        <v>0.65493856000000006</v>
      </c>
      <c r="BK232" s="744" t="str">
        <f t="shared" si="163"/>
        <v/>
      </c>
      <c r="BL232" s="744">
        <f t="shared" si="164"/>
        <v>3.7402320000000002</v>
      </c>
      <c r="BM232" s="744" t="str">
        <f t="shared" si="165"/>
        <v/>
      </c>
      <c r="BN232" s="744">
        <f t="shared" si="166"/>
        <v>30.710152000000001</v>
      </c>
      <c r="BO232" s="744">
        <f t="shared" si="167"/>
        <v>61.222792000000005</v>
      </c>
      <c r="BP232" s="744">
        <f t="shared" si="168"/>
        <v>27.422152000000004</v>
      </c>
      <c r="BQ232" s="744">
        <f t="shared" si="169"/>
        <v>33.800871999999998</v>
      </c>
      <c r="BR232" s="744">
        <f t="shared" si="170"/>
        <v>45.769192000000004</v>
      </c>
      <c r="BS232" s="744" t="str">
        <f t="shared" si="171"/>
        <v/>
      </c>
      <c r="BT232" s="744" t="str">
        <f t="shared" si="172"/>
        <v/>
      </c>
      <c r="BU232" s="744" t="str">
        <f t="shared" si="173"/>
        <v/>
      </c>
      <c r="BV232" s="744" t="str">
        <f t="shared" si="174"/>
        <v/>
      </c>
      <c r="BW232" s="744" t="str">
        <f t="shared" si="175"/>
        <v/>
      </c>
      <c r="BX232" s="744" t="str">
        <f t="shared" si="176"/>
        <v/>
      </c>
      <c r="BY232" s="744" t="str">
        <f t="shared" si="177"/>
        <v/>
      </c>
      <c r="BZ232" s="744" t="str">
        <f t="shared" si="178"/>
        <v/>
      </c>
      <c r="CA232" s="744" t="str">
        <f t="shared" si="179"/>
        <v/>
      </c>
      <c r="CB232" s="744" t="str">
        <f t="shared" si="180"/>
        <v/>
      </c>
      <c r="CC232" s="744" t="str">
        <f t="shared" si="181"/>
        <v/>
      </c>
      <c r="CD232" s="744" t="str">
        <f t="shared" si="182"/>
        <v/>
      </c>
      <c r="CE232" s="744" t="str">
        <f t="shared" si="183"/>
        <v/>
      </c>
      <c r="CF232" s="744" t="str">
        <f t="shared" si="184"/>
        <v/>
      </c>
      <c r="CG232" s="744" t="str">
        <f t="shared" si="185"/>
        <v/>
      </c>
      <c r="CH232" s="744" t="str">
        <f t="shared" si="186"/>
        <v/>
      </c>
      <c r="CI232" s="744" t="str">
        <f t="shared" si="187"/>
        <v/>
      </c>
      <c r="CJ232" s="744" t="str">
        <f t="shared" si="188"/>
        <v/>
      </c>
      <c r="CK232" s="744" t="str">
        <f t="shared" si="189"/>
        <v/>
      </c>
      <c r="CL232" s="744" t="str">
        <f t="shared" si="190"/>
        <v/>
      </c>
      <c r="CM232" s="744" t="str">
        <f t="shared" si="191"/>
        <v/>
      </c>
      <c r="CN232" s="744" t="str">
        <f t="shared" si="192"/>
        <v/>
      </c>
      <c r="CO232" s="744" t="str">
        <f t="shared" si="193"/>
        <v/>
      </c>
      <c r="CP232" s="744" t="str">
        <f t="shared" si="194"/>
        <v/>
      </c>
      <c r="CQ232" s="744" t="str">
        <f t="shared" si="195"/>
        <v/>
      </c>
      <c r="CR232" s="744" t="str">
        <f t="shared" si="196"/>
        <v/>
      </c>
      <c r="CS232" s="744" t="str">
        <f t="shared" si="197"/>
        <v/>
      </c>
      <c r="CT232" s="744" t="str">
        <f t="shared" si="198"/>
        <v/>
      </c>
      <c r="CU232" s="744" t="str">
        <f t="shared" si="199"/>
        <v/>
      </c>
      <c r="CV232" s="744" t="str">
        <f t="shared" si="200"/>
        <v/>
      </c>
      <c r="CW232" s="744" t="str">
        <f t="shared" si="201"/>
        <v/>
      </c>
      <c r="CX232" s="744">
        <f t="shared" si="202"/>
        <v>0.65783200000000008</v>
      </c>
    </row>
    <row r="233" spans="1:102">
      <c r="A233" s="633">
        <v>229</v>
      </c>
      <c r="B233" s="630" t="s">
        <v>4</v>
      </c>
      <c r="C233" s="631" t="s">
        <v>252</v>
      </c>
      <c r="D233" s="630" t="s">
        <v>1390</v>
      </c>
      <c r="E233" s="632" t="s">
        <v>733</v>
      </c>
      <c r="F233" s="1067">
        <v>0.3</v>
      </c>
      <c r="G233" s="1066">
        <v>1</v>
      </c>
      <c r="H233" s="1070">
        <v>0.66720000000000002</v>
      </c>
      <c r="I233" s="1070">
        <v>6.685344E-2</v>
      </c>
      <c r="J233" s="1070">
        <v>2.8000000000000001E-2</v>
      </c>
      <c r="K233" s="1070">
        <v>0.49826496000000003</v>
      </c>
      <c r="L233" s="1072">
        <v>0.58867056000000006</v>
      </c>
      <c r="M233" s="1070"/>
      <c r="N233" s="1070">
        <v>3.29</v>
      </c>
      <c r="O233" s="1070"/>
      <c r="P233" s="1073">
        <v>30.624479999999998</v>
      </c>
      <c r="Q233" s="1070">
        <v>61.31568</v>
      </c>
      <c r="R233" s="1070">
        <v>27.355199999999996</v>
      </c>
      <c r="S233" s="1070">
        <v>33.89376</v>
      </c>
      <c r="T233" s="1070">
        <v>45.636479999999999</v>
      </c>
      <c r="U233" s="1070"/>
      <c r="V233" s="1066">
        <v>0.20015999999999998</v>
      </c>
      <c r="W233" s="1070">
        <v>1.6679999999999999</v>
      </c>
      <c r="X233" s="1070"/>
      <c r="Y233" s="1070"/>
      <c r="Z233" s="1070"/>
      <c r="AA233" s="1070"/>
      <c r="AB233" s="1070"/>
      <c r="AC233" s="1070"/>
      <c r="AD233" s="1070"/>
      <c r="AE233" s="1070"/>
      <c r="AF233" s="1070"/>
      <c r="AG233" s="1070"/>
      <c r="AH233" s="1073"/>
      <c r="AI233" s="1070"/>
      <c r="AJ233" s="1070"/>
      <c r="AK233" s="1070"/>
      <c r="AL233" s="1082"/>
      <c r="AM233" s="1069"/>
      <c r="AN233" s="1070"/>
      <c r="AO233" s="1070"/>
      <c r="AP233" s="1070"/>
      <c r="AQ233" s="1070"/>
      <c r="AR233" s="1069"/>
      <c r="AS233" s="1282"/>
      <c r="AT233" s="1282"/>
      <c r="AU233" s="1069"/>
      <c r="AV233" s="1069"/>
      <c r="AW233" s="1069"/>
      <c r="AX233" s="1070"/>
      <c r="AY233" s="1070"/>
      <c r="AZ233" s="1078">
        <f t="shared" si="155"/>
        <v>0.66720000000000002</v>
      </c>
      <c r="BA233" s="59">
        <v>229</v>
      </c>
      <c r="BB233" s="59">
        <f t="shared" si="156"/>
        <v>229</v>
      </c>
      <c r="BC233" s="60" t="str">
        <f t="shared" si="157"/>
        <v>Silagem de Milho Grão Úmido</v>
      </c>
      <c r="BD233" s="61" t="str">
        <f ca="1">IFERROR(IF(SEARCH('Calcular Dieta'!A$3,$BC$5:$BC$310)&gt;=1,BC233,"Não encontrado"),"Não encontrado")</f>
        <v>Silagem de Milho Grão Úmido</v>
      </c>
      <c r="BE233" s="62">
        <f ca="1">COUNTIF(BD$5:BD233,"&lt;&gt;"&amp;"Não encontrado")</f>
        <v>229</v>
      </c>
      <c r="BF233" s="63" t="str">
        <f t="shared" ca="1" si="158"/>
        <v>SILAGEM DE MILHO GRÃO ÚMIDO</v>
      </c>
      <c r="BG233" s="744">
        <f t="shared" si="159"/>
        <v>6.7086439999999997E-2</v>
      </c>
      <c r="BH233" s="744">
        <f t="shared" si="160"/>
        <v>2.8233000000000001E-2</v>
      </c>
      <c r="BI233" s="744">
        <f t="shared" si="161"/>
        <v>0.49849796000000002</v>
      </c>
      <c r="BJ233" s="744">
        <f t="shared" si="162"/>
        <v>0.5889035600000001</v>
      </c>
      <c r="BK233" s="744" t="str">
        <f t="shared" si="163"/>
        <v/>
      </c>
      <c r="BL233" s="744">
        <f t="shared" si="164"/>
        <v>3.2902330000000002</v>
      </c>
      <c r="BM233" s="744" t="str">
        <f t="shared" si="165"/>
        <v/>
      </c>
      <c r="BN233" s="744">
        <f t="shared" si="166"/>
        <v>30.624713</v>
      </c>
      <c r="BO233" s="744">
        <f t="shared" si="167"/>
        <v>61.315913000000002</v>
      </c>
      <c r="BP233" s="744">
        <f t="shared" si="168"/>
        <v>27.355432999999998</v>
      </c>
      <c r="BQ233" s="744">
        <f t="shared" si="169"/>
        <v>33.893993000000002</v>
      </c>
      <c r="BR233" s="744">
        <f t="shared" si="170"/>
        <v>45.636713</v>
      </c>
      <c r="BS233" s="744" t="str">
        <f t="shared" si="171"/>
        <v/>
      </c>
      <c r="BT233" s="744">
        <f t="shared" si="172"/>
        <v>0.20039299999999999</v>
      </c>
      <c r="BU233" s="744">
        <f t="shared" si="173"/>
        <v>1.6682329999999999</v>
      </c>
      <c r="BV233" s="744" t="str">
        <f t="shared" si="174"/>
        <v/>
      </c>
      <c r="BW233" s="744" t="str">
        <f t="shared" si="175"/>
        <v/>
      </c>
      <c r="BX233" s="744" t="str">
        <f t="shared" si="176"/>
        <v/>
      </c>
      <c r="BY233" s="744" t="str">
        <f t="shared" si="177"/>
        <v/>
      </c>
      <c r="BZ233" s="744" t="str">
        <f t="shared" si="178"/>
        <v/>
      </c>
      <c r="CA233" s="744" t="str">
        <f t="shared" si="179"/>
        <v/>
      </c>
      <c r="CB233" s="744" t="str">
        <f t="shared" si="180"/>
        <v/>
      </c>
      <c r="CC233" s="744" t="str">
        <f t="shared" si="181"/>
        <v/>
      </c>
      <c r="CD233" s="744" t="str">
        <f t="shared" si="182"/>
        <v/>
      </c>
      <c r="CE233" s="744" t="str">
        <f t="shared" si="183"/>
        <v/>
      </c>
      <c r="CF233" s="744" t="str">
        <f t="shared" si="184"/>
        <v/>
      </c>
      <c r="CG233" s="744" t="str">
        <f t="shared" si="185"/>
        <v/>
      </c>
      <c r="CH233" s="744" t="str">
        <f t="shared" si="186"/>
        <v/>
      </c>
      <c r="CI233" s="744" t="str">
        <f t="shared" si="187"/>
        <v/>
      </c>
      <c r="CJ233" s="744" t="str">
        <f t="shared" si="188"/>
        <v/>
      </c>
      <c r="CK233" s="744" t="str">
        <f t="shared" si="189"/>
        <v/>
      </c>
      <c r="CL233" s="744" t="str">
        <f t="shared" si="190"/>
        <v/>
      </c>
      <c r="CM233" s="744" t="str">
        <f t="shared" si="191"/>
        <v/>
      </c>
      <c r="CN233" s="744" t="str">
        <f t="shared" si="192"/>
        <v/>
      </c>
      <c r="CO233" s="744" t="str">
        <f t="shared" si="193"/>
        <v/>
      </c>
      <c r="CP233" s="744" t="str">
        <f t="shared" si="194"/>
        <v/>
      </c>
      <c r="CQ233" s="744" t="str">
        <f t="shared" si="195"/>
        <v/>
      </c>
      <c r="CR233" s="744" t="str">
        <f t="shared" si="196"/>
        <v/>
      </c>
      <c r="CS233" s="744" t="str">
        <f t="shared" si="197"/>
        <v/>
      </c>
      <c r="CT233" s="744" t="str">
        <f t="shared" si="198"/>
        <v/>
      </c>
      <c r="CU233" s="744" t="str">
        <f t="shared" si="199"/>
        <v/>
      </c>
      <c r="CV233" s="744" t="str">
        <f t="shared" si="200"/>
        <v/>
      </c>
      <c r="CW233" s="744" t="str">
        <f t="shared" si="201"/>
        <v/>
      </c>
      <c r="CX233" s="744">
        <f t="shared" si="202"/>
        <v>0.66743300000000005</v>
      </c>
    </row>
    <row r="234" spans="1:102">
      <c r="A234" s="630">
        <v>230</v>
      </c>
      <c r="B234" s="630" t="s">
        <v>3</v>
      </c>
      <c r="C234" s="631" t="s">
        <v>254</v>
      </c>
      <c r="D234" s="630" t="s">
        <v>1392</v>
      </c>
      <c r="E234" s="632" t="s">
        <v>734</v>
      </c>
      <c r="F234" s="1067">
        <v>0.3</v>
      </c>
      <c r="G234" s="1066">
        <v>1</v>
      </c>
      <c r="H234" s="1070">
        <v>0.27399999999999997</v>
      </c>
      <c r="I234" s="1070">
        <v>0.16193399999999997</v>
      </c>
      <c r="J234" s="1070">
        <v>8.2199999999999981E-2</v>
      </c>
      <c r="K234" s="1070"/>
      <c r="L234" s="1072">
        <v>0.17261999999999997</v>
      </c>
      <c r="M234" s="1070">
        <v>0.76108157999999981</v>
      </c>
      <c r="N234" s="1070"/>
      <c r="O234" s="1070"/>
      <c r="P234" s="1073">
        <v>8.0007999999999981</v>
      </c>
      <c r="Q234" s="1070">
        <v>22.002199999999995</v>
      </c>
      <c r="R234" s="1070">
        <v>13.201319999999997</v>
      </c>
      <c r="S234" s="1070"/>
      <c r="T234" s="1070"/>
      <c r="U234" s="1070"/>
      <c r="V234" s="1066">
        <v>1.4247999999999996</v>
      </c>
      <c r="W234" s="1070">
        <v>0.43839999999999996</v>
      </c>
      <c r="X234" s="1070">
        <v>0.60279999999999989</v>
      </c>
      <c r="Y234" s="1070">
        <v>8.2199999999999981E-2</v>
      </c>
      <c r="Z234" s="1070">
        <v>3.3427999999999995</v>
      </c>
      <c r="AA234" s="1070">
        <v>0.32879999999999993</v>
      </c>
      <c r="AB234" s="1070">
        <v>2.1919999999999997</v>
      </c>
      <c r="AC234" s="1070">
        <v>5.7539999999999996</v>
      </c>
      <c r="AD234" s="1070">
        <v>49.32</v>
      </c>
      <c r="AE234" s="1070">
        <v>11.233999999999998</v>
      </c>
      <c r="AF234" s="1070"/>
      <c r="AG234" s="1070">
        <v>2.1919999999999999E-2</v>
      </c>
      <c r="AH234" s="1073">
        <v>5.4799999999999995E-2</v>
      </c>
      <c r="AI234" s="1070"/>
      <c r="AJ234" s="1070"/>
      <c r="AK234" s="1070"/>
      <c r="AL234" s="1082">
        <v>1370</v>
      </c>
      <c r="AM234" s="1069"/>
      <c r="AN234" s="1070"/>
      <c r="AO234" s="1070"/>
      <c r="AP234" s="1070"/>
      <c r="AQ234" s="1070"/>
      <c r="AR234" s="1069"/>
      <c r="AS234" s="1282"/>
      <c r="AT234" s="1282"/>
      <c r="AU234" s="1069"/>
      <c r="AV234" s="1069"/>
      <c r="AW234" s="1069"/>
      <c r="AX234" s="1070"/>
      <c r="AY234" s="1070"/>
      <c r="AZ234" s="1078">
        <f t="shared" si="155"/>
        <v>0.27399999999999997</v>
      </c>
      <c r="BA234" s="59">
        <v>230</v>
      </c>
      <c r="BB234" s="59">
        <f t="shared" si="156"/>
        <v>230</v>
      </c>
      <c r="BC234" s="60" t="str">
        <f t="shared" si="157"/>
        <v>Silagem de Milho Maduro</v>
      </c>
      <c r="BD234" s="61" t="str">
        <f ca="1">IFERROR(IF(SEARCH('Calcular Dieta'!A$3,$BC$5:$BC$310)&gt;=1,BC234,"Não encontrado"),"Não encontrado")</f>
        <v>Silagem de Milho Maduro</v>
      </c>
      <c r="BE234" s="62">
        <f ca="1">COUNTIF(BD$5:BD234,"&lt;&gt;"&amp;"Não encontrado")</f>
        <v>230</v>
      </c>
      <c r="BF234" s="63" t="str">
        <f t="shared" ca="1" si="158"/>
        <v>SILAGEM DE MILHO MADURO</v>
      </c>
      <c r="BG234" s="744">
        <f t="shared" si="159"/>
        <v>0.16216799999999998</v>
      </c>
      <c r="BH234" s="744">
        <f t="shared" si="160"/>
        <v>8.243399999999998E-2</v>
      </c>
      <c r="BI234" s="744" t="str">
        <f t="shared" si="161"/>
        <v/>
      </c>
      <c r="BJ234" s="744">
        <f t="shared" si="162"/>
        <v>0.17285399999999998</v>
      </c>
      <c r="BK234" s="744">
        <f t="shared" si="163"/>
        <v>0.76131557999999977</v>
      </c>
      <c r="BL234" s="744" t="str">
        <f t="shared" si="164"/>
        <v/>
      </c>
      <c r="BM234" s="744" t="str">
        <f t="shared" si="165"/>
        <v/>
      </c>
      <c r="BN234" s="744">
        <f t="shared" si="166"/>
        <v>8.0010339999999989</v>
      </c>
      <c r="BO234" s="744">
        <f t="shared" si="167"/>
        <v>22.002433999999994</v>
      </c>
      <c r="BP234" s="744">
        <f t="shared" si="168"/>
        <v>13.201553999999998</v>
      </c>
      <c r="BQ234" s="744" t="str">
        <f t="shared" si="169"/>
        <v/>
      </c>
      <c r="BR234" s="744" t="str">
        <f t="shared" si="170"/>
        <v/>
      </c>
      <c r="BS234" s="744" t="str">
        <f t="shared" si="171"/>
        <v/>
      </c>
      <c r="BT234" s="744">
        <f t="shared" si="172"/>
        <v>1.4250339999999997</v>
      </c>
      <c r="BU234" s="744">
        <f t="shared" si="173"/>
        <v>0.43863399999999997</v>
      </c>
      <c r="BV234" s="744">
        <f t="shared" si="174"/>
        <v>0.60303399999999985</v>
      </c>
      <c r="BW234" s="744">
        <f t="shared" si="175"/>
        <v>8.243399999999998E-2</v>
      </c>
      <c r="BX234" s="744">
        <f t="shared" si="176"/>
        <v>3.3430339999999994</v>
      </c>
      <c r="BY234" s="744">
        <f t="shared" si="177"/>
        <v>0.32903399999999994</v>
      </c>
      <c r="BZ234" s="744">
        <f t="shared" si="178"/>
        <v>2.1922339999999996</v>
      </c>
      <c r="CA234" s="744">
        <f t="shared" si="179"/>
        <v>5.7542339999999994</v>
      </c>
      <c r="CB234" s="744">
        <f t="shared" si="180"/>
        <v>49.320233999999999</v>
      </c>
      <c r="CC234" s="744">
        <f t="shared" si="181"/>
        <v>11.234233999999999</v>
      </c>
      <c r="CD234" s="744" t="str">
        <f t="shared" si="182"/>
        <v/>
      </c>
      <c r="CE234" s="744">
        <f t="shared" si="183"/>
        <v>2.2154E-2</v>
      </c>
      <c r="CF234" s="744">
        <f t="shared" si="184"/>
        <v>5.5033999999999993E-2</v>
      </c>
      <c r="CG234" s="744" t="str">
        <f t="shared" si="185"/>
        <v/>
      </c>
      <c r="CH234" s="744" t="str">
        <f t="shared" si="186"/>
        <v/>
      </c>
      <c r="CI234" s="744" t="str">
        <f t="shared" si="187"/>
        <v/>
      </c>
      <c r="CJ234" s="744">
        <f t="shared" si="188"/>
        <v>1370.0002340000001</v>
      </c>
      <c r="CK234" s="744" t="str">
        <f t="shared" si="189"/>
        <v/>
      </c>
      <c r="CL234" s="744" t="str">
        <f t="shared" si="190"/>
        <v/>
      </c>
      <c r="CM234" s="744" t="str">
        <f t="shared" si="191"/>
        <v/>
      </c>
      <c r="CN234" s="744" t="str">
        <f t="shared" si="192"/>
        <v/>
      </c>
      <c r="CO234" s="744" t="str">
        <f t="shared" si="193"/>
        <v/>
      </c>
      <c r="CP234" s="744" t="str">
        <f t="shared" si="194"/>
        <v/>
      </c>
      <c r="CQ234" s="744" t="str">
        <f t="shared" si="195"/>
        <v/>
      </c>
      <c r="CR234" s="744" t="str">
        <f t="shared" si="196"/>
        <v/>
      </c>
      <c r="CS234" s="744" t="str">
        <f t="shared" si="197"/>
        <v/>
      </c>
      <c r="CT234" s="744" t="str">
        <f t="shared" si="198"/>
        <v/>
      </c>
      <c r="CU234" s="744" t="str">
        <f t="shared" si="199"/>
        <v/>
      </c>
      <c r="CV234" s="744" t="str">
        <f t="shared" si="200"/>
        <v/>
      </c>
      <c r="CW234" s="744" t="str">
        <f t="shared" si="201"/>
        <v/>
      </c>
      <c r="CX234" s="744">
        <f t="shared" si="202"/>
        <v>0.27423399999999998</v>
      </c>
    </row>
    <row r="235" spans="1:102">
      <c r="A235" s="633">
        <v>231</v>
      </c>
      <c r="B235" s="630" t="s">
        <v>3</v>
      </c>
      <c r="C235" s="631" t="s">
        <v>254</v>
      </c>
      <c r="D235" s="630" t="s">
        <v>1390</v>
      </c>
      <c r="E235" s="632" t="s">
        <v>736</v>
      </c>
      <c r="F235" s="1067">
        <v>0.3</v>
      </c>
      <c r="G235" s="1066">
        <v>1</v>
      </c>
      <c r="H235" s="1070">
        <v>0.21299999999999999</v>
      </c>
      <c r="I235" s="1070">
        <v>0.14782200000000001</v>
      </c>
      <c r="J235" s="1070">
        <v>7.9699999999999993E-2</v>
      </c>
      <c r="K235" s="1070">
        <v>3.4527300000000004E-2</v>
      </c>
      <c r="L235" s="1072">
        <v>0.1142319</v>
      </c>
      <c r="M235" s="1070"/>
      <c r="N235" s="1070">
        <v>1.88</v>
      </c>
      <c r="O235" s="1070"/>
      <c r="P235" s="1073">
        <v>2.8968000000000003</v>
      </c>
      <c r="Q235" s="1070">
        <v>13.6107</v>
      </c>
      <c r="R235" s="1070">
        <v>8.562599999999998</v>
      </c>
      <c r="S235" s="1070">
        <v>4.9415999999999993</v>
      </c>
      <c r="T235" s="1070">
        <v>9.2867999999999995</v>
      </c>
      <c r="U235" s="1070"/>
      <c r="V235" s="1066"/>
      <c r="W235" s="1070"/>
      <c r="X235" s="1070"/>
      <c r="Y235" s="1070"/>
      <c r="Z235" s="1070"/>
      <c r="AA235" s="1070"/>
      <c r="AB235" s="1070"/>
      <c r="AC235" s="1070"/>
      <c r="AD235" s="1070"/>
      <c r="AE235" s="1070"/>
      <c r="AF235" s="1070"/>
      <c r="AG235" s="1070"/>
      <c r="AH235" s="1073"/>
      <c r="AI235" s="1070"/>
      <c r="AJ235" s="1070"/>
      <c r="AK235" s="1070"/>
      <c r="AL235" s="1082"/>
      <c r="AM235" s="1069"/>
      <c r="AN235" s="1070"/>
      <c r="AO235" s="1070"/>
      <c r="AP235" s="1070"/>
      <c r="AQ235" s="1070"/>
      <c r="AR235" s="1069"/>
      <c r="AS235" s="1282"/>
      <c r="AT235" s="1282"/>
      <c r="AU235" s="1069"/>
      <c r="AV235" s="1069"/>
      <c r="AW235" s="1069"/>
      <c r="AX235" s="1070"/>
      <c r="AY235" s="1070"/>
      <c r="AZ235" s="1078">
        <f t="shared" si="155"/>
        <v>0.21299999999999999</v>
      </c>
      <c r="BA235" s="59">
        <v>231</v>
      </c>
      <c r="BB235" s="59">
        <f t="shared" si="156"/>
        <v>231</v>
      </c>
      <c r="BC235" s="60" t="str">
        <f t="shared" si="157"/>
        <v>Silagem de Milho Sem Espiga</v>
      </c>
      <c r="BD235" s="61" t="str">
        <f ca="1">IFERROR(IF(SEARCH('Calcular Dieta'!A$3,$BC$5:$BC$310)&gt;=1,BC235,"Não encontrado"),"Não encontrado")</f>
        <v>Silagem de Milho Sem Espiga</v>
      </c>
      <c r="BE235" s="62">
        <f ca="1">COUNTIF(BD$5:BD235,"&lt;&gt;"&amp;"Não encontrado")</f>
        <v>231</v>
      </c>
      <c r="BF235" s="63" t="str">
        <f t="shared" ca="1" si="158"/>
        <v>SILAGEM DE MILHO SEM ESPIGA</v>
      </c>
      <c r="BG235" s="744">
        <f t="shared" si="159"/>
        <v>0.14805700000000002</v>
      </c>
      <c r="BH235" s="744">
        <f t="shared" si="160"/>
        <v>7.9934999999999992E-2</v>
      </c>
      <c r="BI235" s="744">
        <f t="shared" si="161"/>
        <v>3.4762300000000003E-2</v>
      </c>
      <c r="BJ235" s="744">
        <f t="shared" si="162"/>
        <v>0.1144669</v>
      </c>
      <c r="BK235" s="744" t="str">
        <f t="shared" si="163"/>
        <v/>
      </c>
      <c r="BL235" s="744">
        <f t="shared" si="164"/>
        <v>1.8802349999999999</v>
      </c>
      <c r="BM235" s="744" t="str">
        <f t="shared" si="165"/>
        <v/>
      </c>
      <c r="BN235" s="744">
        <f t="shared" si="166"/>
        <v>2.8970350000000002</v>
      </c>
      <c r="BO235" s="744">
        <f t="shared" si="167"/>
        <v>13.610935</v>
      </c>
      <c r="BP235" s="744">
        <f t="shared" si="168"/>
        <v>8.562834999999998</v>
      </c>
      <c r="BQ235" s="744">
        <f t="shared" si="169"/>
        <v>4.9418349999999993</v>
      </c>
      <c r="BR235" s="744">
        <f t="shared" si="170"/>
        <v>9.2870349999999995</v>
      </c>
      <c r="BS235" s="744" t="str">
        <f t="shared" si="171"/>
        <v/>
      </c>
      <c r="BT235" s="744" t="str">
        <f t="shared" si="172"/>
        <v/>
      </c>
      <c r="BU235" s="744" t="str">
        <f t="shared" si="173"/>
        <v/>
      </c>
      <c r="BV235" s="744" t="str">
        <f t="shared" si="174"/>
        <v/>
      </c>
      <c r="BW235" s="744" t="str">
        <f t="shared" si="175"/>
        <v/>
      </c>
      <c r="BX235" s="744" t="str">
        <f t="shared" si="176"/>
        <v/>
      </c>
      <c r="BY235" s="744" t="str">
        <f t="shared" si="177"/>
        <v/>
      </c>
      <c r="BZ235" s="744" t="str">
        <f t="shared" si="178"/>
        <v/>
      </c>
      <c r="CA235" s="744" t="str">
        <f t="shared" si="179"/>
        <v/>
      </c>
      <c r="CB235" s="744" t="str">
        <f t="shared" si="180"/>
        <v/>
      </c>
      <c r="CC235" s="744" t="str">
        <f t="shared" si="181"/>
        <v/>
      </c>
      <c r="CD235" s="744" t="str">
        <f t="shared" si="182"/>
        <v/>
      </c>
      <c r="CE235" s="744" t="str">
        <f t="shared" si="183"/>
        <v/>
      </c>
      <c r="CF235" s="744" t="str">
        <f t="shared" si="184"/>
        <v/>
      </c>
      <c r="CG235" s="744" t="str">
        <f t="shared" si="185"/>
        <v/>
      </c>
      <c r="CH235" s="744" t="str">
        <f t="shared" si="186"/>
        <v/>
      </c>
      <c r="CI235" s="744" t="str">
        <f t="shared" si="187"/>
        <v/>
      </c>
      <c r="CJ235" s="744" t="str">
        <f t="shared" si="188"/>
        <v/>
      </c>
      <c r="CK235" s="744" t="str">
        <f t="shared" si="189"/>
        <v/>
      </c>
      <c r="CL235" s="744" t="str">
        <f t="shared" si="190"/>
        <v/>
      </c>
      <c r="CM235" s="744" t="str">
        <f t="shared" si="191"/>
        <v/>
      </c>
      <c r="CN235" s="744" t="str">
        <f t="shared" si="192"/>
        <v/>
      </c>
      <c r="CO235" s="744" t="str">
        <f t="shared" si="193"/>
        <v/>
      </c>
      <c r="CP235" s="744" t="str">
        <f t="shared" si="194"/>
        <v/>
      </c>
      <c r="CQ235" s="744" t="str">
        <f t="shared" si="195"/>
        <v/>
      </c>
      <c r="CR235" s="744" t="str">
        <f t="shared" si="196"/>
        <v/>
      </c>
      <c r="CS235" s="744" t="str">
        <f t="shared" si="197"/>
        <v/>
      </c>
      <c r="CT235" s="744" t="str">
        <f t="shared" si="198"/>
        <v/>
      </c>
      <c r="CU235" s="744" t="str">
        <f t="shared" si="199"/>
        <v/>
      </c>
      <c r="CV235" s="744" t="str">
        <f t="shared" si="200"/>
        <v/>
      </c>
      <c r="CW235" s="744" t="str">
        <f t="shared" si="201"/>
        <v/>
      </c>
      <c r="CX235" s="744">
        <f t="shared" si="202"/>
        <v>0.21323500000000001</v>
      </c>
    </row>
    <row r="236" spans="1:102">
      <c r="A236" s="630">
        <v>232</v>
      </c>
      <c r="B236" s="630" t="s">
        <v>3</v>
      </c>
      <c r="C236" s="631" t="s">
        <v>254</v>
      </c>
      <c r="D236" s="630" t="s">
        <v>1390</v>
      </c>
      <c r="E236" s="632" t="s">
        <v>737</v>
      </c>
      <c r="F236" s="1067">
        <v>0.3</v>
      </c>
      <c r="G236" s="1066">
        <v>1</v>
      </c>
      <c r="H236" s="1070">
        <v>0.25829999999999997</v>
      </c>
      <c r="I236" s="1070">
        <v>0.13268870999999996</v>
      </c>
      <c r="J236" s="1070">
        <v>9.1999999999999998E-2</v>
      </c>
      <c r="K236" s="1070">
        <v>2.6036639999999996E-2</v>
      </c>
      <c r="L236" s="1072">
        <v>0.15508332</v>
      </c>
      <c r="M236" s="1070"/>
      <c r="N236" s="1070">
        <v>2.27</v>
      </c>
      <c r="O236" s="1070"/>
      <c r="P236" s="1073">
        <v>24.409349999999993</v>
      </c>
      <c r="Q236" s="1070">
        <v>45.951569999999997</v>
      </c>
      <c r="R236" s="1070"/>
      <c r="S236" s="1070"/>
      <c r="T236" s="1070"/>
      <c r="U236" s="1070"/>
      <c r="V236" s="1066"/>
      <c r="W236" s="1070"/>
      <c r="X236" s="1070"/>
      <c r="Y236" s="1070"/>
      <c r="Z236" s="1070"/>
      <c r="AA236" s="1070"/>
      <c r="AB236" s="1070"/>
      <c r="AC236" s="1070"/>
      <c r="AD236" s="1070"/>
      <c r="AE236" s="1070"/>
      <c r="AF236" s="1070"/>
      <c r="AG236" s="1070"/>
      <c r="AH236" s="1073"/>
      <c r="AI236" s="1070"/>
      <c r="AJ236" s="1070"/>
      <c r="AK236" s="1070"/>
      <c r="AL236" s="1082"/>
      <c r="AM236" s="1069"/>
      <c r="AN236" s="1070"/>
      <c r="AO236" s="1070"/>
      <c r="AP236" s="1070"/>
      <c r="AQ236" s="1070"/>
      <c r="AR236" s="1069"/>
      <c r="AS236" s="1282"/>
      <c r="AT236" s="1282"/>
      <c r="AU236" s="1069"/>
      <c r="AV236" s="1069"/>
      <c r="AW236" s="1069"/>
      <c r="AX236" s="1070"/>
      <c r="AY236" s="1070"/>
      <c r="AZ236" s="1078">
        <f t="shared" si="155"/>
        <v>0.25829999999999997</v>
      </c>
      <c r="BA236" s="59">
        <v>232</v>
      </c>
      <c r="BB236" s="59">
        <f t="shared" si="156"/>
        <v>232</v>
      </c>
      <c r="BC236" s="60" t="str">
        <f t="shared" si="157"/>
        <v>Silagem de Soja</v>
      </c>
      <c r="BD236" s="61" t="str">
        <f ca="1">IFERROR(IF(SEARCH('Calcular Dieta'!A$3,$BC$5:$BC$310)&gt;=1,BC236,"Não encontrado"),"Não encontrado")</f>
        <v>Silagem de Soja</v>
      </c>
      <c r="BE236" s="62">
        <f ca="1">COUNTIF(BD$5:BD236,"&lt;&gt;"&amp;"Não encontrado")</f>
        <v>232</v>
      </c>
      <c r="BF236" s="63" t="str">
        <f t="shared" ca="1" si="158"/>
        <v>SILAGEM DE SOJA</v>
      </c>
      <c r="BG236" s="744">
        <f t="shared" si="159"/>
        <v>0.13292470999999995</v>
      </c>
      <c r="BH236" s="744">
        <f t="shared" si="160"/>
        <v>9.2235999999999999E-2</v>
      </c>
      <c r="BI236" s="744">
        <f t="shared" si="161"/>
        <v>2.6272639999999996E-2</v>
      </c>
      <c r="BJ236" s="744">
        <f t="shared" si="162"/>
        <v>0.15531931999999998</v>
      </c>
      <c r="BK236" s="744" t="str">
        <f t="shared" si="163"/>
        <v/>
      </c>
      <c r="BL236" s="744">
        <f t="shared" si="164"/>
        <v>2.2702360000000001</v>
      </c>
      <c r="BM236" s="744" t="str">
        <f t="shared" si="165"/>
        <v/>
      </c>
      <c r="BN236" s="744">
        <f t="shared" si="166"/>
        <v>24.409585999999994</v>
      </c>
      <c r="BO236" s="744">
        <f t="shared" si="167"/>
        <v>45.951805999999998</v>
      </c>
      <c r="BP236" s="744" t="str">
        <f t="shared" si="168"/>
        <v/>
      </c>
      <c r="BQ236" s="744" t="str">
        <f t="shared" si="169"/>
        <v/>
      </c>
      <c r="BR236" s="744" t="str">
        <f t="shared" si="170"/>
        <v/>
      </c>
      <c r="BS236" s="744" t="str">
        <f t="shared" si="171"/>
        <v/>
      </c>
      <c r="BT236" s="744" t="str">
        <f t="shared" si="172"/>
        <v/>
      </c>
      <c r="BU236" s="744" t="str">
        <f t="shared" si="173"/>
        <v/>
      </c>
      <c r="BV236" s="744" t="str">
        <f t="shared" si="174"/>
        <v/>
      </c>
      <c r="BW236" s="744" t="str">
        <f t="shared" si="175"/>
        <v/>
      </c>
      <c r="BX236" s="744" t="str">
        <f t="shared" si="176"/>
        <v/>
      </c>
      <c r="BY236" s="744" t="str">
        <f t="shared" si="177"/>
        <v/>
      </c>
      <c r="BZ236" s="744" t="str">
        <f t="shared" si="178"/>
        <v/>
      </c>
      <c r="CA236" s="744" t="str">
        <f t="shared" si="179"/>
        <v/>
      </c>
      <c r="CB236" s="744" t="str">
        <f t="shared" si="180"/>
        <v/>
      </c>
      <c r="CC236" s="744" t="str">
        <f t="shared" si="181"/>
        <v/>
      </c>
      <c r="CD236" s="744" t="str">
        <f t="shared" si="182"/>
        <v/>
      </c>
      <c r="CE236" s="744" t="str">
        <f t="shared" si="183"/>
        <v/>
      </c>
      <c r="CF236" s="744" t="str">
        <f t="shared" si="184"/>
        <v/>
      </c>
      <c r="CG236" s="744" t="str">
        <f t="shared" si="185"/>
        <v/>
      </c>
      <c r="CH236" s="744" t="str">
        <f t="shared" si="186"/>
        <v/>
      </c>
      <c r="CI236" s="744" t="str">
        <f t="shared" si="187"/>
        <v/>
      </c>
      <c r="CJ236" s="744" t="str">
        <f t="shared" si="188"/>
        <v/>
      </c>
      <c r="CK236" s="744" t="str">
        <f t="shared" si="189"/>
        <v/>
      </c>
      <c r="CL236" s="744" t="str">
        <f t="shared" si="190"/>
        <v/>
      </c>
      <c r="CM236" s="744" t="str">
        <f t="shared" si="191"/>
        <v/>
      </c>
      <c r="CN236" s="744" t="str">
        <f t="shared" si="192"/>
        <v/>
      </c>
      <c r="CO236" s="744" t="str">
        <f t="shared" si="193"/>
        <v/>
      </c>
      <c r="CP236" s="744" t="str">
        <f t="shared" si="194"/>
        <v/>
      </c>
      <c r="CQ236" s="744" t="str">
        <f t="shared" si="195"/>
        <v/>
      </c>
      <c r="CR236" s="744" t="str">
        <f t="shared" si="196"/>
        <v/>
      </c>
      <c r="CS236" s="744" t="str">
        <f t="shared" si="197"/>
        <v/>
      </c>
      <c r="CT236" s="744" t="str">
        <f t="shared" si="198"/>
        <v/>
      </c>
      <c r="CU236" s="744" t="str">
        <f t="shared" si="199"/>
        <v/>
      </c>
      <c r="CV236" s="744" t="str">
        <f t="shared" si="200"/>
        <v/>
      </c>
      <c r="CW236" s="744" t="str">
        <f t="shared" si="201"/>
        <v/>
      </c>
      <c r="CX236" s="744">
        <f t="shared" si="202"/>
        <v>0.25853599999999999</v>
      </c>
    </row>
    <row r="237" spans="1:102">
      <c r="A237" s="633">
        <v>233</v>
      </c>
      <c r="B237" s="630" t="s">
        <v>3</v>
      </c>
      <c r="C237" s="631" t="s">
        <v>254</v>
      </c>
      <c r="D237" s="630" t="s">
        <v>1392</v>
      </c>
      <c r="E237" s="632" t="s">
        <v>740</v>
      </c>
      <c r="F237" s="1067">
        <v>0.3</v>
      </c>
      <c r="G237" s="1066">
        <v>1</v>
      </c>
      <c r="H237" s="1070">
        <v>0.29899999999999999</v>
      </c>
      <c r="I237" s="1070">
        <v>0.20332</v>
      </c>
      <c r="J237" s="1070">
        <v>8.3720000000000003E-2</v>
      </c>
      <c r="K237" s="1070"/>
      <c r="L237" s="1072">
        <v>0.17939999999999998</v>
      </c>
      <c r="M237" s="1070">
        <v>0.79097459999999986</v>
      </c>
      <c r="N237" s="1070"/>
      <c r="O237" s="1070"/>
      <c r="P237" s="1073">
        <v>8.9700000000000006</v>
      </c>
      <c r="Q237" s="1070">
        <v>19.734000000000002</v>
      </c>
      <c r="R237" s="1070">
        <v>10.261679999999998</v>
      </c>
      <c r="S237" s="1070"/>
      <c r="T237" s="1070"/>
      <c r="U237" s="1070"/>
      <c r="V237" s="1066">
        <v>1.0465</v>
      </c>
      <c r="W237" s="1070">
        <v>0.6278999999999999</v>
      </c>
      <c r="X237" s="1070">
        <v>0.86709999999999987</v>
      </c>
      <c r="Y237" s="1070">
        <v>5.9800000000000006E-2</v>
      </c>
      <c r="Z237" s="1070">
        <v>4.0962999999999994</v>
      </c>
      <c r="AA237" s="1070">
        <v>0.32890000000000003</v>
      </c>
      <c r="AB237" s="1070">
        <v>10.465</v>
      </c>
      <c r="AC237" s="1070">
        <v>9.5679999999999996</v>
      </c>
      <c r="AD237" s="1070">
        <v>85.215000000000003</v>
      </c>
      <c r="AE237" s="1070">
        <v>21.826999999999998</v>
      </c>
      <c r="AF237" s="1070">
        <v>6.5779999999999996E-3</v>
      </c>
      <c r="AG237" s="1070">
        <v>9.2689999999999995E-2</v>
      </c>
      <c r="AH237" s="1073">
        <v>6.8769999999999998E-2</v>
      </c>
      <c r="AI237" s="1070"/>
      <c r="AJ237" s="1070"/>
      <c r="AK237" s="1070"/>
      <c r="AL237" s="1082">
        <v>12558</v>
      </c>
      <c r="AM237" s="1069"/>
      <c r="AN237" s="1070"/>
      <c r="AO237" s="1070"/>
      <c r="AP237" s="1070"/>
      <c r="AQ237" s="1070"/>
      <c r="AR237" s="1069"/>
      <c r="AS237" s="1282"/>
      <c r="AT237" s="1282"/>
      <c r="AU237" s="1069"/>
      <c r="AV237" s="1069"/>
      <c r="AW237" s="1069"/>
      <c r="AX237" s="1070"/>
      <c r="AY237" s="1070"/>
      <c r="AZ237" s="1078">
        <f t="shared" si="155"/>
        <v>0.29899999999999999</v>
      </c>
      <c r="BA237" s="59">
        <v>233</v>
      </c>
      <c r="BB237" s="59">
        <f t="shared" si="156"/>
        <v>233</v>
      </c>
      <c r="BC237" s="60" t="str">
        <f t="shared" si="157"/>
        <v>Silagem de Sorgo</v>
      </c>
      <c r="BD237" s="61" t="str">
        <f ca="1">IFERROR(IF(SEARCH('Calcular Dieta'!A$3,$BC$5:$BC$310)&gt;=1,BC237,"Não encontrado"),"Não encontrado")</f>
        <v>Silagem de Sorgo</v>
      </c>
      <c r="BE237" s="62">
        <f ca="1">COUNTIF(BD$5:BD237,"&lt;&gt;"&amp;"Não encontrado")</f>
        <v>233</v>
      </c>
      <c r="BF237" s="63" t="str">
        <f t="shared" ca="1" si="158"/>
        <v>SILAGEM DE SORGO</v>
      </c>
      <c r="BG237" s="744">
        <f t="shared" si="159"/>
        <v>0.20355699999999999</v>
      </c>
      <c r="BH237" s="744">
        <f t="shared" si="160"/>
        <v>8.3957000000000004E-2</v>
      </c>
      <c r="BI237" s="744" t="str">
        <f t="shared" si="161"/>
        <v/>
      </c>
      <c r="BJ237" s="744">
        <f t="shared" si="162"/>
        <v>0.17963699999999996</v>
      </c>
      <c r="BK237" s="744">
        <f t="shared" si="163"/>
        <v>0.7912115999999999</v>
      </c>
      <c r="BL237" s="744" t="str">
        <f t="shared" si="164"/>
        <v/>
      </c>
      <c r="BM237" s="744" t="str">
        <f t="shared" si="165"/>
        <v/>
      </c>
      <c r="BN237" s="744">
        <f t="shared" si="166"/>
        <v>8.9702370000000009</v>
      </c>
      <c r="BO237" s="744">
        <f t="shared" si="167"/>
        <v>19.734237</v>
      </c>
      <c r="BP237" s="744">
        <f t="shared" si="168"/>
        <v>10.261916999999999</v>
      </c>
      <c r="BQ237" s="744" t="str">
        <f t="shared" si="169"/>
        <v/>
      </c>
      <c r="BR237" s="744" t="str">
        <f t="shared" si="170"/>
        <v/>
      </c>
      <c r="BS237" s="744" t="str">
        <f t="shared" si="171"/>
        <v/>
      </c>
      <c r="BT237" s="744">
        <f t="shared" si="172"/>
        <v>1.046737</v>
      </c>
      <c r="BU237" s="744">
        <f t="shared" si="173"/>
        <v>0.62813699999999995</v>
      </c>
      <c r="BV237" s="744">
        <f t="shared" si="174"/>
        <v>0.86733699999999991</v>
      </c>
      <c r="BW237" s="744">
        <f t="shared" si="175"/>
        <v>6.0037000000000007E-2</v>
      </c>
      <c r="BX237" s="744">
        <f t="shared" si="176"/>
        <v>4.0965369999999997</v>
      </c>
      <c r="BY237" s="744">
        <f t="shared" si="177"/>
        <v>0.32913700000000001</v>
      </c>
      <c r="BZ237" s="744">
        <f t="shared" si="178"/>
        <v>10.465237</v>
      </c>
      <c r="CA237" s="744">
        <f t="shared" si="179"/>
        <v>9.5682369999999999</v>
      </c>
      <c r="CB237" s="744">
        <f t="shared" si="180"/>
        <v>85.215237000000002</v>
      </c>
      <c r="CC237" s="744">
        <f t="shared" si="181"/>
        <v>21.827236999999997</v>
      </c>
      <c r="CD237" s="744">
        <f t="shared" si="182"/>
        <v>6.8149999999999999E-3</v>
      </c>
      <c r="CE237" s="744">
        <f t="shared" si="183"/>
        <v>9.2926999999999996E-2</v>
      </c>
      <c r="CF237" s="744">
        <f t="shared" si="184"/>
        <v>6.9006999999999999E-2</v>
      </c>
      <c r="CG237" s="744" t="str">
        <f t="shared" si="185"/>
        <v/>
      </c>
      <c r="CH237" s="744" t="str">
        <f t="shared" si="186"/>
        <v/>
      </c>
      <c r="CI237" s="744" t="str">
        <f t="shared" si="187"/>
        <v/>
      </c>
      <c r="CJ237" s="744">
        <f t="shared" si="188"/>
        <v>12558.000237</v>
      </c>
      <c r="CK237" s="744" t="str">
        <f t="shared" si="189"/>
        <v/>
      </c>
      <c r="CL237" s="744" t="str">
        <f t="shared" si="190"/>
        <v/>
      </c>
      <c r="CM237" s="744" t="str">
        <f t="shared" si="191"/>
        <v/>
      </c>
      <c r="CN237" s="744" t="str">
        <f t="shared" si="192"/>
        <v/>
      </c>
      <c r="CO237" s="744" t="str">
        <f t="shared" si="193"/>
        <v/>
      </c>
      <c r="CP237" s="744" t="str">
        <f t="shared" si="194"/>
        <v/>
      </c>
      <c r="CQ237" s="744" t="str">
        <f t="shared" si="195"/>
        <v/>
      </c>
      <c r="CR237" s="744" t="str">
        <f t="shared" si="196"/>
        <v/>
      </c>
      <c r="CS237" s="744" t="str">
        <f t="shared" si="197"/>
        <v/>
      </c>
      <c r="CT237" s="744" t="str">
        <f t="shared" si="198"/>
        <v/>
      </c>
      <c r="CU237" s="744" t="str">
        <f t="shared" si="199"/>
        <v/>
      </c>
      <c r="CV237" s="744" t="str">
        <f t="shared" si="200"/>
        <v/>
      </c>
      <c r="CW237" s="744" t="str">
        <f t="shared" si="201"/>
        <v/>
      </c>
      <c r="CX237" s="744">
        <f t="shared" si="202"/>
        <v>0.29923699999999998</v>
      </c>
    </row>
    <row r="238" spans="1:102">
      <c r="A238" s="630">
        <v>234</v>
      </c>
      <c r="B238" s="630" t="s">
        <v>3</v>
      </c>
      <c r="C238" s="631" t="s">
        <v>254</v>
      </c>
      <c r="D238" s="630" t="s">
        <v>1390</v>
      </c>
      <c r="E238" s="632" t="s">
        <v>741</v>
      </c>
      <c r="F238" s="1067">
        <v>0.3</v>
      </c>
      <c r="G238" s="1066">
        <v>1</v>
      </c>
      <c r="H238" s="1070">
        <v>0.29710000000000003</v>
      </c>
      <c r="I238" s="1070">
        <v>0.17213974000000001</v>
      </c>
      <c r="J238" s="1070">
        <v>0.112</v>
      </c>
      <c r="K238" s="1070">
        <v>7.0828640000000012E-2</v>
      </c>
      <c r="L238" s="1072">
        <v>0.17692305</v>
      </c>
      <c r="M238" s="1070"/>
      <c r="N238" s="1070">
        <v>2.12</v>
      </c>
      <c r="O238" s="1070"/>
      <c r="P238" s="1073">
        <v>7.5760500000000004</v>
      </c>
      <c r="Q238" s="1070">
        <v>19.192660000000004</v>
      </c>
      <c r="R238" s="1070">
        <v>13.755730000000003</v>
      </c>
      <c r="S238" s="1070">
        <v>5.4369300000000003</v>
      </c>
      <c r="T238" s="1070">
        <v>12.715880000000002</v>
      </c>
      <c r="U238" s="1070"/>
      <c r="V238" s="1066">
        <v>0.98043000000000002</v>
      </c>
      <c r="W238" s="1070">
        <v>0.56449000000000005</v>
      </c>
      <c r="X238" s="1070">
        <v>0.89130000000000009</v>
      </c>
      <c r="Y238" s="1070">
        <v>8.9130000000000001E-2</v>
      </c>
      <c r="Z238" s="1070">
        <v>3.59491</v>
      </c>
      <c r="AA238" s="1070"/>
      <c r="AB238" s="1070"/>
      <c r="AC238" s="1070"/>
      <c r="AD238" s="1070"/>
      <c r="AE238" s="1070"/>
      <c r="AF238" s="1070"/>
      <c r="AG238" s="1070"/>
      <c r="AH238" s="1073"/>
      <c r="AI238" s="1070"/>
      <c r="AJ238" s="1070"/>
      <c r="AK238" s="1070"/>
      <c r="AL238" s="1082"/>
      <c r="AM238" s="1069"/>
      <c r="AN238" s="1070"/>
      <c r="AO238" s="1070"/>
      <c r="AP238" s="1070"/>
      <c r="AQ238" s="1070"/>
      <c r="AR238" s="1069"/>
      <c r="AS238" s="1282"/>
      <c r="AT238" s="1282"/>
      <c r="AU238" s="1069"/>
      <c r="AV238" s="1069"/>
      <c r="AW238" s="1069"/>
      <c r="AX238" s="1070"/>
      <c r="AY238" s="1070"/>
      <c r="AZ238" s="1078">
        <f t="shared" si="155"/>
        <v>0.29710000000000003</v>
      </c>
      <c r="BA238" s="59">
        <v>234</v>
      </c>
      <c r="BB238" s="59">
        <f t="shared" si="156"/>
        <v>234</v>
      </c>
      <c r="BC238" s="60" t="str">
        <f t="shared" si="157"/>
        <v>Silagem de Sorgo (BRC3.0)</v>
      </c>
      <c r="BD238" s="61" t="str">
        <f ca="1">IFERROR(IF(SEARCH('Calcular Dieta'!A$3,$BC$5:$BC$310)&gt;=1,BC238,"Não encontrado"),"Não encontrado")</f>
        <v>Silagem de Sorgo (BRC3.0)</v>
      </c>
      <c r="BE238" s="62">
        <f ca="1">COUNTIF(BD$5:BD238,"&lt;&gt;"&amp;"Não encontrado")</f>
        <v>234</v>
      </c>
      <c r="BF238" s="63" t="str">
        <f t="shared" ca="1" si="158"/>
        <v>SILAGEM DE SORGO (BRC3.0)</v>
      </c>
      <c r="BG238" s="744">
        <f t="shared" si="159"/>
        <v>0.17237774</v>
      </c>
      <c r="BH238" s="744">
        <f t="shared" si="160"/>
        <v>0.112238</v>
      </c>
      <c r="BI238" s="744">
        <f t="shared" si="161"/>
        <v>7.1066640000000014E-2</v>
      </c>
      <c r="BJ238" s="744">
        <f t="shared" si="162"/>
        <v>0.17716104999999999</v>
      </c>
      <c r="BK238" s="744" t="str">
        <f t="shared" si="163"/>
        <v/>
      </c>
      <c r="BL238" s="744">
        <f t="shared" si="164"/>
        <v>2.1202380000000001</v>
      </c>
      <c r="BM238" s="744" t="str">
        <f t="shared" si="165"/>
        <v/>
      </c>
      <c r="BN238" s="744">
        <f t="shared" si="166"/>
        <v>7.5762880000000008</v>
      </c>
      <c r="BO238" s="744">
        <f t="shared" si="167"/>
        <v>19.192898000000003</v>
      </c>
      <c r="BP238" s="744">
        <f t="shared" si="168"/>
        <v>13.755968000000003</v>
      </c>
      <c r="BQ238" s="744">
        <f t="shared" si="169"/>
        <v>5.4371680000000007</v>
      </c>
      <c r="BR238" s="744">
        <f t="shared" si="170"/>
        <v>12.716118000000002</v>
      </c>
      <c r="BS238" s="744" t="str">
        <f t="shared" si="171"/>
        <v/>
      </c>
      <c r="BT238" s="744">
        <f t="shared" si="172"/>
        <v>0.98066799999999998</v>
      </c>
      <c r="BU238" s="744">
        <f t="shared" si="173"/>
        <v>0.56472800000000001</v>
      </c>
      <c r="BV238" s="744">
        <f t="shared" si="174"/>
        <v>0.89153800000000005</v>
      </c>
      <c r="BW238" s="744">
        <f t="shared" si="175"/>
        <v>8.9368000000000003E-2</v>
      </c>
      <c r="BX238" s="744">
        <f t="shared" si="176"/>
        <v>3.595148</v>
      </c>
      <c r="BY238" s="744" t="str">
        <f t="shared" si="177"/>
        <v/>
      </c>
      <c r="BZ238" s="744" t="str">
        <f t="shared" si="178"/>
        <v/>
      </c>
      <c r="CA238" s="744" t="str">
        <f t="shared" si="179"/>
        <v/>
      </c>
      <c r="CB238" s="744" t="str">
        <f t="shared" si="180"/>
        <v/>
      </c>
      <c r="CC238" s="744" t="str">
        <f t="shared" si="181"/>
        <v/>
      </c>
      <c r="CD238" s="744" t="str">
        <f t="shared" si="182"/>
        <v/>
      </c>
      <c r="CE238" s="744" t="str">
        <f t="shared" si="183"/>
        <v/>
      </c>
      <c r="CF238" s="744" t="str">
        <f t="shared" si="184"/>
        <v/>
      </c>
      <c r="CG238" s="744" t="str">
        <f t="shared" si="185"/>
        <v/>
      </c>
      <c r="CH238" s="744" t="str">
        <f t="shared" si="186"/>
        <v/>
      </c>
      <c r="CI238" s="744" t="str">
        <f t="shared" si="187"/>
        <v/>
      </c>
      <c r="CJ238" s="744" t="str">
        <f t="shared" si="188"/>
        <v/>
      </c>
      <c r="CK238" s="744" t="str">
        <f t="shared" si="189"/>
        <v/>
      </c>
      <c r="CL238" s="744" t="str">
        <f t="shared" si="190"/>
        <v/>
      </c>
      <c r="CM238" s="744" t="str">
        <f t="shared" si="191"/>
        <v/>
      </c>
      <c r="CN238" s="744" t="str">
        <f t="shared" si="192"/>
        <v/>
      </c>
      <c r="CO238" s="744" t="str">
        <f t="shared" si="193"/>
        <v/>
      </c>
      <c r="CP238" s="744" t="str">
        <f t="shared" si="194"/>
        <v/>
      </c>
      <c r="CQ238" s="744" t="str">
        <f t="shared" si="195"/>
        <v/>
      </c>
      <c r="CR238" s="744" t="str">
        <f t="shared" si="196"/>
        <v/>
      </c>
      <c r="CS238" s="744" t="str">
        <f t="shared" si="197"/>
        <v/>
      </c>
      <c r="CT238" s="744" t="str">
        <f t="shared" si="198"/>
        <v/>
      </c>
      <c r="CU238" s="744" t="str">
        <f t="shared" si="199"/>
        <v/>
      </c>
      <c r="CV238" s="744" t="str">
        <f t="shared" si="200"/>
        <v/>
      </c>
      <c r="CW238" s="744" t="str">
        <f t="shared" si="201"/>
        <v/>
      </c>
      <c r="CX238" s="744">
        <f t="shared" si="202"/>
        <v>0.29733800000000005</v>
      </c>
    </row>
    <row r="239" spans="1:102">
      <c r="A239" s="633">
        <v>235</v>
      </c>
      <c r="B239" s="630" t="s">
        <v>3</v>
      </c>
      <c r="C239" s="631" t="s">
        <v>254</v>
      </c>
      <c r="D239" s="630" t="s">
        <v>1390</v>
      </c>
      <c r="E239" s="632" t="s">
        <v>742</v>
      </c>
      <c r="F239" s="1067">
        <v>0.3</v>
      </c>
      <c r="G239" s="1066">
        <v>1</v>
      </c>
      <c r="H239" s="1070">
        <v>0.27600000000000002</v>
      </c>
      <c r="I239" s="1070">
        <v>0.22852800000000001</v>
      </c>
      <c r="J239" s="1070">
        <v>0.151</v>
      </c>
      <c r="K239" s="1070">
        <v>6.4611600000000005E-2</v>
      </c>
      <c r="L239" s="1072">
        <v>0.170154</v>
      </c>
      <c r="M239" s="1070"/>
      <c r="N239" s="1070">
        <v>2.21</v>
      </c>
      <c r="O239" s="1070"/>
      <c r="P239" s="1073">
        <v>5.7132000000000005</v>
      </c>
      <c r="Q239" s="1070">
        <v>19.568400000000004</v>
      </c>
      <c r="R239" s="1070"/>
      <c r="S239" s="1070"/>
      <c r="T239" s="1070"/>
      <c r="U239" s="1070"/>
      <c r="V239" s="1066"/>
      <c r="W239" s="1070"/>
      <c r="X239" s="1070"/>
      <c r="Y239" s="1070"/>
      <c r="Z239" s="1070"/>
      <c r="AA239" s="1070"/>
      <c r="AB239" s="1070"/>
      <c r="AC239" s="1070"/>
      <c r="AD239" s="1070"/>
      <c r="AE239" s="1070"/>
      <c r="AF239" s="1070"/>
      <c r="AG239" s="1070"/>
      <c r="AH239" s="1073"/>
      <c r="AI239" s="1070"/>
      <c r="AJ239" s="1070"/>
      <c r="AK239" s="1070"/>
      <c r="AL239" s="1082"/>
      <c r="AM239" s="1069"/>
      <c r="AN239" s="1070"/>
      <c r="AO239" s="1070"/>
      <c r="AP239" s="1070"/>
      <c r="AQ239" s="1070"/>
      <c r="AR239" s="1069"/>
      <c r="AS239" s="1282"/>
      <c r="AT239" s="1282"/>
      <c r="AU239" s="1069"/>
      <c r="AV239" s="1069"/>
      <c r="AW239" s="1069"/>
      <c r="AX239" s="1070"/>
      <c r="AY239" s="1070"/>
      <c r="AZ239" s="1078">
        <f t="shared" si="155"/>
        <v>0.27600000000000002</v>
      </c>
      <c r="BA239" s="59">
        <v>235</v>
      </c>
      <c r="BB239" s="59">
        <f t="shared" si="156"/>
        <v>235</v>
      </c>
      <c r="BC239" s="60" t="str">
        <f t="shared" si="157"/>
        <v>Silagem de Sorgo (com Tanino)</v>
      </c>
      <c r="BD239" s="61" t="str">
        <f ca="1">IFERROR(IF(SEARCH('Calcular Dieta'!A$3,$BC$5:$BC$310)&gt;=1,BC239,"Não encontrado"),"Não encontrado")</f>
        <v>Silagem de Sorgo (com Tanino)</v>
      </c>
      <c r="BE239" s="62">
        <f ca="1">COUNTIF(BD$5:BD239,"&lt;&gt;"&amp;"Não encontrado")</f>
        <v>235</v>
      </c>
      <c r="BF239" s="63" t="str">
        <f t="shared" ca="1" si="158"/>
        <v>SILAGEM DE SORGO (COM TANINO)</v>
      </c>
      <c r="BG239" s="744">
        <f t="shared" si="159"/>
        <v>0.228767</v>
      </c>
      <c r="BH239" s="744">
        <f t="shared" si="160"/>
        <v>0.15123899999999998</v>
      </c>
      <c r="BI239" s="744">
        <f t="shared" si="161"/>
        <v>6.4850600000000008E-2</v>
      </c>
      <c r="BJ239" s="744">
        <f t="shared" si="162"/>
        <v>0.17039299999999999</v>
      </c>
      <c r="BK239" s="744" t="str">
        <f t="shared" si="163"/>
        <v/>
      </c>
      <c r="BL239" s="744">
        <f t="shared" si="164"/>
        <v>2.2102390000000001</v>
      </c>
      <c r="BM239" s="744" t="str">
        <f t="shared" si="165"/>
        <v/>
      </c>
      <c r="BN239" s="744">
        <f t="shared" si="166"/>
        <v>5.7134390000000002</v>
      </c>
      <c r="BO239" s="744">
        <f t="shared" si="167"/>
        <v>19.568639000000005</v>
      </c>
      <c r="BP239" s="744" t="str">
        <f t="shared" si="168"/>
        <v/>
      </c>
      <c r="BQ239" s="744" t="str">
        <f t="shared" si="169"/>
        <v/>
      </c>
      <c r="BR239" s="744" t="str">
        <f t="shared" si="170"/>
        <v/>
      </c>
      <c r="BS239" s="744" t="str">
        <f t="shared" si="171"/>
        <v/>
      </c>
      <c r="BT239" s="744" t="str">
        <f t="shared" si="172"/>
        <v/>
      </c>
      <c r="BU239" s="744" t="str">
        <f t="shared" si="173"/>
        <v/>
      </c>
      <c r="BV239" s="744" t="str">
        <f t="shared" si="174"/>
        <v/>
      </c>
      <c r="BW239" s="744" t="str">
        <f t="shared" si="175"/>
        <v/>
      </c>
      <c r="BX239" s="744" t="str">
        <f t="shared" si="176"/>
        <v/>
      </c>
      <c r="BY239" s="744" t="str">
        <f t="shared" si="177"/>
        <v/>
      </c>
      <c r="BZ239" s="744" t="str">
        <f t="shared" si="178"/>
        <v/>
      </c>
      <c r="CA239" s="744" t="str">
        <f t="shared" si="179"/>
        <v/>
      </c>
      <c r="CB239" s="744" t="str">
        <f t="shared" si="180"/>
        <v/>
      </c>
      <c r="CC239" s="744" t="str">
        <f t="shared" si="181"/>
        <v/>
      </c>
      <c r="CD239" s="744" t="str">
        <f t="shared" si="182"/>
        <v/>
      </c>
      <c r="CE239" s="744" t="str">
        <f t="shared" si="183"/>
        <v/>
      </c>
      <c r="CF239" s="744" t="str">
        <f t="shared" si="184"/>
        <v/>
      </c>
      <c r="CG239" s="744" t="str">
        <f t="shared" si="185"/>
        <v/>
      </c>
      <c r="CH239" s="744" t="str">
        <f t="shared" si="186"/>
        <v/>
      </c>
      <c r="CI239" s="744" t="str">
        <f t="shared" si="187"/>
        <v/>
      </c>
      <c r="CJ239" s="744" t="str">
        <f t="shared" si="188"/>
        <v/>
      </c>
      <c r="CK239" s="744" t="str">
        <f t="shared" si="189"/>
        <v/>
      </c>
      <c r="CL239" s="744" t="str">
        <f t="shared" si="190"/>
        <v/>
      </c>
      <c r="CM239" s="744" t="str">
        <f t="shared" si="191"/>
        <v/>
      </c>
      <c r="CN239" s="744" t="str">
        <f t="shared" si="192"/>
        <v/>
      </c>
      <c r="CO239" s="744" t="str">
        <f t="shared" si="193"/>
        <v/>
      </c>
      <c r="CP239" s="744" t="str">
        <f t="shared" si="194"/>
        <v/>
      </c>
      <c r="CQ239" s="744" t="str">
        <f t="shared" si="195"/>
        <v/>
      </c>
      <c r="CR239" s="744" t="str">
        <f t="shared" si="196"/>
        <v/>
      </c>
      <c r="CS239" s="744" t="str">
        <f t="shared" si="197"/>
        <v/>
      </c>
      <c r="CT239" s="744" t="str">
        <f t="shared" si="198"/>
        <v/>
      </c>
      <c r="CU239" s="744" t="str">
        <f t="shared" si="199"/>
        <v/>
      </c>
      <c r="CV239" s="744" t="str">
        <f t="shared" si="200"/>
        <v/>
      </c>
      <c r="CW239" s="744" t="str">
        <f t="shared" si="201"/>
        <v/>
      </c>
      <c r="CX239" s="744">
        <f t="shared" si="202"/>
        <v>0.27623900000000001</v>
      </c>
    </row>
    <row r="240" spans="1:102">
      <c r="A240" s="630">
        <v>236</v>
      </c>
      <c r="B240" s="630" t="s">
        <v>3</v>
      </c>
      <c r="C240" s="631" t="s">
        <v>254</v>
      </c>
      <c r="D240" s="630" t="s">
        <v>1390</v>
      </c>
      <c r="E240" s="632" t="s">
        <v>743</v>
      </c>
      <c r="F240" s="1067">
        <v>0.3</v>
      </c>
      <c r="G240" s="1066">
        <v>1</v>
      </c>
      <c r="H240" s="1070">
        <v>0.27979999999999999</v>
      </c>
      <c r="I240" s="1070">
        <v>0.22971579999999997</v>
      </c>
      <c r="J240" s="1070">
        <v>8.5999999999999993E-2</v>
      </c>
      <c r="K240" s="1070">
        <v>6.477369999999999E-2</v>
      </c>
      <c r="L240" s="1072">
        <v>0.17081789999999997</v>
      </c>
      <c r="M240" s="1070"/>
      <c r="N240" s="1070">
        <v>2.19</v>
      </c>
      <c r="O240" s="1070"/>
      <c r="P240" s="1073">
        <v>6.09964</v>
      </c>
      <c r="Q240" s="1070">
        <v>20.565299999999997</v>
      </c>
      <c r="R240" s="1070"/>
      <c r="S240" s="1070"/>
      <c r="T240" s="1070"/>
      <c r="U240" s="1070"/>
      <c r="V240" s="1066"/>
      <c r="W240" s="1070"/>
      <c r="X240" s="1070"/>
      <c r="Y240" s="1070"/>
      <c r="Z240" s="1070"/>
      <c r="AA240" s="1070"/>
      <c r="AB240" s="1070"/>
      <c r="AC240" s="1070"/>
      <c r="AD240" s="1070"/>
      <c r="AE240" s="1070"/>
      <c r="AF240" s="1070"/>
      <c r="AG240" s="1070"/>
      <c r="AH240" s="1073"/>
      <c r="AI240" s="1070"/>
      <c r="AJ240" s="1070"/>
      <c r="AK240" s="1070"/>
      <c r="AL240" s="1082"/>
      <c r="AM240" s="1069"/>
      <c r="AN240" s="1070"/>
      <c r="AO240" s="1070"/>
      <c r="AP240" s="1070"/>
      <c r="AQ240" s="1070"/>
      <c r="AR240" s="1069"/>
      <c r="AS240" s="1282"/>
      <c r="AT240" s="1282"/>
      <c r="AU240" s="1069"/>
      <c r="AV240" s="1069"/>
      <c r="AW240" s="1069"/>
      <c r="AX240" s="1070"/>
      <c r="AY240" s="1070"/>
      <c r="AZ240" s="1078">
        <f t="shared" si="155"/>
        <v>0.27979999999999999</v>
      </c>
      <c r="BA240" s="59">
        <v>236</v>
      </c>
      <c r="BB240" s="59">
        <f t="shared" si="156"/>
        <v>236</v>
      </c>
      <c r="BC240" s="60" t="str">
        <f t="shared" si="157"/>
        <v>Silagem de Sorgo (sem Tanino)</v>
      </c>
      <c r="BD240" s="61" t="str">
        <f ca="1">IFERROR(IF(SEARCH('Calcular Dieta'!A$3,$BC$5:$BC$310)&gt;=1,BC240,"Não encontrado"),"Não encontrado")</f>
        <v>Silagem de Sorgo (sem Tanino)</v>
      </c>
      <c r="BE240" s="62">
        <f ca="1">COUNTIF(BD$5:BD240,"&lt;&gt;"&amp;"Não encontrado")</f>
        <v>236</v>
      </c>
      <c r="BF240" s="63" t="str">
        <f t="shared" ca="1" si="158"/>
        <v>SILAGEM DE SORGO (SEM TANINO)</v>
      </c>
      <c r="BG240" s="744">
        <f t="shared" si="159"/>
        <v>0.22995579999999996</v>
      </c>
      <c r="BH240" s="744">
        <f t="shared" si="160"/>
        <v>8.6239999999999997E-2</v>
      </c>
      <c r="BI240" s="744">
        <f t="shared" si="161"/>
        <v>6.5013699999999994E-2</v>
      </c>
      <c r="BJ240" s="744">
        <f t="shared" si="162"/>
        <v>0.17105789999999996</v>
      </c>
      <c r="BK240" s="744" t="str">
        <f t="shared" si="163"/>
        <v/>
      </c>
      <c r="BL240" s="744">
        <f t="shared" si="164"/>
        <v>2.1902399999999997</v>
      </c>
      <c r="BM240" s="744" t="str">
        <f t="shared" si="165"/>
        <v/>
      </c>
      <c r="BN240" s="744">
        <f t="shared" si="166"/>
        <v>6.0998799999999997</v>
      </c>
      <c r="BO240" s="744">
        <f t="shared" si="167"/>
        <v>20.565539999999999</v>
      </c>
      <c r="BP240" s="744" t="str">
        <f t="shared" si="168"/>
        <v/>
      </c>
      <c r="BQ240" s="744" t="str">
        <f t="shared" si="169"/>
        <v/>
      </c>
      <c r="BR240" s="744" t="str">
        <f t="shared" si="170"/>
        <v/>
      </c>
      <c r="BS240" s="744" t="str">
        <f t="shared" si="171"/>
        <v/>
      </c>
      <c r="BT240" s="744" t="str">
        <f t="shared" si="172"/>
        <v/>
      </c>
      <c r="BU240" s="744" t="str">
        <f t="shared" si="173"/>
        <v/>
      </c>
      <c r="BV240" s="744" t="str">
        <f t="shared" si="174"/>
        <v/>
      </c>
      <c r="BW240" s="744" t="str">
        <f t="shared" si="175"/>
        <v/>
      </c>
      <c r="BX240" s="744" t="str">
        <f t="shared" si="176"/>
        <v/>
      </c>
      <c r="BY240" s="744" t="str">
        <f t="shared" si="177"/>
        <v/>
      </c>
      <c r="BZ240" s="744" t="str">
        <f t="shared" si="178"/>
        <v/>
      </c>
      <c r="CA240" s="744" t="str">
        <f t="shared" si="179"/>
        <v/>
      </c>
      <c r="CB240" s="744" t="str">
        <f t="shared" si="180"/>
        <v/>
      </c>
      <c r="CC240" s="744" t="str">
        <f t="shared" si="181"/>
        <v/>
      </c>
      <c r="CD240" s="744" t="str">
        <f t="shared" si="182"/>
        <v/>
      </c>
      <c r="CE240" s="744" t="str">
        <f t="shared" si="183"/>
        <v/>
      </c>
      <c r="CF240" s="744" t="str">
        <f t="shared" si="184"/>
        <v/>
      </c>
      <c r="CG240" s="744" t="str">
        <f t="shared" si="185"/>
        <v/>
      </c>
      <c r="CH240" s="744" t="str">
        <f t="shared" si="186"/>
        <v/>
      </c>
      <c r="CI240" s="744" t="str">
        <f t="shared" si="187"/>
        <v/>
      </c>
      <c r="CJ240" s="744" t="str">
        <f t="shared" si="188"/>
        <v/>
      </c>
      <c r="CK240" s="744" t="str">
        <f t="shared" si="189"/>
        <v/>
      </c>
      <c r="CL240" s="744" t="str">
        <f t="shared" si="190"/>
        <v/>
      </c>
      <c r="CM240" s="744" t="str">
        <f t="shared" si="191"/>
        <v/>
      </c>
      <c r="CN240" s="744" t="str">
        <f t="shared" si="192"/>
        <v/>
      </c>
      <c r="CO240" s="744" t="str">
        <f t="shared" si="193"/>
        <v/>
      </c>
      <c r="CP240" s="744" t="str">
        <f t="shared" si="194"/>
        <v/>
      </c>
      <c r="CQ240" s="744" t="str">
        <f t="shared" si="195"/>
        <v/>
      </c>
      <c r="CR240" s="744" t="str">
        <f t="shared" si="196"/>
        <v/>
      </c>
      <c r="CS240" s="744" t="str">
        <f t="shared" si="197"/>
        <v/>
      </c>
      <c r="CT240" s="744" t="str">
        <f t="shared" si="198"/>
        <v/>
      </c>
      <c r="CU240" s="744" t="str">
        <f t="shared" si="199"/>
        <v/>
      </c>
      <c r="CV240" s="744" t="str">
        <f t="shared" si="200"/>
        <v/>
      </c>
      <c r="CW240" s="744" t="str">
        <f t="shared" si="201"/>
        <v/>
      </c>
      <c r="CX240" s="744">
        <f t="shared" si="202"/>
        <v>0.28004000000000001</v>
      </c>
    </row>
    <row r="241" spans="1:102">
      <c r="A241" s="633">
        <v>239</v>
      </c>
      <c r="B241" s="630" t="s">
        <v>3</v>
      </c>
      <c r="C241" s="631" t="s">
        <v>254</v>
      </c>
      <c r="D241" s="630" t="s">
        <v>1390</v>
      </c>
      <c r="E241" s="632" t="s">
        <v>738</v>
      </c>
      <c r="F241" s="1067">
        <v>0.3</v>
      </c>
      <c r="G241" s="1066">
        <v>1</v>
      </c>
      <c r="H241" s="1070">
        <v>0.28079999999999999</v>
      </c>
      <c r="I241" s="1070">
        <v>0.14975063999999999</v>
      </c>
      <c r="J241" s="1070">
        <v>0.11020000000000001</v>
      </c>
      <c r="K241" s="1070">
        <v>8.2892160000000006E-2</v>
      </c>
      <c r="L241" s="1072">
        <v>0.17931887999999999</v>
      </c>
      <c r="M241" s="1070"/>
      <c r="N241" s="1070">
        <v>2.2799999999999998</v>
      </c>
      <c r="O241" s="1070"/>
      <c r="P241" s="1073">
        <v>9.5191199999999991</v>
      </c>
      <c r="Q241" s="1070">
        <v>17.57808</v>
      </c>
      <c r="R241" s="1070">
        <v>11.990159999999998</v>
      </c>
      <c r="S241" s="1070"/>
      <c r="T241" s="1070">
        <v>6.90768</v>
      </c>
      <c r="U241" s="1070"/>
      <c r="V241" s="1066">
        <v>0.39312000000000008</v>
      </c>
      <c r="W241" s="1070">
        <v>0.39312000000000008</v>
      </c>
      <c r="X241" s="1070">
        <v>0.73007999999999995</v>
      </c>
      <c r="Y241" s="1070"/>
      <c r="Z241" s="1070"/>
      <c r="AA241" s="1070"/>
      <c r="AB241" s="1070"/>
      <c r="AC241" s="1070"/>
      <c r="AD241" s="1070"/>
      <c r="AE241" s="1070"/>
      <c r="AF241" s="1070"/>
      <c r="AG241" s="1070"/>
      <c r="AH241" s="1073"/>
      <c r="AI241" s="1070"/>
      <c r="AJ241" s="1070"/>
      <c r="AK241" s="1070"/>
      <c r="AL241" s="1082"/>
      <c r="AM241" s="1069"/>
      <c r="AN241" s="1070"/>
      <c r="AO241" s="1070"/>
      <c r="AP241" s="1070"/>
      <c r="AQ241" s="1070"/>
      <c r="AR241" s="1069"/>
      <c r="AS241" s="1282"/>
      <c r="AT241" s="1282"/>
      <c r="AU241" s="1069"/>
      <c r="AV241" s="1069"/>
      <c r="AW241" s="1069"/>
      <c r="AX241" s="1070"/>
      <c r="AY241" s="1070"/>
      <c r="AZ241" s="1078">
        <f t="shared" si="155"/>
        <v>0.28079999999999999</v>
      </c>
      <c r="BA241" s="59">
        <v>237</v>
      </c>
      <c r="BB241" s="59">
        <f t="shared" si="156"/>
        <v>237</v>
      </c>
      <c r="BC241" s="60" t="str">
        <f t="shared" si="157"/>
        <v>Silagem de Sorgo Forrageiro</v>
      </c>
      <c r="BD241" s="61" t="str">
        <f ca="1">IFERROR(IF(SEARCH('Calcular Dieta'!A$3,$BC$5:$BC$310)&gt;=1,BC241,"Não encontrado"),"Não encontrado")</f>
        <v>Silagem de Sorgo Forrageiro</v>
      </c>
      <c r="BE241" s="62">
        <f ca="1">COUNTIF(BD$5:BD241,"&lt;&gt;"&amp;"Não encontrado")</f>
        <v>237</v>
      </c>
      <c r="BF241" s="63" t="str">
        <f t="shared" ca="1" si="158"/>
        <v>SILAGEM DE SORGO FORRAGEIRO</v>
      </c>
      <c r="BG241" s="744">
        <f t="shared" si="159"/>
        <v>0.14999163999999998</v>
      </c>
      <c r="BH241" s="744">
        <f t="shared" si="160"/>
        <v>0.11044100000000001</v>
      </c>
      <c r="BI241" s="744">
        <f t="shared" si="161"/>
        <v>8.3133160000000011E-2</v>
      </c>
      <c r="BJ241" s="744">
        <f t="shared" si="162"/>
        <v>0.17955987999999998</v>
      </c>
      <c r="BK241" s="744" t="str">
        <f t="shared" si="163"/>
        <v/>
      </c>
      <c r="BL241" s="744">
        <f t="shared" si="164"/>
        <v>2.2802409999999997</v>
      </c>
      <c r="BM241" s="744" t="str">
        <f t="shared" si="165"/>
        <v/>
      </c>
      <c r="BN241" s="744">
        <f t="shared" si="166"/>
        <v>9.519361</v>
      </c>
      <c r="BO241" s="744">
        <f t="shared" si="167"/>
        <v>17.578320999999999</v>
      </c>
      <c r="BP241" s="744">
        <f t="shared" si="168"/>
        <v>11.990400999999999</v>
      </c>
      <c r="BQ241" s="744" t="str">
        <f t="shared" si="169"/>
        <v/>
      </c>
      <c r="BR241" s="744">
        <f t="shared" si="170"/>
        <v>6.907921</v>
      </c>
      <c r="BS241" s="744" t="str">
        <f t="shared" si="171"/>
        <v/>
      </c>
      <c r="BT241" s="744">
        <f t="shared" si="172"/>
        <v>0.39336100000000007</v>
      </c>
      <c r="BU241" s="744">
        <f t="shared" si="173"/>
        <v>0.39336100000000007</v>
      </c>
      <c r="BV241" s="744">
        <f t="shared" si="174"/>
        <v>0.730321</v>
      </c>
      <c r="BW241" s="744" t="str">
        <f t="shared" si="175"/>
        <v/>
      </c>
      <c r="BX241" s="744" t="str">
        <f t="shared" si="176"/>
        <v/>
      </c>
      <c r="BY241" s="744" t="str">
        <f t="shared" si="177"/>
        <v/>
      </c>
      <c r="BZ241" s="744" t="str">
        <f t="shared" si="178"/>
        <v/>
      </c>
      <c r="CA241" s="744" t="str">
        <f t="shared" si="179"/>
        <v/>
      </c>
      <c r="CB241" s="744" t="str">
        <f t="shared" si="180"/>
        <v/>
      </c>
      <c r="CC241" s="744" t="str">
        <f t="shared" si="181"/>
        <v/>
      </c>
      <c r="CD241" s="744" t="str">
        <f t="shared" si="182"/>
        <v/>
      </c>
      <c r="CE241" s="744" t="str">
        <f t="shared" si="183"/>
        <v/>
      </c>
      <c r="CF241" s="744" t="str">
        <f t="shared" si="184"/>
        <v/>
      </c>
      <c r="CG241" s="744" t="str">
        <f t="shared" si="185"/>
        <v/>
      </c>
      <c r="CH241" s="744" t="str">
        <f t="shared" si="186"/>
        <v/>
      </c>
      <c r="CI241" s="744" t="str">
        <f t="shared" si="187"/>
        <v/>
      </c>
      <c r="CJ241" s="744" t="str">
        <f t="shared" si="188"/>
        <v/>
      </c>
      <c r="CK241" s="744" t="str">
        <f t="shared" si="189"/>
        <v/>
      </c>
      <c r="CL241" s="744" t="str">
        <f t="shared" si="190"/>
        <v/>
      </c>
      <c r="CM241" s="744" t="str">
        <f t="shared" si="191"/>
        <v/>
      </c>
      <c r="CN241" s="744" t="str">
        <f t="shared" si="192"/>
        <v/>
      </c>
      <c r="CO241" s="744" t="str">
        <f t="shared" si="193"/>
        <v/>
      </c>
      <c r="CP241" s="744" t="str">
        <f t="shared" si="194"/>
        <v/>
      </c>
      <c r="CQ241" s="744" t="str">
        <f t="shared" si="195"/>
        <v/>
      </c>
      <c r="CR241" s="744" t="str">
        <f t="shared" si="196"/>
        <v/>
      </c>
      <c r="CS241" s="744" t="str">
        <f t="shared" si="197"/>
        <v/>
      </c>
      <c r="CT241" s="744" t="str">
        <f t="shared" si="198"/>
        <v/>
      </c>
      <c r="CU241" s="744" t="str">
        <f t="shared" si="199"/>
        <v/>
      </c>
      <c r="CV241" s="744" t="str">
        <f t="shared" si="200"/>
        <v/>
      </c>
      <c r="CW241" s="744" t="str">
        <f t="shared" si="201"/>
        <v/>
      </c>
      <c r="CX241" s="744">
        <f t="shared" si="202"/>
        <v>0.28104099999999999</v>
      </c>
    </row>
    <row r="242" spans="1:102">
      <c r="A242" s="630">
        <v>240</v>
      </c>
      <c r="B242" s="630" t="s">
        <v>4</v>
      </c>
      <c r="C242" s="631" t="s">
        <v>252</v>
      </c>
      <c r="D242" s="630" t="s">
        <v>1390</v>
      </c>
      <c r="E242" s="632" t="s">
        <v>739</v>
      </c>
      <c r="F242" s="1067">
        <v>0.3</v>
      </c>
      <c r="G242" s="1066">
        <v>1</v>
      </c>
      <c r="H242" s="1070">
        <v>0.65269999999999995</v>
      </c>
      <c r="I242" s="1070">
        <v>4.7059669999999998E-2</v>
      </c>
      <c r="J242" s="1070">
        <v>3.3500000000000002E-2</v>
      </c>
      <c r="K242" s="1070">
        <v>0.46544036999999999</v>
      </c>
      <c r="L242" s="1072">
        <v>0.52150730000000001</v>
      </c>
      <c r="M242" s="1070"/>
      <c r="N242" s="1070">
        <v>2.96</v>
      </c>
      <c r="O242" s="1070"/>
      <c r="P242" s="1073">
        <v>21.995989999999999</v>
      </c>
      <c r="Q242" s="1070">
        <v>59.656779999999998</v>
      </c>
      <c r="R242" s="1070">
        <v>35.637419999999999</v>
      </c>
      <c r="S242" s="1070">
        <v>23.758279999999999</v>
      </c>
      <c r="T242" s="1070">
        <v>41.446449999999999</v>
      </c>
      <c r="U242" s="1070"/>
      <c r="V242" s="1066"/>
      <c r="W242" s="1070"/>
      <c r="X242" s="1070"/>
      <c r="Y242" s="1070"/>
      <c r="Z242" s="1070"/>
      <c r="AA242" s="1070"/>
      <c r="AB242" s="1070"/>
      <c r="AC242" s="1070"/>
      <c r="AD242" s="1070"/>
      <c r="AE242" s="1070"/>
      <c r="AF242" s="1070"/>
      <c r="AG242" s="1070"/>
      <c r="AH242" s="1073"/>
      <c r="AI242" s="1070"/>
      <c r="AJ242" s="1070"/>
      <c r="AK242" s="1070"/>
      <c r="AL242" s="1082"/>
      <c r="AM242" s="1069"/>
      <c r="AN242" s="1070"/>
      <c r="AO242" s="1070"/>
      <c r="AP242" s="1070"/>
      <c r="AQ242" s="1070"/>
      <c r="AR242" s="1069"/>
      <c r="AS242" s="1282"/>
      <c r="AT242" s="1282"/>
      <c r="AU242" s="1069"/>
      <c r="AV242" s="1069"/>
      <c r="AW242" s="1069"/>
      <c r="AX242" s="1070"/>
      <c r="AY242" s="1070"/>
      <c r="AZ242" s="1078">
        <f t="shared" si="155"/>
        <v>0.65269999999999995</v>
      </c>
      <c r="BA242" s="59">
        <v>238</v>
      </c>
      <c r="BB242" s="59">
        <f t="shared" si="156"/>
        <v>238</v>
      </c>
      <c r="BC242" s="60" t="str">
        <f t="shared" si="157"/>
        <v>Silagem de Sorgo Grão Reidratado</v>
      </c>
      <c r="BD242" s="61" t="str">
        <f ca="1">IFERROR(IF(SEARCH('Calcular Dieta'!A$3,$BC$5:$BC$310)&gt;=1,BC242,"Não encontrado"),"Não encontrado")</f>
        <v>Silagem de Sorgo Grão Reidratado</v>
      </c>
      <c r="BE242" s="62">
        <f ca="1">COUNTIF(BD$5:BD242,"&lt;&gt;"&amp;"Não encontrado")</f>
        <v>238</v>
      </c>
      <c r="BF242" s="63" t="str">
        <f t="shared" ca="1" si="158"/>
        <v>SILAGEM DE SORGO GRÃO REIDRATADO</v>
      </c>
      <c r="BG242" s="744">
        <f t="shared" si="159"/>
        <v>4.7301669999999997E-2</v>
      </c>
      <c r="BH242" s="744">
        <f t="shared" si="160"/>
        <v>3.3742000000000001E-2</v>
      </c>
      <c r="BI242" s="744">
        <f t="shared" si="161"/>
        <v>0.46568237000000001</v>
      </c>
      <c r="BJ242" s="744">
        <f t="shared" si="162"/>
        <v>0.52174929999999997</v>
      </c>
      <c r="BK242" s="744" t="str">
        <f t="shared" si="163"/>
        <v/>
      </c>
      <c r="BL242" s="744">
        <f t="shared" si="164"/>
        <v>2.960242</v>
      </c>
      <c r="BM242" s="744" t="str">
        <f t="shared" si="165"/>
        <v/>
      </c>
      <c r="BN242" s="744">
        <f t="shared" si="166"/>
        <v>21.996231999999999</v>
      </c>
      <c r="BO242" s="744">
        <f t="shared" si="167"/>
        <v>59.657021999999998</v>
      </c>
      <c r="BP242" s="744">
        <f t="shared" si="168"/>
        <v>35.637661999999999</v>
      </c>
      <c r="BQ242" s="744">
        <f t="shared" si="169"/>
        <v>23.758521999999999</v>
      </c>
      <c r="BR242" s="744">
        <f t="shared" si="170"/>
        <v>41.446691999999999</v>
      </c>
      <c r="BS242" s="744" t="str">
        <f t="shared" si="171"/>
        <v/>
      </c>
      <c r="BT242" s="744" t="str">
        <f t="shared" si="172"/>
        <v/>
      </c>
      <c r="BU242" s="744" t="str">
        <f t="shared" si="173"/>
        <v/>
      </c>
      <c r="BV242" s="744" t="str">
        <f t="shared" si="174"/>
        <v/>
      </c>
      <c r="BW242" s="744" t="str">
        <f t="shared" si="175"/>
        <v/>
      </c>
      <c r="BX242" s="744" t="str">
        <f t="shared" si="176"/>
        <v/>
      </c>
      <c r="BY242" s="744" t="str">
        <f t="shared" si="177"/>
        <v/>
      </c>
      <c r="BZ242" s="744" t="str">
        <f t="shared" si="178"/>
        <v/>
      </c>
      <c r="CA242" s="744" t="str">
        <f t="shared" si="179"/>
        <v/>
      </c>
      <c r="CB242" s="744" t="str">
        <f t="shared" si="180"/>
        <v/>
      </c>
      <c r="CC242" s="744" t="str">
        <f t="shared" si="181"/>
        <v/>
      </c>
      <c r="CD242" s="744" t="str">
        <f t="shared" si="182"/>
        <v/>
      </c>
      <c r="CE242" s="744" t="str">
        <f t="shared" si="183"/>
        <v/>
      </c>
      <c r="CF242" s="744" t="str">
        <f t="shared" si="184"/>
        <v/>
      </c>
      <c r="CG242" s="744" t="str">
        <f t="shared" si="185"/>
        <v/>
      </c>
      <c r="CH242" s="744" t="str">
        <f t="shared" si="186"/>
        <v/>
      </c>
      <c r="CI242" s="744" t="str">
        <f t="shared" si="187"/>
        <v/>
      </c>
      <c r="CJ242" s="744" t="str">
        <f t="shared" si="188"/>
        <v/>
      </c>
      <c r="CK242" s="744" t="str">
        <f t="shared" si="189"/>
        <v/>
      </c>
      <c r="CL242" s="744" t="str">
        <f t="shared" si="190"/>
        <v/>
      </c>
      <c r="CM242" s="744" t="str">
        <f t="shared" si="191"/>
        <v/>
      </c>
      <c r="CN242" s="744" t="str">
        <f t="shared" si="192"/>
        <v/>
      </c>
      <c r="CO242" s="744" t="str">
        <f t="shared" si="193"/>
        <v/>
      </c>
      <c r="CP242" s="744" t="str">
        <f t="shared" si="194"/>
        <v/>
      </c>
      <c r="CQ242" s="744" t="str">
        <f t="shared" si="195"/>
        <v/>
      </c>
      <c r="CR242" s="744" t="str">
        <f t="shared" si="196"/>
        <v/>
      </c>
      <c r="CS242" s="744" t="str">
        <f t="shared" si="197"/>
        <v/>
      </c>
      <c r="CT242" s="744" t="str">
        <f t="shared" si="198"/>
        <v/>
      </c>
      <c r="CU242" s="744" t="str">
        <f t="shared" si="199"/>
        <v/>
      </c>
      <c r="CV242" s="744" t="str">
        <f t="shared" si="200"/>
        <v/>
      </c>
      <c r="CW242" s="744" t="str">
        <f t="shared" si="201"/>
        <v/>
      </c>
      <c r="CX242" s="744">
        <f t="shared" si="202"/>
        <v>0.65294199999999991</v>
      </c>
    </row>
    <row r="243" spans="1:102">
      <c r="A243" s="633">
        <v>237</v>
      </c>
      <c r="B243" s="630" t="s">
        <v>4</v>
      </c>
      <c r="C243" s="631" t="s">
        <v>252</v>
      </c>
      <c r="D243" s="630" t="s">
        <v>1390</v>
      </c>
      <c r="E243" s="632" t="s">
        <v>235</v>
      </c>
      <c r="F243" s="1067">
        <v>1</v>
      </c>
      <c r="G243" s="1066">
        <v>1</v>
      </c>
      <c r="H243" s="1070">
        <v>0.90099999999999991</v>
      </c>
      <c r="I243" s="1070">
        <v>0.59871449999999993</v>
      </c>
      <c r="J243" s="1070">
        <v>0.45369999999999999</v>
      </c>
      <c r="K243" s="1070">
        <v>0.14425009999999999</v>
      </c>
      <c r="L243" s="1072">
        <v>0.65322499999999994</v>
      </c>
      <c r="M243" s="1070"/>
      <c r="N243" s="1070">
        <v>2.7</v>
      </c>
      <c r="O243" s="1070"/>
      <c r="P243" s="1073">
        <v>20.092299999999998</v>
      </c>
      <c r="Q243" s="1070">
        <v>113.4359</v>
      </c>
      <c r="R243" s="1070">
        <v>67.484899999999996</v>
      </c>
      <c r="S243" s="1070">
        <v>44.599499999999999</v>
      </c>
      <c r="T243" s="1070">
        <v>78.116699999999994</v>
      </c>
      <c r="U243" s="1070"/>
      <c r="V243" s="1066">
        <v>4.6852</v>
      </c>
      <c r="W243" s="1070">
        <v>1.4416</v>
      </c>
      <c r="X243" s="1070">
        <v>3.0634000000000001</v>
      </c>
      <c r="Y243" s="1070">
        <v>0.7208</v>
      </c>
      <c r="Z243" s="1070">
        <v>7.8386999999999984</v>
      </c>
      <c r="AA243" s="1070">
        <v>0.81089999999999995</v>
      </c>
      <c r="AB243" s="1070">
        <v>6.46</v>
      </c>
      <c r="AC243" s="1070">
        <v>48.07</v>
      </c>
      <c r="AD243" s="1070">
        <v>604</v>
      </c>
      <c r="AE243" s="1070">
        <v>17.559999999999999</v>
      </c>
      <c r="AF243" s="1070"/>
      <c r="AG243" s="1070">
        <v>5.01</v>
      </c>
      <c r="AH243" s="1073"/>
      <c r="AI243" s="1070"/>
      <c r="AJ243" s="1070"/>
      <c r="AK243" s="1070"/>
      <c r="AL243" s="1082"/>
      <c r="AM243" s="1069"/>
      <c r="AN243" s="1070"/>
      <c r="AO243" s="1070"/>
      <c r="AP243" s="1070"/>
      <c r="AQ243" s="1070"/>
      <c r="AR243" s="1069"/>
      <c r="AS243" s="1282"/>
      <c r="AT243" s="1282"/>
      <c r="AU243" s="1069"/>
      <c r="AV243" s="1069"/>
      <c r="AW243" s="1069"/>
      <c r="AX243" s="1070"/>
      <c r="AY243" s="1070"/>
      <c r="AZ243" s="1078">
        <f t="shared" si="155"/>
        <v>0.90099999999999991</v>
      </c>
      <c r="BA243" s="59">
        <v>239</v>
      </c>
      <c r="BB243" s="59">
        <f t="shared" si="156"/>
        <v>239</v>
      </c>
      <c r="BC243" s="60" t="str">
        <f t="shared" si="157"/>
        <v>Soja, Casca</v>
      </c>
      <c r="BD243" s="61" t="str">
        <f ca="1">IFERROR(IF(SEARCH('Calcular Dieta'!A$3,$BC$5:$BC$310)&gt;=1,BC243,"Não encontrado"),"Não encontrado")</f>
        <v>Soja, Casca</v>
      </c>
      <c r="BE243" s="62">
        <f ca="1">COUNTIF(BD$5:BD243,"&lt;&gt;"&amp;"Não encontrado")</f>
        <v>239</v>
      </c>
      <c r="BF243" s="63" t="str">
        <f t="shared" ca="1" si="158"/>
        <v>SOJA, CASCA</v>
      </c>
      <c r="BG243" s="744">
        <f t="shared" si="159"/>
        <v>0.59895749999999992</v>
      </c>
      <c r="BH243" s="744">
        <f t="shared" si="160"/>
        <v>0.45394299999999999</v>
      </c>
      <c r="BI243" s="744">
        <f t="shared" si="161"/>
        <v>0.14449309999999999</v>
      </c>
      <c r="BJ243" s="744">
        <f t="shared" si="162"/>
        <v>0.65346799999999994</v>
      </c>
      <c r="BK243" s="744" t="str">
        <f t="shared" si="163"/>
        <v/>
      </c>
      <c r="BL243" s="744">
        <f t="shared" si="164"/>
        <v>2.7002430000000004</v>
      </c>
      <c r="BM243" s="744" t="str">
        <f t="shared" si="165"/>
        <v/>
      </c>
      <c r="BN243" s="744">
        <f t="shared" si="166"/>
        <v>20.092542999999999</v>
      </c>
      <c r="BO243" s="744">
        <f t="shared" si="167"/>
        <v>113.436143</v>
      </c>
      <c r="BP243" s="744">
        <f t="shared" si="168"/>
        <v>67.485142999999994</v>
      </c>
      <c r="BQ243" s="744">
        <f t="shared" si="169"/>
        <v>44.599742999999997</v>
      </c>
      <c r="BR243" s="744">
        <f t="shared" si="170"/>
        <v>78.116942999999992</v>
      </c>
      <c r="BS243" s="744" t="str">
        <f t="shared" si="171"/>
        <v/>
      </c>
      <c r="BT243" s="744">
        <f t="shared" si="172"/>
        <v>4.6854430000000002</v>
      </c>
      <c r="BU243" s="744">
        <f t="shared" si="173"/>
        <v>1.441843</v>
      </c>
      <c r="BV243" s="744">
        <f t="shared" si="174"/>
        <v>3.0636430000000003</v>
      </c>
      <c r="BW243" s="744">
        <f t="shared" si="175"/>
        <v>0.72104299999999999</v>
      </c>
      <c r="BX243" s="744">
        <f t="shared" si="176"/>
        <v>7.8389429999999987</v>
      </c>
      <c r="BY243" s="744">
        <f t="shared" si="177"/>
        <v>0.81114299999999995</v>
      </c>
      <c r="BZ243" s="744">
        <f t="shared" si="178"/>
        <v>6.4602430000000002</v>
      </c>
      <c r="CA243" s="744">
        <f t="shared" si="179"/>
        <v>48.070242999999998</v>
      </c>
      <c r="CB243" s="744">
        <f t="shared" si="180"/>
        <v>604.00024299999995</v>
      </c>
      <c r="CC243" s="744">
        <f t="shared" si="181"/>
        <v>17.560243</v>
      </c>
      <c r="CD243" s="744" t="str">
        <f t="shared" si="182"/>
        <v/>
      </c>
      <c r="CE243" s="744">
        <f t="shared" si="183"/>
        <v>5.010243</v>
      </c>
      <c r="CF243" s="744" t="str">
        <f t="shared" si="184"/>
        <v/>
      </c>
      <c r="CG243" s="744" t="str">
        <f t="shared" si="185"/>
        <v/>
      </c>
      <c r="CH243" s="744" t="str">
        <f t="shared" si="186"/>
        <v/>
      </c>
      <c r="CI243" s="744" t="str">
        <f t="shared" si="187"/>
        <v/>
      </c>
      <c r="CJ243" s="744" t="str">
        <f t="shared" si="188"/>
        <v/>
      </c>
      <c r="CK243" s="744" t="str">
        <f t="shared" si="189"/>
        <v/>
      </c>
      <c r="CL243" s="744" t="str">
        <f t="shared" si="190"/>
        <v/>
      </c>
      <c r="CM243" s="744" t="str">
        <f t="shared" si="191"/>
        <v/>
      </c>
      <c r="CN243" s="744" t="str">
        <f t="shared" si="192"/>
        <v/>
      </c>
      <c r="CO243" s="744" t="str">
        <f t="shared" si="193"/>
        <v/>
      </c>
      <c r="CP243" s="744" t="str">
        <f t="shared" si="194"/>
        <v/>
      </c>
      <c r="CQ243" s="744" t="str">
        <f t="shared" si="195"/>
        <v/>
      </c>
      <c r="CR243" s="744" t="str">
        <f t="shared" si="196"/>
        <v/>
      </c>
      <c r="CS243" s="744" t="str">
        <f t="shared" si="197"/>
        <v/>
      </c>
      <c r="CT243" s="744" t="str">
        <f t="shared" si="198"/>
        <v/>
      </c>
      <c r="CU243" s="744" t="str">
        <f t="shared" si="199"/>
        <v/>
      </c>
      <c r="CV243" s="744" t="str">
        <f t="shared" si="200"/>
        <v/>
      </c>
      <c r="CW243" s="744" t="str">
        <f t="shared" si="201"/>
        <v/>
      </c>
      <c r="CX243" s="744">
        <f t="shared" si="202"/>
        <v>0.90124299999999991</v>
      </c>
    </row>
    <row r="244" spans="1:102">
      <c r="A244" s="630">
        <v>238</v>
      </c>
      <c r="B244" s="630" t="s">
        <v>4</v>
      </c>
      <c r="C244" s="631" t="s">
        <v>250</v>
      </c>
      <c r="D244" s="630" t="s">
        <v>1390</v>
      </c>
      <c r="E244" s="632" t="s">
        <v>725</v>
      </c>
      <c r="F244" s="1067">
        <v>2.7</v>
      </c>
      <c r="G244" s="1066">
        <v>1</v>
      </c>
      <c r="H244" s="1070">
        <v>0.88639999999999997</v>
      </c>
      <c r="I244" s="1070">
        <v>0.13100991999999997</v>
      </c>
      <c r="J244" s="1070">
        <v>8.6999999999999994E-2</v>
      </c>
      <c r="K244" s="1070">
        <v>0.24429184000000001</v>
      </c>
      <c r="L244" s="1072">
        <v>0.69662175999999998</v>
      </c>
      <c r="M244" s="1070"/>
      <c r="N244" s="1070">
        <v>3.4</v>
      </c>
      <c r="O244" s="1070"/>
      <c r="P244" s="1073">
        <v>17.196159999999999</v>
      </c>
      <c r="Q244" s="1070">
        <v>432.38592</v>
      </c>
      <c r="R244" s="1070">
        <v>288.96640000000002</v>
      </c>
      <c r="S244" s="1279">
        <v>143.41951999999998</v>
      </c>
      <c r="T244" s="1070">
        <v>309.35359999999997</v>
      </c>
      <c r="U244" s="1070"/>
      <c r="V244" s="1066">
        <v>3.0137600000000004</v>
      </c>
      <c r="W244" s="1070">
        <v>5.2297599999999997</v>
      </c>
      <c r="X244" s="1070">
        <v>2.5705599999999995</v>
      </c>
      <c r="Y244" s="1070">
        <v>0.53183999999999987</v>
      </c>
      <c r="Z244" s="1070">
        <v>17.905279999999998</v>
      </c>
      <c r="AA244" s="1070">
        <v>2.3046399999999996</v>
      </c>
      <c r="AB244" s="1070">
        <v>18.96</v>
      </c>
      <c r="AC244" s="1070">
        <v>53.79</v>
      </c>
      <c r="AD244" s="1070"/>
      <c r="AE244" s="1070">
        <v>35.380000000000003</v>
      </c>
      <c r="AF244" s="1070"/>
      <c r="AG244" s="1070">
        <v>0.27</v>
      </c>
      <c r="AH244" s="1073">
        <v>0.13</v>
      </c>
      <c r="AI244" s="1070"/>
      <c r="AJ244" s="1070"/>
      <c r="AK244" s="1070"/>
      <c r="AL244" s="1082"/>
      <c r="AM244" s="1069"/>
      <c r="AN244" s="1070"/>
      <c r="AO244" s="1070"/>
      <c r="AP244" s="1070"/>
      <c r="AQ244" s="1070"/>
      <c r="AR244" s="1069"/>
      <c r="AS244" s="1282"/>
      <c r="AT244" s="1282"/>
      <c r="AU244" s="1069"/>
      <c r="AV244" s="1069"/>
      <c r="AW244" s="1069"/>
      <c r="AX244" s="1070"/>
      <c r="AY244" s="1070"/>
      <c r="AZ244" s="1078">
        <f t="shared" si="155"/>
        <v>0.88639999999999997</v>
      </c>
      <c r="BA244" s="59">
        <v>240</v>
      </c>
      <c r="BB244" s="59">
        <f t="shared" si="156"/>
        <v>240</v>
      </c>
      <c r="BC244" s="60" t="str">
        <f t="shared" si="157"/>
        <v>Soja, Farelo (43%)</v>
      </c>
      <c r="BD244" s="61" t="str">
        <f ca="1">IFERROR(IF(SEARCH('Calcular Dieta'!A$3,$BC$5:$BC$310)&gt;=1,BC244,"Não encontrado"),"Não encontrado")</f>
        <v>Soja, Farelo (43%)</v>
      </c>
      <c r="BE244" s="62">
        <f ca="1">COUNTIF(BD$5:BD244,"&lt;&gt;"&amp;"Não encontrado")</f>
        <v>240</v>
      </c>
      <c r="BF244" s="63" t="str">
        <f t="shared" ca="1" si="158"/>
        <v>SOJA, FARELO (43%)</v>
      </c>
      <c r="BG244" s="744">
        <f t="shared" si="159"/>
        <v>0.13125391999999997</v>
      </c>
      <c r="BH244" s="744">
        <f t="shared" si="160"/>
        <v>8.7243999999999988E-2</v>
      </c>
      <c r="BI244" s="744">
        <f t="shared" si="161"/>
        <v>0.24453584</v>
      </c>
      <c r="BJ244" s="744">
        <f t="shared" si="162"/>
        <v>0.69686576</v>
      </c>
      <c r="BK244" s="744" t="str">
        <f t="shared" si="163"/>
        <v/>
      </c>
      <c r="BL244" s="744">
        <f t="shared" si="164"/>
        <v>3.4002439999999998</v>
      </c>
      <c r="BM244" s="744" t="str">
        <f t="shared" si="165"/>
        <v/>
      </c>
      <c r="BN244" s="744">
        <f t="shared" si="166"/>
        <v>17.196403999999998</v>
      </c>
      <c r="BO244" s="744">
        <f t="shared" si="167"/>
        <v>432.38616400000001</v>
      </c>
      <c r="BP244" s="744">
        <f t="shared" si="168"/>
        <v>288.96664400000003</v>
      </c>
      <c r="BQ244" s="744">
        <f t="shared" si="169"/>
        <v>143.41976399999999</v>
      </c>
      <c r="BR244" s="744">
        <f t="shared" si="170"/>
        <v>309.35384399999998</v>
      </c>
      <c r="BS244" s="744" t="str">
        <f t="shared" si="171"/>
        <v/>
      </c>
      <c r="BT244" s="744">
        <f t="shared" si="172"/>
        <v>3.0140040000000003</v>
      </c>
      <c r="BU244" s="744">
        <f t="shared" si="173"/>
        <v>5.2300040000000001</v>
      </c>
      <c r="BV244" s="744">
        <f t="shared" si="174"/>
        <v>2.5708039999999994</v>
      </c>
      <c r="BW244" s="744">
        <f t="shared" si="175"/>
        <v>0.53208399999999989</v>
      </c>
      <c r="BX244" s="744">
        <f t="shared" si="176"/>
        <v>17.905523999999996</v>
      </c>
      <c r="BY244" s="744">
        <f t="shared" si="177"/>
        <v>2.3048839999999995</v>
      </c>
      <c r="BZ244" s="744">
        <f t="shared" si="178"/>
        <v>18.960243999999999</v>
      </c>
      <c r="CA244" s="744">
        <f t="shared" si="179"/>
        <v>53.790244000000001</v>
      </c>
      <c r="CB244" s="744" t="str">
        <f t="shared" si="180"/>
        <v/>
      </c>
      <c r="CC244" s="744">
        <f t="shared" si="181"/>
        <v>35.380244000000005</v>
      </c>
      <c r="CD244" s="744" t="str">
        <f t="shared" si="182"/>
        <v/>
      </c>
      <c r="CE244" s="744">
        <f t="shared" si="183"/>
        <v>0.27024400000000004</v>
      </c>
      <c r="CF244" s="744">
        <f t="shared" si="184"/>
        <v>0.130244</v>
      </c>
      <c r="CG244" s="744" t="str">
        <f t="shared" si="185"/>
        <v/>
      </c>
      <c r="CH244" s="744" t="str">
        <f t="shared" si="186"/>
        <v/>
      </c>
      <c r="CI244" s="744" t="str">
        <f t="shared" si="187"/>
        <v/>
      </c>
      <c r="CJ244" s="744" t="str">
        <f t="shared" si="188"/>
        <v/>
      </c>
      <c r="CK244" s="744" t="str">
        <f t="shared" si="189"/>
        <v/>
      </c>
      <c r="CL244" s="744" t="str">
        <f t="shared" si="190"/>
        <v/>
      </c>
      <c r="CM244" s="744" t="str">
        <f t="shared" si="191"/>
        <v/>
      </c>
      <c r="CN244" s="744" t="str">
        <f t="shared" si="192"/>
        <v/>
      </c>
      <c r="CO244" s="744" t="str">
        <f t="shared" si="193"/>
        <v/>
      </c>
      <c r="CP244" s="744" t="str">
        <f t="shared" si="194"/>
        <v/>
      </c>
      <c r="CQ244" s="744" t="str">
        <f t="shared" si="195"/>
        <v/>
      </c>
      <c r="CR244" s="744" t="str">
        <f t="shared" si="196"/>
        <v/>
      </c>
      <c r="CS244" s="744" t="str">
        <f t="shared" si="197"/>
        <v/>
      </c>
      <c r="CT244" s="744" t="str">
        <f t="shared" si="198"/>
        <v/>
      </c>
      <c r="CU244" s="744" t="str">
        <f t="shared" si="199"/>
        <v/>
      </c>
      <c r="CV244" s="744" t="str">
        <f t="shared" si="200"/>
        <v/>
      </c>
      <c r="CW244" s="744" t="str">
        <f t="shared" si="201"/>
        <v/>
      </c>
      <c r="CX244" s="744">
        <f t="shared" si="202"/>
        <v>0.88664399999999999</v>
      </c>
    </row>
    <row r="245" spans="1:102">
      <c r="A245" s="633">
        <v>241</v>
      </c>
      <c r="B245" s="630" t="s">
        <v>4</v>
      </c>
      <c r="C245" s="631" t="s">
        <v>250</v>
      </c>
      <c r="D245" s="630" t="s">
        <v>1392</v>
      </c>
      <c r="E245" s="632" t="s">
        <v>724</v>
      </c>
      <c r="F245" s="1067">
        <v>2.7</v>
      </c>
      <c r="G245" s="1066">
        <v>1</v>
      </c>
      <c r="H245" s="1070">
        <v>0.89</v>
      </c>
      <c r="I245" s="1070">
        <v>0.13100000000000001</v>
      </c>
      <c r="J245" s="1070">
        <v>8.900000000000001E-2</v>
      </c>
      <c r="K245" s="1070"/>
      <c r="L245" s="1072">
        <v>0.7298</v>
      </c>
      <c r="M245" s="1070">
        <v>3.2176882</v>
      </c>
      <c r="N245" s="1070"/>
      <c r="O245" s="1070"/>
      <c r="P245" s="1073">
        <v>8.9890000000000008</v>
      </c>
      <c r="Q245" s="1070">
        <v>458.35</v>
      </c>
      <c r="R245" s="1070">
        <v>279.59350000000001</v>
      </c>
      <c r="S245" s="1070"/>
      <c r="T245" s="1070"/>
      <c r="U245" s="1070"/>
      <c r="V245" s="1066">
        <v>3.6489999999999996</v>
      </c>
      <c r="W245" s="1070">
        <v>5.5179999999999998</v>
      </c>
      <c r="X245" s="1070">
        <v>3.56</v>
      </c>
      <c r="Y245" s="1070">
        <v>0.89</v>
      </c>
      <c r="Z245" s="1070">
        <v>10.590999999999999</v>
      </c>
      <c r="AA245" s="1070">
        <v>3.827</v>
      </c>
      <c r="AB245" s="1070">
        <v>19.579999999999998</v>
      </c>
      <c r="AC245" s="1070">
        <v>28.48</v>
      </c>
      <c r="AD245" s="1070">
        <v>107.69</v>
      </c>
      <c r="AE245" s="1070">
        <v>25.81</v>
      </c>
      <c r="AF245" s="1070">
        <v>0.14685000000000001</v>
      </c>
      <c r="AG245" s="1070">
        <v>0.24475000000000002</v>
      </c>
      <c r="AH245" s="1073">
        <v>0.45390000000000003</v>
      </c>
      <c r="AI245" s="1070"/>
      <c r="AJ245" s="1070"/>
      <c r="AK245" s="1070"/>
      <c r="AL245" s="1082"/>
      <c r="AM245" s="1069"/>
      <c r="AN245" s="1070"/>
      <c r="AO245" s="1070"/>
      <c r="AP245" s="1070"/>
      <c r="AQ245" s="1070"/>
      <c r="AR245" s="1069"/>
      <c r="AS245" s="1282"/>
      <c r="AT245" s="1282"/>
      <c r="AU245" s="1069"/>
      <c r="AV245" s="1069"/>
      <c r="AW245" s="1069"/>
      <c r="AX245" s="1070"/>
      <c r="AY245" s="1070"/>
      <c r="AZ245" s="1078">
        <f t="shared" si="155"/>
        <v>0.89</v>
      </c>
      <c r="BA245" s="59">
        <v>241</v>
      </c>
      <c r="BB245" s="59">
        <f t="shared" si="156"/>
        <v>241</v>
      </c>
      <c r="BC245" s="60" t="str">
        <f t="shared" si="157"/>
        <v>Soja, Farelo (45%)</v>
      </c>
      <c r="BD245" s="61" t="str">
        <f ca="1">IFERROR(IF(SEARCH('Calcular Dieta'!A$3,$BC$5:$BC$310)&gt;=1,BC245,"Não encontrado"),"Não encontrado")</f>
        <v>Soja, Farelo (45%)</v>
      </c>
      <c r="BE245" s="62">
        <f ca="1">COUNTIF(BD$5:BD245,"&lt;&gt;"&amp;"Não encontrado")</f>
        <v>241</v>
      </c>
      <c r="BF245" s="63" t="str">
        <f t="shared" ca="1" si="158"/>
        <v>SOJA, FARELO (45%)</v>
      </c>
      <c r="BG245" s="744">
        <f t="shared" si="159"/>
        <v>0.131245</v>
      </c>
      <c r="BH245" s="744">
        <f t="shared" si="160"/>
        <v>8.9245000000000005E-2</v>
      </c>
      <c r="BI245" s="744" t="str">
        <f t="shared" si="161"/>
        <v/>
      </c>
      <c r="BJ245" s="744">
        <f t="shared" si="162"/>
        <v>0.73004500000000005</v>
      </c>
      <c r="BK245" s="744">
        <f t="shared" si="163"/>
        <v>3.2179332</v>
      </c>
      <c r="BL245" s="744" t="str">
        <f t="shared" si="164"/>
        <v/>
      </c>
      <c r="BM245" s="744" t="str">
        <f t="shared" si="165"/>
        <v/>
      </c>
      <c r="BN245" s="744">
        <f t="shared" si="166"/>
        <v>8.9892450000000004</v>
      </c>
      <c r="BO245" s="744">
        <f t="shared" si="167"/>
        <v>458.35024500000003</v>
      </c>
      <c r="BP245" s="744">
        <f t="shared" si="168"/>
        <v>279.59374500000001</v>
      </c>
      <c r="BQ245" s="744" t="str">
        <f t="shared" si="169"/>
        <v/>
      </c>
      <c r="BR245" s="744" t="str">
        <f t="shared" si="170"/>
        <v/>
      </c>
      <c r="BS245" s="744" t="str">
        <f t="shared" si="171"/>
        <v/>
      </c>
      <c r="BT245" s="744">
        <f t="shared" si="172"/>
        <v>3.6492449999999996</v>
      </c>
      <c r="BU245" s="744">
        <f t="shared" si="173"/>
        <v>5.5182449999999994</v>
      </c>
      <c r="BV245" s="744">
        <f t="shared" si="174"/>
        <v>3.5602450000000001</v>
      </c>
      <c r="BW245" s="744">
        <f t="shared" si="175"/>
        <v>0.89024500000000006</v>
      </c>
      <c r="BX245" s="744">
        <f t="shared" si="176"/>
        <v>10.591244999999999</v>
      </c>
      <c r="BY245" s="744">
        <f t="shared" si="177"/>
        <v>3.827245</v>
      </c>
      <c r="BZ245" s="744">
        <f t="shared" si="178"/>
        <v>19.580244999999998</v>
      </c>
      <c r="CA245" s="744">
        <f t="shared" si="179"/>
        <v>28.480245</v>
      </c>
      <c r="CB245" s="744">
        <f t="shared" si="180"/>
        <v>107.690245</v>
      </c>
      <c r="CC245" s="744">
        <f t="shared" si="181"/>
        <v>25.810244999999998</v>
      </c>
      <c r="CD245" s="744">
        <f t="shared" si="182"/>
        <v>0.147095</v>
      </c>
      <c r="CE245" s="744">
        <f t="shared" si="183"/>
        <v>0.24499500000000002</v>
      </c>
      <c r="CF245" s="744">
        <f t="shared" si="184"/>
        <v>0.45414500000000002</v>
      </c>
      <c r="CG245" s="744" t="str">
        <f t="shared" si="185"/>
        <v/>
      </c>
      <c r="CH245" s="744" t="str">
        <f t="shared" si="186"/>
        <v/>
      </c>
      <c r="CI245" s="744" t="str">
        <f t="shared" si="187"/>
        <v/>
      </c>
      <c r="CJ245" s="744" t="str">
        <f t="shared" si="188"/>
        <v/>
      </c>
      <c r="CK245" s="744" t="str">
        <f t="shared" si="189"/>
        <v/>
      </c>
      <c r="CL245" s="744" t="str">
        <f t="shared" si="190"/>
        <v/>
      </c>
      <c r="CM245" s="744" t="str">
        <f t="shared" si="191"/>
        <v/>
      </c>
      <c r="CN245" s="744" t="str">
        <f t="shared" si="192"/>
        <v/>
      </c>
      <c r="CO245" s="744" t="str">
        <f t="shared" si="193"/>
        <v/>
      </c>
      <c r="CP245" s="744" t="str">
        <f t="shared" si="194"/>
        <v/>
      </c>
      <c r="CQ245" s="744" t="str">
        <f t="shared" si="195"/>
        <v/>
      </c>
      <c r="CR245" s="744" t="str">
        <f t="shared" si="196"/>
        <v/>
      </c>
      <c r="CS245" s="744" t="str">
        <f t="shared" si="197"/>
        <v/>
      </c>
      <c r="CT245" s="744" t="str">
        <f t="shared" si="198"/>
        <v/>
      </c>
      <c r="CU245" s="744" t="str">
        <f t="shared" si="199"/>
        <v/>
      </c>
      <c r="CV245" s="744" t="str">
        <f t="shared" si="200"/>
        <v/>
      </c>
      <c r="CW245" s="744" t="str">
        <f t="shared" si="201"/>
        <v/>
      </c>
      <c r="CX245" s="744">
        <f t="shared" si="202"/>
        <v>0.89024500000000006</v>
      </c>
    </row>
    <row r="246" spans="1:102">
      <c r="A246" s="630">
        <v>242</v>
      </c>
      <c r="B246" s="630" t="s">
        <v>4</v>
      </c>
      <c r="C246" s="631" t="s">
        <v>250</v>
      </c>
      <c r="D246" s="630" t="s">
        <v>1390</v>
      </c>
      <c r="E246" s="632" t="s">
        <v>236</v>
      </c>
      <c r="F246" s="1067">
        <v>1</v>
      </c>
      <c r="G246" s="1066">
        <v>1</v>
      </c>
      <c r="H246" s="1070">
        <v>0.96730000000000005</v>
      </c>
      <c r="I246" s="1070">
        <v>0.11414140000000002</v>
      </c>
      <c r="J246" s="1070">
        <v>8.3799999999999999E-2</v>
      </c>
      <c r="K246" s="1070">
        <v>0.29618726000000006</v>
      </c>
      <c r="L246" s="1072">
        <v>0.86805502000000001</v>
      </c>
      <c r="M246" s="1070"/>
      <c r="N246" s="1070">
        <v>3.74</v>
      </c>
      <c r="O246" s="1070"/>
      <c r="P246" s="1073">
        <v>102.53380000000001</v>
      </c>
      <c r="Q246" s="1070">
        <v>396.39953999999994</v>
      </c>
      <c r="R246" s="1070">
        <v>178.66030999999998</v>
      </c>
      <c r="S246" s="1279">
        <v>217.73922999999996</v>
      </c>
      <c r="T246" s="1070">
        <v>294.63958000000002</v>
      </c>
      <c r="U246" s="1070"/>
      <c r="V246" s="1066">
        <v>0.6771100000000001</v>
      </c>
      <c r="W246" s="1070">
        <v>5.5136099999999999</v>
      </c>
      <c r="X246" s="1070"/>
      <c r="Y246" s="1070">
        <v>0.58038000000000001</v>
      </c>
      <c r="Z246" s="1070">
        <v>18.378700000000002</v>
      </c>
      <c r="AA246" s="1070"/>
      <c r="AB246" s="1070"/>
      <c r="AC246" s="1070"/>
      <c r="AD246" s="1070">
        <v>145.35</v>
      </c>
      <c r="AE246" s="1070"/>
      <c r="AF246" s="1070"/>
      <c r="AG246" s="1070"/>
      <c r="AH246" s="1073"/>
      <c r="AI246" s="1070"/>
      <c r="AJ246" s="1070"/>
      <c r="AK246" s="1070"/>
      <c r="AL246" s="1082"/>
      <c r="AM246" s="1069"/>
      <c r="AN246" s="1070"/>
      <c r="AO246" s="1070"/>
      <c r="AP246" s="1070"/>
      <c r="AQ246" s="1070"/>
      <c r="AR246" s="1069"/>
      <c r="AS246" s="1282"/>
      <c r="AT246" s="1282"/>
      <c r="AU246" s="1069"/>
      <c r="AV246" s="1069"/>
      <c r="AW246" s="1069"/>
      <c r="AX246" s="1070"/>
      <c r="AY246" s="1070"/>
      <c r="AZ246" s="1078">
        <f t="shared" si="155"/>
        <v>0.96730000000000005</v>
      </c>
      <c r="BA246" s="59">
        <v>242</v>
      </c>
      <c r="BB246" s="59">
        <f t="shared" si="156"/>
        <v>242</v>
      </c>
      <c r="BC246" s="60" t="str">
        <f t="shared" si="157"/>
        <v>Soja, Farelo Extrusado</v>
      </c>
      <c r="BD246" s="61" t="str">
        <f ca="1">IFERROR(IF(SEARCH('Calcular Dieta'!A$3,$BC$5:$BC$310)&gt;=1,BC246,"Não encontrado"),"Não encontrado")</f>
        <v>Soja, Farelo Extrusado</v>
      </c>
      <c r="BE246" s="62">
        <f ca="1">COUNTIF(BD$5:BD246,"&lt;&gt;"&amp;"Não encontrado")</f>
        <v>242</v>
      </c>
      <c r="BF246" s="63" t="str">
        <f t="shared" ca="1" si="158"/>
        <v>SOJA, FARELO EXTRUSADO</v>
      </c>
      <c r="BG246" s="744">
        <f t="shared" si="159"/>
        <v>0.11438740000000001</v>
      </c>
      <c r="BH246" s="744">
        <f t="shared" si="160"/>
        <v>8.4045999999999996E-2</v>
      </c>
      <c r="BI246" s="744">
        <f t="shared" si="161"/>
        <v>0.29643326000000009</v>
      </c>
      <c r="BJ246" s="744">
        <f t="shared" si="162"/>
        <v>0.86830101999999998</v>
      </c>
      <c r="BK246" s="744" t="str">
        <f t="shared" si="163"/>
        <v/>
      </c>
      <c r="BL246" s="744">
        <f t="shared" si="164"/>
        <v>3.7402460000000004</v>
      </c>
      <c r="BM246" s="744" t="str">
        <f t="shared" si="165"/>
        <v/>
      </c>
      <c r="BN246" s="744">
        <f t="shared" si="166"/>
        <v>102.53404600000002</v>
      </c>
      <c r="BO246" s="744">
        <f t="shared" si="167"/>
        <v>396.39978599999995</v>
      </c>
      <c r="BP246" s="744">
        <f t="shared" si="168"/>
        <v>178.66055599999999</v>
      </c>
      <c r="BQ246" s="744">
        <f t="shared" si="169"/>
        <v>217.73947599999997</v>
      </c>
      <c r="BR246" s="744">
        <f t="shared" si="170"/>
        <v>294.63982600000003</v>
      </c>
      <c r="BS246" s="744" t="str">
        <f t="shared" si="171"/>
        <v/>
      </c>
      <c r="BT246" s="744">
        <f t="shared" si="172"/>
        <v>0.67735600000000007</v>
      </c>
      <c r="BU246" s="744">
        <f t="shared" si="173"/>
        <v>5.5138559999999996</v>
      </c>
      <c r="BV246" s="744" t="str">
        <f t="shared" si="174"/>
        <v/>
      </c>
      <c r="BW246" s="744">
        <f t="shared" si="175"/>
        <v>0.58062599999999998</v>
      </c>
      <c r="BX246" s="744">
        <f t="shared" si="176"/>
        <v>18.378946000000003</v>
      </c>
      <c r="BY246" s="744" t="str">
        <f t="shared" si="177"/>
        <v/>
      </c>
      <c r="BZ246" s="744" t="str">
        <f t="shared" si="178"/>
        <v/>
      </c>
      <c r="CA246" s="744" t="str">
        <f t="shared" si="179"/>
        <v/>
      </c>
      <c r="CB246" s="744">
        <f t="shared" si="180"/>
        <v>145.350246</v>
      </c>
      <c r="CC246" s="744" t="str">
        <f t="shared" si="181"/>
        <v/>
      </c>
      <c r="CD246" s="744" t="str">
        <f t="shared" si="182"/>
        <v/>
      </c>
      <c r="CE246" s="744" t="str">
        <f t="shared" si="183"/>
        <v/>
      </c>
      <c r="CF246" s="744" t="str">
        <f t="shared" si="184"/>
        <v/>
      </c>
      <c r="CG246" s="744" t="str">
        <f t="shared" si="185"/>
        <v/>
      </c>
      <c r="CH246" s="744" t="str">
        <f t="shared" si="186"/>
        <v/>
      </c>
      <c r="CI246" s="744" t="str">
        <f t="shared" si="187"/>
        <v/>
      </c>
      <c r="CJ246" s="744" t="str">
        <f t="shared" si="188"/>
        <v/>
      </c>
      <c r="CK246" s="744" t="str">
        <f t="shared" si="189"/>
        <v/>
      </c>
      <c r="CL246" s="744" t="str">
        <f t="shared" si="190"/>
        <v/>
      </c>
      <c r="CM246" s="744" t="str">
        <f t="shared" si="191"/>
        <v/>
      </c>
      <c r="CN246" s="744" t="str">
        <f t="shared" si="192"/>
        <v/>
      </c>
      <c r="CO246" s="744" t="str">
        <f t="shared" si="193"/>
        <v/>
      </c>
      <c r="CP246" s="744" t="str">
        <f t="shared" si="194"/>
        <v/>
      </c>
      <c r="CQ246" s="744" t="str">
        <f t="shared" si="195"/>
        <v/>
      </c>
      <c r="CR246" s="744" t="str">
        <f t="shared" si="196"/>
        <v/>
      </c>
      <c r="CS246" s="744" t="str">
        <f t="shared" si="197"/>
        <v/>
      </c>
      <c r="CT246" s="744" t="str">
        <f t="shared" si="198"/>
        <v/>
      </c>
      <c r="CU246" s="744" t="str">
        <f t="shared" si="199"/>
        <v/>
      </c>
      <c r="CV246" s="744" t="str">
        <f t="shared" si="200"/>
        <v/>
      </c>
      <c r="CW246" s="744" t="str">
        <f t="shared" si="201"/>
        <v/>
      </c>
      <c r="CX246" s="744">
        <f t="shared" si="202"/>
        <v>0.96754600000000002</v>
      </c>
    </row>
    <row r="247" spans="1:102">
      <c r="A247" s="633">
        <v>243</v>
      </c>
      <c r="B247" s="630" t="s">
        <v>4</v>
      </c>
      <c r="C247" s="631" t="s">
        <v>250</v>
      </c>
      <c r="D247" s="630" t="s">
        <v>1390</v>
      </c>
      <c r="E247" s="632" t="s">
        <v>237</v>
      </c>
      <c r="F247" s="1067">
        <v>1</v>
      </c>
      <c r="G247" s="1066">
        <v>1</v>
      </c>
      <c r="H247" s="1070">
        <v>0.90920000000000001</v>
      </c>
      <c r="I247" s="1070">
        <v>0.13392516000000004</v>
      </c>
      <c r="J247" s="1070">
        <v>0.11255896000000001</v>
      </c>
      <c r="K247" s="1070">
        <v>0.19838744000000003</v>
      </c>
      <c r="L247" s="1072">
        <v>0.87383211999999999</v>
      </c>
      <c r="M247" s="1070"/>
      <c r="N247" s="1070"/>
      <c r="O247" s="1070"/>
      <c r="P247" s="1073">
        <v>171.92972</v>
      </c>
      <c r="Q247" s="1070">
        <v>349.76924000000002</v>
      </c>
      <c r="R247" s="1070">
        <v>262.32693</v>
      </c>
      <c r="S247" s="1279">
        <v>87.44231000000002</v>
      </c>
      <c r="T247" s="1070"/>
      <c r="U247" s="1070"/>
      <c r="V247" s="1066">
        <v>2.9094400000000005</v>
      </c>
      <c r="W247" s="1070">
        <v>4.8187600000000002</v>
      </c>
      <c r="X247" s="1070">
        <v>1.8184000000000002</v>
      </c>
      <c r="Y247" s="1070">
        <v>9.0920000000000015E-2</v>
      </c>
      <c r="Z247" s="1070">
        <v>17.092959999999998</v>
      </c>
      <c r="AA247" s="1070">
        <v>0</v>
      </c>
      <c r="AB247" s="1070">
        <v>12.42</v>
      </c>
      <c r="AC247" s="1070">
        <v>40.880000000000003</v>
      </c>
      <c r="AD247" s="1070"/>
      <c r="AE247" s="1070">
        <v>30.22</v>
      </c>
      <c r="AF247" s="1070">
        <v>0</v>
      </c>
      <c r="AG247" s="1070"/>
      <c r="AH247" s="1073">
        <v>0</v>
      </c>
      <c r="AI247" s="1070"/>
      <c r="AJ247" s="1070"/>
      <c r="AK247" s="1070"/>
      <c r="AL247" s="1082"/>
      <c r="AM247" s="1069"/>
      <c r="AN247" s="1070"/>
      <c r="AO247" s="1070"/>
      <c r="AP247" s="1070"/>
      <c r="AQ247" s="1070"/>
      <c r="AR247" s="1069"/>
      <c r="AS247" s="1282"/>
      <c r="AT247" s="1282"/>
      <c r="AU247" s="1069"/>
      <c r="AV247" s="1069"/>
      <c r="AW247" s="1069"/>
      <c r="AX247" s="1070"/>
      <c r="AY247" s="1070"/>
      <c r="AZ247" s="1078">
        <f t="shared" si="155"/>
        <v>0.90920000000000001</v>
      </c>
      <c r="BA247" s="59">
        <v>243</v>
      </c>
      <c r="BB247" s="59">
        <f t="shared" si="156"/>
        <v>243</v>
      </c>
      <c r="BC247" s="60" t="str">
        <f t="shared" si="157"/>
        <v>Soja, Grão</v>
      </c>
      <c r="BD247" s="61" t="str">
        <f ca="1">IFERROR(IF(SEARCH('Calcular Dieta'!A$3,$BC$5:$BC$310)&gt;=1,BC247,"Não encontrado"),"Não encontrado")</f>
        <v>Soja, Grão</v>
      </c>
      <c r="BE247" s="62">
        <f ca="1">COUNTIF(BD$5:BD247,"&lt;&gt;"&amp;"Não encontrado")</f>
        <v>243</v>
      </c>
      <c r="BF247" s="63" t="str">
        <f t="shared" ca="1" si="158"/>
        <v>SOJA, GRÃO</v>
      </c>
      <c r="BG247" s="744">
        <f t="shared" si="159"/>
        <v>0.13417216000000004</v>
      </c>
      <c r="BH247" s="744">
        <f t="shared" si="160"/>
        <v>0.11280596000000001</v>
      </c>
      <c r="BI247" s="744">
        <f t="shared" si="161"/>
        <v>0.19863444000000002</v>
      </c>
      <c r="BJ247" s="744">
        <f t="shared" si="162"/>
        <v>0.87407911999999999</v>
      </c>
      <c r="BK247" s="744" t="str">
        <f t="shared" si="163"/>
        <v/>
      </c>
      <c r="BL247" s="744" t="str">
        <f t="shared" si="164"/>
        <v/>
      </c>
      <c r="BM247" s="744" t="str">
        <f t="shared" si="165"/>
        <v/>
      </c>
      <c r="BN247" s="744">
        <f t="shared" si="166"/>
        <v>171.929967</v>
      </c>
      <c r="BO247" s="744">
        <f t="shared" si="167"/>
        <v>349.76948700000003</v>
      </c>
      <c r="BP247" s="744">
        <f t="shared" si="168"/>
        <v>262.32717700000001</v>
      </c>
      <c r="BQ247" s="744">
        <f t="shared" si="169"/>
        <v>87.442557000000022</v>
      </c>
      <c r="BR247" s="744" t="str">
        <f t="shared" si="170"/>
        <v/>
      </c>
      <c r="BS247" s="744" t="str">
        <f t="shared" si="171"/>
        <v/>
      </c>
      <c r="BT247" s="744">
        <f t="shared" si="172"/>
        <v>2.9096870000000004</v>
      </c>
      <c r="BU247" s="744">
        <f t="shared" si="173"/>
        <v>4.819007</v>
      </c>
      <c r="BV247" s="744">
        <f t="shared" si="174"/>
        <v>1.8186470000000003</v>
      </c>
      <c r="BW247" s="744">
        <f t="shared" si="175"/>
        <v>9.1167000000000012E-2</v>
      </c>
      <c r="BX247" s="744">
        <f t="shared" si="176"/>
        <v>17.093207</v>
      </c>
      <c r="BY247" s="744" t="str">
        <f t="shared" si="177"/>
        <v/>
      </c>
      <c r="BZ247" s="744">
        <f t="shared" si="178"/>
        <v>12.420247</v>
      </c>
      <c r="CA247" s="744">
        <f t="shared" si="179"/>
        <v>40.880247000000004</v>
      </c>
      <c r="CB247" s="744" t="str">
        <f t="shared" si="180"/>
        <v/>
      </c>
      <c r="CC247" s="744">
        <f t="shared" si="181"/>
        <v>30.220247000000001</v>
      </c>
      <c r="CD247" s="744" t="str">
        <f t="shared" si="182"/>
        <v/>
      </c>
      <c r="CE247" s="744" t="str">
        <f t="shared" si="183"/>
        <v/>
      </c>
      <c r="CF247" s="744" t="str">
        <f t="shared" si="184"/>
        <v/>
      </c>
      <c r="CG247" s="744" t="str">
        <f t="shared" si="185"/>
        <v/>
      </c>
      <c r="CH247" s="744" t="str">
        <f t="shared" si="186"/>
        <v/>
      </c>
      <c r="CI247" s="744" t="str">
        <f t="shared" si="187"/>
        <v/>
      </c>
      <c r="CJ247" s="744" t="str">
        <f t="shared" si="188"/>
        <v/>
      </c>
      <c r="CK247" s="744" t="str">
        <f t="shared" si="189"/>
        <v/>
      </c>
      <c r="CL247" s="744" t="str">
        <f t="shared" si="190"/>
        <v/>
      </c>
      <c r="CM247" s="744" t="str">
        <f t="shared" si="191"/>
        <v/>
      </c>
      <c r="CN247" s="744" t="str">
        <f t="shared" si="192"/>
        <v/>
      </c>
      <c r="CO247" s="744" t="str">
        <f t="shared" si="193"/>
        <v/>
      </c>
      <c r="CP247" s="744" t="str">
        <f t="shared" si="194"/>
        <v/>
      </c>
      <c r="CQ247" s="744" t="str">
        <f t="shared" si="195"/>
        <v/>
      </c>
      <c r="CR247" s="744" t="str">
        <f t="shared" si="196"/>
        <v/>
      </c>
      <c r="CS247" s="744" t="str">
        <f t="shared" si="197"/>
        <v/>
      </c>
      <c r="CT247" s="744" t="str">
        <f t="shared" si="198"/>
        <v/>
      </c>
      <c r="CU247" s="744" t="str">
        <f t="shared" si="199"/>
        <v/>
      </c>
      <c r="CV247" s="744" t="str">
        <f t="shared" si="200"/>
        <v/>
      </c>
      <c r="CW247" s="744" t="str">
        <f t="shared" si="201"/>
        <v/>
      </c>
      <c r="CX247" s="744">
        <f t="shared" si="202"/>
        <v>0.90944700000000001</v>
      </c>
    </row>
    <row r="248" spans="1:102">
      <c r="A248" s="630">
        <v>244</v>
      </c>
      <c r="B248" s="630" t="s">
        <v>4</v>
      </c>
      <c r="C248" s="631" t="s">
        <v>250</v>
      </c>
      <c r="D248" s="630" t="s">
        <v>1390</v>
      </c>
      <c r="E248" s="632" t="s">
        <v>238</v>
      </c>
      <c r="F248" s="1067">
        <v>1</v>
      </c>
      <c r="G248" s="1066">
        <v>1</v>
      </c>
      <c r="H248" s="1070">
        <v>0.91700000000000004</v>
      </c>
      <c r="I248" s="1070">
        <v>0.19046090000000002</v>
      </c>
      <c r="J248" s="1070">
        <v>0.12230000000000001</v>
      </c>
      <c r="K248" s="1070">
        <v>0.113708</v>
      </c>
      <c r="L248" s="1072">
        <v>0.86399740000000003</v>
      </c>
      <c r="M248" s="1070"/>
      <c r="N248" s="1070">
        <v>3.86</v>
      </c>
      <c r="O248" s="1070"/>
      <c r="P248" s="1073">
        <v>192.29490000000001</v>
      </c>
      <c r="Q248" s="1070">
        <v>358.54700000000003</v>
      </c>
      <c r="R248" s="1070">
        <v>247.4066</v>
      </c>
      <c r="S248" s="1279">
        <v>111.14040000000003</v>
      </c>
      <c r="T248" s="1070">
        <v>290.96410000000003</v>
      </c>
      <c r="U248" s="1070"/>
      <c r="V248" s="1066">
        <v>2.2925000000000004</v>
      </c>
      <c r="W248" s="1070">
        <v>4.4933000000000005</v>
      </c>
      <c r="X248" s="1070">
        <v>1.3754999999999999</v>
      </c>
      <c r="Y248" s="1070">
        <v>0.18340000000000001</v>
      </c>
      <c r="Z248" s="1070">
        <v>15.130500000000001</v>
      </c>
      <c r="AA248" s="1070"/>
      <c r="AB248" s="1070">
        <v>9.7899999999999991</v>
      </c>
      <c r="AC248" s="1070">
        <v>46.12</v>
      </c>
      <c r="AD248" s="1070">
        <v>129.99</v>
      </c>
      <c r="AE248" s="1070">
        <v>21.72</v>
      </c>
      <c r="AF248" s="1070"/>
      <c r="AG248" s="1070"/>
      <c r="AH248" s="1073"/>
      <c r="AI248" s="1070"/>
      <c r="AJ248" s="1070"/>
      <c r="AK248" s="1070"/>
      <c r="AL248" s="1082"/>
      <c r="AM248" s="1069"/>
      <c r="AN248" s="1070"/>
      <c r="AO248" s="1070"/>
      <c r="AP248" s="1070"/>
      <c r="AQ248" s="1070"/>
      <c r="AR248" s="1069"/>
      <c r="AS248" s="1282"/>
      <c r="AT248" s="1282"/>
      <c r="AU248" s="1069"/>
      <c r="AV248" s="1069"/>
      <c r="AW248" s="1069"/>
      <c r="AX248" s="1070"/>
      <c r="AY248" s="1070"/>
      <c r="AZ248" s="1078">
        <f t="shared" si="155"/>
        <v>0.91700000000000004</v>
      </c>
      <c r="BA248" s="59">
        <v>244</v>
      </c>
      <c r="BB248" s="59">
        <f t="shared" si="156"/>
        <v>244</v>
      </c>
      <c r="BC248" s="60" t="str">
        <f t="shared" si="157"/>
        <v>Soja, Grão Tostada</v>
      </c>
      <c r="BD248" s="61" t="str">
        <f ca="1">IFERROR(IF(SEARCH('Calcular Dieta'!A$3,$BC$5:$BC$310)&gt;=1,BC248,"Não encontrado"),"Não encontrado")</f>
        <v>Soja, Grão Tostada</v>
      </c>
      <c r="BE248" s="62">
        <f ca="1">COUNTIF(BD$5:BD248,"&lt;&gt;"&amp;"Não encontrado")</f>
        <v>244</v>
      </c>
      <c r="BF248" s="63" t="str">
        <f t="shared" ca="1" si="158"/>
        <v>SOJA, GRÃO TOSTADA</v>
      </c>
      <c r="BG248" s="744">
        <f t="shared" si="159"/>
        <v>0.19070890000000001</v>
      </c>
      <c r="BH248" s="744">
        <f t="shared" si="160"/>
        <v>0.122548</v>
      </c>
      <c r="BI248" s="744">
        <f t="shared" si="161"/>
        <v>0.113956</v>
      </c>
      <c r="BJ248" s="744">
        <f t="shared" si="162"/>
        <v>0.86424540000000005</v>
      </c>
      <c r="BK248" s="744" t="str">
        <f t="shared" si="163"/>
        <v/>
      </c>
      <c r="BL248" s="744">
        <f t="shared" si="164"/>
        <v>3.8602479999999999</v>
      </c>
      <c r="BM248" s="744" t="str">
        <f t="shared" si="165"/>
        <v/>
      </c>
      <c r="BN248" s="744">
        <f t="shared" si="166"/>
        <v>192.29514800000001</v>
      </c>
      <c r="BO248" s="744">
        <f t="shared" si="167"/>
        <v>358.54724800000002</v>
      </c>
      <c r="BP248" s="744">
        <f t="shared" si="168"/>
        <v>247.406848</v>
      </c>
      <c r="BQ248" s="744">
        <f t="shared" si="169"/>
        <v>111.14064800000003</v>
      </c>
      <c r="BR248" s="744">
        <f t="shared" si="170"/>
        <v>290.96434800000003</v>
      </c>
      <c r="BS248" s="744" t="str">
        <f t="shared" si="171"/>
        <v/>
      </c>
      <c r="BT248" s="744">
        <f t="shared" si="172"/>
        <v>2.2927480000000005</v>
      </c>
      <c r="BU248" s="744">
        <f t="shared" si="173"/>
        <v>4.4935480000000005</v>
      </c>
      <c r="BV248" s="744">
        <f t="shared" si="174"/>
        <v>1.375748</v>
      </c>
      <c r="BW248" s="744">
        <f t="shared" si="175"/>
        <v>0.18364800000000001</v>
      </c>
      <c r="BX248" s="744">
        <f t="shared" si="176"/>
        <v>15.130748000000001</v>
      </c>
      <c r="BY248" s="744" t="str">
        <f t="shared" si="177"/>
        <v/>
      </c>
      <c r="BZ248" s="744">
        <f t="shared" si="178"/>
        <v>9.7902479999999983</v>
      </c>
      <c r="CA248" s="744">
        <f t="shared" si="179"/>
        <v>46.120247999999997</v>
      </c>
      <c r="CB248" s="744">
        <f t="shared" si="180"/>
        <v>129.99024800000001</v>
      </c>
      <c r="CC248" s="744">
        <f t="shared" si="181"/>
        <v>21.720247999999998</v>
      </c>
      <c r="CD248" s="744" t="str">
        <f t="shared" si="182"/>
        <v/>
      </c>
      <c r="CE248" s="744" t="str">
        <f t="shared" si="183"/>
        <v/>
      </c>
      <c r="CF248" s="744" t="str">
        <f t="shared" si="184"/>
        <v/>
      </c>
      <c r="CG248" s="744" t="str">
        <f t="shared" si="185"/>
        <v/>
      </c>
      <c r="CH248" s="744" t="str">
        <f t="shared" si="186"/>
        <v/>
      </c>
      <c r="CI248" s="744" t="str">
        <f t="shared" si="187"/>
        <v/>
      </c>
      <c r="CJ248" s="744" t="str">
        <f t="shared" si="188"/>
        <v/>
      </c>
      <c r="CK248" s="744" t="str">
        <f t="shared" si="189"/>
        <v/>
      </c>
      <c r="CL248" s="744" t="str">
        <f t="shared" si="190"/>
        <v/>
      </c>
      <c r="CM248" s="744" t="str">
        <f t="shared" si="191"/>
        <v/>
      </c>
      <c r="CN248" s="744" t="str">
        <f t="shared" si="192"/>
        <v/>
      </c>
      <c r="CO248" s="744" t="str">
        <f t="shared" si="193"/>
        <v/>
      </c>
      <c r="CP248" s="744" t="str">
        <f t="shared" si="194"/>
        <v/>
      </c>
      <c r="CQ248" s="744" t="str">
        <f t="shared" si="195"/>
        <v/>
      </c>
      <c r="CR248" s="744" t="str">
        <f t="shared" si="196"/>
        <v/>
      </c>
      <c r="CS248" s="744" t="str">
        <f t="shared" si="197"/>
        <v/>
      </c>
      <c r="CT248" s="744" t="str">
        <f t="shared" si="198"/>
        <v/>
      </c>
      <c r="CU248" s="744" t="str">
        <f t="shared" si="199"/>
        <v/>
      </c>
      <c r="CV248" s="744" t="str">
        <f t="shared" si="200"/>
        <v/>
      </c>
      <c r="CW248" s="744" t="str">
        <f t="shared" si="201"/>
        <v/>
      </c>
      <c r="CX248" s="744">
        <f t="shared" si="202"/>
        <v>0.91724800000000006</v>
      </c>
    </row>
    <row r="249" spans="1:102">
      <c r="A249" s="633">
        <v>245</v>
      </c>
      <c r="B249" s="630" t="s">
        <v>3</v>
      </c>
      <c r="C249" s="631" t="s">
        <v>249</v>
      </c>
      <c r="D249" s="630" t="s">
        <v>1390</v>
      </c>
      <c r="E249" s="632" t="s">
        <v>239</v>
      </c>
      <c r="F249" s="1067">
        <v>1</v>
      </c>
      <c r="G249" s="1066">
        <v>1</v>
      </c>
      <c r="H249" s="1070">
        <v>0.24109999999999998</v>
      </c>
      <c r="I249" s="1070">
        <v>0.15273685000000001</v>
      </c>
      <c r="J249" s="1070">
        <v>7.8299999999999995E-2</v>
      </c>
      <c r="K249" s="1070">
        <v>2.8208699999999996E-2</v>
      </c>
      <c r="L249" s="1072">
        <v>0.12450403999999998</v>
      </c>
      <c r="M249" s="1070"/>
      <c r="N249" s="1070">
        <v>1.81</v>
      </c>
      <c r="O249" s="1070"/>
      <c r="P249" s="1073">
        <v>7.32944</v>
      </c>
      <c r="Q249" s="1070">
        <v>16.515349999999998</v>
      </c>
      <c r="R249" s="1070"/>
      <c r="S249" s="1070"/>
      <c r="T249" s="1070"/>
      <c r="U249" s="1070"/>
      <c r="V249" s="1066">
        <v>0.31342999999999999</v>
      </c>
      <c r="W249" s="1070">
        <v>0.31342999999999999</v>
      </c>
      <c r="X249" s="1070">
        <v>0.62685999999999997</v>
      </c>
      <c r="Y249" s="1070"/>
      <c r="Z249" s="1070"/>
      <c r="AA249" s="1070"/>
      <c r="AB249" s="1070"/>
      <c r="AC249" s="1070"/>
      <c r="AD249" s="1070"/>
      <c r="AE249" s="1070"/>
      <c r="AF249" s="1070"/>
      <c r="AG249" s="1070"/>
      <c r="AH249" s="1073"/>
      <c r="AI249" s="1070"/>
      <c r="AJ249" s="1070"/>
      <c r="AK249" s="1070"/>
      <c r="AL249" s="1082"/>
      <c r="AM249" s="1069"/>
      <c r="AN249" s="1070"/>
      <c r="AO249" s="1070"/>
      <c r="AP249" s="1070"/>
      <c r="AQ249" s="1070"/>
      <c r="AR249" s="1069"/>
      <c r="AS249" s="1282"/>
      <c r="AT249" s="1282"/>
      <c r="AU249" s="1069"/>
      <c r="AV249" s="1069"/>
      <c r="AW249" s="1069"/>
      <c r="AX249" s="1070"/>
      <c r="AY249" s="1070"/>
      <c r="AZ249" s="1078">
        <f t="shared" si="155"/>
        <v>0.24109999999999998</v>
      </c>
      <c r="BA249" s="59">
        <v>245</v>
      </c>
      <c r="BB249" s="59">
        <f t="shared" si="156"/>
        <v>245</v>
      </c>
      <c r="BC249" s="60" t="str">
        <f t="shared" si="157"/>
        <v>Sorgo Forrageiro</v>
      </c>
      <c r="BD249" s="61" t="str">
        <f ca="1">IFERROR(IF(SEARCH('Calcular Dieta'!A$3,$BC$5:$BC$310)&gt;=1,BC249,"Não encontrado"),"Não encontrado")</f>
        <v>Sorgo Forrageiro</v>
      </c>
      <c r="BE249" s="62">
        <f ca="1">COUNTIF(BD$5:BD249,"&lt;&gt;"&amp;"Não encontrado")</f>
        <v>245</v>
      </c>
      <c r="BF249" s="63" t="str">
        <f t="shared" ca="1" si="158"/>
        <v>SORGO FORRAGEIRO</v>
      </c>
      <c r="BG249" s="744">
        <f t="shared" si="159"/>
        <v>0.15298585000000001</v>
      </c>
      <c r="BH249" s="744">
        <f t="shared" si="160"/>
        <v>7.8548999999999994E-2</v>
      </c>
      <c r="BI249" s="744">
        <f t="shared" si="161"/>
        <v>2.8457699999999995E-2</v>
      </c>
      <c r="BJ249" s="744">
        <f t="shared" si="162"/>
        <v>0.12475303999999998</v>
      </c>
      <c r="BK249" s="744" t="str">
        <f t="shared" si="163"/>
        <v/>
      </c>
      <c r="BL249" s="744">
        <f t="shared" si="164"/>
        <v>1.810249</v>
      </c>
      <c r="BM249" s="744" t="str">
        <f t="shared" si="165"/>
        <v/>
      </c>
      <c r="BN249" s="744">
        <f t="shared" si="166"/>
        <v>7.3296890000000001</v>
      </c>
      <c r="BO249" s="744">
        <f t="shared" si="167"/>
        <v>16.515598999999998</v>
      </c>
      <c r="BP249" s="744" t="str">
        <f t="shared" si="168"/>
        <v/>
      </c>
      <c r="BQ249" s="744" t="str">
        <f t="shared" si="169"/>
        <v/>
      </c>
      <c r="BR249" s="744" t="str">
        <f t="shared" si="170"/>
        <v/>
      </c>
      <c r="BS249" s="744" t="str">
        <f t="shared" si="171"/>
        <v/>
      </c>
      <c r="BT249" s="744">
        <f t="shared" si="172"/>
        <v>0.31367899999999999</v>
      </c>
      <c r="BU249" s="744">
        <f t="shared" si="173"/>
        <v>0.31367899999999999</v>
      </c>
      <c r="BV249" s="744">
        <f t="shared" si="174"/>
        <v>0.62710900000000003</v>
      </c>
      <c r="BW249" s="744" t="str">
        <f t="shared" si="175"/>
        <v/>
      </c>
      <c r="BX249" s="744" t="str">
        <f t="shared" si="176"/>
        <v/>
      </c>
      <c r="BY249" s="744" t="str">
        <f t="shared" si="177"/>
        <v/>
      </c>
      <c r="BZ249" s="744" t="str">
        <f t="shared" si="178"/>
        <v/>
      </c>
      <c r="CA249" s="744" t="str">
        <f t="shared" si="179"/>
        <v/>
      </c>
      <c r="CB249" s="744" t="str">
        <f t="shared" si="180"/>
        <v/>
      </c>
      <c r="CC249" s="744" t="str">
        <f t="shared" si="181"/>
        <v/>
      </c>
      <c r="CD249" s="744" t="str">
        <f t="shared" si="182"/>
        <v/>
      </c>
      <c r="CE249" s="744" t="str">
        <f t="shared" si="183"/>
        <v/>
      </c>
      <c r="CF249" s="744" t="str">
        <f t="shared" si="184"/>
        <v/>
      </c>
      <c r="CG249" s="744" t="str">
        <f t="shared" si="185"/>
        <v/>
      </c>
      <c r="CH249" s="744" t="str">
        <f t="shared" si="186"/>
        <v/>
      </c>
      <c r="CI249" s="744" t="str">
        <f t="shared" si="187"/>
        <v/>
      </c>
      <c r="CJ249" s="744" t="str">
        <f t="shared" si="188"/>
        <v/>
      </c>
      <c r="CK249" s="744" t="str">
        <f t="shared" si="189"/>
        <v/>
      </c>
      <c r="CL249" s="744" t="str">
        <f t="shared" si="190"/>
        <v/>
      </c>
      <c r="CM249" s="744" t="str">
        <f t="shared" si="191"/>
        <v/>
      </c>
      <c r="CN249" s="744" t="str">
        <f t="shared" si="192"/>
        <v/>
      </c>
      <c r="CO249" s="744" t="str">
        <f t="shared" si="193"/>
        <v/>
      </c>
      <c r="CP249" s="744" t="str">
        <f t="shared" si="194"/>
        <v/>
      </c>
      <c r="CQ249" s="744" t="str">
        <f t="shared" si="195"/>
        <v/>
      </c>
      <c r="CR249" s="744" t="str">
        <f t="shared" si="196"/>
        <v/>
      </c>
      <c r="CS249" s="744" t="str">
        <f t="shared" si="197"/>
        <v/>
      </c>
      <c r="CT249" s="744" t="str">
        <f t="shared" si="198"/>
        <v/>
      </c>
      <c r="CU249" s="744" t="str">
        <f t="shared" si="199"/>
        <v/>
      </c>
      <c r="CV249" s="744" t="str">
        <f t="shared" si="200"/>
        <v/>
      </c>
      <c r="CW249" s="744" t="str">
        <f t="shared" si="201"/>
        <v/>
      </c>
      <c r="CX249" s="744">
        <f t="shared" si="202"/>
        <v>0.24134899999999998</v>
      </c>
    </row>
    <row r="250" spans="1:102">
      <c r="A250" s="630">
        <v>246</v>
      </c>
      <c r="B250" s="630" t="s">
        <v>4</v>
      </c>
      <c r="C250" s="631" t="s">
        <v>252</v>
      </c>
      <c r="D250" s="630" t="s">
        <v>1392</v>
      </c>
      <c r="E250" s="632" t="s">
        <v>240</v>
      </c>
      <c r="F250" s="1067">
        <v>1</v>
      </c>
      <c r="G250" s="1066">
        <v>1</v>
      </c>
      <c r="H250" s="1070">
        <v>0.89</v>
      </c>
      <c r="I250" s="1070">
        <v>0.16020000000000001</v>
      </c>
      <c r="J250" s="1070">
        <v>5.6070000000000002E-2</v>
      </c>
      <c r="K250" s="1070"/>
      <c r="L250" s="1072">
        <v>0.71200000000000008</v>
      </c>
      <c r="M250" s="1070">
        <v>3.139208</v>
      </c>
      <c r="N250" s="1070"/>
      <c r="O250" s="1070"/>
      <c r="P250" s="1073">
        <v>20.47</v>
      </c>
      <c r="Q250" s="1070">
        <v>90.78</v>
      </c>
      <c r="R250" s="1070">
        <v>23.512020000000003</v>
      </c>
      <c r="S250" s="1070"/>
      <c r="T250" s="1070"/>
      <c r="U250" s="1070"/>
      <c r="V250" s="1066">
        <v>0.26699999999999996</v>
      </c>
      <c r="W250" s="1070">
        <v>2.403</v>
      </c>
      <c r="X250" s="1070">
        <v>0.89</v>
      </c>
      <c r="Y250" s="1070">
        <v>0.13349999999999998</v>
      </c>
      <c r="Z250" s="1070">
        <v>2.8480000000000003</v>
      </c>
      <c r="AA250" s="1070">
        <v>0.80099999999999993</v>
      </c>
      <c r="AB250" s="1070">
        <v>5.34</v>
      </c>
      <c r="AC250" s="1070">
        <v>10.68</v>
      </c>
      <c r="AD250" s="1070">
        <v>25.81</v>
      </c>
      <c r="AE250" s="1070">
        <v>11.57</v>
      </c>
      <c r="AF250" s="1070">
        <v>1.958E-2</v>
      </c>
      <c r="AG250" s="1070">
        <v>0.2581</v>
      </c>
      <c r="AH250" s="1073">
        <v>0.12460000000000002</v>
      </c>
      <c r="AI250" s="1070"/>
      <c r="AJ250" s="1070"/>
      <c r="AK250" s="1070"/>
      <c r="AL250" s="1082">
        <v>44.5</v>
      </c>
      <c r="AM250" s="1069"/>
      <c r="AN250" s="1070"/>
      <c r="AO250" s="1070"/>
      <c r="AP250" s="1070"/>
      <c r="AQ250" s="1070"/>
      <c r="AR250" s="1069"/>
      <c r="AS250" s="1282"/>
      <c r="AT250" s="1282"/>
      <c r="AU250" s="1069"/>
      <c r="AV250" s="1069"/>
      <c r="AW250" s="1069"/>
      <c r="AX250" s="1070"/>
      <c r="AY250" s="1070"/>
      <c r="AZ250" s="1078">
        <f t="shared" si="155"/>
        <v>0.89</v>
      </c>
      <c r="BA250" s="59">
        <v>246</v>
      </c>
      <c r="BB250" s="59">
        <f t="shared" si="156"/>
        <v>246</v>
      </c>
      <c r="BC250" s="60" t="str">
        <f t="shared" si="157"/>
        <v>Sorgo, Grão</v>
      </c>
      <c r="BD250" s="61" t="str">
        <f ca="1">IFERROR(IF(SEARCH('Calcular Dieta'!A$3,$BC$5:$BC$310)&gt;=1,BC250,"Não encontrado"),"Não encontrado")</f>
        <v>Sorgo, Grão</v>
      </c>
      <c r="BE250" s="62">
        <f ca="1">COUNTIF(BD$5:BD250,"&lt;&gt;"&amp;"Não encontrado")</f>
        <v>246</v>
      </c>
      <c r="BF250" s="63" t="str">
        <f t="shared" ca="1" si="158"/>
        <v>SORGO, GRÃO</v>
      </c>
      <c r="BG250" s="744">
        <f t="shared" si="159"/>
        <v>0.16045000000000001</v>
      </c>
      <c r="BH250" s="744">
        <f t="shared" si="160"/>
        <v>5.6320000000000002E-2</v>
      </c>
      <c r="BI250" s="744" t="str">
        <f t="shared" si="161"/>
        <v/>
      </c>
      <c r="BJ250" s="744">
        <f t="shared" si="162"/>
        <v>0.71225000000000005</v>
      </c>
      <c r="BK250" s="744">
        <f t="shared" si="163"/>
        <v>3.1394579999999999</v>
      </c>
      <c r="BL250" s="744" t="str">
        <f t="shared" si="164"/>
        <v/>
      </c>
      <c r="BM250" s="744" t="str">
        <f t="shared" si="165"/>
        <v/>
      </c>
      <c r="BN250" s="744">
        <f t="shared" si="166"/>
        <v>20.47025</v>
      </c>
      <c r="BO250" s="744">
        <f t="shared" si="167"/>
        <v>90.780249999999995</v>
      </c>
      <c r="BP250" s="744">
        <f t="shared" si="168"/>
        <v>23.512270000000004</v>
      </c>
      <c r="BQ250" s="744" t="str">
        <f t="shared" si="169"/>
        <v/>
      </c>
      <c r="BR250" s="744" t="str">
        <f t="shared" si="170"/>
        <v/>
      </c>
      <c r="BS250" s="744" t="str">
        <f t="shared" si="171"/>
        <v/>
      </c>
      <c r="BT250" s="744">
        <f t="shared" si="172"/>
        <v>0.26724999999999993</v>
      </c>
      <c r="BU250" s="744">
        <f t="shared" si="173"/>
        <v>2.4032499999999999</v>
      </c>
      <c r="BV250" s="744">
        <f t="shared" si="174"/>
        <v>0.89024999999999999</v>
      </c>
      <c r="BW250" s="744">
        <f t="shared" si="175"/>
        <v>0.13374999999999998</v>
      </c>
      <c r="BX250" s="744">
        <f t="shared" si="176"/>
        <v>2.8482500000000002</v>
      </c>
      <c r="BY250" s="744">
        <f t="shared" si="177"/>
        <v>0.80124999999999991</v>
      </c>
      <c r="BZ250" s="744">
        <f t="shared" si="178"/>
        <v>5.3402500000000002</v>
      </c>
      <c r="CA250" s="744">
        <f t="shared" si="179"/>
        <v>10.680249999999999</v>
      </c>
      <c r="CB250" s="744">
        <f t="shared" si="180"/>
        <v>25.81025</v>
      </c>
      <c r="CC250" s="744">
        <f t="shared" si="181"/>
        <v>11.57025</v>
      </c>
      <c r="CD250" s="744">
        <f t="shared" si="182"/>
        <v>1.983E-2</v>
      </c>
      <c r="CE250" s="744">
        <f t="shared" si="183"/>
        <v>0.25834999999999997</v>
      </c>
      <c r="CF250" s="744">
        <f t="shared" si="184"/>
        <v>0.12485000000000002</v>
      </c>
      <c r="CG250" s="744" t="str">
        <f t="shared" si="185"/>
        <v/>
      </c>
      <c r="CH250" s="744" t="str">
        <f t="shared" si="186"/>
        <v/>
      </c>
      <c r="CI250" s="744" t="str">
        <f t="shared" si="187"/>
        <v/>
      </c>
      <c r="CJ250" s="744">
        <f t="shared" si="188"/>
        <v>44.500250000000001</v>
      </c>
      <c r="CK250" s="744" t="str">
        <f t="shared" si="189"/>
        <v/>
      </c>
      <c r="CL250" s="744" t="str">
        <f t="shared" si="190"/>
        <v/>
      </c>
      <c r="CM250" s="744" t="str">
        <f t="shared" si="191"/>
        <v/>
      </c>
      <c r="CN250" s="744" t="str">
        <f t="shared" si="192"/>
        <v/>
      </c>
      <c r="CO250" s="744" t="str">
        <f t="shared" si="193"/>
        <v/>
      </c>
      <c r="CP250" s="744" t="str">
        <f t="shared" si="194"/>
        <v/>
      </c>
      <c r="CQ250" s="744" t="str">
        <f t="shared" si="195"/>
        <v/>
      </c>
      <c r="CR250" s="744" t="str">
        <f t="shared" si="196"/>
        <v/>
      </c>
      <c r="CS250" s="744" t="str">
        <f t="shared" si="197"/>
        <v/>
      </c>
      <c r="CT250" s="744" t="str">
        <f t="shared" si="198"/>
        <v/>
      </c>
      <c r="CU250" s="744" t="str">
        <f t="shared" si="199"/>
        <v/>
      </c>
      <c r="CV250" s="744" t="str">
        <f t="shared" si="200"/>
        <v/>
      </c>
      <c r="CW250" s="744" t="str">
        <f t="shared" si="201"/>
        <v/>
      </c>
      <c r="CX250" s="744">
        <f t="shared" si="202"/>
        <v>0.89024999999999999</v>
      </c>
    </row>
    <row r="251" spans="1:102">
      <c r="A251" s="633">
        <v>247</v>
      </c>
      <c r="B251" s="630" t="s">
        <v>4</v>
      </c>
      <c r="C251" s="631" t="s">
        <v>252</v>
      </c>
      <c r="D251" s="630" t="s">
        <v>1390</v>
      </c>
      <c r="E251" s="632" t="s">
        <v>241</v>
      </c>
      <c r="F251" s="1067">
        <v>1</v>
      </c>
      <c r="G251" s="1066">
        <v>1</v>
      </c>
      <c r="H251" s="1070">
        <v>0.8801000000000001</v>
      </c>
      <c r="I251" s="1070">
        <v>0.12330201000000002</v>
      </c>
      <c r="J251" s="1070">
        <v>5.5300000000000002E-2</v>
      </c>
      <c r="K251" s="1070">
        <v>0.64634544000000005</v>
      </c>
      <c r="L251" s="1072">
        <v>0.74254037000000006</v>
      </c>
      <c r="M251" s="1070"/>
      <c r="N251" s="1070">
        <v>3.13</v>
      </c>
      <c r="O251" s="1070"/>
      <c r="P251" s="1073">
        <v>25.610910000000004</v>
      </c>
      <c r="Q251" s="1070">
        <v>82.113330000000005</v>
      </c>
      <c r="R251" s="1070">
        <v>50.869780000000013</v>
      </c>
      <c r="S251" s="1070">
        <v>29.307330000000007</v>
      </c>
      <c r="T251" s="1070">
        <v>55.094260000000006</v>
      </c>
      <c r="U251" s="1070"/>
      <c r="V251" s="1066">
        <v>0.61607000000000012</v>
      </c>
      <c r="W251" s="1070">
        <v>2.5522900000000002</v>
      </c>
      <c r="X251" s="1070">
        <v>1.6721900000000003</v>
      </c>
      <c r="Y251" s="1070">
        <v>0.26402999999999999</v>
      </c>
      <c r="Z251" s="1070">
        <v>6.4247300000000012</v>
      </c>
      <c r="AA251" s="1070">
        <v>0.26402999999999999</v>
      </c>
      <c r="AB251" s="1070">
        <v>4.87</v>
      </c>
      <c r="AC251" s="1070">
        <v>15.5</v>
      </c>
      <c r="AD251" s="1070">
        <v>99.02</v>
      </c>
      <c r="AE251" s="1070">
        <v>17.14</v>
      </c>
      <c r="AF251" s="1070"/>
      <c r="AG251" s="1070">
        <v>0.04</v>
      </c>
      <c r="AH251" s="1073">
        <v>0.06</v>
      </c>
      <c r="AI251" s="1070"/>
      <c r="AJ251" s="1070"/>
      <c r="AK251" s="1070"/>
      <c r="AL251" s="1082"/>
      <c r="AM251" s="1069"/>
      <c r="AN251" s="1070"/>
      <c r="AO251" s="1070"/>
      <c r="AP251" s="1070"/>
      <c r="AQ251" s="1070"/>
      <c r="AR251" s="1069"/>
      <c r="AS251" s="1282"/>
      <c r="AT251" s="1282"/>
      <c r="AU251" s="1069"/>
      <c r="AV251" s="1069"/>
      <c r="AW251" s="1069"/>
      <c r="AX251" s="1070"/>
      <c r="AY251" s="1070"/>
      <c r="AZ251" s="1078">
        <f t="shared" si="155"/>
        <v>0.8801000000000001</v>
      </c>
      <c r="BA251" s="59">
        <v>247</v>
      </c>
      <c r="BB251" s="59">
        <f t="shared" si="156"/>
        <v>247</v>
      </c>
      <c r="BC251" s="60" t="str">
        <f t="shared" si="157"/>
        <v>Sorgo, Grão (BRC3.0)</v>
      </c>
      <c r="BD251" s="61" t="str">
        <f ca="1">IFERROR(IF(SEARCH('Calcular Dieta'!A$3,$BC$5:$BC$310)&gt;=1,BC251,"Não encontrado"),"Não encontrado")</f>
        <v>Sorgo, Grão (BRC3.0)</v>
      </c>
      <c r="BE251" s="62">
        <f ca="1">COUNTIF(BD$5:BD251,"&lt;&gt;"&amp;"Não encontrado")</f>
        <v>247</v>
      </c>
      <c r="BF251" s="63" t="str">
        <f t="shared" ca="1" si="158"/>
        <v>SORGO, GRÃO (BRC3.0)</v>
      </c>
      <c r="BG251" s="744">
        <f t="shared" si="159"/>
        <v>0.12355301000000002</v>
      </c>
      <c r="BH251" s="744">
        <f t="shared" si="160"/>
        <v>5.5551000000000003E-2</v>
      </c>
      <c r="BI251" s="744">
        <f t="shared" si="161"/>
        <v>0.64659644000000005</v>
      </c>
      <c r="BJ251" s="744">
        <f t="shared" si="162"/>
        <v>0.74279137000000006</v>
      </c>
      <c r="BK251" s="744" t="str">
        <f t="shared" si="163"/>
        <v/>
      </c>
      <c r="BL251" s="744">
        <f t="shared" si="164"/>
        <v>3.1302509999999999</v>
      </c>
      <c r="BM251" s="744" t="str">
        <f t="shared" si="165"/>
        <v/>
      </c>
      <c r="BN251" s="744">
        <f t="shared" si="166"/>
        <v>25.611161000000003</v>
      </c>
      <c r="BO251" s="744">
        <f t="shared" si="167"/>
        <v>82.113581000000011</v>
      </c>
      <c r="BP251" s="744">
        <f t="shared" si="168"/>
        <v>50.870031000000012</v>
      </c>
      <c r="BQ251" s="744">
        <f t="shared" si="169"/>
        <v>29.307581000000006</v>
      </c>
      <c r="BR251" s="744">
        <f t="shared" si="170"/>
        <v>55.094511000000004</v>
      </c>
      <c r="BS251" s="744" t="str">
        <f t="shared" si="171"/>
        <v/>
      </c>
      <c r="BT251" s="744">
        <f t="shared" si="172"/>
        <v>0.61632100000000012</v>
      </c>
      <c r="BU251" s="744">
        <f t="shared" si="173"/>
        <v>2.5525410000000002</v>
      </c>
      <c r="BV251" s="744">
        <f t="shared" si="174"/>
        <v>1.6724410000000003</v>
      </c>
      <c r="BW251" s="744">
        <f t="shared" si="175"/>
        <v>0.26428099999999999</v>
      </c>
      <c r="BX251" s="744">
        <f t="shared" si="176"/>
        <v>6.4249810000000007</v>
      </c>
      <c r="BY251" s="744">
        <f t="shared" si="177"/>
        <v>0.26428099999999999</v>
      </c>
      <c r="BZ251" s="744">
        <f t="shared" si="178"/>
        <v>4.8702509999999997</v>
      </c>
      <c r="CA251" s="744">
        <f t="shared" si="179"/>
        <v>15.500251</v>
      </c>
      <c r="CB251" s="744">
        <f t="shared" si="180"/>
        <v>99.020251000000002</v>
      </c>
      <c r="CC251" s="744">
        <f t="shared" si="181"/>
        <v>17.140250999999999</v>
      </c>
      <c r="CD251" s="744" t="str">
        <f t="shared" si="182"/>
        <v/>
      </c>
      <c r="CE251" s="744">
        <f t="shared" si="183"/>
        <v>4.0251000000000002E-2</v>
      </c>
      <c r="CF251" s="744">
        <f t="shared" si="184"/>
        <v>6.0250999999999999E-2</v>
      </c>
      <c r="CG251" s="744" t="str">
        <f t="shared" si="185"/>
        <v/>
      </c>
      <c r="CH251" s="744" t="str">
        <f t="shared" si="186"/>
        <v/>
      </c>
      <c r="CI251" s="744" t="str">
        <f t="shared" si="187"/>
        <v/>
      </c>
      <c r="CJ251" s="744" t="str">
        <f t="shared" si="188"/>
        <v/>
      </c>
      <c r="CK251" s="744" t="str">
        <f t="shared" si="189"/>
        <v/>
      </c>
      <c r="CL251" s="744" t="str">
        <f t="shared" si="190"/>
        <v/>
      </c>
      <c r="CM251" s="744" t="str">
        <f t="shared" si="191"/>
        <v/>
      </c>
      <c r="CN251" s="744" t="str">
        <f t="shared" si="192"/>
        <v/>
      </c>
      <c r="CO251" s="744" t="str">
        <f t="shared" si="193"/>
        <v/>
      </c>
      <c r="CP251" s="744" t="str">
        <f t="shared" si="194"/>
        <v/>
      </c>
      <c r="CQ251" s="744" t="str">
        <f t="shared" si="195"/>
        <v/>
      </c>
      <c r="CR251" s="744" t="str">
        <f t="shared" si="196"/>
        <v/>
      </c>
      <c r="CS251" s="744" t="str">
        <f t="shared" si="197"/>
        <v/>
      </c>
      <c r="CT251" s="744" t="str">
        <f t="shared" si="198"/>
        <v/>
      </c>
      <c r="CU251" s="744" t="str">
        <f t="shared" si="199"/>
        <v/>
      </c>
      <c r="CV251" s="744" t="str">
        <f t="shared" si="200"/>
        <v/>
      </c>
      <c r="CW251" s="744" t="str">
        <f t="shared" si="201"/>
        <v/>
      </c>
      <c r="CX251" s="744">
        <f t="shared" si="202"/>
        <v>0.88035100000000011</v>
      </c>
    </row>
    <row r="252" spans="1:102">
      <c r="A252" s="630">
        <v>248</v>
      </c>
      <c r="B252" s="630" t="s">
        <v>4</v>
      </c>
      <c r="C252" s="631" t="s">
        <v>253</v>
      </c>
      <c r="D252" s="630" t="s">
        <v>1392</v>
      </c>
      <c r="E252" s="632" t="s">
        <v>479</v>
      </c>
      <c r="F252" s="1067">
        <v>1</v>
      </c>
      <c r="G252" s="1066">
        <v>1</v>
      </c>
      <c r="H252" s="1070">
        <v>1</v>
      </c>
      <c r="I252" s="1070"/>
      <c r="J252" s="1070"/>
      <c r="K252" s="1070"/>
      <c r="L252" s="1072"/>
      <c r="M252" s="1070"/>
      <c r="N252" s="1070"/>
      <c r="O252" s="1070"/>
      <c r="P252" s="1073"/>
      <c r="Q252" s="1070"/>
      <c r="R252" s="1070"/>
      <c r="S252" s="1070"/>
      <c r="T252" s="1070"/>
      <c r="U252" s="1070"/>
      <c r="V252" s="1066"/>
      <c r="W252" s="1070"/>
      <c r="X252" s="1070"/>
      <c r="Y252" s="1070"/>
      <c r="Z252" s="1070"/>
      <c r="AA252" s="1070">
        <v>114</v>
      </c>
      <c r="AB252" s="1070"/>
      <c r="AC252" s="1070"/>
      <c r="AD252" s="1070"/>
      <c r="AE252" s="1070"/>
      <c r="AF252" s="1070"/>
      <c r="AG252" s="1070">
        <v>248000</v>
      </c>
      <c r="AH252" s="1073"/>
      <c r="AI252" s="1070"/>
      <c r="AJ252" s="1070"/>
      <c r="AK252" s="1070"/>
      <c r="AL252" s="1082"/>
      <c r="AM252" s="1069"/>
      <c r="AN252" s="1070"/>
      <c r="AO252" s="1070"/>
      <c r="AP252" s="1070"/>
      <c r="AQ252" s="1070"/>
      <c r="AR252" s="1069"/>
      <c r="AS252" s="1282"/>
      <c r="AT252" s="1282"/>
      <c r="AU252" s="1069"/>
      <c r="AV252" s="1069"/>
      <c r="AW252" s="1069"/>
      <c r="AX252" s="1070"/>
      <c r="AY252" s="1070"/>
      <c r="AZ252" s="1078">
        <f t="shared" si="155"/>
        <v>1</v>
      </c>
      <c r="BA252" s="59">
        <v>248</v>
      </c>
      <c r="BB252" s="59">
        <f t="shared" si="156"/>
        <v>248</v>
      </c>
      <c r="BC252" s="60" t="str">
        <f t="shared" si="157"/>
        <v>Sulfato Cobalto</v>
      </c>
      <c r="BD252" s="61" t="str">
        <f ca="1">IFERROR(IF(SEARCH('Calcular Dieta'!A$3,$BC$5:$BC$310)&gt;=1,BC252,"Não encontrado"),"Não encontrado")</f>
        <v>Sulfato Cobalto</v>
      </c>
      <c r="BE252" s="62">
        <f ca="1">COUNTIF(BD$5:BD252,"&lt;&gt;"&amp;"Não encontrado")</f>
        <v>248</v>
      </c>
      <c r="BF252" s="63" t="str">
        <f t="shared" ca="1" si="158"/>
        <v>SULFATO COBALTO</v>
      </c>
      <c r="BG252" s="744" t="str">
        <f t="shared" si="159"/>
        <v/>
      </c>
      <c r="BH252" s="744" t="str">
        <f t="shared" si="160"/>
        <v/>
      </c>
      <c r="BI252" s="744" t="str">
        <f t="shared" si="161"/>
        <v/>
      </c>
      <c r="BJ252" s="744" t="str">
        <f t="shared" si="162"/>
        <v/>
      </c>
      <c r="BK252" s="744" t="str">
        <f t="shared" si="163"/>
        <v/>
      </c>
      <c r="BL252" s="744" t="str">
        <f t="shared" si="164"/>
        <v/>
      </c>
      <c r="BM252" s="744" t="str">
        <f t="shared" si="165"/>
        <v/>
      </c>
      <c r="BN252" s="744" t="str">
        <f t="shared" si="166"/>
        <v/>
      </c>
      <c r="BO252" s="744" t="str">
        <f t="shared" si="167"/>
        <v/>
      </c>
      <c r="BP252" s="744" t="str">
        <f t="shared" si="168"/>
        <v/>
      </c>
      <c r="BQ252" s="744" t="str">
        <f t="shared" si="169"/>
        <v/>
      </c>
      <c r="BR252" s="744" t="str">
        <f t="shared" si="170"/>
        <v/>
      </c>
      <c r="BS252" s="744" t="str">
        <f t="shared" si="171"/>
        <v/>
      </c>
      <c r="BT252" s="744" t="str">
        <f t="shared" si="172"/>
        <v/>
      </c>
      <c r="BU252" s="744" t="str">
        <f t="shared" si="173"/>
        <v/>
      </c>
      <c r="BV252" s="744" t="str">
        <f t="shared" si="174"/>
        <v/>
      </c>
      <c r="BW252" s="744" t="str">
        <f t="shared" si="175"/>
        <v/>
      </c>
      <c r="BX252" s="744" t="str">
        <f t="shared" si="176"/>
        <v/>
      </c>
      <c r="BY252" s="744">
        <f t="shared" si="177"/>
        <v>114.000252</v>
      </c>
      <c r="BZ252" s="744" t="str">
        <f t="shared" si="178"/>
        <v/>
      </c>
      <c r="CA252" s="744" t="str">
        <f t="shared" si="179"/>
        <v/>
      </c>
      <c r="CB252" s="744" t="str">
        <f t="shared" si="180"/>
        <v/>
      </c>
      <c r="CC252" s="744" t="str">
        <f t="shared" si="181"/>
        <v/>
      </c>
      <c r="CD252" s="744" t="str">
        <f t="shared" si="182"/>
        <v/>
      </c>
      <c r="CE252" s="744">
        <f t="shared" si="183"/>
        <v>248000.000252</v>
      </c>
      <c r="CF252" s="744" t="str">
        <f t="shared" si="184"/>
        <v/>
      </c>
      <c r="CG252" s="744" t="str">
        <f t="shared" si="185"/>
        <v/>
      </c>
      <c r="CH252" s="744" t="str">
        <f t="shared" si="186"/>
        <v/>
      </c>
      <c r="CI252" s="744" t="str">
        <f t="shared" si="187"/>
        <v/>
      </c>
      <c r="CJ252" s="744" t="str">
        <f t="shared" si="188"/>
        <v/>
      </c>
      <c r="CK252" s="744" t="str">
        <f t="shared" si="189"/>
        <v/>
      </c>
      <c r="CL252" s="744" t="str">
        <f t="shared" si="190"/>
        <v/>
      </c>
      <c r="CM252" s="744" t="str">
        <f t="shared" si="191"/>
        <v/>
      </c>
      <c r="CN252" s="744" t="str">
        <f t="shared" si="192"/>
        <v/>
      </c>
      <c r="CO252" s="744" t="str">
        <f t="shared" si="193"/>
        <v/>
      </c>
      <c r="CP252" s="744" t="str">
        <f t="shared" si="194"/>
        <v/>
      </c>
      <c r="CQ252" s="744" t="str">
        <f t="shared" si="195"/>
        <v/>
      </c>
      <c r="CR252" s="744" t="str">
        <f t="shared" si="196"/>
        <v/>
      </c>
      <c r="CS252" s="744" t="str">
        <f t="shared" si="197"/>
        <v/>
      </c>
      <c r="CT252" s="744" t="str">
        <f t="shared" si="198"/>
        <v/>
      </c>
      <c r="CU252" s="744" t="str">
        <f t="shared" si="199"/>
        <v/>
      </c>
      <c r="CV252" s="744" t="str">
        <f t="shared" si="200"/>
        <v/>
      </c>
      <c r="CW252" s="744" t="str">
        <f t="shared" si="201"/>
        <v/>
      </c>
      <c r="CX252" s="744">
        <f t="shared" si="202"/>
        <v>1.0002519999999999</v>
      </c>
    </row>
    <row r="253" spans="1:102">
      <c r="A253" s="633">
        <v>249</v>
      </c>
      <c r="B253" s="630" t="s">
        <v>4</v>
      </c>
      <c r="C253" s="631" t="s">
        <v>253</v>
      </c>
      <c r="D253" s="630" t="s">
        <v>1392</v>
      </c>
      <c r="E253" s="632" t="s">
        <v>477</v>
      </c>
      <c r="F253" s="1067">
        <v>1</v>
      </c>
      <c r="G253" s="1066">
        <v>1</v>
      </c>
      <c r="H253" s="1070">
        <v>1</v>
      </c>
      <c r="I253" s="1070"/>
      <c r="J253" s="1070"/>
      <c r="K253" s="1070"/>
      <c r="L253" s="1072"/>
      <c r="M253" s="1070"/>
      <c r="N253" s="1070"/>
      <c r="O253" s="1070"/>
      <c r="P253" s="1073"/>
      <c r="Q253" s="1070"/>
      <c r="R253" s="1070"/>
      <c r="S253" s="1070"/>
      <c r="T253" s="1070"/>
      <c r="U253" s="1070"/>
      <c r="V253" s="1066"/>
      <c r="W253" s="1070"/>
      <c r="X253" s="1070"/>
      <c r="Y253" s="1070"/>
      <c r="Z253" s="1070"/>
      <c r="AA253" s="1070">
        <v>128</v>
      </c>
      <c r="AB253" s="1070">
        <v>255000</v>
      </c>
      <c r="AC253" s="1070"/>
      <c r="AD253" s="1070"/>
      <c r="AE253" s="1070"/>
      <c r="AF253" s="1070"/>
      <c r="AG253" s="1070"/>
      <c r="AH253" s="1073"/>
      <c r="AI253" s="1070"/>
      <c r="AJ253" s="1070"/>
      <c r="AK253" s="1070"/>
      <c r="AL253" s="1082"/>
      <c r="AM253" s="1069"/>
      <c r="AN253" s="1070"/>
      <c r="AO253" s="1070"/>
      <c r="AP253" s="1070"/>
      <c r="AQ253" s="1070"/>
      <c r="AR253" s="1069"/>
      <c r="AS253" s="1282"/>
      <c r="AT253" s="1282"/>
      <c r="AU253" s="1069"/>
      <c r="AV253" s="1069"/>
      <c r="AW253" s="1069"/>
      <c r="AX253" s="1070"/>
      <c r="AY253" s="1070"/>
      <c r="AZ253" s="1078">
        <f t="shared" si="155"/>
        <v>1</v>
      </c>
      <c r="BA253" s="59">
        <v>249</v>
      </c>
      <c r="BB253" s="59">
        <f t="shared" si="156"/>
        <v>249</v>
      </c>
      <c r="BC253" s="60" t="str">
        <f t="shared" si="157"/>
        <v>Sulfato Cobre</v>
      </c>
      <c r="BD253" s="61" t="str">
        <f ca="1">IFERROR(IF(SEARCH('Calcular Dieta'!A$3,$BC$5:$BC$310)&gt;=1,BC253,"Não encontrado"),"Não encontrado")</f>
        <v>Sulfato Cobre</v>
      </c>
      <c r="BE253" s="62">
        <f ca="1">COUNTIF(BD$5:BD253,"&lt;&gt;"&amp;"Não encontrado")</f>
        <v>249</v>
      </c>
      <c r="BF253" s="63" t="str">
        <f t="shared" ca="1" si="158"/>
        <v>SULFATO COBRE</v>
      </c>
      <c r="BG253" s="744" t="str">
        <f t="shared" si="159"/>
        <v/>
      </c>
      <c r="BH253" s="744" t="str">
        <f t="shared" si="160"/>
        <v/>
      </c>
      <c r="BI253" s="744" t="str">
        <f t="shared" si="161"/>
        <v/>
      </c>
      <c r="BJ253" s="744" t="str">
        <f t="shared" si="162"/>
        <v/>
      </c>
      <c r="BK253" s="744" t="str">
        <f t="shared" si="163"/>
        <v/>
      </c>
      <c r="BL253" s="744" t="str">
        <f t="shared" si="164"/>
        <v/>
      </c>
      <c r="BM253" s="744" t="str">
        <f t="shared" si="165"/>
        <v/>
      </c>
      <c r="BN253" s="744" t="str">
        <f t="shared" si="166"/>
        <v/>
      </c>
      <c r="BO253" s="744" t="str">
        <f t="shared" si="167"/>
        <v/>
      </c>
      <c r="BP253" s="744" t="str">
        <f t="shared" si="168"/>
        <v/>
      </c>
      <c r="BQ253" s="744" t="str">
        <f t="shared" si="169"/>
        <v/>
      </c>
      <c r="BR253" s="744" t="str">
        <f t="shared" si="170"/>
        <v/>
      </c>
      <c r="BS253" s="744" t="str">
        <f t="shared" si="171"/>
        <v/>
      </c>
      <c r="BT253" s="744" t="str">
        <f t="shared" si="172"/>
        <v/>
      </c>
      <c r="BU253" s="744" t="str">
        <f t="shared" si="173"/>
        <v/>
      </c>
      <c r="BV253" s="744" t="str">
        <f t="shared" si="174"/>
        <v/>
      </c>
      <c r="BW253" s="744" t="str">
        <f t="shared" si="175"/>
        <v/>
      </c>
      <c r="BX253" s="744" t="str">
        <f t="shared" si="176"/>
        <v/>
      </c>
      <c r="BY253" s="744">
        <f t="shared" si="177"/>
        <v>128.00025299999999</v>
      </c>
      <c r="BZ253" s="744">
        <f t="shared" si="178"/>
        <v>255000.00025300001</v>
      </c>
      <c r="CA253" s="744" t="str">
        <f t="shared" si="179"/>
        <v/>
      </c>
      <c r="CB253" s="744" t="str">
        <f t="shared" si="180"/>
        <v/>
      </c>
      <c r="CC253" s="744" t="str">
        <f t="shared" si="181"/>
        <v/>
      </c>
      <c r="CD253" s="744" t="str">
        <f t="shared" si="182"/>
        <v/>
      </c>
      <c r="CE253" s="744" t="str">
        <f t="shared" si="183"/>
        <v/>
      </c>
      <c r="CF253" s="744" t="str">
        <f t="shared" si="184"/>
        <v/>
      </c>
      <c r="CG253" s="744" t="str">
        <f t="shared" si="185"/>
        <v/>
      </c>
      <c r="CH253" s="744" t="str">
        <f t="shared" si="186"/>
        <v/>
      </c>
      <c r="CI253" s="744" t="str">
        <f t="shared" si="187"/>
        <v/>
      </c>
      <c r="CJ253" s="744" t="str">
        <f t="shared" si="188"/>
        <v/>
      </c>
      <c r="CK253" s="744" t="str">
        <f t="shared" si="189"/>
        <v/>
      </c>
      <c r="CL253" s="744" t="str">
        <f t="shared" si="190"/>
        <v/>
      </c>
      <c r="CM253" s="744" t="str">
        <f t="shared" si="191"/>
        <v/>
      </c>
      <c r="CN253" s="744" t="str">
        <f t="shared" si="192"/>
        <v/>
      </c>
      <c r="CO253" s="744" t="str">
        <f t="shared" si="193"/>
        <v/>
      </c>
      <c r="CP253" s="744" t="str">
        <f t="shared" si="194"/>
        <v/>
      </c>
      <c r="CQ253" s="744" t="str">
        <f t="shared" si="195"/>
        <v/>
      </c>
      <c r="CR253" s="744" t="str">
        <f t="shared" si="196"/>
        <v/>
      </c>
      <c r="CS253" s="744" t="str">
        <f t="shared" si="197"/>
        <v/>
      </c>
      <c r="CT253" s="744" t="str">
        <f t="shared" si="198"/>
        <v/>
      </c>
      <c r="CU253" s="744" t="str">
        <f t="shared" si="199"/>
        <v/>
      </c>
      <c r="CV253" s="744" t="str">
        <f t="shared" si="200"/>
        <v/>
      </c>
      <c r="CW253" s="744" t="str">
        <f t="shared" si="201"/>
        <v/>
      </c>
      <c r="CX253" s="744">
        <f t="shared" si="202"/>
        <v>1.0002530000000001</v>
      </c>
    </row>
    <row r="254" spans="1:102">
      <c r="A254" s="630">
        <v>250</v>
      </c>
      <c r="B254" s="630" t="s">
        <v>4</v>
      </c>
      <c r="C254" s="631" t="s">
        <v>253</v>
      </c>
      <c r="D254" s="630" t="s">
        <v>1392</v>
      </c>
      <c r="E254" s="632" t="s">
        <v>242</v>
      </c>
      <c r="F254" s="1067">
        <v>1</v>
      </c>
      <c r="G254" s="1066">
        <v>1</v>
      </c>
      <c r="H254" s="1070">
        <v>1</v>
      </c>
      <c r="I254" s="1070"/>
      <c r="J254" s="1070"/>
      <c r="K254" s="1070"/>
      <c r="L254" s="1072"/>
      <c r="M254" s="1070"/>
      <c r="N254" s="1070"/>
      <c r="O254" s="1070"/>
      <c r="P254" s="1073"/>
      <c r="Q254" s="1070"/>
      <c r="R254" s="1070"/>
      <c r="S254" s="1070"/>
      <c r="T254" s="1070"/>
      <c r="U254" s="1070"/>
      <c r="V254" s="1066"/>
      <c r="W254" s="1070"/>
      <c r="X254" s="1070"/>
      <c r="Y254" s="1070"/>
      <c r="Z254" s="1070"/>
      <c r="AA254" s="1070">
        <v>189</v>
      </c>
      <c r="AB254" s="1070"/>
      <c r="AC254" s="1070"/>
      <c r="AD254" s="1070"/>
      <c r="AE254" s="1070">
        <v>325000</v>
      </c>
      <c r="AF254" s="1070"/>
      <c r="AG254" s="1070"/>
      <c r="AH254" s="1073"/>
      <c r="AI254" s="1070"/>
      <c r="AJ254" s="1070"/>
      <c r="AK254" s="1070"/>
      <c r="AL254" s="1082"/>
      <c r="AM254" s="1069"/>
      <c r="AN254" s="1070"/>
      <c r="AO254" s="1070"/>
      <c r="AP254" s="1070"/>
      <c r="AQ254" s="1070"/>
      <c r="AR254" s="1069"/>
      <c r="AS254" s="1282"/>
      <c r="AT254" s="1282"/>
      <c r="AU254" s="1069"/>
      <c r="AV254" s="1069"/>
      <c r="AW254" s="1069"/>
      <c r="AX254" s="1070"/>
      <c r="AY254" s="1070"/>
      <c r="AZ254" s="1078">
        <f t="shared" si="155"/>
        <v>1</v>
      </c>
      <c r="BA254" s="59">
        <v>250</v>
      </c>
      <c r="BB254" s="59">
        <f t="shared" si="156"/>
        <v>250</v>
      </c>
      <c r="BC254" s="60" t="str">
        <f t="shared" si="157"/>
        <v>Sulfato de Manganês</v>
      </c>
      <c r="BD254" s="61" t="str">
        <f ca="1">IFERROR(IF(SEARCH('Calcular Dieta'!A$3,$BC$5:$BC$310)&gt;=1,BC254,"Não encontrado"),"Não encontrado")</f>
        <v>Sulfato de Manganês</v>
      </c>
      <c r="BE254" s="62">
        <f ca="1">COUNTIF(BD$5:BD254,"&lt;&gt;"&amp;"Não encontrado")</f>
        <v>250</v>
      </c>
      <c r="BF254" s="63" t="str">
        <f t="shared" ca="1" si="158"/>
        <v>SULFATO DE MANGANÊS</v>
      </c>
      <c r="BG254" s="744" t="str">
        <f t="shared" si="159"/>
        <v/>
      </c>
      <c r="BH254" s="744" t="str">
        <f t="shared" si="160"/>
        <v/>
      </c>
      <c r="BI254" s="744" t="str">
        <f t="shared" si="161"/>
        <v/>
      </c>
      <c r="BJ254" s="744" t="str">
        <f t="shared" si="162"/>
        <v/>
      </c>
      <c r="BK254" s="744" t="str">
        <f t="shared" si="163"/>
        <v/>
      </c>
      <c r="BL254" s="744" t="str">
        <f t="shared" si="164"/>
        <v/>
      </c>
      <c r="BM254" s="744" t="str">
        <f t="shared" si="165"/>
        <v/>
      </c>
      <c r="BN254" s="744" t="str">
        <f t="shared" si="166"/>
        <v/>
      </c>
      <c r="BO254" s="744" t="str">
        <f t="shared" si="167"/>
        <v/>
      </c>
      <c r="BP254" s="744" t="str">
        <f t="shared" si="168"/>
        <v/>
      </c>
      <c r="BQ254" s="744" t="str">
        <f t="shared" si="169"/>
        <v/>
      </c>
      <c r="BR254" s="744" t="str">
        <f t="shared" si="170"/>
        <v/>
      </c>
      <c r="BS254" s="744" t="str">
        <f t="shared" si="171"/>
        <v/>
      </c>
      <c r="BT254" s="744" t="str">
        <f t="shared" si="172"/>
        <v/>
      </c>
      <c r="BU254" s="744" t="str">
        <f t="shared" si="173"/>
        <v/>
      </c>
      <c r="BV254" s="744" t="str">
        <f t="shared" si="174"/>
        <v/>
      </c>
      <c r="BW254" s="744" t="str">
        <f t="shared" si="175"/>
        <v/>
      </c>
      <c r="BX254" s="744" t="str">
        <f t="shared" si="176"/>
        <v/>
      </c>
      <c r="BY254" s="744">
        <f t="shared" si="177"/>
        <v>189.00025400000001</v>
      </c>
      <c r="BZ254" s="744" t="str">
        <f t="shared" si="178"/>
        <v/>
      </c>
      <c r="CA254" s="744" t="str">
        <f t="shared" si="179"/>
        <v/>
      </c>
      <c r="CB254" s="744" t="str">
        <f t="shared" si="180"/>
        <v/>
      </c>
      <c r="CC254" s="744">
        <f t="shared" si="181"/>
        <v>325000.00025400001</v>
      </c>
      <c r="CD254" s="744" t="str">
        <f t="shared" si="182"/>
        <v/>
      </c>
      <c r="CE254" s="744" t="str">
        <f t="shared" si="183"/>
        <v/>
      </c>
      <c r="CF254" s="744" t="str">
        <f t="shared" si="184"/>
        <v/>
      </c>
      <c r="CG254" s="744" t="str">
        <f t="shared" si="185"/>
        <v/>
      </c>
      <c r="CH254" s="744" t="str">
        <f t="shared" si="186"/>
        <v/>
      </c>
      <c r="CI254" s="744" t="str">
        <f t="shared" si="187"/>
        <v/>
      </c>
      <c r="CJ254" s="744" t="str">
        <f t="shared" si="188"/>
        <v/>
      </c>
      <c r="CK254" s="744" t="str">
        <f t="shared" si="189"/>
        <v/>
      </c>
      <c r="CL254" s="744" t="str">
        <f t="shared" si="190"/>
        <v/>
      </c>
      <c r="CM254" s="744" t="str">
        <f t="shared" si="191"/>
        <v/>
      </c>
      <c r="CN254" s="744" t="str">
        <f t="shared" si="192"/>
        <v/>
      </c>
      <c r="CO254" s="744" t="str">
        <f t="shared" si="193"/>
        <v/>
      </c>
      <c r="CP254" s="744" t="str">
        <f t="shared" si="194"/>
        <v/>
      </c>
      <c r="CQ254" s="744" t="str">
        <f t="shared" si="195"/>
        <v/>
      </c>
      <c r="CR254" s="744" t="str">
        <f t="shared" si="196"/>
        <v/>
      </c>
      <c r="CS254" s="744" t="str">
        <f t="shared" si="197"/>
        <v/>
      </c>
      <c r="CT254" s="744" t="str">
        <f t="shared" si="198"/>
        <v/>
      </c>
      <c r="CU254" s="744" t="str">
        <f t="shared" si="199"/>
        <v/>
      </c>
      <c r="CV254" s="744" t="str">
        <f t="shared" si="200"/>
        <v/>
      </c>
      <c r="CW254" s="744" t="str">
        <f t="shared" si="201"/>
        <v/>
      </c>
      <c r="CX254" s="744">
        <f t="shared" si="202"/>
        <v>1.000254</v>
      </c>
    </row>
    <row r="255" spans="1:102">
      <c r="A255" s="633">
        <v>251</v>
      </c>
      <c r="B255" s="630" t="s">
        <v>4</v>
      </c>
      <c r="C255" s="631" t="s">
        <v>253</v>
      </c>
      <c r="D255" s="630" t="s">
        <v>1392</v>
      </c>
      <c r="E255" s="632" t="s">
        <v>243</v>
      </c>
      <c r="F255" s="1067">
        <v>1</v>
      </c>
      <c r="G255" s="1066">
        <v>1</v>
      </c>
      <c r="H255" s="1070">
        <v>1</v>
      </c>
      <c r="I255" s="1070"/>
      <c r="J255" s="1070"/>
      <c r="K255" s="1070"/>
      <c r="L255" s="1072"/>
      <c r="M255" s="1070"/>
      <c r="N255" s="1070"/>
      <c r="O255" s="1070"/>
      <c r="P255" s="1073"/>
      <c r="Q255" s="1070"/>
      <c r="R255" s="1070"/>
      <c r="S255" s="1070"/>
      <c r="T255" s="1070"/>
      <c r="U255" s="1070"/>
      <c r="V255" s="1066"/>
      <c r="W255" s="1070"/>
      <c r="X255" s="1070"/>
      <c r="Y255" s="1070"/>
      <c r="Z255" s="1070"/>
      <c r="AA255" s="1070">
        <v>111</v>
      </c>
      <c r="AB255" s="1070"/>
      <c r="AC255" s="1070">
        <v>227000</v>
      </c>
      <c r="AD255" s="1070"/>
      <c r="AE255" s="1070"/>
      <c r="AF255" s="1070"/>
      <c r="AG255" s="1070"/>
      <c r="AH255" s="1073"/>
      <c r="AI255" s="1070"/>
      <c r="AJ255" s="1070"/>
      <c r="AK255" s="1070"/>
      <c r="AL255" s="1082"/>
      <c r="AM255" s="1069"/>
      <c r="AN255" s="1070"/>
      <c r="AO255" s="1070"/>
      <c r="AP255" s="1070"/>
      <c r="AQ255" s="1070"/>
      <c r="AR255" s="1069"/>
      <c r="AS255" s="1282"/>
      <c r="AT255" s="1282"/>
      <c r="AU255" s="1069"/>
      <c r="AV255" s="1069"/>
      <c r="AW255" s="1069"/>
      <c r="AX255" s="1070"/>
      <c r="AY255" s="1070"/>
      <c r="AZ255" s="1078">
        <f t="shared" si="155"/>
        <v>1</v>
      </c>
      <c r="BA255" s="59">
        <v>251</v>
      </c>
      <c r="BB255" s="59">
        <f t="shared" si="156"/>
        <v>251</v>
      </c>
      <c r="BC255" s="60" t="str">
        <f t="shared" si="157"/>
        <v>Sulfato de Zinco</v>
      </c>
      <c r="BD255" s="61" t="str">
        <f ca="1">IFERROR(IF(SEARCH('Calcular Dieta'!A$3,$BC$5:$BC$310)&gt;=1,BC255,"Não encontrado"),"Não encontrado")</f>
        <v>Sulfato de Zinco</v>
      </c>
      <c r="BE255" s="62">
        <f ca="1">COUNTIF(BD$5:BD255,"&lt;&gt;"&amp;"Não encontrado")</f>
        <v>251</v>
      </c>
      <c r="BF255" s="63" t="str">
        <f t="shared" ca="1" si="158"/>
        <v>SULFATO DE ZINCO</v>
      </c>
      <c r="BG255" s="744" t="str">
        <f t="shared" si="159"/>
        <v/>
      </c>
      <c r="BH255" s="744" t="str">
        <f t="shared" si="160"/>
        <v/>
      </c>
      <c r="BI255" s="744" t="str">
        <f t="shared" si="161"/>
        <v/>
      </c>
      <c r="BJ255" s="744" t="str">
        <f t="shared" si="162"/>
        <v/>
      </c>
      <c r="BK255" s="744" t="str">
        <f t="shared" si="163"/>
        <v/>
      </c>
      <c r="BL255" s="744" t="str">
        <f t="shared" si="164"/>
        <v/>
      </c>
      <c r="BM255" s="744" t="str">
        <f t="shared" si="165"/>
        <v/>
      </c>
      <c r="BN255" s="744" t="str">
        <f t="shared" si="166"/>
        <v/>
      </c>
      <c r="BO255" s="744" t="str">
        <f t="shared" si="167"/>
        <v/>
      </c>
      <c r="BP255" s="744" t="str">
        <f t="shared" si="168"/>
        <v/>
      </c>
      <c r="BQ255" s="744" t="str">
        <f t="shared" si="169"/>
        <v/>
      </c>
      <c r="BR255" s="744" t="str">
        <f t="shared" si="170"/>
        <v/>
      </c>
      <c r="BS255" s="744" t="str">
        <f t="shared" si="171"/>
        <v/>
      </c>
      <c r="BT255" s="744" t="str">
        <f t="shared" si="172"/>
        <v/>
      </c>
      <c r="BU255" s="744" t="str">
        <f t="shared" si="173"/>
        <v/>
      </c>
      <c r="BV255" s="744" t="str">
        <f t="shared" si="174"/>
        <v/>
      </c>
      <c r="BW255" s="744" t="str">
        <f t="shared" si="175"/>
        <v/>
      </c>
      <c r="BX255" s="744" t="str">
        <f t="shared" si="176"/>
        <v/>
      </c>
      <c r="BY255" s="744">
        <f t="shared" si="177"/>
        <v>111.000255</v>
      </c>
      <c r="BZ255" s="744" t="str">
        <f t="shared" si="178"/>
        <v/>
      </c>
      <c r="CA255" s="744">
        <f t="shared" si="179"/>
        <v>227000.00025499999</v>
      </c>
      <c r="CB255" s="744" t="str">
        <f t="shared" si="180"/>
        <v/>
      </c>
      <c r="CC255" s="744" t="str">
        <f t="shared" si="181"/>
        <v/>
      </c>
      <c r="CD255" s="744" t="str">
        <f t="shared" si="182"/>
        <v/>
      </c>
      <c r="CE255" s="744" t="str">
        <f t="shared" si="183"/>
        <v/>
      </c>
      <c r="CF255" s="744" t="str">
        <f t="shared" si="184"/>
        <v/>
      </c>
      <c r="CG255" s="744" t="str">
        <f t="shared" si="185"/>
        <v/>
      </c>
      <c r="CH255" s="744" t="str">
        <f t="shared" si="186"/>
        <v/>
      </c>
      <c r="CI255" s="744" t="str">
        <f t="shared" si="187"/>
        <v/>
      </c>
      <c r="CJ255" s="744" t="str">
        <f t="shared" si="188"/>
        <v/>
      </c>
      <c r="CK255" s="744" t="str">
        <f t="shared" si="189"/>
        <v/>
      </c>
      <c r="CL255" s="744" t="str">
        <f t="shared" si="190"/>
        <v/>
      </c>
      <c r="CM255" s="744" t="str">
        <f t="shared" si="191"/>
        <v/>
      </c>
      <c r="CN255" s="744" t="str">
        <f t="shared" si="192"/>
        <v/>
      </c>
      <c r="CO255" s="744" t="str">
        <f t="shared" si="193"/>
        <v/>
      </c>
      <c r="CP255" s="744" t="str">
        <f t="shared" si="194"/>
        <v/>
      </c>
      <c r="CQ255" s="744" t="str">
        <f t="shared" si="195"/>
        <v/>
      </c>
      <c r="CR255" s="744" t="str">
        <f t="shared" si="196"/>
        <v/>
      </c>
      <c r="CS255" s="744" t="str">
        <f t="shared" si="197"/>
        <v/>
      </c>
      <c r="CT255" s="744" t="str">
        <f t="shared" si="198"/>
        <v/>
      </c>
      <c r="CU255" s="744" t="str">
        <f t="shared" si="199"/>
        <v/>
      </c>
      <c r="CV255" s="744" t="str">
        <f t="shared" si="200"/>
        <v/>
      </c>
      <c r="CW255" s="744" t="str">
        <f t="shared" si="201"/>
        <v/>
      </c>
      <c r="CX255" s="744">
        <f t="shared" si="202"/>
        <v>1.0002549999999999</v>
      </c>
    </row>
    <row r="256" spans="1:102">
      <c r="A256" s="630">
        <v>252</v>
      </c>
      <c r="B256" s="630" t="s">
        <v>4</v>
      </c>
      <c r="C256" s="631" t="s">
        <v>253</v>
      </c>
      <c r="D256" s="630" t="s">
        <v>1392</v>
      </c>
      <c r="E256" s="632" t="s">
        <v>478</v>
      </c>
      <c r="F256" s="1067">
        <v>29</v>
      </c>
      <c r="G256" s="1066">
        <v>1</v>
      </c>
      <c r="H256" s="1070">
        <v>1</v>
      </c>
      <c r="I256" s="1070"/>
      <c r="J256" s="1070"/>
      <c r="K256" s="1070"/>
      <c r="L256" s="1072"/>
      <c r="M256" s="1070"/>
      <c r="N256" s="1070"/>
      <c r="O256" s="1070"/>
      <c r="P256" s="1073"/>
      <c r="Q256" s="1070"/>
      <c r="R256" s="1070"/>
      <c r="S256" s="1070"/>
      <c r="T256" s="1070"/>
      <c r="U256" s="1070"/>
      <c r="V256" s="1066"/>
      <c r="W256" s="1070"/>
      <c r="X256" s="1070"/>
      <c r="Y256" s="1070"/>
      <c r="Z256" s="1070"/>
      <c r="AA256" s="1070">
        <v>188</v>
      </c>
      <c r="AB256" s="1070"/>
      <c r="AC256" s="1070"/>
      <c r="AD256" s="1070">
        <v>367000</v>
      </c>
      <c r="AE256" s="1070"/>
      <c r="AF256" s="1070"/>
      <c r="AG256" s="1070"/>
      <c r="AH256" s="1073"/>
      <c r="AI256" s="1070"/>
      <c r="AJ256" s="1070"/>
      <c r="AK256" s="1070"/>
      <c r="AL256" s="1082"/>
      <c r="AM256" s="1069"/>
      <c r="AN256" s="1070"/>
      <c r="AO256" s="1070"/>
      <c r="AP256" s="1070"/>
      <c r="AQ256" s="1070"/>
      <c r="AR256" s="1069"/>
      <c r="AS256" s="1282"/>
      <c r="AT256" s="1282"/>
      <c r="AU256" s="1069"/>
      <c r="AV256" s="1069"/>
      <c r="AW256" s="1069"/>
      <c r="AX256" s="1070"/>
      <c r="AY256" s="1070"/>
      <c r="AZ256" s="1078">
        <f t="shared" si="155"/>
        <v>1</v>
      </c>
      <c r="BA256" s="59">
        <v>252</v>
      </c>
      <c r="BB256" s="59">
        <f t="shared" si="156"/>
        <v>252</v>
      </c>
      <c r="BC256" s="60" t="str">
        <f t="shared" si="157"/>
        <v>Sulfato Ferro</v>
      </c>
      <c r="BD256" s="61" t="str">
        <f ca="1">IFERROR(IF(SEARCH('Calcular Dieta'!A$3,$BC$5:$BC$310)&gt;=1,BC256,"Não encontrado"),"Não encontrado")</f>
        <v>Sulfato Ferro</v>
      </c>
      <c r="BE256" s="62">
        <f ca="1">COUNTIF(BD$5:BD256,"&lt;&gt;"&amp;"Não encontrado")</f>
        <v>252</v>
      </c>
      <c r="BF256" s="63" t="str">
        <f t="shared" ca="1" si="158"/>
        <v>SULFATO FERRO</v>
      </c>
      <c r="BG256" s="744" t="str">
        <f t="shared" si="159"/>
        <v/>
      </c>
      <c r="BH256" s="744" t="str">
        <f t="shared" si="160"/>
        <v/>
      </c>
      <c r="BI256" s="744" t="str">
        <f t="shared" si="161"/>
        <v/>
      </c>
      <c r="BJ256" s="744" t="str">
        <f t="shared" si="162"/>
        <v/>
      </c>
      <c r="BK256" s="744" t="str">
        <f t="shared" si="163"/>
        <v/>
      </c>
      <c r="BL256" s="744" t="str">
        <f t="shared" si="164"/>
        <v/>
      </c>
      <c r="BM256" s="744" t="str">
        <f t="shared" si="165"/>
        <v/>
      </c>
      <c r="BN256" s="744" t="str">
        <f t="shared" si="166"/>
        <v/>
      </c>
      <c r="BO256" s="744" t="str">
        <f t="shared" si="167"/>
        <v/>
      </c>
      <c r="BP256" s="744" t="str">
        <f t="shared" si="168"/>
        <v/>
      </c>
      <c r="BQ256" s="744" t="str">
        <f t="shared" si="169"/>
        <v/>
      </c>
      <c r="BR256" s="744" t="str">
        <f t="shared" si="170"/>
        <v/>
      </c>
      <c r="BS256" s="744" t="str">
        <f t="shared" si="171"/>
        <v/>
      </c>
      <c r="BT256" s="744" t="str">
        <f t="shared" si="172"/>
        <v/>
      </c>
      <c r="BU256" s="744" t="str">
        <f t="shared" si="173"/>
        <v/>
      </c>
      <c r="BV256" s="744" t="str">
        <f t="shared" si="174"/>
        <v/>
      </c>
      <c r="BW256" s="744" t="str">
        <f t="shared" si="175"/>
        <v/>
      </c>
      <c r="BX256" s="744" t="str">
        <f t="shared" si="176"/>
        <v/>
      </c>
      <c r="BY256" s="744">
        <f t="shared" si="177"/>
        <v>188.00025600000001</v>
      </c>
      <c r="BZ256" s="744" t="str">
        <f t="shared" si="178"/>
        <v/>
      </c>
      <c r="CA256" s="744" t="str">
        <f t="shared" si="179"/>
        <v/>
      </c>
      <c r="CB256" s="744">
        <f t="shared" si="180"/>
        <v>367000.00025600003</v>
      </c>
      <c r="CC256" s="744" t="str">
        <f t="shared" si="181"/>
        <v/>
      </c>
      <c r="CD256" s="744" t="str">
        <f t="shared" si="182"/>
        <v/>
      </c>
      <c r="CE256" s="744" t="str">
        <f t="shared" si="183"/>
        <v/>
      </c>
      <c r="CF256" s="744" t="str">
        <f t="shared" si="184"/>
        <v/>
      </c>
      <c r="CG256" s="744" t="str">
        <f t="shared" si="185"/>
        <v/>
      </c>
      <c r="CH256" s="744" t="str">
        <f t="shared" si="186"/>
        <v/>
      </c>
      <c r="CI256" s="744" t="str">
        <f t="shared" si="187"/>
        <v/>
      </c>
      <c r="CJ256" s="744" t="str">
        <f t="shared" si="188"/>
        <v/>
      </c>
      <c r="CK256" s="744" t="str">
        <f t="shared" si="189"/>
        <v/>
      </c>
      <c r="CL256" s="744" t="str">
        <f t="shared" si="190"/>
        <v/>
      </c>
      <c r="CM256" s="744" t="str">
        <f t="shared" si="191"/>
        <v/>
      </c>
      <c r="CN256" s="744" t="str">
        <f t="shared" si="192"/>
        <v/>
      </c>
      <c r="CO256" s="744" t="str">
        <f t="shared" si="193"/>
        <v/>
      </c>
      <c r="CP256" s="744" t="str">
        <f t="shared" si="194"/>
        <v/>
      </c>
      <c r="CQ256" s="744" t="str">
        <f t="shared" si="195"/>
        <v/>
      </c>
      <c r="CR256" s="744" t="str">
        <f t="shared" si="196"/>
        <v/>
      </c>
      <c r="CS256" s="744" t="str">
        <f t="shared" si="197"/>
        <v/>
      </c>
      <c r="CT256" s="744" t="str">
        <f t="shared" si="198"/>
        <v/>
      </c>
      <c r="CU256" s="744" t="str">
        <f t="shared" si="199"/>
        <v/>
      </c>
      <c r="CV256" s="744" t="str">
        <f t="shared" si="200"/>
        <v/>
      </c>
      <c r="CW256" s="744" t="str">
        <f t="shared" si="201"/>
        <v/>
      </c>
      <c r="CX256" s="744">
        <f t="shared" si="202"/>
        <v>1.000256</v>
      </c>
    </row>
    <row r="257" spans="1:102">
      <c r="A257" s="633">
        <v>253</v>
      </c>
      <c r="B257" s="630" t="s">
        <v>4</v>
      </c>
      <c r="C257" s="631" t="s">
        <v>253</v>
      </c>
      <c r="D257" s="630" t="s">
        <v>1392</v>
      </c>
      <c r="E257" s="632" t="s">
        <v>476</v>
      </c>
      <c r="F257" s="1067">
        <v>1</v>
      </c>
      <c r="G257" s="1066">
        <v>1</v>
      </c>
      <c r="H257" s="1070">
        <v>1</v>
      </c>
      <c r="I257" s="1070"/>
      <c r="J257" s="1070"/>
      <c r="K257" s="1070"/>
      <c r="L257" s="1072"/>
      <c r="M257" s="1070"/>
      <c r="N257" s="1070"/>
      <c r="O257" s="1070"/>
      <c r="P257" s="1073"/>
      <c r="Q257" s="1070"/>
      <c r="R257" s="1070"/>
      <c r="S257" s="1070"/>
      <c r="T257" s="1070"/>
      <c r="U257" s="1070"/>
      <c r="V257" s="1066"/>
      <c r="W257" s="1070"/>
      <c r="X257" s="1070">
        <v>99</v>
      </c>
      <c r="Y257" s="1070"/>
      <c r="Z257" s="1070"/>
      <c r="AA257" s="1070">
        <v>130</v>
      </c>
      <c r="AB257" s="1070"/>
      <c r="AC257" s="1070"/>
      <c r="AD257" s="1070"/>
      <c r="AE257" s="1070"/>
      <c r="AF257" s="1070"/>
      <c r="AG257" s="1070"/>
      <c r="AH257" s="1073"/>
      <c r="AI257" s="1070"/>
      <c r="AJ257" s="1070"/>
      <c r="AK257" s="1070"/>
      <c r="AL257" s="1082"/>
      <c r="AM257" s="1069"/>
      <c r="AN257" s="1070"/>
      <c r="AO257" s="1070"/>
      <c r="AP257" s="1070"/>
      <c r="AQ257" s="1070"/>
      <c r="AR257" s="1069"/>
      <c r="AS257" s="1282"/>
      <c r="AT257" s="1282"/>
      <c r="AU257" s="1069"/>
      <c r="AV257" s="1069"/>
      <c r="AW257" s="1069"/>
      <c r="AX257" s="1070"/>
      <c r="AY257" s="1070"/>
      <c r="AZ257" s="1078">
        <f t="shared" si="155"/>
        <v>1</v>
      </c>
      <c r="BA257" s="59">
        <v>253</v>
      </c>
      <c r="BB257" s="59">
        <f t="shared" si="156"/>
        <v>253</v>
      </c>
      <c r="BC257" s="60" t="str">
        <f t="shared" si="157"/>
        <v>Sulfato Magnésio</v>
      </c>
      <c r="BD257" s="61" t="str">
        <f ca="1">IFERROR(IF(SEARCH('Calcular Dieta'!A$3,$BC$5:$BC$310)&gt;=1,BC257,"Não encontrado"),"Não encontrado")</f>
        <v>Sulfato Magnésio</v>
      </c>
      <c r="BE257" s="62">
        <f ca="1">COUNTIF(BD$5:BD257,"&lt;&gt;"&amp;"Não encontrado")</f>
        <v>253</v>
      </c>
      <c r="BF257" s="63" t="str">
        <f t="shared" ca="1" si="158"/>
        <v>SULFATO MAGNÉSIO</v>
      </c>
      <c r="BG257" s="744" t="str">
        <f t="shared" si="159"/>
        <v/>
      </c>
      <c r="BH257" s="744" t="str">
        <f t="shared" si="160"/>
        <v/>
      </c>
      <c r="BI257" s="744" t="str">
        <f t="shared" si="161"/>
        <v/>
      </c>
      <c r="BJ257" s="744" t="str">
        <f t="shared" si="162"/>
        <v/>
      </c>
      <c r="BK257" s="744" t="str">
        <f t="shared" si="163"/>
        <v/>
      </c>
      <c r="BL257" s="744" t="str">
        <f t="shared" si="164"/>
        <v/>
      </c>
      <c r="BM257" s="744" t="str">
        <f t="shared" si="165"/>
        <v/>
      </c>
      <c r="BN257" s="744" t="str">
        <f t="shared" si="166"/>
        <v/>
      </c>
      <c r="BO257" s="744" t="str">
        <f t="shared" si="167"/>
        <v/>
      </c>
      <c r="BP257" s="744" t="str">
        <f t="shared" si="168"/>
        <v/>
      </c>
      <c r="BQ257" s="744" t="str">
        <f t="shared" si="169"/>
        <v/>
      </c>
      <c r="BR257" s="744" t="str">
        <f t="shared" si="170"/>
        <v/>
      </c>
      <c r="BS257" s="744" t="str">
        <f t="shared" si="171"/>
        <v/>
      </c>
      <c r="BT257" s="744" t="str">
        <f t="shared" si="172"/>
        <v/>
      </c>
      <c r="BU257" s="744" t="str">
        <f t="shared" si="173"/>
        <v/>
      </c>
      <c r="BV257" s="744">
        <f t="shared" si="174"/>
        <v>99.000257000000005</v>
      </c>
      <c r="BW257" s="744" t="str">
        <f t="shared" si="175"/>
        <v/>
      </c>
      <c r="BX257" s="744" t="str">
        <f t="shared" si="176"/>
        <v/>
      </c>
      <c r="BY257" s="744">
        <f t="shared" si="177"/>
        <v>130.000257</v>
      </c>
      <c r="BZ257" s="744" t="str">
        <f t="shared" si="178"/>
        <v/>
      </c>
      <c r="CA257" s="744" t="str">
        <f t="shared" si="179"/>
        <v/>
      </c>
      <c r="CB257" s="744" t="str">
        <f t="shared" si="180"/>
        <v/>
      </c>
      <c r="CC257" s="744" t="str">
        <f t="shared" si="181"/>
        <v/>
      </c>
      <c r="CD257" s="744" t="str">
        <f t="shared" si="182"/>
        <v/>
      </c>
      <c r="CE257" s="744" t="str">
        <f t="shared" si="183"/>
        <v/>
      </c>
      <c r="CF257" s="744" t="str">
        <f t="shared" si="184"/>
        <v/>
      </c>
      <c r="CG257" s="744" t="str">
        <f t="shared" si="185"/>
        <v/>
      </c>
      <c r="CH257" s="744" t="str">
        <f t="shared" si="186"/>
        <v/>
      </c>
      <c r="CI257" s="744" t="str">
        <f t="shared" si="187"/>
        <v/>
      </c>
      <c r="CJ257" s="744" t="str">
        <f t="shared" si="188"/>
        <v/>
      </c>
      <c r="CK257" s="744" t="str">
        <f t="shared" si="189"/>
        <v/>
      </c>
      <c r="CL257" s="744" t="str">
        <f t="shared" si="190"/>
        <v/>
      </c>
      <c r="CM257" s="744" t="str">
        <f t="shared" si="191"/>
        <v/>
      </c>
      <c r="CN257" s="744" t="str">
        <f t="shared" si="192"/>
        <v/>
      </c>
      <c r="CO257" s="744" t="str">
        <f t="shared" si="193"/>
        <v/>
      </c>
      <c r="CP257" s="744" t="str">
        <f t="shared" si="194"/>
        <v/>
      </c>
      <c r="CQ257" s="744" t="str">
        <f t="shared" si="195"/>
        <v/>
      </c>
      <c r="CR257" s="744" t="str">
        <f t="shared" si="196"/>
        <v/>
      </c>
      <c r="CS257" s="744" t="str">
        <f t="shared" si="197"/>
        <v/>
      </c>
      <c r="CT257" s="744" t="str">
        <f t="shared" si="198"/>
        <v/>
      </c>
      <c r="CU257" s="744" t="str">
        <f t="shared" si="199"/>
        <v/>
      </c>
      <c r="CV257" s="744" t="str">
        <f t="shared" si="200"/>
        <v/>
      </c>
      <c r="CW257" s="744" t="str">
        <f t="shared" si="201"/>
        <v/>
      </c>
      <c r="CX257" s="744">
        <f t="shared" si="202"/>
        <v>1.000257</v>
      </c>
    </row>
    <row r="258" spans="1:102">
      <c r="A258" s="630">
        <v>254</v>
      </c>
      <c r="B258" s="630" t="s">
        <v>4</v>
      </c>
      <c r="C258" s="631" t="s">
        <v>252</v>
      </c>
      <c r="D258" s="630" t="s">
        <v>1392</v>
      </c>
      <c r="E258" s="632" t="s">
        <v>244</v>
      </c>
      <c r="F258" s="1067">
        <v>1.7</v>
      </c>
      <c r="G258" s="1066">
        <v>1</v>
      </c>
      <c r="H258" s="1070">
        <v>0.89</v>
      </c>
      <c r="I258" s="1070">
        <v>0.37575799999999998</v>
      </c>
      <c r="J258" s="1070">
        <v>0.11810299999999999</v>
      </c>
      <c r="K258" s="1070"/>
      <c r="L258" s="1072">
        <v>0.63012000000000001</v>
      </c>
      <c r="M258" s="1070">
        <v>2.7781990799999998</v>
      </c>
      <c r="N258" s="1070"/>
      <c r="O258" s="1070"/>
      <c r="P258" s="1073">
        <v>41.029000000000003</v>
      </c>
      <c r="Q258" s="1070">
        <v>163.76</v>
      </c>
      <c r="R258" s="1070">
        <v>118.23472</v>
      </c>
      <c r="S258" s="1070"/>
      <c r="T258" s="1070"/>
      <c r="U258" s="1070"/>
      <c r="V258" s="1066">
        <v>1.2460000000000002</v>
      </c>
      <c r="W258" s="1070">
        <v>8.7220000000000013</v>
      </c>
      <c r="X258" s="1070">
        <v>4.45</v>
      </c>
      <c r="Y258" s="1070">
        <v>0.3916</v>
      </c>
      <c r="Z258" s="1070">
        <v>7.5650000000000004</v>
      </c>
      <c r="AA258" s="1070">
        <v>1.9580000000000002</v>
      </c>
      <c r="AB258" s="1070">
        <v>15.13</v>
      </c>
      <c r="AC258" s="1070">
        <v>72.98</v>
      </c>
      <c r="AD258" s="1070">
        <v>71.2</v>
      </c>
      <c r="AE258" s="1070">
        <v>80.099999999999994</v>
      </c>
      <c r="AF258" s="1070">
        <v>7.8320000000000001E-2</v>
      </c>
      <c r="AG258" s="1070">
        <v>7.8320000000000001E-2</v>
      </c>
      <c r="AH258" s="1073">
        <v>4.4500000000000005E-2</v>
      </c>
      <c r="AI258" s="1070"/>
      <c r="AJ258" s="1070"/>
      <c r="AK258" s="1070"/>
      <c r="AL258" s="1082"/>
      <c r="AM258" s="1069"/>
      <c r="AN258" s="1070"/>
      <c r="AO258" s="1070"/>
      <c r="AP258" s="1070"/>
      <c r="AQ258" s="1070"/>
      <c r="AR258" s="1069"/>
      <c r="AS258" s="1282"/>
      <c r="AT258" s="1282"/>
      <c r="AU258" s="1069"/>
      <c r="AV258" s="1069"/>
      <c r="AW258" s="1069"/>
      <c r="AX258" s="1070"/>
      <c r="AY258" s="1070"/>
      <c r="AZ258" s="1078">
        <f t="shared" si="155"/>
        <v>0.89</v>
      </c>
      <c r="BA258" s="59">
        <v>254</v>
      </c>
      <c r="BB258" s="59">
        <f t="shared" si="156"/>
        <v>254</v>
      </c>
      <c r="BC258" s="60" t="str">
        <f t="shared" si="157"/>
        <v>Trigo, Farelo</v>
      </c>
      <c r="BD258" s="61" t="str">
        <f ca="1">IFERROR(IF(SEARCH('Calcular Dieta'!A$3,$BC$5:$BC$310)&gt;=1,BC258,"Não encontrado"),"Não encontrado")</f>
        <v>Trigo, Farelo</v>
      </c>
      <c r="BE258" s="62">
        <f ca="1">COUNTIF(BD$5:BD258,"&lt;&gt;"&amp;"Não encontrado")</f>
        <v>254</v>
      </c>
      <c r="BF258" s="63" t="str">
        <f t="shared" ca="1" si="158"/>
        <v>TRIGO, FARELO</v>
      </c>
      <c r="BG258" s="744">
        <f t="shared" si="159"/>
        <v>0.37601599999999996</v>
      </c>
      <c r="BH258" s="744">
        <f t="shared" si="160"/>
        <v>0.11836099999999998</v>
      </c>
      <c r="BI258" s="744" t="str">
        <f t="shared" si="161"/>
        <v/>
      </c>
      <c r="BJ258" s="744">
        <f t="shared" si="162"/>
        <v>0.63037799999999999</v>
      </c>
      <c r="BK258" s="744">
        <f t="shared" si="163"/>
        <v>2.7784570799999999</v>
      </c>
      <c r="BL258" s="744" t="str">
        <f t="shared" si="164"/>
        <v/>
      </c>
      <c r="BM258" s="744" t="str">
        <f t="shared" si="165"/>
        <v/>
      </c>
      <c r="BN258" s="744">
        <f t="shared" si="166"/>
        <v>41.029258000000006</v>
      </c>
      <c r="BO258" s="744">
        <f t="shared" si="167"/>
        <v>163.76025799999999</v>
      </c>
      <c r="BP258" s="744">
        <f t="shared" si="168"/>
        <v>118.234978</v>
      </c>
      <c r="BQ258" s="744" t="str">
        <f t="shared" si="169"/>
        <v/>
      </c>
      <c r="BR258" s="744" t="str">
        <f t="shared" si="170"/>
        <v/>
      </c>
      <c r="BS258" s="744" t="str">
        <f t="shared" si="171"/>
        <v/>
      </c>
      <c r="BT258" s="744">
        <f t="shared" si="172"/>
        <v>1.2462580000000003</v>
      </c>
      <c r="BU258" s="744">
        <f t="shared" si="173"/>
        <v>8.7222580000000018</v>
      </c>
      <c r="BV258" s="744">
        <f t="shared" si="174"/>
        <v>4.4502579999999998</v>
      </c>
      <c r="BW258" s="744">
        <f t="shared" si="175"/>
        <v>0.39185799999999998</v>
      </c>
      <c r="BX258" s="744">
        <f t="shared" si="176"/>
        <v>7.565258</v>
      </c>
      <c r="BY258" s="744">
        <f t="shared" si="177"/>
        <v>1.9582580000000003</v>
      </c>
      <c r="BZ258" s="744">
        <f t="shared" si="178"/>
        <v>15.130258000000001</v>
      </c>
      <c r="CA258" s="744">
        <f t="shared" si="179"/>
        <v>72.980258000000006</v>
      </c>
      <c r="CB258" s="744">
        <f t="shared" si="180"/>
        <v>71.200258000000005</v>
      </c>
      <c r="CC258" s="744">
        <f t="shared" si="181"/>
        <v>80.100257999999997</v>
      </c>
      <c r="CD258" s="744">
        <f t="shared" si="182"/>
        <v>7.8577999999999995E-2</v>
      </c>
      <c r="CE258" s="744">
        <f t="shared" si="183"/>
        <v>7.8577999999999995E-2</v>
      </c>
      <c r="CF258" s="744">
        <f t="shared" si="184"/>
        <v>4.4758000000000006E-2</v>
      </c>
      <c r="CG258" s="744" t="str">
        <f t="shared" si="185"/>
        <v/>
      </c>
      <c r="CH258" s="744" t="str">
        <f t="shared" si="186"/>
        <v/>
      </c>
      <c r="CI258" s="744" t="str">
        <f t="shared" si="187"/>
        <v/>
      </c>
      <c r="CJ258" s="744" t="str">
        <f t="shared" si="188"/>
        <v/>
      </c>
      <c r="CK258" s="744" t="str">
        <f t="shared" si="189"/>
        <v/>
      </c>
      <c r="CL258" s="744" t="str">
        <f t="shared" si="190"/>
        <v/>
      </c>
      <c r="CM258" s="744" t="str">
        <f t="shared" si="191"/>
        <v/>
      </c>
      <c r="CN258" s="744" t="str">
        <f t="shared" si="192"/>
        <v/>
      </c>
      <c r="CO258" s="744" t="str">
        <f t="shared" si="193"/>
        <v/>
      </c>
      <c r="CP258" s="744" t="str">
        <f t="shared" si="194"/>
        <v/>
      </c>
      <c r="CQ258" s="744" t="str">
        <f t="shared" si="195"/>
        <v/>
      </c>
      <c r="CR258" s="744" t="str">
        <f t="shared" si="196"/>
        <v/>
      </c>
      <c r="CS258" s="744" t="str">
        <f t="shared" si="197"/>
        <v/>
      </c>
      <c r="CT258" s="744" t="str">
        <f t="shared" si="198"/>
        <v/>
      </c>
      <c r="CU258" s="744" t="str">
        <f t="shared" si="199"/>
        <v/>
      </c>
      <c r="CV258" s="744" t="str">
        <f t="shared" si="200"/>
        <v/>
      </c>
      <c r="CW258" s="744" t="str">
        <f t="shared" si="201"/>
        <v/>
      </c>
      <c r="CX258" s="744">
        <f t="shared" si="202"/>
        <v>0.89025799999999999</v>
      </c>
    </row>
    <row r="259" spans="1:102">
      <c r="A259" s="633">
        <v>255</v>
      </c>
      <c r="B259" s="630" t="s">
        <v>4</v>
      </c>
      <c r="C259" s="631" t="s">
        <v>252</v>
      </c>
      <c r="D259" s="630" t="s">
        <v>1390</v>
      </c>
      <c r="E259" s="632" t="s">
        <v>245</v>
      </c>
      <c r="F259" s="1067">
        <v>1.7</v>
      </c>
      <c r="G259" s="1066">
        <v>1</v>
      </c>
      <c r="H259" s="1070">
        <v>0.87650000000000006</v>
      </c>
      <c r="I259" s="1070">
        <v>0.37084715000000007</v>
      </c>
      <c r="J259" s="1070">
        <v>0.11890000000000001</v>
      </c>
      <c r="K259" s="1070">
        <v>0.28477485000000002</v>
      </c>
      <c r="L259" s="1072">
        <v>0.67735920000000005</v>
      </c>
      <c r="M259" s="1070"/>
      <c r="N259" s="1070">
        <v>2.94</v>
      </c>
      <c r="O259" s="1070"/>
      <c r="P259" s="1073">
        <v>31.203400000000002</v>
      </c>
      <c r="Q259" s="1070">
        <v>146.0249</v>
      </c>
      <c r="R259" s="1070">
        <v>136.9093</v>
      </c>
      <c r="S259" s="1279">
        <v>9.1156000000000006</v>
      </c>
      <c r="T259" s="1070">
        <v>92.909000000000006</v>
      </c>
      <c r="U259" s="1070"/>
      <c r="V259" s="1066">
        <v>1.4900500000000001</v>
      </c>
      <c r="W259" s="1070">
        <v>8.8526500000000006</v>
      </c>
      <c r="X259" s="1070">
        <v>3.5936499999999998</v>
      </c>
      <c r="Y259" s="1070">
        <v>0.70120000000000016</v>
      </c>
      <c r="Z259" s="1070">
        <v>9.2032500000000006</v>
      </c>
      <c r="AA259" s="1070">
        <v>1.1394500000000001</v>
      </c>
      <c r="AB259" s="1070">
        <v>15.48</v>
      </c>
      <c r="AC259" s="1070">
        <v>104.65</v>
      </c>
      <c r="AD259" s="1070">
        <v>217.55</v>
      </c>
      <c r="AE259" s="1070">
        <v>88.34</v>
      </c>
      <c r="AF259" s="1070"/>
      <c r="AG259" s="1070">
        <v>0.08</v>
      </c>
      <c r="AH259" s="1073">
        <v>0.03</v>
      </c>
      <c r="AI259" s="1070"/>
      <c r="AJ259" s="1070"/>
      <c r="AK259" s="1070"/>
      <c r="AL259" s="1082"/>
      <c r="AM259" s="1069"/>
      <c r="AN259" s="1070"/>
      <c r="AO259" s="1070"/>
      <c r="AP259" s="1070"/>
      <c r="AQ259" s="1070"/>
      <c r="AR259" s="1069"/>
      <c r="AS259" s="1282"/>
      <c r="AT259" s="1282"/>
      <c r="AU259" s="1069"/>
      <c r="AV259" s="1069"/>
      <c r="AW259" s="1069"/>
      <c r="AX259" s="1070"/>
      <c r="AY259" s="1070"/>
      <c r="AZ259" s="1078">
        <f t="shared" si="155"/>
        <v>0.87650000000000006</v>
      </c>
      <c r="BA259" s="59">
        <v>255</v>
      </c>
      <c r="BB259" s="59">
        <f t="shared" si="156"/>
        <v>255</v>
      </c>
      <c r="BC259" s="60" t="str">
        <f t="shared" si="157"/>
        <v>Trigo, Farelo (BRC)</v>
      </c>
      <c r="BD259" s="61" t="str">
        <f ca="1">IFERROR(IF(SEARCH('Calcular Dieta'!A$3,$BC$5:$BC$310)&gt;=1,BC259,"Não encontrado"),"Não encontrado")</f>
        <v>Trigo, Farelo (BRC)</v>
      </c>
      <c r="BE259" s="62">
        <f ca="1">COUNTIF(BD$5:BD259,"&lt;&gt;"&amp;"Não encontrado")</f>
        <v>255</v>
      </c>
      <c r="BF259" s="63" t="str">
        <f t="shared" ca="1" si="158"/>
        <v>TRIGO, FARELO (BRC)</v>
      </c>
      <c r="BG259" s="744">
        <f t="shared" si="159"/>
        <v>0.37110615000000008</v>
      </c>
      <c r="BH259" s="744">
        <f t="shared" si="160"/>
        <v>0.119159</v>
      </c>
      <c r="BI259" s="744">
        <f t="shared" si="161"/>
        <v>0.28503385000000003</v>
      </c>
      <c r="BJ259" s="744">
        <f t="shared" si="162"/>
        <v>0.67761820000000006</v>
      </c>
      <c r="BK259" s="744" t="str">
        <f t="shared" si="163"/>
        <v/>
      </c>
      <c r="BL259" s="744">
        <f t="shared" si="164"/>
        <v>2.9402589999999997</v>
      </c>
      <c r="BM259" s="744" t="str">
        <f t="shared" si="165"/>
        <v/>
      </c>
      <c r="BN259" s="744">
        <f t="shared" si="166"/>
        <v>31.203659000000002</v>
      </c>
      <c r="BO259" s="744">
        <f t="shared" si="167"/>
        <v>146.025159</v>
      </c>
      <c r="BP259" s="744">
        <f t="shared" si="168"/>
        <v>136.909559</v>
      </c>
      <c r="BQ259" s="744">
        <f t="shared" si="169"/>
        <v>9.1158590000000004</v>
      </c>
      <c r="BR259" s="744">
        <f t="shared" si="170"/>
        <v>92.909259000000006</v>
      </c>
      <c r="BS259" s="744" t="str">
        <f t="shared" si="171"/>
        <v/>
      </c>
      <c r="BT259" s="744">
        <f t="shared" si="172"/>
        <v>1.4903090000000001</v>
      </c>
      <c r="BU259" s="744">
        <f t="shared" si="173"/>
        <v>8.8529090000000004</v>
      </c>
      <c r="BV259" s="744">
        <f t="shared" si="174"/>
        <v>3.5939089999999996</v>
      </c>
      <c r="BW259" s="744">
        <f t="shared" si="175"/>
        <v>0.70145900000000017</v>
      </c>
      <c r="BX259" s="744">
        <f t="shared" si="176"/>
        <v>9.2035090000000004</v>
      </c>
      <c r="BY259" s="744">
        <f t="shared" si="177"/>
        <v>1.1397090000000001</v>
      </c>
      <c r="BZ259" s="744">
        <f t="shared" si="178"/>
        <v>15.480259</v>
      </c>
      <c r="CA259" s="744">
        <f t="shared" si="179"/>
        <v>104.65025900000001</v>
      </c>
      <c r="CB259" s="744">
        <f t="shared" si="180"/>
        <v>217.55025900000001</v>
      </c>
      <c r="CC259" s="744">
        <f t="shared" si="181"/>
        <v>88.340259000000003</v>
      </c>
      <c r="CD259" s="744" t="str">
        <f t="shared" si="182"/>
        <v/>
      </c>
      <c r="CE259" s="744">
        <f t="shared" si="183"/>
        <v>8.0258999999999997E-2</v>
      </c>
      <c r="CF259" s="744">
        <f t="shared" si="184"/>
        <v>3.0258999999999998E-2</v>
      </c>
      <c r="CG259" s="744" t="str">
        <f t="shared" si="185"/>
        <v/>
      </c>
      <c r="CH259" s="744" t="str">
        <f t="shared" si="186"/>
        <v/>
      </c>
      <c r="CI259" s="744" t="str">
        <f t="shared" si="187"/>
        <v/>
      </c>
      <c r="CJ259" s="744" t="str">
        <f t="shared" si="188"/>
        <v/>
      </c>
      <c r="CK259" s="744" t="str">
        <f t="shared" si="189"/>
        <v/>
      </c>
      <c r="CL259" s="744" t="str">
        <f t="shared" si="190"/>
        <v/>
      </c>
      <c r="CM259" s="744" t="str">
        <f t="shared" si="191"/>
        <v/>
      </c>
      <c r="CN259" s="744" t="str">
        <f t="shared" si="192"/>
        <v/>
      </c>
      <c r="CO259" s="744" t="str">
        <f t="shared" si="193"/>
        <v/>
      </c>
      <c r="CP259" s="744" t="str">
        <f t="shared" si="194"/>
        <v/>
      </c>
      <c r="CQ259" s="744" t="str">
        <f t="shared" si="195"/>
        <v/>
      </c>
      <c r="CR259" s="744" t="str">
        <f t="shared" si="196"/>
        <v/>
      </c>
      <c r="CS259" s="744" t="str">
        <f t="shared" si="197"/>
        <v/>
      </c>
      <c r="CT259" s="744" t="str">
        <f t="shared" si="198"/>
        <v/>
      </c>
      <c r="CU259" s="744" t="str">
        <f t="shared" si="199"/>
        <v/>
      </c>
      <c r="CV259" s="744" t="str">
        <f t="shared" si="200"/>
        <v/>
      </c>
      <c r="CW259" s="744" t="str">
        <f t="shared" si="201"/>
        <v/>
      </c>
      <c r="CX259" s="744">
        <f t="shared" si="202"/>
        <v>0.87675900000000007</v>
      </c>
    </row>
    <row r="260" spans="1:102">
      <c r="A260" s="630">
        <v>256</v>
      </c>
      <c r="B260" s="630" t="s">
        <v>4</v>
      </c>
      <c r="C260" s="631" t="s">
        <v>252</v>
      </c>
      <c r="D260" s="630" t="s">
        <v>1392</v>
      </c>
      <c r="E260" s="632" t="s">
        <v>246</v>
      </c>
      <c r="F260" s="1067">
        <v>1.7</v>
      </c>
      <c r="G260" s="1066">
        <v>1</v>
      </c>
      <c r="H260" s="1070">
        <v>0.89</v>
      </c>
      <c r="I260" s="1070">
        <v>7.1199999999999999E-2</v>
      </c>
      <c r="J260" s="1070">
        <v>2.6699999999999998E-2</v>
      </c>
      <c r="K260" s="1070"/>
      <c r="L260" s="1072">
        <v>0.78320000000000012</v>
      </c>
      <c r="M260" s="1070">
        <v>3.4531288000000004</v>
      </c>
      <c r="N260" s="1070"/>
      <c r="O260" s="1070"/>
      <c r="P260" s="1073">
        <v>17.8</v>
      </c>
      <c r="Q260" s="1070">
        <v>142.4</v>
      </c>
      <c r="R260" s="1070">
        <v>102.52799999999999</v>
      </c>
      <c r="S260" s="1070"/>
      <c r="T260" s="1070"/>
      <c r="U260" s="1070"/>
      <c r="V260" s="1066">
        <v>0.35600000000000004</v>
      </c>
      <c r="W260" s="1070">
        <v>3.738</v>
      </c>
      <c r="X260" s="1070">
        <v>1.4240000000000002</v>
      </c>
      <c r="Y260" s="1070">
        <v>0.44500000000000001</v>
      </c>
      <c r="Z260" s="1070">
        <v>3.738</v>
      </c>
      <c r="AA260" s="1070">
        <v>1.6019999999999999</v>
      </c>
      <c r="AB260" s="1070">
        <v>6.23</v>
      </c>
      <c r="AC260" s="1070">
        <v>44.5</v>
      </c>
      <c r="AD260" s="1070">
        <v>54.29</v>
      </c>
      <c r="AE260" s="1070">
        <v>37.380000000000003</v>
      </c>
      <c r="AF260" s="1070">
        <v>8.900000000000001E-2</v>
      </c>
      <c r="AG260" s="1070">
        <v>0.12460000000000002</v>
      </c>
      <c r="AH260" s="1073">
        <v>0.26700000000000002</v>
      </c>
      <c r="AI260" s="1070"/>
      <c r="AJ260" s="1070"/>
      <c r="AK260" s="1070"/>
      <c r="AL260" s="1082"/>
      <c r="AM260" s="1069"/>
      <c r="AN260" s="1070"/>
      <c r="AO260" s="1070"/>
      <c r="AP260" s="1070"/>
      <c r="AQ260" s="1070"/>
      <c r="AR260" s="1069"/>
      <c r="AS260" s="1282"/>
      <c r="AT260" s="1282"/>
      <c r="AU260" s="1069"/>
      <c r="AV260" s="1069"/>
      <c r="AW260" s="1069"/>
      <c r="AX260" s="1070"/>
      <c r="AY260" s="1070"/>
      <c r="AZ260" s="1078">
        <f t="shared" si="155"/>
        <v>0.89</v>
      </c>
      <c r="BA260" s="59">
        <v>256</v>
      </c>
      <c r="BB260" s="59">
        <f t="shared" si="156"/>
        <v>256</v>
      </c>
      <c r="BC260" s="60" t="str">
        <f t="shared" si="157"/>
        <v>Trigo, Grão</v>
      </c>
      <c r="BD260" s="61" t="str">
        <f ca="1">IFERROR(IF(SEARCH('Calcular Dieta'!A$3,$BC$5:$BC$310)&gt;=1,BC260,"Não encontrado"),"Não encontrado")</f>
        <v>Trigo, Grão</v>
      </c>
      <c r="BE260" s="62">
        <f ca="1">COUNTIF(BD$5:BD260,"&lt;&gt;"&amp;"Não encontrado")</f>
        <v>256</v>
      </c>
      <c r="BF260" s="63" t="str">
        <f t="shared" ca="1" si="158"/>
        <v>TRIGO, GRÃO</v>
      </c>
      <c r="BG260" s="744">
        <f t="shared" si="159"/>
        <v>7.1459999999999996E-2</v>
      </c>
      <c r="BH260" s="744">
        <f t="shared" si="160"/>
        <v>2.6959999999999998E-2</v>
      </c>
      <c r="BI260" s="744" t="str">
        <f t="shared" si="161"/>
        <v/>
      </c>
      <c r="BJ260" s="744">
        <f t="shared" si="162"/>
        <v>0.78346000000000016</v>
      </c>
      <c r="BK260" s="744">
        <f t="shared" si="163"/>
        <v>3.4533888000000004</v>
      </c>
      <c r="BL260" s="744" t="str">
        <f t="shared" si="164"/>
        <v/>
      </c>
      <c r="BM260" s="744" t="str">
        <f t="shared" si="165"/>
        <v/>
      </c>
      <c r="BN260" s="744">
        <f t="shared" si="166"/>
        <v>17.800260000000002</v>
      </c>
      <c r="BO260" s="744">
        <f t="shared" si="167"/>
        <v>142.40026</v>
      </c>
      <c r="BP260" s="744">
        <f t="shared" si="168"/>
        <v>102.52825999999999</v>
      </c>
      <c r="BQ260" s="744" t="str">
        <f t="shared" si="169"/>
        <v/>
      </c>
      <c r="BR260" s="744" t="str">
        <f t="shared" si="170"/>
        <v/>
      </c>
      <c r="BS260" s="744" t="str">
        <f t="shared" si="171"/>
        <v/>
      </c>
      <c r="BT260" s="744">
        <f t="shared" si="172"/>
        <v>0.35626000000000002</v>
      </c>
      <c r="BU260" s="744">
        <f t="shared" si="173"/>
        <v>3.7382599999999999</v>
      </c>
      <c r="BV260" s="744">
        <f t="shared" si="174"/>
        <v>1.4242600000000001</v>
      </c>
      <c r="BW260" s="744">
        <f t="shared" si="175"/>
        <v>0.44525999999999999</v>
      </c>
      <c r="BX260" s="744">
        <f t="shared" si="176"/>
        <v>3.7382599999999999</v>
      </c>
      <c r="BY260" s="744">
        <f t="shared" si="177"/>
        <v>1.6022599999999998</v>
      </c>
      <c r="BZ260" s="744">
        <f t="shared" si="178"/>
        <v>6.2302600000000004</v>
      </c>
      <c r="CA260" s="744">
        <f t="shared" si="179"/>
        <v>44.500259999999997</v>
      </c>
      <c r="CB260" s="744">
        <f t="shared" si="180"/>
        <v>54.290259999999996</v>
      </c>
      <c r="CC260" s="744">
        <f t="shared" si="181"/>
        <v>37.38026</v>
      </c>
      <c r="CD260" s="744">
        <f t="shared" si="182"/>
        <v>8.9260000000000006E-2</v>
      </c>
      <c r="CE260" s="744">
        <f t="shared" si="183"/>
        <v>0.12486000000000001</v>
      </c>
      <c r="CF260" s="744">
        <f t="shared" si="184"/>
        <v>0.26726</v>
      </c>
      <c r="CG260" s="744" t="str">
        <f t="shared" si="185"/>
        <v/>
      </c>
      <c r="CH260" s="744" t="str">
        <f t="shared" si="186"/>
        <v/>
      </c>
      <c r="CI260" s="744" t="str">
        <f t="shared" si="187"/>
        <v/>
      </c>
      <c r="CJ260" s="744" t="str">
        <f t="shared" si="188"/>
        <v/>
      </c>
      <c r="CK260" s="744" t="str">
        <f t="shared" si="189"/>
        <v/>
      </c>
      <c r="CL260" s="744" t="str">
        <f t="shared" si="190"/>
        <v/>
      </c>
      <c r="CM260" s="744" t="str">
        <f t="shared" si="191"/>
        <v/>
      </c>
      <c r="CN260" s="744" t="str">
        <f t="shared" si="192"/>
        <v/>
      </c>
      <c r="CO260" s="744" t="str">
        <f t="shared" si="193"/>
        <v/>
      </c>
      <c r="CP260" s="744" t="str">
        <f t="shared" si="194"/>
        <v/>
      </c>
      <c r="CQ260" s="744" t="str">
        <f t="shared" si="195"/>
        <v/>
      </c>
      <c r="CR260" s="744" t="str">
        <f t="shared" si="196"/>
        <v/>
      </c>
      <c r="CS260" s="744" t="str">
        <f t="shared" si="197"/>
        <v/>
      </c>
      <c r="CT260" s="744" t="str">
        <f t="shared" si="198"/>
        <v/>
      </c>
      <c r="CU260" s="744" t="str">
        <f t="shared" si="199"/>
        <v/>
      </c>
      <c r="CV260" s="744" t="str">
        <f t="shared" si="200"/>
        <v/>
      </c>
      <c r="CW260" s="744" t="str">
        <f t="shared" si="201"/>
        <v/>
      </c>
      <c r="CX260" s="744">
        <f t="shared" si="202"/>
        <v>0.89026000000000005</v>
      </c>
    </row>
    <row r="261" spans="1:102">
      <c r="A261" s="633">
        <v>257</v>
      </c>
      <c r="B261" s="630" t="s">
        <v>4</v>
      </c>
      <c r="C261" s="631" t="s">
        <v>250</v>
      </c>
      <c r="D261" s="630" t="s">
        <v>1392</v>
      </c>
      <c r="E261" s="632" t="s">
        <v>675</v>
      </c>
      <c r="F261" s="1067">
        <v>4</v>
      </c>
      <c r="G261" s="1066">
        <v>1</v>
      </c>
      <c r="H261" s="1070">
        <v>1</v>
      </c>
      <c r="I261" s="1070"/>
      <c r="J261" s="1070"/>
      <c r="K261" s="1070"/>
      <c r="L261" s="1072"/>
      <c r="M261" s="1070"/>
      <c r="N261" s="1070"/>
      <c r="O261" s="1070"/>
      <c r="P261" s="1073"/>
      <c r="Q261" s="1070">
        <v>2810</v>
      </c>
      <c r="R261" s="1070">
        <v>2810</v>
      </c>
      <c r="S261" s="1070"/>
      <c r="T261" s="1070"/>
      <c r="U261" s="1070">
        <v>2810</v>
      </c>
      <c r="V261" s="1066"/>
      <c r="W261" s="1070"/>
      <c r="X261" s="1070"/>
      <c r="Y261" s="1070"/>
      <c r="Z261" s="1070"/>
      <c r="AA261" s="1070"/>
      <c r="AB261" s="1070"/>
      <c r="AC261" s="1070"/>
      <c r="AD261" s="1070"/>
      <c r="AE261" s="1070"/>
      <c r="AF261" s="1070"/>
      <c r="AG261" s="1070"/>
      <c r="AH261" s="1073"/>
      <c r="AI261" s="1070"/>
      <c r="AJ261" s="1070"/>
      <c r="AK261" s="1070"/>
      <c r="AL261" s="1082"/>
      <c r="AM261" s="1069"/>
      <c r="AN261" s="1070"/>
      <c r="AO261" s="1070"/>
      <c r="AP261" s="1070"/>
      <c r="AQ261" s="1070"/>
      <c r="AR261" s="1069"/>
      <c r="AS261" s="1282"/>
      <c r="AT261" s="1282"/>
      <c r="AU261" s="1069"/>
      <c r="AV261" s="1069"/>
      <c r="AW261" s="1069"/>
      <c r="AX261" s="1070"/>
      <c r="AY261" s="1070"/>
      <c r="AZ261" s="1078">
        <f t="shared" ref="AZ261:AZ310" si="203">(1-AY261)*H261</f>
        <v>1</v>
      </c>
      <c r="BA261" s="59">
        <v>257</v>
      </c>
      <c r="BB261" s="59">
        <f t="shared" si="156"/>
        <v>257</v>
      </c>
      <c r="BC261" s="60" t="str">
        <f t="shared" si="157"/>
        <v>Ureia</v>
      </c>
      <c r="BD261" s="61" t="str">
        <f ca="1">IFERROR(IF(SEARCH('Calcular Dieta'!A$3,$BC$5:$BC$310)&gt;=1,BC261,"Não encontrado"),"Não encontrado")</f>
        <v>Ureia</v>
      </c>
      <c r="BE261" s="62">
        <f ca="1">COUNTIF(BD$5:BD261,"&lt;&gt;"&amp;"Não encontrado")</f>
        <v>257</v>
      </c>
      <c r="BF261" s="63" t="str">
        <f t="shared" ca="1" si="158"/>
        <v>UREIA</v>
      </c>
      <c r="BG261" s="744" t="str">
        <f t="shared" si="159"/>
        <v/>
      </c>
      <c r="BH261" s="744" t="str">
        <f t="shared" si="160"/>
        <v/>
      </c>
      <c r="BI261" s="744" t="str">
        <f t="shared" si="161"/>
        <v/>
      </c>
      <c r="BJ261" s="744" t="str">
        <f t="shared" si="162"/>
        <v/>
      </c>
      <c r="BK261" s="744" t="str">
        <f t="shared" si="163"/>
        <v/>
      </c>
      <c r="BL261" s="744" t="str">
        <f t="shared" si="164"/>
        <v/>
      </c>
      <c r="BM261" s="744" t="str">
        <f t="shared" si="165"/>
        <v/>
      </c>
      <c r="BN261" s="744" t="str">
        <f t="shared" si="166"/>
        <v/>
      </c>
      <c r="BO261" s="744">
        <f t="shared" si="167"/>
        <v>2810.0002610000001</v>
      </c>
      <c r="BP261" s="744">
        <f t="shared" si="168"/>
        <v>2810.0002610000001</v>
      </c>
      <c r="BQ261" s="744" t="str">
        <f t="shared" si="169"/>
        <v/>
      </c>
      <c r="BR261" s="744" t="str">
        <f t="shared" si="170"/>
        <v/>
      </c>
      <c r="BS261" s="744">
        <f t="shared" si="171"/>
        <v>2810.0002610000001</v>
      </c>
      <c r="BT261" s="744" t="str">
        <f t="shared" si="172"/>
        <v/>
      </c>
      <c r="BU261" s="744" t="str">
        <f t="shared" si="173"/>
        <v/>
      </c>
      <c r="BV261" s="744" t="str">
        <f t="shared" si="174"/>
        <v/>
      </c>
      <c r="BW261" s="744" t="str">
        <f t="shared" si="175"/>
        <v/>
      </c>
      <c r="BX261" s="744" t="str">
        <f t="shared" si="176"/>
        <v/>
      </c>
      <c r="BY261" s="744" t="str">
        <f t="shared" si="177"/>
        <v/>
      </c>
      <c r="BZ261" s="744" t="str">
        <f t="shared" si="178"/>
        <v/>
      </c>
      <c r="CA261" s="744" t="str">
        <f t="shared" si="179"/>
        <v/>
      </c>
      <c r="CB261" s="744" t="str">
        <f t="shared" si="180"/>
        <v/>
      </c>
      <c r="CC261" s="744" t="str">
        <f t="shared" si="181"/>
        <v/>
      </c>
      <c r="CD261" s="744" t="str">
        <f t="shared" si="182"/>
        <v/>
      </c>
      <c r="CE261" s="744" t="str">
        <f t="shared" si="183"/>
        <v/>
      </c>
      <c r="CF261" s="744" t="str">
        <f t="shared" si="184"/>
        <v/>
      </c>
      <c r="CG261" s="744" t="str">
        <f t="shared" si="185"/>
        <v/>
      </c>
      <c r="CH261" s="744" t="str">
        <f t="shared" si="186"/>
        <v/>
      </c>
      <c r="CI261" s="744" t="str">
        <f t="shared" si="187"/>
        <v/>
      </c>
      <c r="CJ261" s="744" t="str">
        <f t="shared" si="188"/>
        <v/>
      </c>
      <c r="CK261" s="744" t="str">
        <f t="shared" si="189"/>
        <v/>
      </c>
      <c r="CL261" s="744" t="str">
        <f t="shared" si="190"/>
        <v/>
      </c>
      <c r="CM261" s="744" t="str">
        <f t="shared" si="191"/>
        <v/>
      </c>
      <c r="CN261" s="744" t="str">
        <f t="shared" si="192"/>
        <v/>
      </c>
      <c r="CO261" s="744" t="str">
        <f t="shared" si="193"/>
        <v/>
      </c>
      <c r="CP261" s="744" t="str">
        <f t="shared" si="194"/>
        <v/>
      </c>
      <c r="CQ261" s="744" t="str">
        <f t="shared" si="195"/>
        <v/>
      </c>
      <c r="CR261" s="744" t="str">
        <f t="shared" si="196"/>
        <v/>
      </c>
      <c r="CS261" s="744" t="str">
        <f t="shared" si="197"/>
        <v/>
      </c>
      <c r="CT261" s="744" t="str">
        <f t="shared" si="198"/>
        <v/>
      </c>
      <c r="CU261" s="744" t="str">
        <f t="shared" si="199"/>
        <v/>
      </c>
      <c r="CV261" s="744" t="str">
        <f t="shared" si="200"/>
        <v/>
      </c>
      <c r="CW261" s="744" t="str">
        <f t="shared" si="201"/>
        <v/>
      </c>
      <c r="CX261" s="744">
        <f t="shared" si="202"/>
        <v>1.0002610000000001</v>
      </c>
    </row>
    <row r="262" spans="1:102">
      <c r="A262" s="630">
        <v>258</v>
      </c>
      <c r="B262" s="630" t="s">
        <v>4</v>
      </c>
      <c r="C262" s="631" t="s">
        <v>251</v>
      </c>
      <c r="D262" s="630" t="s">
        <v>1390</v>
      </c>
      <c r="E262" s="632" t="s">
        <v>247</v>
      </c>
      <c r="F262" s="1067">
        <v>7.5</v>
      </c>
      <c r="G262" s="1066">
        <v>1</v>
      </c>
      <c r="H262" s="1070">
        <v>1</v>
      </c>
      <c r="I262" s="1070"/>
      <c r="J262" s="1070"/>
      <c r="K262" s="1070"/>
      <c r="L262" s="1072"/>
      <c r="M262" s="1070"/>
      <c r="N262" s="1070"/>
      <c r="O262" s="1070"/>
      <c r="P262" s="1073"/>
      <c r="Q262" s="1070"/>
      <c r="R262" s="1070"/>
      <c r="S262" s="1070"/>
      <c r="T262" s="1070"/>
      <c r="U262" s="1070"/>
      <c r="V262" s="1066">
        <v>180</v>
      </c>
      <c r="W262" s="1070">
        <v>40</v>
      </c>
      <c r="X262" s="1070">
        <v>15</v>
      </c>
      <c r="Y262" s="1070">
        <v>90</v>
      </c>
      <c r="Z262" s="1070"/>
      <c r="AA262" s="1070">
        <v>350</v>
      </c>
      <c r="AB262" s="1070">
        <v>500</v>
      </c>
      <c r="AC262" s="1070">
        <v>1500</v>
      </c>
      <c r="AD262" s="1070"/>
      <c r="AE262" s="1070">
        <v>350</v>
      </c>
      <c r="AF262" s="1070">
        <v>50</v>
      </c>
      <c r="AG262" s="1070">
        <v>50</v>
      </c>
      <c r="AH262" s="1073">
        <v>6</v>
      </c>
      <c r="AI262" s="1070"/>
      <c r="AJ262" s="1070"/>
      <c r="AK262" s="1070"/>
      <c r="AL262" s="1082"/>
      <c r="AM262" s="1069"/>
      <c r="AN262" s="1070"/>
      <c r="AO262" s="1070"/>
      <c r="AP262" s="1070"/>
      <c r="AQ262" s="1070"/>
      <c r="AR262" s="1069"/>
      <c r="AS262" s="1282"/>
      <c r="AT262" s="1282"/>
      <c r="AU262" s="1069"/>
      <c r="AV262" s="1069"/>
      <c r="AW262" s="1069"/>
      <c r="AX262" s="1070"/>
      <c r="AY262" s="1070"/>
      <c r="AZ262" s="1078">
        <f t="shared" si="203"/>
        <v>1</v>
      </c>
      <c r="BA262" s="59">
        <v>258</v>
      </c>
      <c r="BB262" s="59">
        <f t="shared" ref="BB262:BB310" si="204">IF(E262="","",COUNTIF($E$5:$E$310,"&lt;"&amp;E262)+1)</f>
        <v>258</v>
      </c>
      <c r="BC262" s="60" t="str">
        <f t="shared" ref="BC262:BC310" si="205">IFERROR(INDEX($E$5:$E$310,MATCH(BA262,$BB$5:$BB$310,0)),"-")</f>
        <v>Vantage Nucleo Peso</v>
      </c>
      <c r="BD262" s="61" t="str">
        <f ca="1">IFERROR(IF(SEARCH('Calcular Dieta'!A$3,$BC$5:$BC$310)&gt;=1,BC262,"Não encontrado"),"Não encontrado")</f>
        <v>Vantage Nucleo Peso</v>
      </c>
      <c r="BE262" s="62">
        <f ca="1">COUNTIF(BD$5:BD262,"&lt;&gt;"&amp;"Não encontrado")</f>
        <v>258</v>
      </c>
      <c r="BF262" s="63" t="str">
        <f t="shared" ref="BF262:BF310" ca="1" si="206">IFERROR(UPPER(INDEX($BD$5:$BD$310,MATCH(BA262,$BE$5:$BE$310,0))),"-")</f>
        <v>VANTAGE NUCLEO PESO</v>
      </c>
      <c r="BG262" s="744" t="str">
        <f t="shared" ref="BG262:BG310" si="207">IF(OR(I262="",I262=0),"",I262+(ROW()/1000000))</f>
        <v/>
      </c>
      <c r="BH262" s="744" t="str">
        <f t="shared" ref="BH262:BH310" si="208">IF(OR(J262="",J262=0),"",J262+(ROW()/1000000))</f>
        <v/>
      </c>
      <c r="BI262" s="744" t="str">
        <f t="shared" ref="BI262:BI310" si="209">IF(OR(K262="",K262=0),"",K262+(ROW()/1000000))</f>
        <v/>
      </c>
      <c r="BJ262" s="744" t="str">
        <f t="shared" ref="BJ262:BJ310" si="210">IF(OR(L262="",L262=0),"",L262+(ROW()/1000000))</f>
        <v/>
      </c>
      <c r="BK262" s="744" t="str">
        <f t="shared" ref="BK262:BK310" si="211">IF(OR(M262="",M262=0),"",M262+(ROW()/1000000))</f>
        <v/>
      </c>
      <c r="BL262" s="744" t="str">
        <f t="shared" ref="BL262:BL310" si="212">IF(OR(N262="",N262=0),"",N262+(ROW()/1000000))</f>
        <v/>
      </c>
      <c r="BM262" s="744" t="str">
        <f t="shared" ref="BM262:BM310" si="213">IF(OR(O262="",O262=0),"",O262+(ROW()/1000000))</f>
        <v/>
      </c>
      <c r="BN262" s="744" t="str">
        <f t="shared" ref="BN262:BN310" si="214">IF(OR(P262="",P262=0),"",P262+(ROW()/1000000))</f>
        <v/>
      </c>
      <c r="BO262" s="744" t="str">
        <f t="shared" ref="BO262:BO310" si="215">IF(OR(Q262="",Q262=0),"",Q262+(ROW()/1000000))</f>
        <v/>
      </c>
      <c r="BP262" s="744" t="str">
        <f t="shared" ref="BP262:BP310" si="216">IF(OR(R262="",R262=0),"",R262+(ROW()/1000000))</f>
        <v/>
      </c>
      <c r="BQ262" s="744" t="str">
        <f t="shared" ref="BQ262:BQ310" si="217">IF(OR(S262="",S262=0),"",S262+(ROW()/1000000))</f>
        <v/>
      </c>
      <c r="BR262" s="744" t="str">
        <f t="shared" ref="BR262:BR310" si="218">IF(OR(T262="",T262=0),"",T262+(ROW()/1000000))</f>
        <v/>
      </c>
      <c r="BS262" s="744" t="str">
        <f t="shared" ref="BS262:BS310" si="219">IF(OR(U262="",U262=0),"",U262+(ROW()/1000000))</f>
        <v/>
      </c>
      <c r="BT262" s="744">
        <f t="shared" ref="BT262:BT310" si="220">IF(OR(V262="",V262=0),"",V262+(ROW()/1000000))</f>
        <v>180.00026199999999</v>
      </c>
      <c r="BU262" s="744">
        <f t="shared" ref="BU262:BU310" si="221">IF(OR(W262="",W262=0),"",W262+(ROW()/1000000))</f>
        <v>40.000261999999999</v>
      </c>
      <c r="BV262" s="744">
        <f t="shared" ref="BV262:BV310" si="222">IF(OR(X262="",X262=0),"",X262+(ROW()/1000000))</f>
        <v>15.000261999999999</v>
      </c>
      <c r="BW262" s="744">
        <f t="shared" ref="BW262:BW310" si="223">IF(OR(Y262="",Y262=0),"",Y262+(ROW()/1000000))</f>
        <v>90.000262000000006</v>
      </c>
      <c r="BX262" s="744" t="str">
        <f t="shared" ref="BX262:BX310" si="224">IF(OR(Z262="",Z262=0),"",Z262+(ROW()/1000000))</f>
        <v/>
      </c>
      <c r="BY262" s="744">
        <f t="shared" ref="BY262:BY310" si="225">IF(OR(AA262="",AA262=0),"",AA262+(ROW()/1000000))</f>
        <v>350.00026200000002</v>
      </c>
      <c r="BZ262" s="744">
        <f t="shared" ref="BZ262:BZ310" si="226">IF(OR(AB262="",AB262=0),"",AB262+(ROW()/1000000))</f>
        <v>500.00026200000002</v>
      </c>
      <c r="CA262" s="744">
        <f t="shared" ref="CA262:CA310" si="227">IF(OR(AC262="",AC262=0),"",AC262+(ROW()/1000000))</f>
        <v>1500.000262</v>
      </c>
      <c r="CB262" s="744" t="str">
        <f t="shared" ref="CB262:CB310" si="228">IF(OR(AD262="",AD262=0),"",AD262+(ROW()/1000000))</f>
        <v/>
      </c>
      <c r="CC262" s="744">
        <f t="shared" ref="CC262:CC310" si="229">IF(OR(AE262="",AE262=0),"",AE262+(ROW()/1000000))</f>
        <v>350.00026200000002</v>
      </c>
      <c r="CD262" s="744">
        <f t="shared" ref="CD262:CD310" si="230">IF(OR(AF262="",AF262=0),"",AF262+(ROW()/1000000))</f>
        <v>50.000261999999999</v>
      </c>
      <c r="CE262" s="744">
        <f t="shared" ref="CE262:CE310" si="231">IF(OR(AG262="",AG262=0),"",AG262+(ROW()/1000000))</f>
        <v>50.000261999999999</v>
      </c>
      <c r="CF262" s="744">
        <f t="shared" ref="CF262:CF310" si="232">IF(OR(AH262="",AH262=0),"",AH262+(ROW()/1000000))</f>
        <v>6.0002620000000002</v>
      </c>
      <c r="CG262" s="744" t="str">
        <f t="shared" ref="CG262:CG310" si="233">IF(OR(AI262="",AI262=0),"",AI262+(ROW()/1000000))</f>
        <v/>
      </c>
      <c r="CH262" s="744" t="str">
        <f t="shared" ref="CH262:CH310" si="234">IF(OR(AJ262="",AJ262=0),"",AJ262+(ROW()/1000000))</f>
        <v/>
      </c>
      <c r="CI262" s="744" t="str">
        <f t="shared" ref="CI262:CI310" si="235">IF(OR(AK262="",AK262=0),"",AK262+(ROW()/1000000))</f>
        <v/>
      </c>
      <c r="CJ262" s="744" t="str">
        <f t="shared" ref="CJ262:CJ310" si="236">IF(OR(AL262="",AL262=0),"",AL262+(ROW()/1000000))</f>
        <v/>
      </c>
      <c r="CK262" s="744" t="str">
        <f t="shared" ref="CK262:CK310" si="237">IF(OR(AM262="",AM262=0),"",AM262+(ROW()/1000000))</f>
        <v/>
      </c>
      <c r="CL262" s="744" t="str">
        <f t="shared" ref="CL262:CL310" si="238">IF(OR(AN262="",AN262=0),"",AN262+(ROW()/1000000))</f>
        <v/>
      </c>
      <c r="CM262" s="744" t="str">
        <f t="shared" ref="CM262:CM310" si="239">IF(OR(AO262="",AO262=0),"",AO262+(ROW()/1000000))</f>
        <v/>
      </c>
      <c r="CN262" s="744" t="str">
        <f t="shared" ref="CN262:CN310" si="240">IF(OR(AP262="",AP262=0),"",AP262+(ROW()/1000000))</f>
        <v/>
      </c>
      <c r="CO262" s="744" t="str">
        <f t="shared" ref="CO262:CO310" si="241">IF(OR(AQ262="",AQ262=0),"",AQ262+(ROW()/1000000))</f>
        <v/>
      </c>
      <c r="CP262" s="744" t="str">
        <f t="shared" ref="CP262:CP310" si="242">IF(OR(AR262="",AR262=0),"",AR262+(ROW()/1000000))</f>
        <v/>
      </c>
      <c r="CQ262" s="744" t="str">
        <f t="shared" ref="CQ262:CQ310" si="243">IF(OR(AS262="",AS262=0),"",AS262+(ROW()/1000000))</f>
        <v/>
      </c>
      <c r="CR262" s="744" t="str">
        <f t="shared" ref="CR262:CR310" si="244">IF(OR(AT262="",AT262=0),"",AT262+(ROW()/1000000))</f>
        <v/>
      </c>
      <c r="CS262" s="744" t="str">
        <f t="shared" ref="CS262:CS310" si="245">IF(OR(AU262="",AU262=0),"",AU262+(ROW()/1000000))</f>
        <v/>
      </c>
      <c r="CT262" s="744" t="str">
        <f t="shared" ref="CT262:CT310" si="246">IF(OR(AV262="",AV262=0),"",AV262+(ROW()/1000000))</f>
        <v/>
      </c>
      <c r="CU262" s="744" t="str">
        <f t="shared" ref="CU262:CU310" si="247">IF(OR(AW262="",AW262=0),"",AW262+(ROW()/1000000))</f>
        <v/>
      </c>
      <c r="CV262" s="744" t="str">
        <f t="shared" ref="CV262:CV310" si="248">IF(OR(AX262="",AX262=0),"",AX262+(ROW()/1000000))</f>
        <v/>
      </c>
      <c r="CW262" s="744" t="str">
        <f t="shared" ref="CW262:CW310" si="249">IF(OR(AY262="",AY262=0),"",AY262+(ROW()/1000000))</f>
        <v/>
      </c>
      <c r="CX262" s="744">
        <f t="shared" ref="CX262:CX310" si="250">IF(OR(AZ262="",AZ262=0),"",AZ262+(ROW()/1000000))</f>
        <v>1.000262</v>
      </c>
    </row>
    <row r="263" spans="1:102">
      <c r="A263" s="633">
        <v>259</v>
      </c>
      <c r="B263" s="630" t="s">
        <v>4</v>
      </c>
      <c r="C263" s="631" t="s">
        <v>713</v>
      </c>
      <c r="D263" s="630" t="s">
        <v>1392</v>
      </c>
      <c r="E263" s="632" t="s">
        <v>758</v>
      </c>
      <c r="F263" s="1067">
        <v>14</v>
      </c>
      <c r="G263" s="1066">
        <v>1</v>
      </c>
      <c r="H263" s="1070">
        <v>0.999</v>
      </c>
      <c r="I263" s="1070"/>
      <c r="J263" s="1070"/>
      <c r="K263" s="1070"/>
      <c r="L263" s="1072"/>
      <c r="M263" s="1070"/>
      <c r="N263" s="1070"/>
      <c r="O263" s="1070"/>
      <c r="P263" s="1073"/>
      <c r="Q263" s="1070"/>
      <c r="R263" s="1070"/>
      <c r="S263" s="1070"/>
      <c r="T263" s="1070"/>
      <c r="U263" s="1070"/>
      <c r="V263" s="1066">
        <v>350</v>
      </c>
      <c r="W263" s="1070"/>
      <c r="X263" s="1070"/>
      <c r="Y263" s="1070"/>
      <c r="Z263" s="1070"/>
      <c r="AA263" s="1070"/>
      <c r="AB263" s="1070"/>
      <c r="AC263" s="1070"/>
      <c r="AD263" s="1070"/>
      <c r="AE263" s="1070"/>
      <c r="AF263" s="1070"/>
      <c r="AG263" s="1070">
        <v>700</v>
      </c>
      <c r="AH263" s="1073"/>
      <c r="AI263" s="1070"/>
      <c r="AJ263" s="1070"/>
      <c r="AK263" s="1070"/>
      <c r="AL263" s="1082">
        <v>2500000</v>
      </c>
      <c r="AM263" s="1069"/>
      <c r="AN263" s="1070">
        <v>900000</v>
      </c>
      <c r="AO263" s="1070">
        <v>5000</v>
      </c>
      <c r="AP263" s="1070"/>
      <c r="AQ263" s="1070"/>
      <c r="AR263" s="1069"/>
      <c r="AS263" s="1282"/>
      <c r="AT263" s="1282"/>
      <c r="AU263" s="1069"/>
      <c r="AV263" s="1069"/>
      <c r="AW263" s="1069"/>
      <c r="AX263" s="1070"/>
      <c r="AY263" s="1070"/>
      <c r="AZ263" s="1078">
        <f t="shared" si="203"/>
        <v>0.999</v>
      </c>
      <c r="BA263" s="59">
        <v>259</v>
      </c>
      <c r="BB263" s="59">
        <f t="shared" si="204"/>
        <v>259</v>
      </c>
      <c r="BC263" s="60" t="str">
        <f t="shared" si="205"/>
        <v>Vit ADE</v>
      </c>
      <c r="BD263" s="61" t="str">
        <f ca="1">IFERROR(IF(SEARCH('Calcular Dieta'!A$3,$BC$5:$BC$310)&gt;=1,BC263,"Não encontrado"),"Não encontrado")</f>
        <v>Vit ADE</v>
      </c>
      <c r="BE263" s="62">
        <f ca="1">COUNTIF(BD$5:BD263,"&lt;&gt;"&amp;"Não encontrado")</f>
        <v>259</v>
      </c>
      <c r="BF263" s="63" t="str">
        <f t="shared" ca="1" si="206"/>
        <v>VIT ADE</v>
      </c>
      <c r="BG263" s="744" t="str">
        <f t="shared" si="207"/>
        <v/>
      </c>
      <c r="BH263" s="744" t="str">
        <f t="shared" si="208"/>
        <v/>
      </c>
      <c r="BI263" s="744" t="str">
        <f t="shared" si="209"/>
        <v/>
      </c>
      <c r="BJ263" s="744" t="str">
        <f t="shared" si="210"/>
        <v/>
      </c>
      <c r="BK263" s="744" t="str">
        <f t="shared" si="211"/>
        <v/>
      </c>
      <c r="BL263" s="744" t="str">
        <f t="shared" si="212"/>
        <v/>
      </c>
      <c r="BM263" s="744" t="str">
        <f t="shared" si="213"/>
        <v/>
      </c>
      <c r="BN263" s="744" t="str">
        <f t="shared" si="214"/>
        <v/>
      </c>
      <c r="BO263" s="744" t="str">
        <f t="shared" si="215"/>
        <v/>
      </c>
      <c r="BP263" s="744" t="str">
        <f t="shared" si="216"/>
        <v/>
      </c>
      <c r="BQ263" s="744" t="str">
        <f t="shared" si="217"/>
        <v/>
      </c>
      <c r="BR263" s="744" t="str">
        <f t="shared" si="218"/>
        <v/>
      </c>
      <c r="BS263" s="744" t="str">
        <f t="shared" si="219"/>
        <v/>
      </c>
      <c r="BT263" s="744">
        <f t="shared" si="220"/>
        <v>350.00026300000002</v>
      </c>
      <c r="BU263" s="744" t="str">
        <f t="shared" si="221"/>
        <v/>
      </c>
      <c r="BV263" s="744" t="str">
        <f t="shared" si="222"/>
        <v/>
      </c>
      <c r="BW263" s="744" t="str">
        <f t="shared" si="223"/>
        <v/>
      </c>
      <c r="BX263" s="744" t="str">
        <f t="shared" si="224"/>
        <v/>
      </c>
      <c r="BY263" s="744" t="str">
        <f t="shared" si="225"/>
        <v/>
      </c>
      <c r="BZ263" s="744" t="str">
        <f t="shared" si="226"/>
        <v/>
      </c>
      <c r="CA263" s="744" t="str">
        <f t="shared" si="227"/>
        <v/>
      </c>
      <c r="CB263" s="744" t="str">
        <f t="shared" si="228"/>
        <v/>
      </c>
      <c r="CC263" s="744" t="str">
        <f t="shared" si="229"/>
        <v/>
      </c>
      <c r="CD263" s="744" t="str">
        <f t="shared" si="230"/>
        <v/>
      </c>
      <c r="CE263" s="744">
        <f t="shared" si="231"/>
        <v>700.00026300000002</v>
      </c>
      <c r="CF263" s="744" t="str">
        <f t="shared" si="232"/>
        <v/>
      </c>
      <c r="CG263" s="744" t="str">
        <f t="shared" si="233"/>
        <v/>
      </c>
      <c r="CH263" s="744" t="str">
        <f t="shared" si="234"/>
        <v/>
      </c>
      <c r="CI263" s="744" t="str">
        <f t="shared" si="235"/>
        <v/>
      </c>
      <c r="CJ263" s="744">
        <f t="shared" si="236"/>
        <v>2500000.0002629999</v>
      </c>
      <c r="CK263" s="744" t="str">
        <f t="shared" si="237"/>
        <v/>
      </c>
      <c r="CL263" s="744">
        <f t="shared" si="238"/>
        <v>900000.00026300002</v>
      </c>
      <c r="CM263" s="744">
        <f t="shared" si="239"/>
        <v>5000.0002629999999</v>
      </c>
      <c r="CN263" s="744" t="str">
        <f t="shared" si="240"/>
        <v/>
      </c>
      <c r="CO263" s="744" t="str">
        <f t="shared" si="241"/>
        <v/>
      </c>
      <c r="CP263" s="744" t="str">
        <f t="shared" si="242"/>
        <v/>
      </c>
      <c r="CQ263" s="744" t="str">
        <f t="shared" si="243"/>
        <v/>
      </c>
      <c r="CR263" s="744" t="str">
        <f t="shared" si="244"/>
        <v/>
      </c>
      <c r="CS263" s="744" t="str">
        <f t="shared" si="245"/>
        <v/>
      </c>
      <c r="CT263" s="744" t="str">
        <f t="shared" si="246"/>
        <v/>
      </c>
      <c r="CU263" s="744" t="str">
        <f t="shared" si="247"/>
        <v/>
      </c>
      <c r="CV263" s="744" t="str">
        <f t="shared" si="248"/>
        <v/>
      </c>
      <c r="CW263" s="744" t="str">
        <f t="shared" si="249"/>
        <v/>
      </c>
      <c r="CX263" s="744">
        <f t="shared" si="250"/>
        <v>0.99926300000000001</v>
      </c>
    </row>
    <row r="264" spans="1:102">
      <c r="A264" s="630">
        <v>260</v>
      </c>
      <c r="B264" s="630"/>
      <c r="C264" s="631"/>
      <c r="D264" s="630"/>
      <c r="E264" s="632"/>
      <c r="F264" s="1067"/>
      <c r="G264" s="1079"/>
      <c r="H264" s="1068"/>
      <c r="I264" s="1068"/>
      <c r="J264" s="1069"/>
      <c r="K264" s="1069"/>
      <c r="L264" s="1074"/>
      <c r="M264" s="1069"/>
      <c r="N264" s="1069"/>
      <c r="O264" s="1069"/>
      <c r="P264" s="1076"/>
      <c r="Q264" s="1069"/>
      <c r="R264" s="1069"/>
      <c r="S264" s="1069"/>
      <c r="T264" s="1069"/>
      <c r="U264" s="1069"/>
      <c r="V264" s="1079"/>
      <c r="W264" s="1069"/>
      <c r="X264" s="1069"/>
      <c r="Y264" s="1069"/>
      <c r="Z264" s="1069"/>
      <c r="AA264" s="1069"/>
      <c r="AB264" s="1069"/>
      <c r="AC264" s="1069"/>
      <c r="AD264" s="1069"/>
      <c r="AE264" s="1069"/>
      <c r="AF264" s="1069"/>
      <c r="AG264" s="1069"/>
      <c r="AH264" s="1076"/>
      <c r="AI264" s="1069"/>
      <c r="AJ264" s="1069"/>
      <c r="AK264" s="1069"/>
      <c r="AL264" s="1081"/>
      <c r="AM264" s="1069"/>
      <c r="AN264" s="1069"/>
      <c r="AO264" s="1069"/>
      <c r="AP264" s="1069"/>
      <c r="AQ264" s="1069"/>
      <c r="AR264" s="1069"/>
      <c r="AS264" s="1282"/>
      <c r="AT264" s="1282"/>
      <c r="AU264" s="1069"/>
      <c r="AV264" s="1069"/>
      <c r="AW264" s="1069"/>
      <c r="AX264" s="1069"/>
      <c r="AY264" s="1069"/>
      <c r="AZ264" s="1078">
        <f t="shared" si="203"/>
        <v>0</v>
      </c>
      <c r="BA264" s="59">
        <v>260</v>
      </c>
      <c r="BB264" s="59" t="str">
        <f t="shared" si="204"/>
        <v/>
      </c>
      <c r="BC264" s="60" t="str">
        <f t="shared" si="205"/>
        <v>-</v>
      </c>
      <c r="BD264" s="61" t="str">
        <f ca="1">IFERROR(IF(SEARCH('Calcular Dieta'!A$3,$BC$5:$BC$310)&gt;=1,BC264,"Não encontrado"),"Não encontrado")</f>
        <v>-</v>
      </c>
      <c r="BE264" s="62">
        <f ca="1">COUNTIF(BD$5:BD264,"&lt;&gt;"&amp;"Não encontrado")</f>
        <v>260</v>
      </c>
      <c r="BF264" s="63" t="str">
        <f t="shared" ca="1" si="206"/>
        <v>-</v>
      </c>
      <c r="BG264" s="744" t="str">
        <f t="shared" si="207"/>
        <v/>
      </c>
      <c r="BH264" s="744" t="str">
        <f t="shared" si="208"/>
        <v/>
      </c>
      <c r="BI264" s="744" t="str">
        <f t="shared" si="209"/>
        <v/>
      </c>
      <c r="BJ264" s="744" t="str">
        <f t="shared" si="210"/>
        <v/>
      </c>
      <c r="BK264" s="744" t="str">
        <f t="shared" si="211"/>
        <v/>
      </c>
      <c r="BL264" s="744" t="str">
        <f t="shared" si="212"/>
        <v/>
      </c>
      <c r="BM264" s="744" t="str">
        <f t="shared" si="213"/>
        <v/>
      </c>
      <c r="BN264" s="744" t="str">
        <f t="shared" si="214"/>
        <v/>
      </c>
      <c r="BO264" s="744" t="str">
        <f t="shared" si="215"/>
        <v/>
      </c>
      <c r="BP264" s="744" t="str">
        <f t="shared" si="216"/>
        <v/>
      </c>
      <c r="BQ264" s="744" t="str">
        <f t="shared" si="217"/>
        <v/>
      </c>
      <c r="BR264" s="744" t="str">
        <f t="shared" si="218"/>
        <v/>
      </c>
      <c r="BS264" s="744" t="str">
        <f t="shared" si="219"/>
        <v/>
      </c>
      <c r="BT264" s="744" t="str">
        <f t="shared" si="220"/>
        <v/>
      </c>
      <c r="BU264" s="744" t="str">
        <f t="shared" si="221"/>
        <v/>
      </c>
      <c r="BV264" s="744" t="str">
        <f t="shared" si="222"/>
        <v/>
      </c>
      <c r="BW264" s="744" t="str">
        <f t="shared" si="223"/>
        <v/>
      </c>
      <c r="BX264" s="744" t="str">
        <f t="shared" si="224"/>
        <v/>
      </c>
      <c r="BY264" s="744" t="str">
        <f t="shared" si="225"/>
        <v/>
      </c>
      <c r="BZ264" s="744" t="str">
        <f t="shared" si="226"/>
        <v/>
      </c>
      <c r="CA264" s="744" t="str">
        <f t="shared" si="227"/>
        <v/>
      </c>
      <c r="CB264" s="744" t="str">
        <f t="shared" si="228"/>
        <v/>
      </c>
      <c r="CC264" s="744" t="str">
        <f t="shared" si="229"/>
        <v/>
      </c>
      <c r="CD264" s="744" t="str">
        <f t="shared" si="230"/>
        <v/>
      </c>
      <c r="CE264" s="744" t="str">
        <f t="shared" si="231"/>
        <v/>
      </c>
      <c r="CF264" s="744" t="str">
        <f t="shared" si="232"/>
        <v/>
      </c>
      <c r="CG264" s="744" t="str">
        <f t="shared" si="233"/>
        <v/>
      </c>
      <c r="CH264" s="744" t="str">
        <f t="shared" si="234"/>
        <v/>
      </c>
      <c r="CI264" s="744" t="str">
        <f t="shared" si="235"/>
        <v/>
      </c>
      <c r="CJ264" s="744" t="str">
        <f t="shared" si="236"/>
        <v/>
      </c>
      <c r="CK264" s="744" t="str">
        <f t="shared" si="237"/>
        <v/>
      </c>
      <c r="CL264" s="744" t="str">
        <f t="shared" si="238"/>
        <v/>
      </c>
      <c r="CM264" s="744" t="str">
        <f t="shared" si="239"/>
        <v/>
      </c>
      <c r="CN264" s="744" t="str">
        <f t="shared" si="240"/>
        <v/>
      </c>
      <c r="CO264" s="744" t="str">
        <f t="shared" si="241"/>
        <v/>
      </c>
      <c r="CP264" s="744" t="str">
        <f t="shared" si="242"/>
        <v/>
      </c>
      <c r="CQ264" s="744" t="str">
        <f t="shared" si="243"/>
        <v/>
      </c>
      <c r="CR264" s="744" t="str">
        <f t="shared" si="244"/>
        <v/>
      </c>
      <c r="CS264" s="744" t="str">
        <f t="shared" si="245"/>
        <v/>
      </c>
      <c r="CT264" s="744" t="str">
        <f t="shared" si="246"/>
        <v/>
      </c>
      <c r="CU264" s="744" t="str">
        <f t="shared" si="247"/>
        <v/>
      </c>
      <c r="CV264" s="744" t="str">
        <f t="shared" si="248"/>
        <v/>
      </c>
      <c r="CW264" s="744" t="str">
        <f t="shared" si="249"/>
        <v/>
      </c>
      <c r="CX264" s="744" t="str">
        <f t="shared" si="250"/>
        <v/>
      </c>
    </row>
    <row r="265" spans="1:102">
      <c r="A265" s="633">
        <v>262</v>
      </c>
      <c r="B265" s="630"/>
      <c r="C265" s="631"/>
      <c r="D265" s="630"/>
      <c r="E265" s="632"/>
      <c r="F265" s="1067"/>
      <c r="G265" s="1079"/>
      <c r="H265" s="1068"/>
      <c r="I265" s="1068"/>
      <c r="J265" s="1069"/>
      <c r="K265" s="1069"/>
      <c r="L265" s="1074"/>
      <c r="M265" s="1069"/>
      <c r="N265" s="1069"/>
      <c r="O265" s="1069"/>
      <c r="P265" s="1076"/>
      <c r="Q265" s="1069"/>
      <c r="R265" s="1069"/>
      <c r="S265" s="1069"/>
      <c r="T265" s="1069"/>
      <c r="U265" s="1069"/>
      <c r="V265" s="1079"/>
      <c r="W265" s="1069"/>
      <c r="X265" s="1069"/>
      <c r="Y265" s="1069"/>
      <c r="Z265" s="1069"/>
      <c r="AA265" s="1069"/>
      <c r="AB265" s="1069"/>
      <c r="AC265" s="1069"/>
      <c r="AD265" s="1069"/>
      <c r="AE265" s="1069"/>
      <c r="AF265" s="1069"/>
      <c r="AG265" s="1069"/>
      <c r="AH265" s="1076"/>
      <c r="AI265" s="1069"/>
      <c r="AJ265" s="1069"/>
      <c r="AK265" s="1069"/>
      <c r="AL265" s="1081"/>
      <c r="AM265" s="1069"/>
      <c r="AN265" s="1069"/>
      <c r="AO265" s="1069"/>
      <c r="AP265" s="1069"/>
      <c r="AQ265" s="1069"/>
      <c r="AR265" s="1069"/>
      <c r="AS265" s="1282"/>
      <c r="AT265" s="1282"/>
      <c r="AU265" s="1069"/>
      <c r="AV265" s="1069"/>
      <c r="AW265" s="1069"/>
      <c r="AX265" s="1069"/>
      <c r="AY265" s="1069"/>
      <c r="AZ265" s="1078">
        <f t="shared" si="203"/>
        <v>0</v>
      </c>
      <c r="BA265" s="59">
        <v>261</v>
      </c>
      <c r="BB265" s="59" t="str">
        <f t="shared" si="204"/>
        <v/>
      </c>
      <c r="BC265" s="60" t="str">
        <f t="shared" si="205"/>
        <v>-</v>
      </c>
      <c r="BD265" s="61" t="str">
        <f ca="1">IFERROR(IF(SEARCH('Calcular Dieta'!A$3,$BC$5:$BC$310)&gt;=1,BC265,"Não encontrado"),"Não encontrado")</f>
        <v>-</v>
      </c>
      <c r="BE265" s="62">
        <f ca="1">COUNTIF(BD$5:BD265,"&lt;&gt;"&amp;"Não encontrado")</f>
        <v>261</v>
      </c>
      <c r="BF265" s="63" t="str">
        <f t="shared" ca="1" si="206"/>
        <v>-</v>
      </c>
      <c r="BG265" s="744" t="str">
        <f t="shared" si="207"/>
        <v/>
      </c>
      <c r="BH265" s="744" t="str">
        <f t="shared" si="208"/>
        <v/>
      </c>
      <c r="BI265" s="744" t="str">
        <f t="shared" si="209"/>
        <v/>
      </c>
      <c r="BJ265" s="744" t="str">
        <f t="shared" si="210"/>
        <v/>
      </c>
      <c r="BK265" s="744" t="str">
        <f t="shared" si="211"/>
        <v/>
      </c>
      <c r="BL265" s="744" t="str">
        <f t="shared" si="212"/>
        <v/>
      </c>
      <c r="BM265" s="744" t="str">
        <f t="shared" si="213"/>
        <v/>
      </c>
      <c r="BN265" s="744" t="str">
        <f t="shared" si="214"/>
        <v/>
      </c>
      <c r="BO265" s="744" t="str">
        <f t="shared" si="215"/>
        <v/>
      </c>
      <c r="BP265" s="744" t="str">
        <f t="shared" si="216"/>
        <v/>
      </c>
      <c r="BQ265" s="744" t="str">
        <f t="shared" si="217"/>
        <v/>
      </c>
      <c r="BR265" s="744" t="str">
        <f t="shared" si="218"/>
        <v/>
      </c>
      <c r="BS265" s="744" t="str">
        <f t="shared" si="219"/>
        <v/>
      </c>
      <c r="BT265" s="744" t="str">
        <f t="shared" si="220"/>
        <v/>
      </c>
      <c r="BU265" s="744" t="str">
        <f t="shared" si="221"/>
        <v/>
      </c>
      <c r="BV265" s="744" t="str">
        <f t="shared" si="222"/>
        <v/>
      </c>
      <c r="BW265" s="744" t="str">
        <f t="shared" si="223"/>
        <v/>
      </c>
      <c r="BX265" s="744" t="str">
        <f t="shared" si="224"/>
        <v/>
      </c>
      <c r="BY265" s="744" t="str">
        <f t="shared" si="225"/>
        <v/>
      </c>
      <c r="BZ265" s="744" t="str">
        <f t="shared" si="226"/>
        <v/>
      </c>
      <c r="CA265" s="744" t="str">
        <f t="shared" si="227"/>
        <v/>
      </c>
      <c r="CB265" s="744" t="str">
        <f t="shared" si="228"/>
        <v/>
      </c>
      <c r="CC265" s="744" t="str">
        <f t="shared" si="229"/>
        <v/>
      </c>
      <c r="CD265" s="744" t="str">
        <f t="shared" si="230"/>
        <v/>
      </c>
      <c r="CE265" s="744" t="str">
        <f t="shared" si="231"/>
        <v/>
      </c>
      <c r="CF265" s="744" t="str">
        <f t="shared" si="232"/>
        <v/>
      </c>
      <c r="CG265" s="744" t="str">
        <f t="shared" si="233"/>
        <v/>
      </c>
      <c r="CH265" s="744" t="str">
        <f t="shared" si="234"/>
        <v/>
      </c>
      <c r="CI265" s="744" t="str">
        <f t="shared" si="235"/>
        <v/>
      </c>
      <c r="CJ265" s="744" t="str">
        <f t="shared" si="236"/>
        <v/>
      </c>
      <c r="CK265" s="744" t="str">
        <f t="shared" si="237"/>
        <v/>
      </c>
      <c r="CL265" s="744" t="str">
        <f t="shared" si="238"/>
        <v/>
      </c>
      <c r="CM265" s="744" t="str">
        <f t="shared" si="239"/>
        <v/>
      </c>
      <c r="CN265" s="744" t="str">
        <f t="shared" si="240"/>
        <v/>
      </c>
      <c r="CO265" s="744" t="str">
        <f t="shared" si="241"/>
        <v/>
      </c>
      <c r="CP265" s="744" t="str">
        <f t="shared" si="242"/>
        <v/>
      </c>
      <c r="CQ265" s="744" t="str">
        <f t="shared" si="243"/>
        <v/>
      </c>
      <c r="CR265" s="744" t="str">
        <f t="shared" si="244"/>
        <v/>
      </c>
      <c r="CS265" s="744" t="str">
        <f t="shared" si="245"/>
        <v/>
      </c>
      <c r="CT265" s="744" t="str">
        <f t="shared" si="246"/>
        <v/>
      </c>
      <c r="CU265" s="744" t="str">
        <f t="shared" si="247"/>
        <v/>
      </c>
      <c r="CV265" s="744" t="str">
        <f t="shared" si="248"/>
        <v/>
      </c>
      <c r="CW265" s="744" t="str">
        <f t="shared" si="249"/>
        <v/>
      </c>
      <c r="CX265" s="744" t="str">
        <f t="shared" si="250"/>
        <v/>
      </c>
    </row>
    <row r="266" spans="1:102">
      <c r="A266" s="630">
        <v>174</v>
      </c>
      <c r="B266" s="630"/>
      <c r="C266" s="631"/>
      <c r="D266" s="630"/>
      <c r="E266" s="632"/>
      <c r="F266" s="1067"/>
      <c r="G266" s="1079"/>
      <c r="H266" s="1068"/>
      <c r="I266" s="1068"/>
      <c r="J266" s="1069"/>
      <c r="K266" s="1069"/>
      <c r="L266" s="1074"/>
      <c r="M266" s="1069"/>
      <c r="N266" s="1069"/>
      <c r="O266" s="1069"/>
      <c r="P266" s="1076"/>
      <c r="Q266" s="1069"/>
      <c r="R266" s="1069"/>
      <c r="S266" s="1069"/>
      <c r="T266" s="1069"/>
      <c r="U266" s="1069"/>
      <c r="V266" s="1079"/>
      <c r="W266" s="1069"/>
      <c r="X266" s="1069"/>
      <c r="Y266" s="1069"/>
      <c r="Z266" s="1069"/>
      <c r="AA266" s="1069"/>
      <c r="AB266" s="1069"/>
      <c r="AC266" s="1069"/>
      <c r="AD266" s="1069"/>
      <c r="AE266" s="1069"/>
      <c r="AF266" s="1069"/>
      <c r="AG266" s="1069"/>
      <c r="AH266" s="1076"/>
      <c r="AI266" s="1069"/>
      <c r="AJ266" s="1069"/>
      <c r="AK266" s="1069"/>
      <c r="AL266" s="1081"/>
      <c r="AM266" s="1069"/>
      <c r="AN266" s="1069"/>
      <c r="AO266" s="1069"/>
      <c r="AP266" s="1069"/>
      <c r="AQ266" s="1069"/>
      <c r="AR266" s="1069"/>
      <c r="AS266" s="1282"/>
      <c r="AT266" s="1282"/>
      <c r="AU266" s="1069"/>
      <c r="AV266" s="1069"/>
      <c r="AW266" s="1069"/>
      <c r="AX266" s="1069"/>
      <c r="AY266" s="1069"/>
      <c r="AZ266" s="1078">
        <f t="shared" si="203"/>
        <v>0</v>
      </c>
      <c r="BA266" s="59">
        <v>262</v>
      </c>
      <c r="BB266" s="59" t="str">
        <f t="shared" si="204"/>
        <v/>
      </c>
      <c r="BC266" s="60" t="str">
        <f t="shared" si="205"/>
        <v>-</v>
      </c>
      <c r="BD266" s="61" t="str">
        <f ca="1">IFERROR(IF(SEARCH('Calcular Dieta'!A$3,$BC$5:$BC$310)&gt;=1,BC266,"Não encontrado"),"Não encontrado")</f>
        <v>-</v>
      </c>
      <c r="BE266" s="62">
        <f ca="1">COUNTIF(BD$5:BD266,"&lt;&gt;"&amp;"Não encontrado")</f>
        <v>262</v>
      </c>
      <c r="BF266" s="63" t="str">
        <f t="shared" ca="1" si="206"/>
        <v>-</v>
      </c>
      <c r="BG266" s="744" t="str">
        <f t="shared" si="207"/>
        <v/>
      </c>
      <c r="BH266" s="744" t="str">
        <f t="shared" si="208"/>
        <v/>
      </c>
      <c r="BI266" s="744" t="str">
        <f t="shared" si="209"/>
        <v/>
      </c>
      <c r="BJ266" s="744" t="str">
        <f t="shared" si="210"/>
        <v/>
      </c>
      <c r="BK266" s="744" t="str">
        <f t="shared" si="211"/>
        <v/>
      </c>
      <c r="BL266" s="744" t="str">
        <f t="shared" si="212"/>
        <v/>
      </c>
      <c r="BM266" s="744" t="str">
        <f t="shared" si="213"/>
        <v/>
      </c>
      <c r="BN266" s="744" t="str">
        <f t="shared" si="214"/>
        <v/>
      </c>
      <c r="BO266" s="744" t="str">
        <f t="shared" si="215"/>
        <v/>
      </c>
      <c r="BP266" s="744" t="str">
        <f t="shared" si="216"/>
        <v/>
      </c>
      <c r="BQ266" s="744" t="str">
        <f t="shared" si="217"/>
        <v/>
      </c>
      <c r="BR266" s="744" t="str">
        <f t="shared" si="218"/>
        <v/>
      </c>
      <c r="BS266" s="744" t="str">
        <f t="shared" si="219"/>
        <v/>
      </c>
      <c r="BT266" s="744" t="str">
        <f t="shared" si="220"/>
        <v/>
      </c>
      <c r="BU266" s="744" t="str">
        <f t="shared" si="221"/>
        <v/>
      </c>
      <c r="BV266" s="744" t="str">
        <f t="shared" si="222"/>
        <v/>
      </c>
      <c r="BW266" s="744" t="str">
        <f t="shared" si="223"/>
        <v/>
      </c>
      <c r="BX266" s="744" t="str">
        <f t="shared" si="224"/>
        <v/>
      </c>
      <c r="BY266" s="744" t="str">
        <f t="shared" si="225"/>
        <v/>
      </c>
      <c r="BZ266" s="744" t="str">
        <f t="shared" si="226"/>
        <v/>
      </c>
      <c r="CA266" s="744" t="str">
        <f t="shared" si="227"/>
        <v/>
      </c>
      <c r="CB266" s="744" t="str">
        <f t="shared" si="228"/>
        <v/>
      </c>
      <c r="CC266" s="744" t="str">
        <f t="shared" si="229"/>
        <v/>
      </c>
      <c r="CD266" s="744" t="str">
        <f t="shared" si="230"/>
        <v/>
      </c>
      <c r="CE266" s="744" t="str">
        <f t="shared" si="231"/>
        <v/>
      </c>
      <c r="CF266" s="744" t="str">
        <f t="shared" si="232"/>
        <v/>
      </c>
      <c r="CG266" s="744" t="str">
        <f t="shared" si="233"/>
        <v/>
      </c>
      <c r="CH266" s="744" t="str">
        <f t="shared" si="234"/>
        <v/>
      </c>
      <c r="CI266" s="744" t="str">
        <f t="shared" si="235"/>
        <v/>
      </c>
      <c r="CJ266" s="744" t="str">
        <f t="shared" si="236"/>
        <v/>
      </c>
      <c r="CK266" s="744" t="str">
        <f t="shared" si="237"/>
        <v/>
      </c>
      <c r="CL266" s="744" t="str">
        <f t="shared" si="238"/>
        <v/>
      </c>
      <c r="CM266" s="744" t="str">
        <f t="shared" si="239"/>
        <v/>
      </c>
      <c r="CN266" s="744" t="str">
        <f t="shared" si="240"/>
        <v/>
      </c>
      <c r="CO266" s="744" t="str">
        <f t="shared" si="241"/>
        <v/>
      </c>
      <c r="CP266" s="744" t="str">
        <f t="shared" si="242"/>
        <v/>
      </c>
      <c r="CQ266" s="744" t="str">
        <f t="shared" si="243"/>
        <v/>
      </c>
      <c r="CR266" s="744" t="str">
        <f t="shared" si="244"/>
        <v/>
      </c>
      <c r="CS266" s="744" t="str">
        <f t="shared" si="245"/>
        <v/>
      </c>
      <c r="CT266" s="744" t="str">
        <f t="shared" si="246"/>
        <v/>
      </c>
      <c r="CU266" s="744" t="str">
        <f t="shared" si="247"/>
        <v/>
      </c>
      <c r="CV266" s="744" t="str">
        <f t="shared" si="248"/>
        <v/>
      </c>
      <c r="CW266" s="744" t="str">
        <f t="shared" si="249"/>
        <v/>
      </c>
      <c r="CX266" s="744" t="str">
        <f t="shared" si="250"/>
        <v/>
      </c>
    </row>
    <row r="267" spans="1:102">
      <c r="A267" s="633">
        <v>263</v>
      </c>
      <c r="B267" s="630"/>
      <c r="C267" s="631"/>
      <c r="D267" s="630"/>
      <c r="E267" s="632"/>
      <c r="F267" s="1067"/>
      <c r="G267" s="1066"/>
      <c r="H267" s="1070"/>
      <c r="I267" s="1070"/>
      <c r="J267" s="1070"/>
      <c r="K267" s="1070"/>
      <c r="L267" s="1072"/>
      <c r="M267" s="1070"/>
      <c r="N267" s="1070"/>
      <c r="O267" s="1070"/>
      <c r="P267" s="1073"/>
      <c r="Q267" s="1070"/>
      <c r="R267" s="1070"/>
      <c r="S267" s="1070"/>
      <c r="T267" s="1070"/>
      <c r="U267" s="1070"/>
      <c r="V267" s="1066"/>
      <c r="W267" s="1070"/>
      <c r="X267" s="1070"/>
      <c r="Y267" s="1070"/>
      <c r="Z267" s="1070"/>
      <c r="AA267" s="1070"/>
      <c r="AB267" s="1070"/>
      <c r="AC267" s="1070"/>
      <c r="AD267" s="1070"/>
      <c r="AE267" s="1070"/>
      <c r="AF267" s="1070"/>
      <c r="AG267" s="1070"/>
      <c r="AH267" s="1073"/>
      <c r="AI267" s="1070"/>
      <c r="AJ267" s="1070"/>
      <c r="AK267" s="1070"/>
      <c r="AL267" s="1082"/>
      <c r="AM267" s="1069"/>
      <c r="AN267" s="1070"/>
      <c r="AO267" s="1070"/>
      <c r="AP267" s="1070"/>
      <c r="AQ267" s="1070"/>
      <c r="AR267" s="1069"/>
      <c r="AS267" s="1282"/>
      <c r="AT267" s="1282"/>
      <c r="AU267" s="1069"/>
      <c r="AV267" s="1069"/>
      <c r="AW267" s="1069"/>
      <c r="AX267" s="1070"/>
      <c r="AY267" s="1070"/>
      <c r="AZ267" s="1078">
        <f t="shared" si="203"/>
        <v>0</v>
      </c>
      <c r="BA267" s="59">
        <v>263</v>
      </c>
      <c r="BB267" s="59" t="str">
        <f t="shared" si="204"/>
        <v/>
      </c>
      <c r="BC267" s="60" t="str">
        <f t="shared" si="205"/>
        <v>-</v>
      </c>
      <c r="BD267" s="61" t="str">
        <f ca="1">IFERROR(IF(SEARCH('Calcular Dieta'!A$3,$BC$5:$BC$310)&gt;=1,BC267,"Não encontrado"),"Não encontrado")</f>
        <v>-</v>
      </c>
      <c r="BE267" s="62">
        <f ca="1">COUNTIF(BD$5:BD267,"&lt;&gt;"&amp;"Não encontrado")</f>
        <v>263</v>
      </c>
      <c r="BF267" s="63" t="str">
        <f t="shared" ca="1" si="206"/>
        <v>-</v>
      </c>
      <c r="BG267" s="744" t="str">
        <f t="shared" si="207"/>
        <v/>
      </c>
      <c r="BH267" s="744" t="str">
        <f t="shared" si="208"/>
        <v/>
      </c>
      <c r="BI267" s="744" t="str">
        <f t="shared" si="209"/>
        <v/>
      </c>
      <c r="BJ267" s="744" t="str">
        <f t="shared" si="210"/>
        <v/>
      </c>
      <c r="BK267" s="744" t="str">
        <f t="shared" si="211"/>
        <v/>
      </c>
      <c r="BL267" s="744" t="str">
        <f t="shared" si="212"/>
        <v/>
      </c>
      <c r="BM267" s="744" t="str">
        <f t="shared" si="213"/>
        <v/>
      </c>
      <c r="BN267" s="744" t="str">
        <f t="shared" si="214"/>
        <v/>
      </c>
      <c r="BO267" s="744" t="str">
        <f t="shared" si="215"/>
        <v/>
      </c>
      <c r="BP267" s="744" t="str">
        <f t="shared" si="216"/>
        <v/>
      </c>
      <c r="BQ267" s="744" t="str">
        <f t="shared" si="217"/>
        <v/>
      </c>
      <c r="BR267" s="744" t="str">
        <f t="shared" si="218"/>
        <v/>
      </c>
      <c r="BS267" s="744" t="str">
        <f t="shared" si="219"/>
        <v/>
      </c>
      <c r="BT267" s="744" t="str">
        <f t="shared" si="220"/>
        <v/>
      </c>
      <c r="BU267" s="744" t="str">
        <f t="shared" si="221"/>
        <v/>
      </c>
      <c r="BV267" s="744" t="str">
        <f t="shared" si="222"/>
        <v/>
      </c>
      <c r="BW267" s="744" t="str">
        <f t="shared" si="223"/>
        <v/>
      </c>
      <c r="BX267" s="744" t="str">
        <f t="shared" si="224"/>
        <v/>
      </c>
      <c r="BY267" s="744" t="str">
        <f t="shared" si="225"/>
        <v/>
      </c>
      <c r="BZ267" s="744" t="str">
        <f t="shared" si="226"/>
        <v/>
      </c>
      <c r="CA267" s="744" t="str">
        <f t="shared" si="227"/>
        <v/>
      </c>
      <c r="CB267" s="744" t="str">
        <f t="shared" si="228"/>
        <v/>
      </c>
      <c r="CC267" s="744" t="str">
        <f t="shared" si="229"/>
        <v/>
      </c>
      <c r="CD267" s="744" t="str">
        <f t="shared" si="230"/>
        <v/>
      </c>
      <c r="CE267" s="744" t="str">
        <f t="shared" si="231"/>
        <v/>
      </c>
      <c r="CF267" s="744" t="str">
        <f t="shared" si="232"/>
        <v/>
      </c>
      <c r="CG267" s="744" t="str">
        <f t="shared" si="233"/>
        <v/>
      </c>
      <c r="CH267" s="744" t="str">
        <f t="shared" si="234"/>
        <v/>
      </c>
      <c r="CI267" s="744" t="str">
        <f t="shared" si="235"/>
        <v/>
      </c>
      <c r="CJ267" s="744" t="str">
        <f t="shared" si="236"/>
        <v/>
      </c>
      <c r="CK267" s="744" t="str">
        <f t="shared" si="237"/>
        <v/>
      </c>
      <c r="CL267" s="744" t="str">
        <f t="shared" si="238"/>
        <v/>
      </c>
      <c r="CM267" s="744" t="str">
        <f t="shared" si="239"/>
        <v/>
      </c>
      <c r="CN267" s="744" t="str">
        <f t="shared" si="240"/>
        <v/>
      </c>
      <c r="CO267" s="744" t="str">
        <f t="shared" si="241"/>
        <v/>
      </c>
      <c r="CP267" s="744" t="str">
        <f t="shared" si="242"/>
        <v/>
      </c>
      <c r="CQ267" s="744" t="str">
        <f t="shared" si="243"/>
        <v/>
      </c>
      <c r="CR267" s="744" t="str">
        <f t="shared" si="244"/>
        <v/>
      </c>
      <c r="CS267" s="744" t="str">
        <f t="shared" si="245"/>
        <v/>
      </c>
      <c r="CT267" s="744" t="str">
        <f t="shared" si="246"/>
        <v/>
      </c>
      <c r="CU267" s="744" t="str">
        <f t="shared" si="247"/>
        <v/>
      </c>
      <c r="CV267" s="744" t="str">
        <f t="shared" si="248"/>
        <v/>
      </c>
      <c r="CW267" s="744" t="str">
        <f t="shared" si="249"/>
        <v/>
      </c>
      <c r="CX267" s="744" t="str">
        <f t="shared" si="250"/>
        <v/>
      </c>
    </row>
    <row r="268" spans="1:102">
      <c r="A268" s="630">
        <v>264</v>
      </c>
      <c r="B268" s="630"/>
      <c r="C268" s="631"/>
      <c r="D268" s="630"/>
      <c r="E268" s="632"/>
      <c r="F268" s="1067"/>
      <c r="G268" s="1066"/>
      <c r="H268" s="1070"/>
      <c r="I268" s="1070"/>
      <c r="J268" s="1070"/>
      <c r="K268" s="1070"/>
      <c r="L268" s="1072"/>
      <c r="M268" s="1070"/>
      <c r="N268" s="1070"/>
      <c r="O268" s="1070"/>
      <c r="P268" s="1073"/>
      <c r="Q268" s="1070"/>
      <c r="R268" s="1070"/>
      <c r="S268" s="1070"/>
      <c r="T268" s="1070"/>
      <c r="U268" s="1070"/>
      <c r="V268" s="1066"/>
      <c r="W268" s="1070"/>
      <c r="X268" s="1070"/>
      <c r="Y268" s="1070"/>
      <c r="Z268" s="1070"/>
      <c r="AA268" s="1070"/>
      <c r="AB268" s="1070"/>
      <c r="AC268" s="1070"/>
      <c r="AD268" s="1070"/>
      <c r="AE268" s="1070"/>
      <c r="AF268" s="1070"/>
      <c r="AG268" s="1070"/>
      <c r="AH268" s="1073"/>
      <c r="AI268" s="1070"/>
      <c r="AJ268" s="1070"/>
      <c r="AK268" s="1070"/>
      <c r="AL268" s="1082"/>
      <c r="AM268" s="1069"/>
      <c r="AN268" s="1070"/>
      <c r="AO268" s="1070"/>
      <c r="AP268" s="1070"/>
      <c r="AQ268" s="1070"/>
      <c r="AR268" s="1069"/>
      <c r="AS268" s="1282"/>
      <c r="AT268" s="1282"/>
      <c r="AU268" s="1069"/>
      <c r="AV268" s="1069"/>
      <c r="AW268" s="1069"/>
      <c r="AX268" s="1070"/>
      <c r="AY268" s="1070"/>
      <c r="AZ268" s="1078">
        <f t="shared" si="203"/>
        <v>0</v>
      </c>
      <c r="BA268" s="59">
        <v>264</v>
      </c>
      <c r="BB268" s="59" t="str">
        <f t="shared" si="204"/>
        <v/>
      </c>
      <c r="BC268" s="60" t="str">
        <f t="shared" si="205"/>
        <v>-</v>
      </c>
      <c r="BD268" s="61" t="str">
        <f ca="1">IFERROR(IF(SEARCH('Calcular Dieta'!A$3,$BC$5:$BC$310)&gt;=1,BC268,"Não encontrado"),"Não encontrado")</f>
        <v>-</v>
      </c>
      <c r="BE268" s="62">
        <f ca="1">COUNTIF(BD$5:BD268,"&lt;&gt;"&amp;"Não encontrado")</f>
        <v>264</v>
      </c>
      <c r="BF268" s="63" t="str">
        <f t="shared" ca="1" si="206"/>
        <v>-</v>
      </c>
      <c r="BG268" s="744" t="str">
        <f t="shared" si="207"/>
        <v/>
      </c>
      <c r="BH268" s="744" t="str">
        <f t="shared" si="208"/>
        <v/>
      </c>
      <c r="BI268" s="744" t="str">
        <f t="shared" si="209"/>
        <v/>
      </c>
      <c r="BJ268" s="744" t="str">
        <f t="shared" si="210"/>
        <v/>
      </c>
      <c r="BK268" s="744" t="str">
        <f t="shared" si="211"/>
        <v/>
      </c>
      <c r="BL268" s="744" t="str">
        <f t="shared" si="212"/>
        <v/>
      </c>
      <c r="BM268" s="744" t="str">
        <f t="shared" si="213"/>
        <v/>
      </c>
      <c r="BN268" s="744" t="str">
        <f t="shared" si="214"/>
        <v/>
      </c>
      <c r="BO268" s="744" t="str">
        <f t="shared" si="215"/>
        <v/>
      </c>
      <c r="BP268" s="744" t="str">
        <f t="shared" si="216"/>
        <v/>
      </c>
      <c r="BQ268" s="744" t="str">
        <f t="shared" si="217"/>
        <v/>
      </c>
      <c r="BR268" s="744" t="str">
        <f t="shared" si="218"/>
        <v/>
      </c>
      <c r="BS268" s="744" t="str">
        <f t="shared" si="219"/>
        <v/>
      </c>
      <c r="BT268" s="744" t="str">
        <f t="shared" si="220"/>
        <v/>
      </c>
      <c r="BU268" s="744" t="str">
        <f t="shared" si="221"/>
        <v/>
      </c>
      <c r="BV268" s="744" t="str">
        <f t="shared" si="222"/>
        <v/>
      </c>
      <c r="BW268" s="744" t="str">
        <f t="shared" si="223"/>
        <v/>
      </c>
      <c r="BX268" s="744" t="str">
        <f t="shared" si="224"/>
        <v/>
      </c>
      <c r="BY268" s="744" t="str">
        <f t="shared" si="225"/>
        <v/>
      </c>
      <c r="BZ268" s="744" t="str">
        <f t="shared" si="226"/>
        <v/>
      </c>
      <c r="CA268" s="744" t="str">
        <f t="shared" si="227"/>
        <v/>
      </c>
      <c r="CB268" s="744" t="str">
        <f t="shared" si="228"/>
        <v/>
      </c>
      <c r="CC268" s="744" t="str">
        <f t="shared" si="229"/>
        <v/>
      </c>
      <c r="CD268" s="744" t="str">
        <f t="shared" si="230"/>
        <v/>
      </c>
      <c r="CE268" s="744" t="str">
        <f t="shared" si="231"/>
        <v/>
      </c>
      <c r="CF268" s="744" t="str">
        <f t="shared" si="232"/>
        <v/>
      </c>
      <c r="CG268" s="744" t="str">
        <f t="shared" si="233"/>
        <v/>
      </c>
      <c r="CH268" s="744" t="str">
        <f t="shared" si="234"/>
        <v/>
      </c>
      <c r="CI268" s="744" t="str">
        <f t="shared" si="235"/>
        <v/>
      </c>
      <c r="CJ268" s="744" t="str">
        <f t="shared" si="236"/>
        <v/>
      </c>
      <c r="CK268" s="744" t="str">
        <f t="shared" si="237"/>
        <v/>
      </c>
      <c r="CL268" s="744" t="str">
        <f t="shared" si="238"/>
        <v/>
      </c>
      <c r="CM268" s="744" t="str">
        <f t="shared" si="239"/>
        <v/>
      </c>
      <c r="CN268" s="744" t="str">
        <f t="shared" si="240"/>
        <v/>
      </c>
      <c r="CO268" s="744" t="str">
        <f t="shared" si="241"/>
        <v/>
      </c>
      <c r="CP268" s="744" t="str">
        <f t="shared" si="242"/>
        <v/>
      </c>
      <c r="CQ268" s="744" t="str">
        <f t="shared" si="243"/>
        <v/>
      </c>
      <c r="CR268" s="744" t="str">
        <f t="shared" si="244"/>
        <v/>
      </c>
      <c r="CS268" s="744" t="str">
        <f t="shared" si="245"/>
        <v/>
      </c>
      <c r="CT268" s="744" t="str">
        <f t="shared" si="246"/>
        <v/>
      </c>
      <c r="CU268" s="744" t="str">
        <f t="shared" si="247"/>
        <v/>
      </c>
      <c r="CV268" s="744" t="str">
        <f t="shared" si="248"/>
        <v/>
      </c>
      <c r="CW268" s="744" t="str">
        <f t="shared" si="249"/>
        <v/>
      </c>
      <c r="CX268" s="744" t="str">
        <f t="shared" si="250"/>
        <v/>
      </c>
    </row>
    <row r="269" spans="1:102">
      <c r="A269" s="633">
        <v>265</v>
      </c>
      <c r="B269" s="630"/>
      <c r="C269" s="631"/>
      <c r="D269" s="630"/>
      <c r="E269" s="632"/>
      <c r="F269" s="1067"/>
      <c r="G269" s="1066"/>
      <c r="H269" s="1070"/>
      <c r="I269" s="1070"/>
      <c r="J269" s="1070"/>
      <c r="K269" s="1070"/>
      <c r="L269" s="1072"/>
      <c r="M269" s="1070"/>
      <c r="N269" s="1070"/>
      <c r="O269" s="1070"/>
      <c r="P269" s="1073"/>
      <c r="Q269" s="1070"/>
      <c r="R269" s="1070"/>
      <c r="S269" s="1070"/>
      <c r="T269" s="1070"/>
      <c r="U269" s="1070"/>
      <c r="V269" s="1066"/>
      <c r="W269" s="1070"/>
      <c r="X269" s="1070"/>
      <c r="Y269" s="1070"/>
      <c r="Z269" s="1070"/>
      <c r="AA269" s="1070"/>
      <c r="AB269" s="1070"/>
      <c r="AC269" s="1070"/>
      <c r="AD269" s="1070"/>
      <c r="AE269" s="1070"/>
      <c r="AF269" s="1070"/>
      <c r="AG269" s="1070"/>
      <c r="AH269" s="1073"/>
      <c r="AI269" s="1070"/>
      <c r="AJ269" s="1070"/>
      <c r="AK269" s="1070"/>
      <c r="AL269" s="1082"/>
      <c r="AM269" s="1069"/>
      <c r="AN269" s="1070"/>
      <c r="AO269" s="1070"/>
      <c r="AP269" s="1070"/>
      <c r="AQ269" s="1070"/>
      <c r="AR269" s="1069"/>
      <c r="AS269" s="1282"/>
      <c r="AT269" s="1282"/>
      <c r="AU269" s="1069"/>
      <c r="AV269" s="1069"/>
      <c r="AW269" s="1069"/>
      <c r="AX269" s="1070"/>
      <c r="AY269" s="1070"/>
      <c r="AZ269" s="1078">
        <f t="shared" si="203"/>
        <v>0</v>
      </c>
      <c r="BA269" s="59">
        <v>265</v>
      </c>
      <c r="BB269" s="59" t="str">
        <f t="shared" si="204"/>
        <v/>
      </c>
      <c r="BC269" s="60" t="str">
        <f t="shared" si="205"/>
        <v>-</v>
      </c>
      <c r="BD269" s="61" t="str">
        <f ca="1">IFERROR(IF(SEARCH('Calcular Dieta'!A$3,$BC$5:$BC$310)&gt;=1,BC269,"Não encontrado"),"Não encontrado")</f>
        <v>-</v>
      </c>
      <c r="BE269" s="62">
        <f ca="1">COUNTIF(BD$5:BD269,"&lt;&gt;"&amp;"Não encontrado")</f>
        <v>265</v>
      </c>
      <c r="BF269" s="63" t="str">
        <f t="shared" ca="1" si="206"/>
        <v>-</v>
      </c>
      <c r="BG269" s="744" t="str">
        <f t="shared" si="207"/>
        <v/>
      </c>
      <c r="BH269" s="744" t="str">
        <f t="shared" si="208"/>
        <v/>
      </c>
      <c r="BI269" s="744" t="str">
        <f t="shared" si="209"/>
        <v/>
      </c>
      <c r="BJ269" s="744" t="str">
        <f t="shared" si="210"/>
        <v/>
      </c>
      <c r="BK269" s="744" t="str">
        <f t="shared" si="211"/>
        <v/>
      </c>
      <c r="BL269" s="744" t="str">
        <f t="shared" si="212"/>
        <v/>
      </c>
      <c r="BM269" s="744" t="str">
        <f t="shared" si="213"/>
        <v/>
      </c>
      <c r="BN269" s="744" t="str">
        <f t="shared" si="214"/>
        <v/>
      </c>
      <c r="BO269" s="744" t="str">
        <f t="shared" si="215"/>
        <v/>
      </c>
      <c r="BP269" s="744" t="str">
        <f t="shared" si="216"/>
        <v/>
      </c>
      <c r="BQ269" s="744" t="str">
        <f t="shared" si="217"/>
        <v/>
      </c>
      <c r="BR269" s="744" t="str">
        <f t="shared" si="218"/>
        <v/>
      </c>
      <c r="BS269" s="744" t="str">
        <f t="shared" si="219"/>
        <v/>
      </c>
      <c r="BT269" s="744" t="str">
        <f t="shared" si="220"/>
        <v/>
      </c>
      <c r="BU269" s="744" t="str">
        <f t="shared" si="221"/>
        <v/>
      </c>
      <c r="BV269" s="744" t="str">
        <f t="shared" si="222"/>
        <v/>
      </c>
      <c r="BW269" s="744" t="str">
        <f t="shared" si="223"/>
        <v/>
      </c>
      <c r="BX269" s="744" t="str">
        <f t="shared" si="224"/>
        <v/>
      </c>
      <c r="BY269" s="744" t="str">
        <f t="shared" si="225"/>
        <v/>
      </c>
      <c r="BZ269" s="744" t="str">
        <f t="shared" si="226"/>
        <v/>
      </c>
      <c r="CA269" s="744" t="str">
        <f t="shared" si="227"/>
        <v/>
      </c>
      <c r="CB269" s="744" t="str">
        <f t="shared" si="228"/>
        <v/>
      </c>
      <c r="CC269" s="744" t="str">
        <f t="shared" si="229"/>
        <v/>
      </c>
      <c r="CD269" s="744" t="str">
        <f t="shared" si="230"/>
        <v/>
      </c>
      <c r="CE269" s="744" t="str">
        <f t="shared" si="231"/>
        <v/>
      </c>
      <c r="CF269" s="744" t="str">
        <f t="shared" si="232"/>
        <v/>
      </c>
      <c r="CG269" s="744" t="str">
        <f t="shared" si="233"/>
        <v/>
      </c>
      <c r="CH269" s="744" t="str">
        <f t="shared" si="234"/>
        <v/>
      </c>
      <c r="CI269" s="744" t="str">
        <f t="shared" si="235"/>
        <v/>
      </c>
      <c r="CJ269" s="744" t="str">
        <f t="shared" si="236"/>
        <v/>
      </c>
      <c r="CK269" s="744" t="str">
        <f t="shared" si="237"/>
        <v/>
      </c>
      <c r="CL269" s="744" t="str">
        <f t="shared" si="238"/>
        <v/>
      </c>
      <c r="CM269" s="744" t="str">
        <f t="shared" si="239"/>
        <v/>
      </c>
      <c r="CN269" s="744" t="str">
        <f t="shared" si="240"/>
        <v/>
      </c>
      <c r="CO269" s="744" t="str">
        <f t="shared" si="241"/>
        <v/>
      </c>
      <c r="CP269" s="744" t="str">
        <f t="shared" si="242"/>
        <v/>
      </c>
      <c r="CQ269" s="744" t="str">
        <f t="shared" si="243"/>
        <v/>
      </c>
      <c r="CR269" s="744" t="str">
        <f t="shared" si="244"/>
        <v/>
      </c>
      <c r="CS269" s="744" t="str">
        <f t="shared" si="245"/>
        <v/>
      </c>
      <c r="CT269" s="744" t="str">
        <f t="shared" si="246"/>
        <v/>
      </c>
      <c r="CU269" s="744" t="str">
        <f t="shared" si="247"/>
        <v/>
      </c>
      <c r="CV269" s="744" t="str">
        <f t="shared" si="248"/>
        <v/>
      </c>
      <c r="CW269" s="744" t="str">
        <f t="shared" si="249"/>
        <v/>
      </c>
      <c r="CX269" s="744" t="str">
        <f t="shared" si="250"/>
        <v/>
      </c>
    </row>
    <row r="270" spans="1:102">
      <c r="A270" s="630">
        <v>266</v>
      </c>
      <c r="B270" s="630"/>
      <c r="C270" s="631"/>
      <c r="D270" s="630"/>
      <c r="E270" s="632"/>
      <c r="F270" s="1067"/>
      <c r="G270" s="1066"/>
      <c r="H270" s="1070"/>
      <c r="I270" s="1070"/>
      <c r="J270" s="1070"/>
      <c r="K270" s="1070"/>
      <c r="L270" s="1072"/>
      <c r="M270" s="1070"/>
      <c r="N270" s="1070"/>
      <c r="O270" s="1070"/>
      <c r="P270" s="1073"/>
      <c r="Q270" s="1070"/>
      <c r="R270" s="1070"/>
      <c r="S270" s="1070"/>
      <c r="T270" s="1070"/>
      <c r="U270" s="1070"/>
      <c r="V270" s="1066"/>
      <c r="W270" s="1070"/>
      <c r="X270" s="1070"/>
      <c r="Y270" s="1070"/>
      <c r="Z270" s="1070"/>
      <c r="AA270" s="1070"/>
      <c r="AB270" s="1070"/>
      <c r="AC270" s="1070"/>
      <c r="AD270" s="1070"/>
      <c r="AE270" s="1070"/>
      <c r="AF270" s="1070"/>
      <c r="AG270" s="1070"/>
      <c r="AH270" s="1073"/>
      <c r="AI270" s="1070"/>
      <c r="AJ270" s="1070"/>
      <c r="AK270" s="1070"/>
      <c r="AL270" s="1082"/>
      <c r="AM270" s="1069"/>
      <c r="AN270" s="1070"/>
      <c r="AO270" s="1070"/>
      <c r="AP270" s="1070"/>
      <c r="AQ270" s="1070"/>
      <c r="AR270" s="1069"/>
      <c r="AS270" s="1282"/>
      <c r="AT270" s="1282"/>
      <c r="AU270" s="1069"/>
      <c r="AV270" s="1069"/>
      <c r="AW270" s="1069"/>
      <c r="AX270" s="1070"/>
      <c r="AY270" s="1070"/>
      <c r="AZ270" s="1078">
        <f t="shared" si="203"/>
        <v>0</v>
      </c>
      <c r="BA270" s="59">
        <v>266</v>
      </c>
      <c r="BB270" s="59" t="str">
        <f t="shared" si="204"/>
        <v/>
      </c>
      <c r="BC270" s="60" t="str">
        <f t="shared" si="205"/>
        <v>-</v>
      </c>
      <c r="BD270" s="61" t="str">
        <f ca="1">IFERROR(IF(SEARCH('Calcular Dieta'!A$3,$BC$5:$BC$310)&gt;=1,BC270,"Não encontrado"),"Não encontrado")</f>
        <v>-</v>
      </c>
      <c r="BE270" s="62">
        <f ca="1">COUNTIF(BD$5:BD270,"&lt;&gt;"&amp;"Não encontrado")</f>
        <v>266</v>
      </c>
      <c r="BF270" s="63" t="str">
        <f t="shared" ca="1" si="206"/>
        <v>-</v>
      </c>
      <c r="BG270" s="744" t="str">
        <f t="shared" si="207"/>
        <v/>
      </c>
      <c r="BH270" s="744" t="str">
        <f t="shared" si="208"/>
        <v/>
      </c>
      <c r="BI270" s="744" t="str">
        <f t="shared" si="209"/>
        <v/>
      </c>
      <c r="BJ270" s="744" t="str">
        <f t="shared" si="210"/>
        <v/>
      </c>
      <c r="BK270" s="744" t="str">
        <f t="shared" si="211"/>
        <v/>
      </c>
      <c r="BL270" s="744" t="str">
        <f t="shared" si="212"/>
        <v/>
      </c>
      <c r="BM270" s="744" t="str">
        <f t="shared" si="213"/>
        <v/>
      </c>
      <c r="BN270" s="744" t="str">
        <f t="shared" si="214"/>
        <v/>
      </c>
      <c r="BO270" s="744" t="str">
        <f t="shared" si="215"/>
        <v/>
      </c>
      <c r="BP270" s="744" t="str">
        <f t="shared" si="216"/>
        <v/>
      </c>
      <c r="BQ270" s="744" t="str">
        <f t="shared" si="217"/>
        <v/>
      </c>
      <c r="BR270" s="744" t="str">
        <f t="shared" si="218"/>
        <v/>
      </c>
      <c r="BS270" s="744" t="str">
        <f t="shared" si="219"/>
        <v/>
      </c>
      <c r="BT270" s="744" t="str">
        <f t="shared" si="220"/>
        <v/>
      </c>
      <c r="BU270" s="744" t="str">
        <f t="shared" si="221"/>
        <v/>
      </c>
      <c r="BV270" s="744" t="str">
        <f t="shared" si="222"/>
        <v/>
      </c>
      <c r="BW270" s="744" t="str">
        <f t="shared" si="223"/>
        <v/>
      </c>
      <c r="BX270" s="744" t="str">
        <f t="shared" si="224"/>
        <v/>
      </c>
      <c r="BY270" s="744" t="str">
        <f t="shared" si="225"/>
        <v/>
      </c>
      <c r="BZ270" s="744" t="str">
        <f t="shared" si="226"/>
        <v/>
      </c>
      <c r="CA270" s="744" t="str">
        <f t="shared" si="227"/>
        <v/>
      </c>
      <c r="CB270" s="744" t="str">
        <f t="shared" si="228"/>
        <v/>
      </c>
      <c r="CC270" s="744" t="str">
        <f t="shared" si="229"/>
        <v/>
      </c>
      <c r="CD270" s="744" t="str">
        <f t="shared" si="230"/>
        <v/>
      </c>
      <c r="CE270" s="744" t="str">
        <f t="shared" si="231"/>
        <v/>
      </c>
      <c r="CF270" s="744" t="str">
        <f t="shared" si="232"/>
        <v/>
      </c>
      <c r="CG270" s="744" t="str">
        <f t="shared" si="233"/>
        <v/>
      </c>
      <c r="CH270" s="744" t="str">
        <f t="shared" si="234"/>
        <v/>
      </c>
      <c r="CI270" s="744" t="str">
        <f t="shared" si="235"/>
        <v/>
      </c>
      <c r="CJ270" s="744" t="str">
        <f t="shared" si="236"/>
        <v/>
      </c>
      <c r="CK270" s="744" t="str">
        <f t="shared" si="237"/>
        <v/>
      </c>
      <c r="CL270" s="744" t="str">
        <f t="shared" si="238"/>
        <v/>
      </c>
      <c r="CM270" s="744" t="str">
        <f t="shared" si="239"/>
        <v/>
      </c>
      <c r="CN270" s="744" t="str">
        <f t="shared" si="240"/>
        <v/>
      </c>
      <c r="CO270" s="744" t="str">
        <f t="shared" si="241"/>
        <v/>
      </c>
      <c r="CP270" s="744" t="str">
        <f t="shared" si="242"/>
        <v/>
      </c>
      <c r="CQ270" s="744" t="str">
        <f t="shared" si="243"/>
        <v/>
      </c>
      <c r="CR270" s="744" t="str">
        <f t="shared" si="244"/>
        <v/>
      </c>
      <c r="CS270" s="744" t="str">
        <f t="shared" si="245"/>
        <v/>
      </c>
      <c r="CT270" s="744" t="str">
        <f t="shared" si="246"/>
        <v/>
      </c>
      <c r="CU270" s="744" t="str">
        <f t="shared" si="247"/>
        <v/>
      </c>
      <c r="CV270" s="744" t="str">
        <f t="shared" si="248"/>
        <v/>
      </c>
      <c r="CW270" s="744" t="str">
        <f t="shared" si="249"/>
        <v/>
      </c>
      <c r="CX270" s="744" t="str">
        <f t="shared" si="250"/>
        <v/>
      </c>
    </row>
    <row r="271" spans="1:102">
      <c r="A271" s="633">
        <v>267</v>
      </c>
      <c r="B271" s="630"/>
      <c r="C271" s="631"/>
      <c r="D271" s="630"/>
      <c r="E271" s="632"/>
      <c r="F271" s="1067"/>
      <c r="G271" s="1066"/>
      <c r="H271" s="1070"/>
      <c r="I271" s="1070"/>
      <c r="J271" s="1070"/>
      <c r="K271" s="1070"/>
      <c r="L271" s="1072"/>
      <c r="M271" s="1070"/>
      <c r="N271" s="1070"/>
      <c r="O271" s="1070"/>
      <c r="P271" s="1073"/>
      <c r="Q271" s="1070"/>
      <c r="R271" s="1070"/>
      <c r="S271" s="1070"/>
      <c r="T271" s="1070"/>
      <c r="U271" s="1070"/>
      <c r="V271" s="1066"/>
      <c r="W271" s="1070"/>
      <c r="X271" s="1070"/>
      <c r="Y271" s="1070"/>
      <c r="Z271" s="1070"/>
      <c r="AA271" s="1070"/>
      <c r="AB271" s="1070"/>
      <c r="AC271" s="1070"/>
      <c r="AD271" s="1070"/>
      <c r="AE271" s="1070"/>
      <c r="AF271" s="1070"/>
      <c r="AG271" s="1070"/>
      <c r="AH271" s="1073"/>
      <c r="AI271" s="1070"/>
      <c r="AJ271" s="1070"/>
      <c r="AK271" s="1070"/>
      <c r="AL271" s="1082"/>
      <c r="AM271" s="1069"/>
      <c r="AN271" s="1070"/>
      <c r="AO271" s="1070"/>
      <c r="AP271" s="1070"/>
      <c r="AQ271" s="1070"/>
      <c r="AR271" s="1069"/>
      <c r="AS271" s="1282"/>
      <c r="AT271" s="1282"/>
      <c r="AU271" s="1069"/>
      <c r="AV271" s="1069"/>
      <c r="AW271" s="1069"/>
      <c r="AX271" s="1070"/>
      <c r="AY271" s="1070"/>
      <c r="AZ271" s="1078">
        <f t="shared" si="203"/>
        <v>0</v>
      </c>
      <c r="BA271" s="59">
        <v>267</v>
      </c>
      <c r="BB271" s="59" t="str">
        <f t="shared" si="204"/>
        <v/>
      </c>
      <c r="BC271" s="60" t="str">
        <f t="shared" si="205"/>
        <v>-</v>
      </c>
      <c r="BD271" s="61" t="str">
        <f ca="1">IFERROR(IF(SEARCH('Calcular Dieta'!A$3,$BC$5:$BC$310)&gt;=1,BC271,"Não encontrado"),"Não encontrado")</f>
        <v>-</v>
      </c>
      <c r="BE271" s="62">
        <f ca="1">COUNTIF(BD$5:BD271,"&lt;&gt;"&amp;"Não encontrado")</f>
        <v>267</v>
      </c>
      <c r="BF271" s="63" t="str">
        <f t="shared" ca="1" si="206"/>
        <v>-</v>
      </c>
      <c r="BG271" s="744" t="str">
        <f t="shared" si="207"/>
        <v/>
      </c>
      <c r="BH271" s="744" t="str">
        <f t="shared" si="208"/>
        <v/>
      </c>
      <c r="BI271" s="744" t="str">
        <f t="shared" si="209"/>
        <v/>
      </c>
      <c r="BJ271" s="744" t="str">
        <f t="shared" si="210"/>
        <v/>
      </c>
      <c r="BK271" s="744" t="str">
        <f t="shared" si="211"/>
        <v/>
      </c>
      <c r="BL271" s="744" t="str">
        <f t="shared" si="212"/>
        <v/>
      </c>
      <c r="BM271" s="744" t="str">
        <f t="shared" si="213"/>
        <v/>
      </c>
      <c r="BN271" s="744" t="str">
        <f t="shared" si="214"/>
        <v/>
      </c>
      <c r="BO271" s="744" t="str">
        <f t="shared" si="215"/>
        <v/>
      </c>
      <c r="BP271" s="744" t="str">
        <f t="shared" si="216"/>
        <v/>
      </c>
      <c r="BQ271" s="744" t="str">
        <f t="shared" si="217"/>
        <v/>
      </c>
      <c r="BR271" s="744" t="str">
        <f t="shared" si="218"/>
        <v/>
      </c>
      <c r="BS271" s="744" t="str">
        <f t="shared" si="219"/>
        <v/>
      </c>
      <c r="BT271" s="744" t="str">
        <f t="shared" si="220"/>
        <v/>
      </c>
      <c r="BU271" s="744" t="str">
        <f t="shared" si="221"/>
        <v/>
      </c>
      <c r="BV271" s="744" t="str">
        <f t="shared" si="222"/>
        <v/>
      </c>
      <c r="BW271" s="744" t="str">
        <f t="shared" si="223"/>
        <v/>
      </c>
      <c r="BX271" s="744" t="str">
        <f t="shared" si="224"/>
        <v/>
      </c>
      <c r="BY271" s="744" t="str">
        <f t="shared" si="225"/>
        <v/>
      </c>
      <c r="BZ271" s="744" t="str">
        <f t="shared" si="226"/>
        <v/>
      </c>
      <c r="CA271" s="744" t="str">
        <f t="shared" si="227"/>
        <v/>
      </c>
      <c r="CB271" s="744" t="str">
        <f t="shared" si="228"/>
        <v/>
      </c>
      <c r="CC271" s="744" t="str">
        <f t="shared" si="229"/>
        <v/>
      </c>
      <c r="CD271" s="744" t="str">
        <f t="shared" si="230"/>
        <v/>
      </c>
      <c r="CE271" s="744" t="str">
        <f t="shared" si="231"/>
        <v/>
      </c>
      <c r="CF271" s="744" t="str">
        <f t="shared" si="232"/>
        <v/>
      </c>
      <c r="CG271" s="744" t="str">
        <f t="shared" si="233"/>
        <v/>
      </c>
      <c r="CH271" s="744" t="str">
        <f t="shared" si="234"/>
        <v/>
      </c>
      <c r="CI271" s="744" t="str">
        <f t="shared" si="235"/>
        <v/>
      </c>
      <c r="CJ271" s="744" t="str">
        <f t="shared" si="236"/>
        <v/>
      </c>
      <c r="CK271" s="744" t="str">
        <f t="shared" si="237"/>
        <v/>
      </c>
      <c r="CL271" s="744" t="str">
        <f t="shared" si="238"/>
        <v/>
      </c>
      <c r="CM271" s="744" t="str">
        <f t="shared" si="239"/>
        <v/>
      </c>
      <c r="CN271" s="744" t="str">
        <f t="shared" si="240"/>
        <v/>
      </c>
      <c r="CO271" s="744" t="str">
        <f t="shared" si="241"/>
        <v/>
      </c>
      <c r="CP271" s="744" t="str">
        <f t="shared" si="242"/>
        <v/>
      </c>
      <c r="CQ271" s="744" t="str">
        <f t="shared" si="243"/>
        <v/>
      </c>
      <c r="CR271" s="744" t="str">
        <f t="shared" si="244"/>
        <v/>
      </c>
      <c r="CS271" s="744" t="str">
        <f t="shared" si="245"/>
        <v/>
      </c>
      <c r="CT271" s="744" t="str">
        <f t="shared" si="246"/>
        <v/>
      </c>
      <c r="CU271" s="744" t="str">
        <f t="shared" si="247"/>
        <v/>
      </c>
      <c r="CV271" s="744" t="str">
        <f t="shared" si="248"/>
        <v/>
      </c>
      <c r="CW271" s="744" t="str">
        <f t="shared" si="249"/>
        <v/>
      </c>
      <c r="CX271" s="744" t="str">
        <f t="shared" si="250"/>
        <v/>
      </c>
    </row>
    <row r="272" spans="1:102">
      <c r="A272" s="630">
        <v>268</v>
      </c>
      <c r="B272" s="630"/>
      <c r="C272" s="631"/>
      <c r="D272" s="630"/>
      <c r="E272" s="632"/>
      <c r="F272" s="1067"/>
      <c r="G272" s="1066"/>
      <c r="H272" s="1070"/>
      <c r="I272" s="1070"/>
      <c r="J272" s="1070"/>
      <c r="K272" s="1070"/>
      <c r="L272" s="1072"/>
      <c r="M272" s="1070"/>
      <c r="N272" s="1070"/>
      <c r="O272" s="1070"/>
      <c r="P272" s="1073"/>
      <c r="Q272" s="1070"/>
      <c r="R272" s="1070"/>
      <c r="S272" s="1070"/>
      <c r="T272" s="1070"/>
      <c r="U272" s="1070"/>
      <c r="V272" s="1066"/>
      <c r="W272" s="1070"/>
      <c r="X272" s="1070"/>
      <c r="Y272" s="1070"/>
      <c r="Z272" s="1070"/>
      <c r="AA272" s="1070"/>
      <c r="AB272" s="1070"/>
      <c r="AC272" s="1070"/>
      <c r="AD272" s="1070"/>
      <c r="AE272" s="1070"/>
      <c r="AF272" s="1070"/>
      <c r="AG272" s="1070"/>
      <c r="AH272" s="1073"/>
      <c r="AI272" s="1070"/>
      <c r="AJ272" s="1070"/>
      <c r="AK272" s="1070"/>
      <c r="AL272" s="1082"/>
      <c r="AM272" s="1069"/>
      <c r="AN272" s="1070"/>
      <c r="AO272" s="1070"/>
      <c r="AP272" s="1070"/>
      <c r="AQ272" s="1070"/>
      <c r="AR272" s="1069"/>
      <c r="AS272" s="1282"/>
      <c r="AT272" s="1282"/>
      <c r="AU272" s="1069"/>
      <c r="AV272" s="1069"/>
      <c r="AW272" s="1069"/>
      <c r="AX272" s="1070"/>
      <c r="AY272" s="1070"/>
      <c r="AZ272" s="1078">
        <f t="shared" si="203"/>
        <v>0</v>
      </c>
      <c r="BA272" s="59">
        <v>268</v>
      </c>
      <c r="BB272" s="59" t="str">
        <f t="shared" si="204"/>
        <v/>
      </c>
      <c r="BC272" s="60" t="str">
        <f t="shared" si="205"/>
        <v>-</v>
      </c>
      <c r="BD272" s="61" t="str">
        <f ca="1">IFERROR(IF(SEARCH('Calcular Dieta'!A$3,$BC$5:$BC$310)&gt;=1,BC272,"Não encontrado"),"Não encontrado")</f>
        <v>-</v>
      </c>
      <c r="BE272" s="62">
        <f ca="1">COUNTIF(BD$5:BD272,"&lt;&gt;"&amp;"Não encontrado")</f>
        <v>268</v>
      </c>
      <c r="BF272" s="63" t="str">
        <f t="shared" ca="1" si="206"/>
        <v>-</v>
      </c>
      <c r="BG272" s="744" t="str">
        <f t="shared" si="207"/>
        <v/>
      </c>
      <c r="BH272" s="744" t="str">
        <f t="shared" si="208"/>
        <v/>
      </c>
      <c r="BI272" s="744" t="str">
        <f t="shared" si="209"/>
        <v/>
      </c>
      <c r="BJ272" s="744" t="str">
        <f t="shared" si="210"/>
        <v/>
      </c>
      <c r="BK272" s="744" t="str">
        <f t="shared" si="211"/>
        <v/>
      </c>
      <c r="BL272" s="744" t="str">
        <f t="shared" si="212"/>
        <v/>
      </c>
      <c r="BM272" s="744" t="str">
        <f t="shared" si="213"/>
        <v/>
      </c>
      <c r="BN272" s="744" t="str">
        <f t="shared" si="214"/>
        <v/>
      </c>
      <c r="BO272" s="744" t="str">
        <f t="shared" si="215"/>
        <v/>
      </c>
      <c r="BP272" s="744" t="str">
        <f t="shared" si="216"/>
        <v/>
      </c>
      <c r="BQ272" s="744" t="str">
        <f t="shared" si="217"/>
        <v/>
      </c>
      <c r="BR272" s="744" t="str">
        <f t="shared" si="218"/>
        <v/>
      </c>
      <c r="BS272" s="744" t="str">
        <f t="shared" si="219"/>
        <v/>
      </c>
      <c r="BT272" s="744" t="str">
        <f t="shared" si="220"/>
        <v/>
      </c>
      <c r="BU272" s="744" t="str">
        <f t="shared" si="221"/>
        <v/>
      </c>
      <c r="BV272" s="744" t="str">
        <f t="shared" si="222"/>
        <v/>
      </c>
      <c r="BW272" s="744" t="str">
        <f t="shared" si="223"/>
        <v/>
      </c>
      <c r="BX272" s="744" t="str">
        <f t="shared" si="224"/>
        <v/>
      </c>
      <c r="BY272" s="744" t="str">
        <f t="shared" si="225"/>
        <v/>
      </c>
      <c r="BZ272" s="744" t="str">
        <f t="shared" si="226"/>
        <v/>
      </c>
      <c r="CA272" s="744" t="str">
        <f t="shared" si="227"/>
        <v/>
      </c>
      <c r="CB272" s="744" t="str">
        <f t="shared" si="228"/>
        <v/>
      </c>
      <c r="CC272" s="744" t="str">
        <f t="shared" si="229"/>
        <v/>
      </c>
      <c r="CD272" s="744" t="str">
        <f t="shared" si="230"/>
        <v/>
      </c>
      <c r="CE272" s="744" t="str">
        <f t="shared" si="231"/>
        <v/>
      </c>
      <c r="CF272" s="744" t="str">
        <f t="shared" si="232"/>
        <v/>
      </c>
      <c r="CG272" s="744" t="str">
        <f t="shared" si="233"/>
        <v/>
      </c>
      <c r="CH272" s="744" t="str">
        <f t="shared" si="234"/>
        <v/>
      </c>
      <c r="CI272" s="744" t="str">
        <f t="shared" si="235"/>
        <v/>
      </c>
      <c r="CJ272" s="744" t="str">
        <f t="shared" si="236"/>
        <v/>
      </c>
      <c r="CK272" s="744" t="str">
        <f t="shared" si="237"/>
        <v/>
      </c>
      <c r="CL272" s="744" t="str">
        <f t="shared" si="238"/>
        <v/>
      </c>
      <c r="CM272" s="744" t="str">
        <f t="shared" si="239"/>
        <v/>
      </c>
      <c r="CN272" s="744" t="str">
        <f t="shared" si="240"/>
        <v/>
      </c>
      <c r="CO272" s="744" t="str">
        <f t="shared" si="241"/>
        <v/>
      </c>
      <c r="CP272" s="744" t="str">
        <f t="shared" si="242"/>
        <v/>
      </c>
      <c r="CQ272" s="744" t="str">
        <f t="shared" si="243"/>
        <v/>
      </c>
      <c r="CR272" s="744" t="str">
        <f t="shared" si="244"/>
        <v/>
      </c>
      <c r="CS272" s="744" t="str">
        <f t="shared" si="245"/>
        <v/>
      </c>
      <c r="CT272" s="744" t="str">
        <f t="shared" si="246"/>
        <v/>
      </c>
      <c r="CU272" s="744" t="str">
        <f t="shared" si="247"/>
        <v/>
      </c>
      <c r="CV272" s="744" t="str">
        <f t="shared" si="248"/>
        <v/>
      </c>
      <c r="CW272" s="744" t="str">
        <f t="shared" si="249"/>
        <v/>
      </c>
      <c r="CX272" s="744" t="str">
        <f t="shared" si="250"/>
        <v/>
      </c>
    </row>
    <row r="273" spans="1:102">
      <c r="A273" s="633">
        <v>269</v>
      </c>
      <c r="B273" s="630"/>
      <c r="C273" s="631"/>
      <c r="D273" s="630"/>
      <c r="E273" s="632"/>
      <c r="F273" s="1067"/>
      <c r="G273" s="1066"/>
      <c r="H273" s="1070"/>
      <c r="I273" s="1070"/>
      <c r="J273" s="1070"/>
      <c r="K273" s="1070"/>
      <c r="L273" s="1072"/>
      <c r="M273" s="1070"/>
      <c r="N273" s="1070"/>
      <c r="O273" s="1070"/>
      <c r="P273" s="1073"/>
      <c r="Q273" s="1070"/>
      <c r="R273" s="1070"/>
      <c r="S273" s="1070"/>
      <c r="T273" s="1070"/>
      <c r="U273" s="1070"/>
      <c r="V273" s="1066"/>
      <c r="W273" s="1070"/>
      <c r="X273" s="1070"/>
      <c r="Y273" s="1070"/>
      <c r="Z273" s="1070"/>
      <c r="AA273" s="1070"/>
      <c r="AB273" s="1070"/>
      <c r="AC273" s="1070"/>
      <c r="AD273" s="1070"/>
      <c r="AE273" s="1070"/>
      <c r="AF273" s="1070"/>
      <c r="AG273" s="1070"/>
      <c r="AH273" s="1073"/>
      <c r="AI273" s="1070"/>
      <c r="AJ273" s="1070"/>
      <c r="AK273" s="1070"/>
      <c r="AL273" s="1082"/>
      <c r="AM273" s="1069"/>
      <c r="AN273" s="1070"/>
      <c r="AO273" s="1070"/>
      <c r="AP273" s="1070"/>
      <c r="AQ273" s="1070"/>
      <c r="AR273" s="1069"/>
      <c r="AS273" s="1282"/>
      <c r="AT273" s="1282"/>
      <c r="AU273" s="1069"/>
      <c r="AV273" s="1069"/>
      <c r="AW273" s="1069"/>
      <c r="AX273" s="1070"/>
      <c r="AY273" s="1070"/>
      <c r="AZ273" s="1078">
        <f t="shared" si="203"/>
        <v>0</v>
      </c>
      <c r="BA273" s="59">
        <v>269</v>
      </c>
      <c r="BB273" s="59" t="str">
        <f t="shared" si="204"/>
        <v/>
      </c>
      <c r="BC273" s="60" t="str">
        <f t="shared" si="205"/>
        <v>-</v>
      </c>
      <c r="BD273" s="61" t="str">
        <f ca="1">IFERROR(IF(SEARCH('Calcular Dieta'!A$3,$BC$5:$BC$310)&gt;=1,BC273,"Não encontrado"),"Não encontrado")</f>
        <v>-</v>
      </c>
      <c r="BE273" s="62">
        <f ca="1">COUNTIF(BD$5:BD273,"&lt;&gt;"&amp;"Não encontrado")</f>
        <v>269</v>
      </c>
      <c r="BF273" s="63" t="str">
        <f t="shared" ca="1" si="206"/>
        <v>-</v>
      </c>
      <c r="BG273" s="744" t="str">
        <f t="shared" si="207"/>
        <v/>
      </c>
      <c r="BH273" s="744" t="str">
        <f t="shared" si="208"/>
        <v/>
      </c>
      <c r="BI273" s="744" t="str">
        <f t="shared" si="209"/>
        <v/>
      </c>
      <c r="BJ273" s="744" t="str">
        <f t="shared" si="210"/>
        <v/>
      </c>
      <c r="BK273" s="744" t="str">
        <f t="shared" si="211"/>
        <v/>
      </c>
      <c r="BL273" s="744" t="str">
        <f t="shared" si="212"/>
        <v/>
      </c>
      <c r="BM273" s="744" t="str">
        <f t="shared" si="213"/>
        <v/>
      </c>
      <c r="BN273" s="744" t="str">
        <f t="shared" si="214"/>
        <v/>
      </c>
      <c r="BO273" s="744" t="str">
        <f t="shared" si="215"/>
        <v/>
      </c>
      <c r="BP273" s="744" t="str">
        <f t="shared" si="216"/>
        <v/>
      </c>
      <c r="BQ273" s="744" t="str">
        <f t="shared" si="217"/>
        <v/>
      </c>
      <c r="BR273" s="744" t="str">
        <f t="shared" si="218"/>
        <v/>
      </c>
      <c r="BS273" s="744" t="str">
        <f t="shared" si="219"/>
        <v/>
      </c>
      <c r="BT273" s="744" t="str">
        <f t="shared" si="220"/>
        <v/>
      </c>
      <c r="BU273" s="744" t="str">
        <f t="shared" si="221"/>
        <v/>
      </c>
      <c r="BV273" s="744" t="str">
        <f t="shared" si="222"/>
        <v/>
      </c>
      <c r="BW273" s="744" t="str">
        <f t="shared" si="223"/>
        <v/>
      </c>
      <c r="BX273" s="744" t="str">
        <f t="shared" si="224"/>
        <v/>
      </c>
      <c r="BY273" s="744" t="str">
        <f t="shared" si="225"/>
        <v/>
      </c>
      <c r="BZ273" s="744" t="str">
        <f t="shared" si="226"/>
        <v/>
      </c>
      <c r="CA273" s="744" t="str">
        <f t="shared" si="227"/>
        <v/>
      </c>
      <c r="CB273" s="744" t="str">
        <f t="shared" si="228"/>
        <v/>
      </c>
      <c r="CC273" s="744" t="str">
        <f t="shared" si="229"/>
        <v/>
      </c>
      <c r="CD273" s="744" t="str">
        <f t="shared" si="230"/>
        <v/>
      </c>
      <c r="CE273" s="744" t="str">
        <f t="shared" si="231"/>
        <v/>
      </c>
      <c r="CF273" s="744" t="str">
        <f t="shared" si="232"/>
        <v/>
      </c>
      <c r="CG273" s="744" t="str">
        <f t="shared" si="233"/>
        <v/>
      </c>
      <c r="CH273" s="744" t="str">
        <f t="shared" si="234"/>
        <v/>
      </c>
      <c r="CI273" s="744" t="str">
        <f t="shared" si="235"/>
        <v/>
      </c>
      <c r="CJ273" s="744" t="str">
        <f t="shared" si="236"/>
        <v/>
      </c>
      <c r="CK273" s="744" t="str">
        <f t="shared" si="237"/>
        <v/>
      </c>
      <c r="CL273" s="744" t="str">
        <f t="shared" si="238"/>
        <v/>
      </c>
      <c r="CM273" s="744" t="str">
        <f t="shared" si="239"/>
        <v/>
      </c>
      <c r="CN273" s="744" t="str">
        <f t="shared" si="240"/>
        <v/>
      </c>
      <c r="CO273" s="744" t="str">
        <f t="shared" si="241"/>
        <v/>
      </c>
      <c r="CP273" s="744" t="str">
        <f t="shared" si="242"/>
        <v/>
      </c>
      <c r="CQ273" s="744" t="str">
        <f t="shared" si="243"/>
        <v/>
      </c>
      <c r="CR273" s="744" t="str">
        <f t="shared" si="244"/>
        <v/>
      </c>
      <c r="CS273" s="744" t="str">
        <f t="shared" si="245"/>
        <v/>
      </c>
      <c r="CT273" s="744" t="str">
        <f t="shared" si="246"/>
        <v/>
      </c>
      <c r="CU273" s="744" t="str">
        <f t="shared" si="247"/>
        <v/>
      </c>
      <c r="CV273" s="744" t="str">
        <f t="shared" si="248"/>
        <v/>
      </c>
      <c r="CW273" s="744" t="str">
        <f t="shared" si="249"/>
        <v/>
      </c>
      <c r="CX273" s="744" t="str">
        <f t="shared" si="250"/>
        <v/>
      </c>
    </row>
    <row r="274" spans="1:102">
      <c r="A274" s="630">
        <v>270</v>
      </c>
      <c r="B274" s="630"/>
      <c r="C274" s="631"/>
      <c r="D274" s="630"/>
      <c r="E274" s="632"/>
      <c r="F274" s="1067"/>
      <c r="G274" s="1066"/>
      <c r="H274" s="1070"/>
      <c r="I274" s="1070"/>
      <c r="J274" s="1070"/>
      <c r="K274" s="1070"/>
      <c r="L274" s="1072"/>
      <c r="M274" s="1070"/>
      <c r="N274" s="1070"/>
      <c r="O274" s="1070"/>
      <c r="P274" s="1073"/>
      <c r="Q274" s="1070"/>
      <c r="R274" s="1070"/>
      <c r="S274" s="1070"/>
      <c r="T274" s="1070"/>
      <c r="U274" s="1070"/>
      <c r="V274" s="1066"/>
      <c r="W274" s="1070"/>
      <c r="X274" s="1070"/>
      <c r="Y274" s="1070"/>
      <c r="Z274" s="1070"/>
      <c r="AA274" s="1070"/>
      <c r="AB274" s="1070"/>
      <c r="AC274" s="1070"/>
      <c r="AD274" s="1070"/>
      <c r="AE274" s="1070"/>
      <c r="AF274" s="1070"/>
      <c r="AG274" s="1070"/>
      <c r="AH274" s="1073"/>
      <c r="AI274" s="1070"/>
      <c r="AJ274" s="1070"/>
      <c r="AK274" s="1070"/>
      <c r="AL274" s="1082"/>
      <c r="AM274" s="1069"/>
      <c r="AN274" s="1070"/>
      <c r="AO274" s="1070"/>
      <c r="AP274" s="1070"/>
      <c r="AQ274" s="1070"/>
      <c r="AR274" s="1069"/>
      <c r="AS274" s="1282"/>
      <c r="AT274" s="1282"/>
      <c r="AU274" s="1069"/>
      <c r="AV274" s="1069"/>
      <c r="AW274" s="1069"/>
      <c r="AX274" s="1070"/>
      <c r="AY274" s="1070"/>
      <c r="AZ274" s="1078">
        <f t="shared" si="203"/>
        <v>0</v>
      </c>
      <c r="BA274" s="59">
        <v>270</v>
      </c>
      <c r="BB274" s="59" t="str">
        <f t="shared" si="204"/>
        <v/>
      </c>
      <c r="BC274" s="60" t="str">
        <f t="shared" si="205"/>
        <v>-</v>
      </c>
      <c r="BD274" s="61" t="str">
        <f ca="1">IFERROR(IF(SEARCH('Calcular Dieta'!A$3,$BC$5:$BC$310)&gt;=1,BC274,"Não encontrado"),"Não encontrado")</f>
        <v>-</v>
      </c>
      <c r="BE274" s="62">
        <f ca="1">COUNTIF(BD$5:BD274,"&lt;&gt;"&amp;"Não encontrado")</f>
        <v>270</v>
      </c>
      <c r="BF274" s="63" t="str">
        <f t="shared" ca="1" si="206"/>
        <v>-</v>
      </c>
      <c r="BG274" s="744" t="str">
        <f t="shared" si="207"/>
        <v/>
      </c>
      <c r="BH274" s="744" t="str">
        <f t="shared" si="208"/>
        <v/>
      </c>
      <c r="BI274" s="744" t="str">
        <f t="shared" si="209"/>
        <v/>
      </c>
      <c r="BJ274" s="744" t="str">
        <f t="shared" si="210"/>
        <v/>
      </c>
      <c r="BK274" s="744" t="str">
        <f t="shared" si="211"/>
        <v/>
      </c>
      <c r="BL274" s="744" t="str">
        <f t="shared" si="212"/>
        <v/>
      </c>
      <c r="BM274" s="744" t="str">
        <f t="shared" si="213"/>
        <v/>
      </c>
      <c r="BN274" s="744" t="str">
        <f t="shared" si="214"/>
        <v/>
      </c>
      <c r="BO274" s="744" t="str">
        <f t="shared" si="215"/>
        <v/>
      </c>
      <c r="BP274" s="744" t="str">
        <f t="shared" si="216"/>
        <v/>
      </c>
      <c r="BQ274" s="744" t="str">
        <f t="shared" si="217"/>
        <v/>
      </c>
      <c r="BR274" s="744" t="str">
        <f t="shared" si="218"/>
        <v/>
      </c>
      <c r="BS274" s="744" t="str">
        <f t="shared" si="219"/>
        <v/>
      </c>
      <c r="BT274" s="744" t="str">
        <f t="shared" si="220"/>
        <v/>
      </c>
      <c r="BU274" s="744" t="str">
        <f t="shared" si="221"/>
        <v/>
      </c>
      <c r="BV274" s="744" t="str">
        <f t="shared" si="222"/>
        <v/>
      </c>
      <c r="BW274" s="744" t="str">
        <f t="shared" si="223"/>
        <v/>
      </c>
      <c r="BX274" s="744" t="str">
        <f t="shared" si="224"/>
        <v/>
      </c>
      <c r="BY274" s="744" t="str">
        <f t="shared" si="225"/>
        <v/>
      </c>
      <c r="BZ274" s="744" t="str">
        <f t="shared" si="226"/>
        <v/>
      </c>
      <c r="CA274" s="744" t="str">
        <f t="shared" si="227"/>
        <v/>
      </c>
      <c r="CB274" s="744" t="str">
        <f t="shared" si="228"/>
        <v/>
      </c>
      <c r="CC274" s="744" t="str">
        <f t="shared" si="229"/>
        <v/>
      </c>
      <c r="CD274" s="744" t="str">
        <f t="shared" si="230"/>
        <v/>
      </c>
      <c r="CE274" s="744" t="str">
        <f t="shared" si="231"/>
        <v/>
      </c>
      <c r="CF274" s="744" t="str">
        <f t="shared" si="232"/>
        <v/>
      </c>
      <c r="CG274" s="744" t="str">
        <f t="shared" si="233"/>
        <v/>
      </c>
      <c r="CH274" s="744" t="str">
        <f t="shared" si="234"/>
        <v/>
      </c>
      <c r="CI274" s="744" t="str">
        <f t="shared" si="235"/>
        <v/>
      </c>
      <c r="CJ274" s="744" t="str">
        <f t="shared" si="236"/>
        <v/>
      </c>
      <c r="CK274" s="744" t="str">
        <f t="shared" si="237"/>
        <v/>
      </c>
      <c r="CL274" s="744" t="str">
        <f t="shared" si="238"/>
        <v/>
      </c>
      <c r="CM274" s="744" t="str">
        <f t="shared" si="239"/>
        <v/>
      </c>
      <c r="CN274" s="744" t="str">
        <f t="shared" si="240"/>
        <v/>
      </c>
      <c r="CO274" s="744" t="str">
        <f t="shared" si="241"/>
        <v/>
      </c>
      <c r="CP274" s="744" t="str">
        <f t="shared" si="242"/>
        <v/>
      </c>
      <c r="CQ274" s="744" t="str">
        <f t="shared" si="243"/>
        <v/>
      </c>
      <c r="CR274" s="744" t="str">
        <f t="shared" si="244"/>
        <v/>
      </c>
      <c r="CS274" s="744" t="str">
        <f t="shared" si="245"/>
        <v/>
      </c>
      <c r="CT274" s="744" t="str">
        <f t="shared" si="246"/>
        <v/>
      </c>
      <c r="CU274" s="744" t="str">
        <f t="shared" si="247"/>
        <v/>
      </c>
      <c r="CV274" s="744" t="str">
        <f t="shared" si="248"/>
        <v/>
      </c>
      <c r="CW274" s="744" t="str">
        <f t="shared" si="249"/>
        <v/>
      </c>
      <c r="CX274" s="744" t="str">
        <f t="shared" si="250"/>
        <v/>
      </c>
    </row>
    <row r="275" spans="1:102">
      <c r="A275" s="633">
        <v>271</v>
      </c>
      <c r="B275" s="630"/>
      <c r="C275" s="631"/>
      <c r="D275" s="630"/>
      <c r="E275" s="632"/>
      <c r="F275" s="1067"/>
      <c r="G275" s="1079"/>
      <c r="H275" s="1069"/>
      <c r="I275" s="1069"/>
      <c r="J275" s="1069"/>
      <c r="K275" s="1069"/>
      <c r="L275" s="1074"/>
      <c r="M275" s="1069"/>
      <c r="N275" s="1069"/>
      <c r="O275" s="1069"/>
      <c r="P275" s="1076"/>
      <c r="Q275" s="1069"/>
      <c r="R275" s="1069"/>
      <c r="S275" s="1069"/>
      <c r="T275" s="1069"/>
      <c r="U275" s="1069"/>
      <c r="V275" s="1079"/>
      <c r="W275" s="1069"/>
      <c r="X275" s="1069"/>
      <c r="Y275" s="1069"/>
      <c r="Z275" s="1069"/>
      <c r="AA275" s="1069"/>
      <c r="AB275" s="1069"/>
      <c r="AC275" s="1069"/>
      <c r="AD275" s="1069"/>
      <c r="AE275" s="1069"/>
      <c r="AF275" s="1069"/>
      <c r="AG275" s="1069"/>
      <c r="AH275" s="1076"/>
      <c r="AI275" s="1069"/>
      <c r="AJ275" s="1069"/>
      <c r="AK275" s="1069"/>
      <c r="AL275" s="1081"/>
      <c r="AM275" s="1069"/>
      <c r="AN275" s="1069"/>
      <c r="AO275" s="1069"/>
      <c r="AP275" s="1069"/>
      <c r="AQ275" s="1069"/>
      <c r="AR275" s="1069"/>
      <c r="AS275" s="1282"/>
      <c r="AT275" s="1282"/>
      <c r="AU275" s="1069"/>
      <c r="AV275" s="1069"/>
      <c r="AW275" s="1069"/>
      <c r="AX275" s="1070"/>
      <c r="AY275" s="1070"/>
      <c r="AZ275" s="1078">
        <f t="shared" si="203"/>
        <v>0</v>
      </c>
      <c r="BA275" s="59">
        <v>271</v>
      </c>
      <c r="BB275" s="59" t="str">
        <f t="shared" si="204"/>
        <v/>
      </c>
      <c r="BC275" s="60" t="str">
        <f t="shared" si="205"/>
        <v>-</v>
      </c>
      <c r="BD275" s="61" t="str">
        <f ca="1">IFERROR(IF(SEARCH('Calcular Dieta'!A$3,$BC$5:$BC$310)&gt;=1,BC275,"Não encontrado"),"Não encontrado")</f>
        <v>-</v>
      </c>
      <c r="BE275" s="62">
        <f ca="1">COUNTIF(BD$5:BD275,"&lt;&gt;"&amp;"Não encontrado")</f>
        <v>271</v>
      </c>
      <c r="BF275" s="63" t="str">
        <f t="shared" ca="1" si="206"/>
        <v>-</v>
      </c>
      <c r="BG275" s="744" t="str">
        <f t="shared" si="207"/>
        <v/>
      </c>
      <c r="BH275" s="744" t="str">
        <f t="shared" si="208"/>
        <v/>
      </c>
      <c r="BI275" s="744" t="str">
        <f t="shared" si="209"/>
        <v/>
      </c>
      <c r="BJ275" s="744" t="str">
        <f t="shared" si="210"/>
        <v/>
      </c>
      <c r="BK275" s="744" t="str">
        <f t="shared" si="211"/>
        <v/>
      </c>
      <c r="BL275" s="744" t="str">
        <f t="shared" si="212"/>
        <v/>
      </c>
      <c r="BM275" s="744" t="str">
        <f t="shared" si="213"/>
        <v/>
      </c>
      <c r="BN275" s="744" t="str">
        <f t="shared" si="214"/>
        <v/>
      </c>
      <c r="BO275" s="744" t="str">
        <f t="shared" si="215"/>
        <v/>
      </c>
      <c r="BP275" s="744" t="str">
        <f t="shared" si="216"/>
        <v/>
      </c>
      <c r="BQ275" s="744" t="str">
        <f t="shared" si="217"/>
        <v/>
      </c>
      <c r="BR275" s="744" t="str">
        <f t="shared" si="218"/>
        <v/>
      </c>
      <c r="BS275" s="744" t="str">
        <f t="shared" si="219"/>
        <v/>
      </c>
      <c r="BT275" s="744" t="str">
        <f t="shared" si="220"/>
        <v/>
      </c>
      <c r="BU275" s="744" t="str">
        <f t="shared" si="221"/>
        <v/>
      </c>
      <c r="BV275" s="744" t="str">
        <f t="shared" si="222"/>
        <v/>
      </c>
      <c r="BW275" s="744" t="str">
        <f t="shared" si="223"/>
        <v/>
      </c>
      <c r="BX275" s="744" t="str">
        <f t="shared" si="224"/>
        <v/>
      </c>
      <c r="BY275" s="744" t="str">
        <f t="shared" si="225"/>
        <v/>
      </c>
      <c r="BZ275" s="744" t="str">
        <f t="shared" si="226"/>
        <v/>
      </c>
      <c r="CA275" s="744" t="str">
        <f t="shared" si="227"/>
        <v/>
      </c>
      <c r="CB275" s="744" t="str">
        <f t="shared" si="228"/>
        <v/>
      </c>
      <c r="CC275" s="744" t="str">
        <f t="shared" si="229"/>
        <v/>
      </c>
      <c r="CD275" s="744" t="str">
        <f t="shared" si="230"/>
        <v/>
      </c>
      <c r="CE275" s="744" t="str">
        <f t="shared" si="231"/>
        <v/>
      </c>
      <c r="CF275" s="744" t="str">
        <f t="shared" si="232"/>
        <v/>
      </c>
      <c r="CG275" s="744" t="str">
        <f t="shared" si="233"/>
        <v/>
      </c>
      <c r="CH275" s="744" t="str">
        <f t="shared" si="234"/>
        <v/>
      </c>
      <c r="CI275" s="744" t="str">
        <f t="shared" si="235"/>
        <v/>
      </c>
      <c r="CJ275" s="744" t="str">
        <f t="shared" si="236"/>
        <v/>
      </c>
      <c r="CK275" s="744" t="str">
        <f t="shared" si="237"/>
        <v/>
      </c>
      <c r="CL275" s="744" t="str">
        <f t="shared" si="238"/>
        <v/>
      </c>
      <c r="CM275" s="744" t="str">
        <f t="shared" si="239"/>
        <v/>
      </c>
      <c r="CN275" s="744" t="str">
        <f t="shared" si="240"/>
        <v/>
      </c>
      <c r="CO275" s="744" t="str">
        <f t="shared" si="241"/>
        <v/>
      </c>
      <c r="CP275" s="744" t="str">
        <f t="shared" si="242"/>
        <v/>
      </c>
      <c r="CQ275" s="744" t="str">
        <f t="shared" si="243"/>
        <v/>
      </c>
      <c r="CR275" s="744" t="str">
        <f t="shared" si="244"/>
        <v/>
      </c>
      <c r="CS275" s="744" t="str">
        <f t="shared" si="245"/>
        <v/>
      </c>
      <c r="CT275" s="744" t="str">
        <f t="shared" si="246"/>
        <v/>
      </c>
      <c r="CU275" s="744" t="str">
        <f t="shared" si="247"/>
        <v/>
      </c>
      <c r="CV275" s="744" t="str">
        <f t="shared" si="248"/>
        <v/>
      </c>
      <c r="CW275" s="744" t="str">
        <f t="shared" si="249"/>
        <v/>
      </c>
      <c r="CX275" s="744" t="str">
        <f t="shared" si="250"/>
        <v/>
      </c>
    </row>
    <row r="276" spans="1:102">
      <c r="A276" s="630">
        <v>272</v>
      </c>
      <c r="B276" s="630"/>
      <c r="C276" s="631"/>
      <c r="D276" s="630"/>
      <c r="E276" s="632"/>
      <c r="F276" s="1067"/>
      <c r="G276" s="1066"/>
      <c r="H276" s="1070"/>
      <c r="I276" s="1070"/>
      <c r="J276" s="1070"/>
      <c r="K276" s="1070"/>
      <c r="L276" s="1072"/>
      <c r="M276" s="1070"/>
      <c r="N276" s="1070"/>
      <c r="O276" s="1070"/>
      <c r="P276" s="1073"/>
      <c r="Q276" s="1070"/>
      <c r="R276" s="1070"/>
      <c r="S276" s="1070"/>
      <c r="T276" s="1070"/>
      <c r="U276" s="1070"/>
      <c r="V276" s="1066"/>
      <c r="W276" s="1070"/>
      <c r="X276" s="1070"/>
      <c r="Y276" s="1070"/>
      <c r="Z276" s="1070"/>
      <c r="AA276" s="1070"/>
      <c r="AB276" s="1070"/>
      <c r="AC276" s="1070"/>
      <c r="AD276" s="1070"/>
      <c r="AE276" s="1070"/>
      <c r="AF276" s="1070"/>
      <c r="AG276" s="1070"/>
      <c r="AH276" s="1073"/>
      <c r="AI276" s="1070"/>
      <c r="AJ276" s="1070"/>
      <c r="AK276" s="1070"/>
      <c r="AL276" s="1082"/>
      <c r="AM276" s="1069"/>
      <c r="AN276" s="1070"/>
      <c r="AO276" s="1070"/>
      <c r="AP276" s="1070"/>
      <c r="AQ276" s="1070"/>
      <c r="AR276" s="1069"/>
      <c r="AS276" s="1282"/>
      <c r="AT276" s="1282"/>
      <c r="AU276" s="1069"/>
      <c r="AV276" s="1069"/>
      <c r="AW276" s="1069"/>
      <c r="AX276" s="1069"/>
      <c r="AY276" s="1069"/>
      <c r="AZ276" s="1078">
        <f t="shared" si="203"/>
        <v>0</v>
      </c>
      <c r="BA276" s="59">
        <v>272</v>
      </c>
      <c r="BB276" s="59" t="str">
        <f t="shared" si="204"/>
        <v/>
      </c>
      <c r="BC276" s="60" t="str">
        <f t="shared" si="205"/>
        <v>-</v>
      </c>
      <c r="BD276" s="61" t="str">
        <f ca="1">IFERROR(IF(SEARCH('Calcular Dieta'!A$3,$BC$5:$BC$310)&gt;=1,BC276,"Não encontrado"),"Não encontrado")</f>
        <v>-</v>
      </c>
      <c r="BE276" s="62">
        <f ca="1">COUNTIF(BD$5:BD276,"&lt;&gt;"&amp;"Não encontrado")</f>
        <v>272</v>
      </c>
      <c r="BF276" s="63" t="str">
        <f t="shared" ca="1" si="206"/>
        <v>-</v>
      </c>
      <c r="BG276" s="744" t="str">
        <f t="shared" si="207"/>
        <v/>
      </c>
      <c r="BH276" s="744" t="str">
        <f t="shared" si="208"/>
        <v/>
      </c>
      <c r="BI276" s="744" t="str">
        <f t="shared" si="209"/>
        <v/>
      </c>
      <c r="BJ276" s="744" t="str">
        <f t="shared" si="210"/>
        <v/>
      </c>
      <c r="BK276" s="744" t="str">
        <f t="shared" si="211"/>
        <v/>
      </c>
      <c r="BL276" s="744" t="str">
        <f t="shared" si="212"/>
        <v/>
      </c>
      <c r="BM276" s="744" t="str">
        <f t="shared" si="213"/>
        <v/>
      </c>
      <c r="BN276" s="744" t="str">
        <f t="shared" si="214"/>
        <v/>
      </c>
      <c r="BO276" s="744" t="str">
        <f t="shared" si="215"/>
        <v/>
      </c>
      <c r="BP276" s="744" t="str">
        <f t="shared" si="216"/>
        <v/>
      </c>
      <c r="BQ276" s="744" t="str">
        <f t="shared" si="217"/>
        <v/>
      </c>
      <c r="BR276" s="744" t="str">
        <f t="shared" si="218"/>
        <v/>
      </c>
      <c r="BS276" s="744" t="str">
        <f t="shared" si="219"/>
        <v/>
      </c>
      <c r="BT276" s="744" t="str">
        <f t="shared" si="220"/>
        <v/>
      </c>
      <c r="BU276" s="744" t="str">
        <f t="shared" si="221"/>
        <v/>
      </c>
      <c r="BV276" s="744" t="str">
        <f t="shared" si="222"/>
        <v/>
      </c>
      <c r="BW276" s="744" t="str">
        <f t="shared" si="223"/>
        <v/>
      </c>
      <c r="BX276" s="744" t="str">
        <f t="shared" si="224"/>
        <v/>
      </c>
      <c r="BY276" s="744" t="str">
        <f t="shared" si="225"/>
        <v/>
      </c>
      <c r="BZ276" s="744" t="str">
        <f t="shared" si="226"/>
        <v/>
      </c>
      <c r="CA276" s="744" t="str">
        <f t="shared" si="227"/>
        <v/>
      </c>
      <c r="CB276" s="744" t="str">
        <f t="shared" si="228"/>
        <v/>
      </c>
      <c r="CC276" s="744" t="str">
        <f t="shared" si="229"/>
        <v/>
      </c>
      <c r="CD276" s="744" t="str">
        <f t="shared" si="230"/>
        <v/>
      </c>
      <c r="CE276" s="744" t="str">
        <f t="shared" si="231"/>
        <v/>
      </c>
      <c r="CF276" s="744" t="str">
        <f t="shared" si="232"/>
        <v/>
      </c>
      <c r="CG276" s="744" t="str">
        <f t="shared" si="233"/>
        <v/>
      </c>
      <c r="CH276" s="744" t="str">
        <f t="shared" si="234"/>
        <v/>
      </c>
      <c r="CI276" s="744" t="str">
        <f t="shared" si="235"/>
        <v/>
      </c>
      <c r="CJ276" s="744" t="str">
        <f t="shared" si="236"/>
        <v/>
      </c>
      <c r="CK276" s="744" t="str">
        <f t="shared" si="237"/>
        <v/>
      </c>
      <c r="CL276" s="744" t="str">
        <f t="shared" si="238"/>
        <v/>
      </c>
      <c r="CM276" s="744" t="str">
        <f t="shared" si="239"/>
        <v/>
      </c>
      <c r="CN276" s="744" t="str">
        <f t="shared" si="240"/>
        <v/>
      </c>
      <c r="CO276" s="744" t="str">
        <f t="shared" si="241"/>
        <v/>
      </c>
      <c r="CP276" s="744" t="str">
        <f t="shared" si="242"/>
        <v/>
      </c>
      <c r="CQ276" s="744" t="str">
        <f t="shared" si="243"/>
        <v/>
      </c>
      <c r="CR276" s="744" t="str">
        <f t="shared" si="244"/>
        <v/>
      </c>
      <c r="CS276" s="744" t="str">
        <f t="shared" si="245"/>
        <v/>
      </c>
      <c r="CT276" s="744" t="str">
        <f t="shared" si="246"/>
        <v/>
      </c>
      <c r="CU276" s="744" t="str">
        <f t="shared" si="247"/>
        <v/>
      </c>
      <c r="CV276" s="744" t="str">
        <f t="shared" si="248"/>
        <v/>
      </c>
      <c r="CW276" s="744" t="str">
        <f t="shared" si="249"/>
        <v/>
      </c>
      <c r="CX276" s="744" t="str">
        <f t="shared" si="250"/>
        <v/>
      </c>
    </row>
    <row r="277" spans="1:102">
      <c r="A277" s="633">
        <v>273</v>
      </c>
      <c r="B277" s="630"/>
      <c r="C277" s="631"/>
      <c r="D277" s="630"/>
      <c r="E277" s="632"/>
      <c r="F277" s="1067"/>
      <c r="G277" s="1066"/>
      <c r="H277" s="1070"/>
      <c r="I277" s="1070"/>
      <c r="J277" s="1070"/>
      <c r="K277" s="1070"/>
      <c r="L277" s="1072"/>
      <c r="M277" s="1070"/>
      <c r="N277" s="1070"/>
      <c r="O277" s="1070"/>
      <c r="P277" s="1073"/>
      <c r="Q277" s="1070"/>
      <c r="R277" s="1070"/>
      <c r="S277" s="1070"/>
      <c r="T277" s="1070"/>
      <c r="U277" s="1070"/>
      <c r="V277" s="1066"/>
      <c r="W277" s="1070"/>
      <c r="X277" s="1070"/>
      <c r="Y277" s="1070"/>
      <c r="Z277" s="1070"/>
      <c r="AA277" s="1070"/>
      <c r="AB277" s="1070"/>
      <c r="AC277" s="1070"/>
      <c r="AD277" s="1070"/>
      <c r="AE277" s="1070"/>
      <c r="AF277" s="1070"/>
      <c r="AG277" s="1070"/>
      <c r="AH277" s="1073"/>
      <c r="AI277" s="1070"/>
      <c r="AJ277" s="1070"/>
      <c r="AK277" s="1070"/>
      <c r="AL277" s="1082"/>
      <c r="AM277" s="1069"/>
      <c r="AN277" s="1070"/>
      <c r="AO277" s="1070"/>
      <c r="AP277" s="1070"/>
      <c r="AQ277" s="1070"/>
      <c r="AR277" s="1069"/>
      <c r="AS277" s="1282"/>
      <c r="AT277" s="1282"/>
      <c r="AU277" s="1069"/>
      <c r="AV277" s="1069"/>
      <c r="AW277" s="1069"/>
      <c r="AX277" s="1070"/>
      <c r="AY277" s="1070"/>
      <c r="AZ277" s="1078">
        <f t="shared" si="203"/>
        <v>0</v>
      </c>
      <c r="BA277" s="59">
        <v>273</v>
      </c>
      <c r="BB277" s="59" t="str">
        <f t="shared" si="204"/>
        <v/>
      </c>
      <c r="BC277" s="60" t="str">
        <f t="shared" si="205"/>
        <v>-</v>
      </c>
      <c r="BD277" s="61" t="str">
        <f ca="1">IFERROR(IF(SEARCH('Calcular Dieta'!A$3,$BC$5:$BC$310)&gt;=1,BC277,"Não encontrado"),"Não encontrado")</f>
        <v>-</v>
      </c>
      <c r="BE277" s="62">
        <f ca="1">COUNTIF(BD$5:BD277,"&lt;&gt;"&amp;"Não encontrado")</f>
        <v>273</v>
      </c>
      <c r="BF277" s="63" t="str">
        <f t="shared" ca="1" si="206"/>
        <v>-</v>
      </c>
      <c r="BG277" s="744" t="str">
        <f t="shared" si="207"/>
        <v/>
      </c>
      <c r="BH277" s="744" t="str">
        <f t="shared" si="208"/>
        <v/>
      </c>
      <c r="BI277" s="744" t="str">
        <f t="shared" si="209"/>
        <v/>
      </c>
      <c r="BJ277" s="744" t="str">
        <f t="shared" si="210"/>
        <v/>
      </c>
      <c r="BK277" s="744" t="str">
        <f t="shared" si="211"/>
        <v/>
      </c>
      <c r="BL277" s="744" t="str">
        <f t="shared" si="212"/>
        <v/>
      </c>
      <c r="BM277" s="744" t="str">
        <f t="shared" si="213"/>
        <v/>
      </c>
      <c r="BN277" s="744" t="str">
        <f t="shared" si="214"/>
        <v/>
      </c>
      <c r="BO277" s="744" t="str">
        <f t="shared" si="215"/>
        <v/>
      </c>
      <c r="BP277" s="744" t="str">
        <f t="shared" si="216"/>
        <v/>
      </c>
      <c r="BQ277" s="744" t="str">
        <f t="shared" si="217"/>
        <v/>
      </c>
      <c r="BR277" s="744" t="str">
        <f t="shared" si="218"/>
        <v/>
      </c>
      <c r="BS277" s="744" t="str">
        <f t="shared" si="219"/>
        <v/>
      </c>
      <c r="BT277" s="744" t="str">
        <f t="shared" si="220"/>
        <v/>
      </c>
      <c r="BU277" s="744" t="str">
        <f t="shared" si="221"/>
        <v/>
      </c>
      <c r="BV277" s="744" t="str">
        <f t="shared" si="222"/>
        <v/>
      </c>
      <c r="BW277" s="744" t="str">
        <f t="shared" si="223"/>
        <v/>
      </c>
      <c r="BX277" s="744" t="str">
        <f t="shared" si="224"/>
        <v/>
      </c>
      <c r="BY277" s="744" t="str">
        <f t="shared" si="225"/>
        <v/>
      </c>
      <c r="BZ277" s="744" t="str">
        <f t="shared" si="226"/>
        <v/>
      </c>
      <c r="CA277" s="744" t="str">
        <f t="shared" si="227"/>
        <v/>
      </c>
      <c r="CB277" s="744" t="str">
        <f t="shared" si="228"/>
        <v/>
      </c>
      <c r="CC277" s="744" t="str">
        <f t="shared" si="229"/>
        <v/>
      </c>
      <c r="CD277" s="744" t="str">
        <f t="shared" si="230"/>
        <v/>
      </c>
      <c r="CE277" s="744" t="str">
        <f t="shared" si="231"/>
        <v/>
      </c>
      <c r="CF277" s="744" t="str">
        <f t="shared" si="232"/>
        <v/>
      </c>
      <c r="CG277" s="744" t="str">
        <f t="shared" si="233"/>
        <v/>
      </c>
      <c r="CH277" s="744" t="str">
        <f t="shared" si="234"/>
        <v/>
      </c>
      <c r="CI277" s="744" t="str">
        <f t="shared" si="235"/>
        <v/>
      </c>
      <c r="CJ277" s="744" t="str">
        <f t="shared" si="236"/>
        <v/>
      </c>
      <c r="CK277" s="744" t="str">
        <f t="shared" si="237"/>
        <v/>
      </c>
      <c r="CL277" s="744" t="str">
        <f t="shared" si="238"/>
        <v/>
      </c>
      <c r="CM277" s="744" t="str">
        <f t="shared" si="239"/>
        <v/>
      </c>
      <c r="CN277" s="744" t="str">
        <f t="shared" si="240"/>
        <v/>
      </c>
      <c r="CO277" s="744" t="str">
        <f t="shared" si="241"/>
        <v/>
      </c>
      <c r="CP277" s="744" t="str">
        <f t="shared" si="242"/>
        <v/>
      </c>
      <c r="CQ277" s="744" t="str">
        <f t="shared" si="243"/>
        <v/>
      </c>
      <c r="CR277" s="744" t="str">
        <f t="shared" si="244"/>
        <v/>
      </c>
      <c r="CS277" s="744" t="str">
        <f t="shared" si="245"/>
        <v/>
      </c>
      <c r="CT277" s="744" t="str">
        <f t="shared" si="246"/>
        <v/>
      </c>
      <c r="CU277" s="744" t="str">
        <f t="shared" si="247"/>
        <v/>
      </c>
      <c r="CV277" s="744" t="str">
        <f t="shared" si="248"/>
        <v/>
      </c>
      <c r="CW277" s="744" t="str">
        <f t="shared" si="249"/>
        <v/>
      </c>
      <c r="CX277" s="744" t="str">
        <f t="shared" si="250"/>
        <v/>
      </c>
    </row>
    <row r="278" spans="1:102">
      <c r="A278" s="630">
        <v>274</v>
      </c>
      <c r="B278" s="630"/>
      <c r="C278" s="631"/>
      <c r="D278" s="630"/>
      <c r="E278" s="632"/>
      <c r="F278" s="1067"/>
      <c r="G278" s="1066"/>
      <c r="H278" s="1070"/>
      <c r="I278" s="1070"/>
      <c r="J278" s="1070"/>
      <c r="K278" s="1070"/>
      <c r="L278" s="1072"/>
      <c r="M278" s="1070"/>
      <c r="N278" s="1070"/>
      <c r="O278" s="1070"/>
      <c r="P278" s="1073"/>
      <c r="Q278" s="1070"/>
      <c r="R278" s="1070"/>
      <c r="S278" s="1070"/>
      <c r="T278" s="1070"/>
      <c r="U278" s="1070"/>
      <c r="V278" s="1066"/>
      <c r="W278" s="1070"/>
      <c r="X278" s="1070"/>
      <c r="Y278" s="1070"/>
      <c r="Z278" s="1070"/>
      <c r="AA278" s="1070"/>
      <c r="AB278" s="1070"/>
      <c r="AC278" s="1070"/>
      <c r="AD278" s="1070"/>
      <c r="AE278" s="1070"/>
      <c r="AF278" s="1070"/>
      <c r="AG278" s="1070"/>
      <c r="AH278" s="1073"/>
      <c r="AI278" s="1070"/>
      <c r="AJ278" s="1070"/>
      <c r="AK278" s="1070"/>
      <c r="AL278" s="1082"/>
      <c r="AM278" s="1069"/>
      <c r="AN278" s="1070"/>
      <c r="AO278" s="1070"/>
      <c r="AP278" s="1070"/>
      <c r="AQ278" s="1070"/>
      <c r="AR278" s="1069"/>
      <c r="AS278" s="1282"/>
      <c r="AT278" s="1282"/>
      <c r="AU278" s="1069"/>
      <c r="AV278" s="1069"/>
      <c r="AW278" s="1069"/>
      <c r="AX278" s="1070"/>
      <c r="AY278" s="1070"/>
      <c r="AZ278" s="1078">
        <f t="shared" si="203"/>
        <v>0</v>
      </c>
      <c r="BA278" s="59">
        <v>274</v>
      </c>
      <c r="BB278" s="59" t="str">
        <f t="shared" si="204"/>
        <v/>
      </c>
      <c r="BC278" s="60" t="str">
        <f t="shared" si="205"/>
        <v>-</v>
      </c>
      <c r="BD278" s="61" t="str">
        <f ca="1">IFERROR(IF(SEARCH('Calcular Dieta'!A$3,$BC$5:$BC$310)&gt;=1,BC278,"Não encontrado"),"Não encontrado")</f>
        <v>-</v>
      </c>
      <c r="BE278" s="62">
        <f ca="1">COUNTIF(BD$5:BD278,"&lt;&gt;"&amp;"Não encontrado")</f>
        <v>274</v>
      </c>
      <c r="BF278" s="63" t="str">
        <f t="shared" ca="1" si="206"/>
        <v>-</v>
      </c>
      <c r="BG278" s="744" t="str">
        <f t="shared" si="207"/>
        <v/>
      </c>
      <c r="BH278" s="744" t="str">
        <f t="shared" si="208"/>
        <v/>
      </c>
      <c r="BI278" s="744" t="str">
        <f t="shared" si="209"/>
        <v/>
      </c>
      <c r="BJ278" s="744" t="str">
        <f t="shared" si="210"/>
        <v/>
      </c>
      <c r="BK278" s="744" t="str">
        <f t="shared" si="211"/>
        <v/>
      </c>
      <c r="BL278" s="744" t="str">
        <f t="shared" si="212"/>
        <v/>
      </c>
      <c r="BM278" s="744" t="str">
        <f t="shared" si="213"/>
        <v/>
      </c>
      <c r="BN278" s="744" t="str">
        <f t="shared" si="214"/>
        <v/>
      </c>
      <c r="BO278" s="744" t="str">
        <f t="shared" si="215"/>
        <v/>
      </c>
      <c r="BP278" s="744" t="str">
        <f t="shared" si="216"/>
        <v/>
      </c>
      <c r="BQ278" s="744" t="str">
        <f t="shared" si="217"/>
        <v/>
      </c>
      <c r="BR278" s="744" t="str">
        <f t="shared" si="218"/>
        <v/>
      </c>
      <c r="BS278" s="744" t="str">
        <f t="shared" si="219"/>
        <v/>
      </c>
      <c r="BT278" s="744" t="str">
        <f t="shared" si="220"/>
        <v/>
      </c>
      <c r="BU278" s="744" t="str">
        <f t="shared" si="221"/>
        <v/>
      </c>
      <c r="BV278" s="744" t="str">
        <f t="shared" si="222"/>
        <v/>
      </c>
      <c r="BW278" s="744" t="str">
        <f t="shared" si="223"/>
        <v/>
      </c>
      <c r="BX278" s="744" t="str">
        <f t="shared" si="224"/>
        <v/>
      </c>
      <c r="BY278" s="744" t="str">
        <f t="shared" si="225"/>
        <v/>
      </c>
      <c r="BZ278" s="744" t="str">
        <f t="shared" si="226"/>
        <v/>
      </c>
      <c r="CA278" s="744" t="str">
        <f t="shared" si="227"/>
        <v/>
      </c>
      <c r="CB278" s="744" t="str">
        <f t="shared" si="228"/>
        <v/>
      </c>
      <c r="CC278" s="744" t="str">
        <f t="shared" si="229"/>
        <v/>
      </c>
      <c r="CD278" s="744" t="str">
        <f t="shared" si="230"/>
        <v/>
      </c>
      <c r="CE278" s="744" t="str">
        <f t="shared" si="231"/>
        <v/>
      </c>
      <c r="CF278" s="744" t="str">
        <f t="shared" si="232"/>
        <v/>
      </c>
      <c r="CG278" s="744" t="str">
        <f t="shared" si="233"/>
        <v/>
      </c>
      <c r="CH278" s="744" t="str">
        <f t="shared" si="234"/>
        <v/>
      </c>
      <c r="CI278" s="744" t="str">
        <f t="shared" si="235"/>
        <v/>
      </c>
      <c r="CJ278" s="744" t="str">
        <f t="shared" si="236"/>
        <v/>
      </c>
      <c r="CK278" s="744" t="str">
        <f t="shared" si="237"/>
        <v/>
      </c>
      <c r="CL278" s="744" t="str">
        <f t="shared" si="238"/>
        <v/>
      </c>
      <c r="CM278" s="744" t="str">
        <f t="shared" si="239"/>
        <v/>
      </c>
      <c r="CN278" s="744" t="str">
        <f t="shared" si="240"/>
        <v/>
      </c>
      <c r="CO278" s="744" t="str">
        <f t="shared" si="241"/>
        <v/>
      </c>
      <c r="CP278" s="744" t="str">
        <f t="shared" si="242"/>
        <v/>
      </c>
      <c r="CQ278" s="744" t="str">
        <f t="shared" si="243"/>
        <v/>
      </c>
      <c r="CR278" s="744" t="str">
        <f t="shared" si="244"/>
        <v/>
      </c>
      <c r="CS278" s="744" t="str">
        <f t="shared" si="245"/>
        <v/>
      </c>
      <c r="CT278" s="744" t="str">
        <f t="shared" si="246"/>
        <v/>
      </c>
      <c r="CU278" s="744" t="str">
        <f t="shared" si="247"/>
        <v/>
      </c>
      <c r="CV278" s="744" t="str">
        <f t="shared" si="248"/>
        <v/>
      </c>
      <c r="CW278" s="744" t="str">
        <f t="shared" si="249"/>
        <v/>
      </c>
      <c r="CX278" s="744" t="str">
        <f t="shared" si="250"/>
        <v/>
      </c>
    </row>
    <row r="279" spans="1:102">
      <c r="A279" s="633">
        <v>275</v>
      </c>
      <c r="B279" s="630"/>
      <c r="C279" s="631"/>
      <c r="D279" s="630"/>
      <c r="E279" s="632"/>
      <c r="F279" s="1067"/>
      <c r="G279" s="1066"/>
      <c r="H279" s="1070"/>
      <c r="I279" s="1070"/>
      <c r="J279" s="1070"/>
      <c r="K279" s="1070"/>
      <c r="L279" s="1072"/>
      <c r="M279" s="1070"/>
      <c r="N279" s="1070"/>
      <c r="O279" s="1070"/>
      <c r="P279" s="1073"/>
      <c r="Q279" s="1070"/>
      <c r="R279" s="1070"/>
      <c r="S279" s="1070"/>
      <c r="T279" s="1070"/>
      <c r="U279" s="1070"/>
      <c r="V279" s="1066"/>
      <c r="W279" s="1070"/>
      <c r="X279" s="1070"/>
      <c r="Y279" s="1070"/>
      <c r="Z279" s="1070"/>
      <c r="AA279" s="1070"/>
      <c r="AB279" s="1070"/>
      <c r="AC279" s="1070"/>
      <c r="AD279" s="1070"/>
      <c r="AE279" s="1070"/>
      <c r="AF279" s="1070"/>
      <c r="AG279" s="1070"/>
      <c r="AH279" s="1073"/>
      <c r="AI279" s="1070"/>
      <c r="AJ279" s="1070"/>
      <c r="AK279" s="1070"/>
      <c r="AL279" s="1082"/>
      <c r="AM279" s="1069"/>
      <c r="AN279" s="1070"/>
      <c r="AO279" s="1070"/>
      <c r="AP279" s="1070"/>
      <c r="AQ279" s="1070"/>
      <c r="AR279" s="1069"/>
      <c r="AS279" s="1282"/>
      <c r="AT279" s="1282"/>
      <c r="AU279" s="1069"/>
      <c r="AV279" s="1069"/>
      <c r="AW279" s="1069"/>
      <c r="AX279" s="1070"/>
      <c r="AY279" s="1070"/>
      <c r="AZ279" s="1078">
        <f t="shared" si="203"/>
        <v>0</v>
      </c>
      <c r="BA279" s="59">
        <v>275</v>
      </c>
      <c r="BB279" s="59" t="str">
        <f t="shared" si="204"/>
        <v/>
      </c>
      <c r="BC279" s="60" t="str">
        <f t="shared" si="205"/>
        <v>-</v>
      </c>
      <c r="BD279" s="61" t="str">
        <f ca="1">IFERROR(IF(SEARCH('Calcular Dieta'!A$3,$BC$5:$BC$310)&gt;=1,BC279,"Não encontrado"),"Não encontrado")</f>
        <v>-</v>
      </c>
      <c r="BE279" s="62">
        <f ca="1">COUNTIF(BD$5:BD279,"&lt;&gt;"&amp;"Não encontrado")</f>
        <v>275</v>
      </c>
      <c r="BF279" s="63" t="str">
        <f t="shared" ca="1" si="206"/>
        <v>-</v>
      </c>
      <c r="BG279" s="744" t="str">
        <f t="shared" si="207"/>
        <v/>
      </c>
      <c r="BH279" s="744" t="str">
        <f t="shared" si="208"/>
        <v/>
      </c>
      <c r="BI279" s="744" t="str">
        <f t="shared" si="209"/>
        <v/>
      </c>
      <c r="BJ279" s="744" t="str">
        <f t="shared" si="210"/>
        <v/>
      </c>
      <c r="BK279" s="744" t="str">
        <f t="shared" si="211"/>
        <v/>
      </c>
      <c r="BL279" s="744" t="str">
        <f t="shared" si="212"/>
        <v/>
      </c>
      <c r="BM279" s="744" t="str">
        <f t="shared" si="213"/>
        <v/>
      </c>
      <c r="BN279" s="744" t="str">
        <f t="shared" si="214"/>
        <v/>
      </c>
      <c r="BO279" s="744" t="str">
        <f t="shared" si="215"/>
        <v/>
      </c>
      <c r="BP279" s="744" t="str">
        <f t="shared" si="216"/>
        <v/>
      </c>
      <c r="BQ279" s="744" t="str">
        <f t="shared" si="217"/>
        <v/>
      </c>
      <c r="BR279" s="744" t="str">
        <f t="shared" si="218"/>
        <v/>
      </c>
      <c r="BS279" s="744" t="str">
        <f t="shared" si="219"/>
        <v/>
      </c>
      <c r="BT279" s="744" t="str">
        <f t="shared" si="220"/>
        <v/>
      </c>
      <c r="BU279" s="744" t="str">
        <f t="shared" si="221"/>
        <v/>
      </c>
      <c r="BV279" s="744" t="str">
        <f t="shared" si="222"/>
        <v/>
      </c>
      <c r="BW279" s="744" t="str">
        <f t="shared" si="223"/>
        <v/>
      </c>
      <c r="BX279" s="744" t="str">
        <f t="shared" si="224"/>
        <v/>
      </c>
      <c r="BY279" s="744" t="str">
        <f t="shared" si="225"/>
        <v/>
      </c>
      <c r="BZ279" s="744" t="str">
        <f t="shared" si="226"/>
        <v/>
      </c>
      <c r="CA279" s="744" t="str">
        <f t="shared" si="227"/>
        <v/>
      </c>
      <c r="CB279" s="744" t="str">
        <f t="shared" si="228"/>
        <v/>
      </c>
      <c r="CC279" s="744" t="str">
        <f t="shared" si="229"/>
        <v/>
      </c>
      <c r="CD279" s="744" t="str">
        <f t="shared" si="230"/>
        <v/>
      </c>
      <c r="CE279" s="744" t="str">
        <f t="shared" si="231"/>
        <v/>
      </c>
      <c r="CF279" s="744" t="str">
        <f t="shared" si="232"/>
        <v/>
      </c>
      <c r="CG279" s="744" t="str">
        <f t="shared" si="233"/>
        <v/>
      </c>
      <c r="CH279" s="744" t="str">
        <f t="shared" si="234"/>
        <v/>
      </c>
      <c r="CI279" s="744" t="str">
        <f t="shared" si="235"/>
        <v/>
      </c>
      <c r="CJ279" s="744" t="str">
        <f t="shared" si="236"/>
        <v/>
      </c>
      <c r="CK279" s="744" t="str">
        <f t="shared" si="237"/>
        <v/>
      </c>
      <c r="CL279" s="744" t="str">
        <f t="shared" si="238"/>
        <v/>
      </c>
      <c r="CM279" s="744" t="str">
        <f t="shared" si="239"/>
        <v/>
      </c>
      <c r="CN279" s="744" t="str">
        <f t="shared" si="240"/>
        <v/>
      </c>
      <c r="CO279" s="744" t="str">
        <f t="shared" si="241"/>
        <v/>
      </c>
      <c r="CP279" s="744" t="str">
        <f t="shared" si="242"/>
        <v/>
      </c>
      <c r="CQ279" s="744" t="str">
        <f t="shared" si="243"/>
        <v/>
      </c>
      <c r="CR279" s="744" t="str">
        <f t="shared" si="244"/>
        <v/>
      </c>
      <c r="CS279" s="744" t="str">
        <f t="shared" si="245"/>
        <v/>
      </c>
      <c r="CT279" s="744" t="str">
        <f t="shared" si="246"/>
        <v/>
      </c>
      <c r="CU279" s="744" t="str">
        <f t="shared" si="247"/>
        <v/>
      </c>
      <c r="CV279" s="744" t="str">
        <f t="shared" si="248"/>
        <v/>
      </c>
      <c r="CW279" s="744" t="str">
        <f t="shared" si="249"/>
        <v/>
      </c>
      <c r="CX279" s="744" t="str">
        <f t="shared" si="250"/>
        <v/>
      </c>
    </row>
    <row r="280" spans="1:102">
      <c r="A280" s="630">
        <v>276</v>
      </c>
      <c r="B280" s="630"/>
      <c r="C280" s="631"/>
      <c r="D280" s="630"/>
      <c r="E280" s="632"/>
      <c r="F280" s="1067"/>
      <c r="G280" s="1066"/>
      <c r="H280" s="1070"/>
      <c r="I280" s="1070"/>
      <c r="J280" s="1070"/>
      <c r="K280" s="1070"/>
      <c r="L280" s="1072"/>
      <c r="M280" s="1070"/>
      <c r="N280" s="1070"/>
      <c r="O280" s="1070"/>
      <c r="P280" s="1073"/>
      <c r="Q280" s="1070"/>
      <c r="R280" s="1070"/>
      <c r="S280" s="1070"/>
      <c r="T280" s="1070"/>
      <c r="U280" s="1070"/>
      <c r="V280" s="1066"/>
      <c r="W280" s="1070"/>
      <c r="X280" s="1070"/>
      <c r="Y280" s="1070"/>
      <c r="Z280" s="1070"/>
      <c r="AA280" s="1070"/>
      <c r="AB280" s="1070"/>
      <c r="AC280" s="1070"/>
      <c r="AD280" s="1070"/>
      <c r="AE280" s="1070"/>
      <c r="AF280" s="1070"/>
      <c r="AG280" s="1070"/>
      <c r="AH280" s="1073"/>
      <c r="AI280" s="1070"/>
      <c r="AJ280" s="1070"/>
      <c r="AK280" s="1070"/>
      <c r="AL280" s="1082"/>
      <c r="AM280" s="1069"/>
      <c r="AN280" s="1070"/>
      <c r="AO280" s="1070"/>
      <c r="AP280" s="1070"/>
      <c r="AQ280" s="1070"/>
      <c r="AR280" s="1069"/>
      <c r="AS280" s="1282"/>
      <c r="AT280" s="1282"/>
      <c r="AU280" s="1069"/>
      <c r="AV280" s="1069"/>
      <c r="AW280" s="1069"/>
      <c r="AX280" s="1070"/>
      <c r="AY280" s="1070"/>
      <c r="AZ280" s="1078">
        <f t="shared" si="203"/>
        <v>0</v>
      </c>
      <c r="BA280" s="59">
        <v>276</v>
      </c>
      <c r="BB280" s="59" t="str">
        <f t="shared" si="204"/>
        <v/>
      </c>
      <c r="BC280" s="60" t="str">
        <f t="shared" si="205"/>
        <v>-</v>
      </c>
      <c r="BD280" s="61" t="str">
        <f ca="1">IFERROR(IF(SEARCH('Calcular Dieta'!A$3,$BC$5:$BC$310)&gt;=1,BC280,"Não encontrado"),"Não encontrado")</f>
        <v>-</v>
      </c>
      <c r="BE280" s="62">
        <f ca="1">COUNTIF(BD$5:BD280,"&lt;&gt;"&amp;"Não encontrado")</f>
        <v>276</v>
      </c>
      <c r="BF280" s="63" t="str">
        <f t="shared" ca="1" si="206"/>
        <v>-</v>
      </c>
      <c r="BG280" s="744" t="str">
        <f t="shared" si="207"/>
        <v/>
      </c>
      <c r="BH280" s="744" t="str">
        <f t="shared" si="208"/>
        <v/>
      </c>
      <c r="BI280" s="744" t="str">
        <f t="shared" si="209"/>
        <v/>
      </c>
      <c r="BJ280" s="744" t="str">
        <f t="shared" si="210"/>
        <v/>
      </c>
      <c r="BK280" s="744" t="str">
        <f t="shared" si="211"/>
        <v/>
      </c>
      <c r="BL280" s="744" t="str">
        <f t="shared" si="212"/>
        <v/>
      </c>
      <c r="BM280" s="744" t="str">
        <f t="shared" si="213"/>
        <v/>
      </c>
      <c r="BN280" s="744" t="str">
        <f t="shared" si="214"/>
        <v/>
      </c>
      <c r="BO280" s="744" t="str">
        <f t="shared" si="215"/>
        <v/>
      </c>
      <c r="BP280" s="744" t="str">
        <f t="shared" si="216"/>
        <v/>
      </c>
      <c r="BQ280" s="744" t="str">
        <f t="shared" si="217"/>
        <v/>
      </c>
      <c r="BR280" s="744" t="str">
        <f t="shared" si="218"/>
        <v/>
      </c>
      <c r="BS280" s="744" t="str">
        <f t="shared" si="219"/>
        <v/>
      </c>
      <c r="BT280" s="744" t="str">
        <f t="shared" si="220"/>
        <v/>
      </c>
      <c r="BU280" s="744" t="str">
        <f t="shared" si="221"/>
        <v/>
      </c>
      <c r="BV280" s="744" t="str">
        <f t="shared" si="222"/>
        <v/>
      </c>
      <c r="BW280" s="744" t="str">
        <f t="shared" si="223"/>
        <v/>
      </c>
      <c r="BX280" s="744" t="str">
        <f t="shared" si="224"/>
        <v/>
      </c>
      <c r="BY280" s="744" t="str">
        <f t="shared" si="225"/>
        <v/>
      </c>
      <c r="BZ280" s="744" t="str">
        <f t="shared" si="226"/>
        <v/>
      </c>
      <c r="CA280" s="744" t="str">
        <f t="shared" si="227"/>
        <v/>
      </c>
      <c r="CB280" s="744" t="str">
        <f t="shared" si="228"/>
        <v/>
      </c>
      <c r="CC280" s="744" t="str">
        <f t="shared" si="229"/>
        <v/>
      </c>
      <c r="CD280" s="744" t="str">
        <f t="shared" si="230"/>
        <v/>
      </c>
      <c r="CE280" s="744" t="str">
        <f t="shared" si="231"/>
        <v/>
      </c>
      <c r="CF280" s="744" t="str">
        <f t="shared" si="232"/>
        <v/>
      </c>
      <c r="CG280" s="744" t="str">
        <f t="shared" si="233"/>
        <v/>
      </c>
      <c r="CH280" s="744" t="str">
        <f t="shared" si="234"/>
        <v/>
      </c>
      <c r="CI280" s="744" t="str">
        <f t="shared" si="235"/>
        <v/>
      </c>
      <c r="CJ280" s="744" t="str">
        <f t="shared" si="236"/>
        <v/>
      </c>
      <c r="CK280" s="744" t="str">
        <f t="shared" si="237"/>
        <v/>
      </c>
      <c r="CL280" s="744" t="str">
        <f t="shared" si="238"/>
        <v/>
      </c>
      <c r="CM280" s="744" t="str">
        <f t="shared" si="239"/>
        <v/>
      </c>
      <c r="CN280" s="744" t="str">
        <f t="shared" si="240"/>
        <v/>
      </c>
      <c r="CO280" s="744" t="str">
        <f t="shared" si="241"/>
        <v/>
      </c>
      <c r="CP280" s="744" t="str">
        <f t="shared" si="242"/>
        <v/>
      </c>
      <c r="CQ280" s="744" t="str">
        <f t="shared" si="243"/>
        <v/>
      </c>
      <c r="CR280" s="744" t="str">
        <f t="shared" si="244"/>
        <v/>
      </c>
      <c r="CS280" s="744" t="str">
        <f t="shared" si="245"/>
        <v/>
      </c>
      <c r="CT280" s="744" t="str">
        <f t="shared" si="246"/>
        <v/>
      </c>
      <c r="CU280" s="744" t="str">
        <f t="shared" si="247"/>
        <v/>
      </c>
      <c r="CV280" s="744" t="str">
        <f t="shared" si="248"/>
        <v/>
      </c>
      <c r="CW280" s="744" t="str">
        <f t="shared" si="249"/>
        <v/>
      </c>
      <c r="CX280" s="744" t="str">
        <f t="shared" si="250"/>
        <v/>
      </c>
    </row>
    <row r="281" spans="1:102">
      <c r="A281" s="633">
        <v>277</v>
      </c>
      <c r="B281" s="630"/>
      <c r="C281" s="631"/>
      <c r="D281" s="630"/>
      <c r="E281" s="632"/>
      <c r="F281" s="1067"/>
      <c r="G281" s="1066"/>
      <c r="H281" s="1070"/>
      <c r="I281" s="1070"/>
      <c r="J281" s="1070"/>
      <c r="K281" s="1070"/>
      <c r="L281" s="1072"/>
      <c r="M281" s="1070"/>
      <c r="N281" s="1070"/>
      <c r="O281" s="1070"/>
      <c r="P281" s="1073"/>
      <c r="Q281" s="1070"/>
      <c r="R281" s="1070"/>
      <c r="S281" s="1070"/>
      <c r="T281" s="1070"/>
      <c r="U281" s="1070"/>
      <c r="V281" s="1066"/>
      <c r="W281" s="1070"/>
      <c r="X281" s="1070"/>
      <c r="Y281" s="1070"/>
      <c r="Z281" s="1070"/>
      <c r="AA281" s="1070"/>
      <c r="AB281" s="1070"/>
      <c r="AC281" s="1070"/>
      <c r="AD281" s="1070"/>
      <c r="AE281" s="1070"/>
      <c r="AF281" s="1070"/>
      <c r="AG281" s="1070"/>
      <c r="AH281" s="1073"/>
      <c r="AI281" s="1070"/>
      <c r="AJ281" s="1070"/>
      <c r="AK281" s="1070"/>
      <c r="AL281" s="1082"/>
      <c r="AM281" s="1069"/>
      <c r="AN281" s="1070"/>
      <c r="AO281" s="1070"/>
      <c r="AP281" s="1070"/>
      <c r="AQ281" s="1070"/>
      <c r="AR281" s="1069"/>
      <c r="AS281" s="1282"/>
      <c r="AT281" s="1282"/>
      <c r="AU281" s="1069"/>
      <c r="AV281" s="1069"/>
      <c r="AW281" s="1069"/>
      <c r="AX281" s="1070"/>
      <c r="AY281" s="1070"/>
      <c r="AZ281" s="1078">
        <f t="shared" si="203"/>
        <v>0</v>
      </c>
      <c r="BA281" s="59">
        <v>277</v>
      </c>
      <c r="BB281" s="59" t="str">
        <f t="shared" si="204"/>
        <v/>
      </c>
      <c r="BC281" s="60" t="str">
        <f t="shared" si="205"/>
        <v>-</v>
      </c>
      <c r="BD281" s="61" t="str">
        <f ca="1">IFERROR(IF(SEARCH('Calcular Dieta'!A$3,$BC$5:$BC$310)&gt;=1,BC281,"Não encontrado"),"Não encontrado")</f>
        <v>-</v>
      </c>
      <c r="BE281" s="62">
        <f ca="1">COUNTIF(BD$5:BD281,"&lt;&gt;"&amp;"Não encontrado")</f>
        <v>277</v>
      </c>
      <c r="BF281" s="63" t="str">
        <f t="shared" ca="1" si="206"/>
        <v>-</v>
      </c>
      <c r="BG281" s="744" t="str">
        <f t="shared" si="207"/>
        <v/>
      </c>
      <c r="BH281" s="744" t="str">
        <f t="shared" si="208"/>
        <v/>
      </c>
      <c r="BI281" s="744" t="str">
        <f t="shared" si="209"/>
        <v/>
      </c>
      <c r="BJ281" s="744" t="str">
        <f t="shared" si="210"/>
        <v/>
      </c>
      <c r="BK281" s="744" t="str">
        <f t="shared" si="211"/>
        <v/>
      </c>
      <c r="BL281" s="744" t="str">
        <f t="shared" si="212"/>
        <v/>
      </c>
      <c r="BM281" s="744" t="str">
        <f t="shared" si="213"/>
        <v/>
      </c>
      <c r="BN281" s="744" t="str">
        <f t="shared" si="214"/>
        <v/>
      </c>
      <c r="BO281" s="744" t="str">
        <f t="shared" si="215"/>
        <v/>
      </c>
      <c r="BP281" s="744" t="str">
        <f t="shared" si="216"/>
        <v/>
      </c>
      <c r="BQ281" s="744" t="str">
        <f t="shared" si="217"/>
        <v/>
      </c>
      <c r="BR281" s="744" t="str">
        <f t="shared" si="218"/>
        <v/>
      </c>
      <c r="BS281" s="744" t="str">
        <f t="shared" si="219"/>
        <v/>
      </c>
      <c r="BT281" s="744" t="str">
        <f t="shared" si="220"/>
        <v/>
      </c>
      <c r="BU281" s="744" t="str">
        <f t="shared" si="221"/>
        <v/>
      </c>
      <c r="BV281" s="744" t="str">
        <f t="shared" si="222"/>
        <v/>
      </c>
      <c r="BW281" s="744" t="str">
        <f t="shared" si="223"/>
        <v/>
      </c>
      <c r="BX281" s="744" t="str">
        <f t="shared" si="224"/>
        <v/>
      </c>
      <c r="BY281" s="744" t="str">
        <f t="shared" si="225"/>
        <v/>
      </c>
      <c r="BZ281" s="744" t="str">
        <f t="shared" si="226"/>
        <v/>
      </c>
      <c r="CA281" s="744" t="str">
        <f t="shared" si="227"/>
        <v/>
      </c>
      <c r="CB281" s="744" t="str">
        <f t="shared" si="228"/>
        <v/>
      </c>
      <c r="CC281" s="744" t="str">
        <f t="shared" si="229"/>
        <v/>
      </c>
      <c r="CD281" s="744" t="str">
        <f t="shared" si="230"/>
        <v/>
      </c>
      <c r="CE281" s="744" t="str">
        <f t="shared" si="231"/>
        <v/>
      </c>
      <c r="CF281" s="744" t="str">
        <f t="shared" si="232"/>
        <v/>
      </c>
      <c r="CG281" s="744" t="str">
        <f t="shared" si="233"/>
        <v/>
      </c>
      <c r="CH281" s="744" t="str">
        <f t="shared" si="234"/>
        <v/>
      </c>
      <c r="CI281" s="744" t="str">
        <f t="shared" si="235"/>
        <v/>
      </c>
      <c r="CJ281" s="744" t="str">
        <f t="shared" si="236"/>
        <v/>
      </c>
      <c r="CK281" s="744" t="str">
        <f t="shared" si="237"/>
        <v/>
      </c>
      <c r="CL281" s="744" t="str">
        <f t="shared" si="238"/>
        <v/>
      </c>
      <c r="CM281" s="744" t="str">
        <f t="shared" si="239"/>
        <v/>
      </c>
      <c r="CN281" s="744" t="str">
        <f t="shared" si="240"/>
        <v/>
      </c>
      <c r="CO281" s="744" t="str">
        <f t="shared" si="241"/>
        <v/>
      </c>
      <c r="CP281" s="744" t="str">
        <f t="shared" si="242"/>
        <v/>
      </c>
      <c r="CQ281" s="744" t="str">
        <f t="shared" si="243"/>
        <v/>
      </c>
      <c r="CR281" s="744" t="str">
        <f t="shared" si="244"/>
        <v/>
      </c>
      <c r="CS281" s="744" t="str">
        <f t="shared" si="245"/>
        <v/>
      </c>
      <c r="CT281" s="744" t="str">
        <f t="shared" si="246"/>
        <v/>
      </c>
      <c r="CU281" s="744" t="str">
        <f t="shared" si="247"/>
        <v/>
      </c>
      <c r="CV281" s="744" t="str">
        <f t="shared" si="248"/>
        <v/>
      </c>
      <c r="CW281" s="744" t="str">
        <f t="shared" si="249"/>
        <v/>
      </c>
      <c r="CX281" s="744" t="str">
        <f t="shared" si="250"/>
        <v/>
      </c>
    </row>
    <row r="282" spans="1:102">
      <c r="A282" s="630">
        <v>278</v>
      </c>
      <c r="B282" s="630"/>
      <c r="C282" s="631"/>
      <c r="D282" s="630"/>
      <c r="E282" s="632"/>
      <c r="F282" s="1067"/>
      <c r="G282" s="1066"/>
      <c r="H282" s="1070"/>
      <c r="I282" s="1070"/>
      <c r="J282" s="1070"/>
      <c r="K282" s="1070"/>
      <c r="L282" s="1072"/>
      <c r="M282" s="1070"/>
      <c r="N282" s="1070"/>
      <c r="O282" s="1070"/>
      <c r="P282" s="1073"/>
      <c r="Q282" s="1070"/>
      <c r="R282" s="1070"/>
      <c r="S282" s="1070"/>
      <c r="T282" s="1070"/>
      <c r="U282" s="1070"/>
      <c r="V282" s="1066"/>
      <c r="W282" s="1070"/>
      <c r="X282" s="1070"/>
      <c r="Y282" s="1070"/>
      <c r="Z282" s="1070"/>
      <c r="AA282" s="1070"/>
      <c r="AB282" s="1070"/>
      <c r="AC282" s="1070"/>
      <c r="AD282" s="1070"/>
      <c r="AE282" s="1070"/>
      <c r="AF282" s="1070"/>
      <c r="AG282" s="1070"/>
      <c r="AH282" s="1073"/>
      <c r="AI282" s="1070"/>
      <c r="AJ282" s="1070"/>
      <c r="AK282" s="1070"/>
      <c r="AL282" s="1082"/>
      <c r="AM282" s="1069"/>
      <c r="AN282" s="1070"/>
      <c r="AO282" s="1070"/>
      <c r="AP282" s="1070"/>
      <c r="AQ282" s="1070"/>
      <c r="AR282" s="1069"/>
      <c r="AS282" s="1282"/>
      <c r="AT282" s="1282"/>
      <c r="AU282" s="1069"/>
      <c r="AV282" s="1069"/>
      <c r="AW282" s="1069"/>
      <c r="AX282" s="1070"/>
      <c r="AY282" s="1070"/>
      <c r="AZ282" s="1078">
        <f t="shared" si="203"/>
        <v>0</v>
      </c>
      <c r="BA282" s="59">
        <v>278</v>
      </c>
      <c r="BB282" s="59" t="str">
        <f t="shared" si="204"/>
        <v/>
      </c>
      <c r="BC282" s="60" t="str">
        <f t="shared" si="205"/>
        <v>-</v>
      </c>
      <c r="BD282" s="61" t="str">
        <f ca="1">IFERROR(IF(SEARCH('Calcular Dieta'!A$3,$BC$5:$BC$310)&gt;=1,BC282,"Não encontrado"),"Não encontrado")</f>
        <v>-</v>
      </c>
      <c r="BE282" s="62">
        <f ca="1">COUNTIF(BD$5:BD282,"&lt;&gt;"&amp;"Não encontrado")</f>
        <v>278</v>
      </c>
      <c r="BF282" s="63" t="str">
        <f t="shared" ca="1" si="206"/>
        <v>-</v>
      </c>
      <c r="BG282" s="744" t="str">
        <f t="shared" si="207"/>
        <v/>
      </c>
      <c r="BH282" s="744" t="str">
        <f t="shared" si="208"/>
        <v/>
      </c>
      <c r="BI282" s="744" t="str">
        <f t="shared" si="209"/>
        <v/>
      </c>
      <c r="BJ282" s="744" t="str">
        <f t="shared" si="210"/>
        <v/>
      </c>
      <c r="BK282" s="744" t="str">
        <f t="shared" si="211"/>
        <v/>
      </c>
      <c r="BL282" s="744" t="str">
        <f t="shared" si="212"/>
        <v/>
      </c>
      <c r="BM282" s="744" t="str">
        <f t="shared" si="213"/>
        <v/>
      </c>
      <c r="BN282" s="744" t="str">
        <f t="shared" si="214"/>
        <v/>
      </c>
      <c r="BO282" s="744" t="str">
        <f t="shared" si="215"/>
        <v/>
      </c>
      <c r="BP282" s="744" t="str">
        <f t="shared" si="216"/>
        <v/>
      </c>
      <c r="BQ282" s="744" t="str">
        <f t="shared" si="217"/>
        <v/>
      </c>
      <c r="BR282" s="744" t="str">
        <f t="shared" si="218"/>
        <v/>
      </c>
      <c r="BS282" s="744" t="str">
        <f t="shared" si="219"/>
        <v/>
      </c>
      <c r="BT282" s="744" t="str">
        <f t="shared" si="220"/>
        <v/>
      </c>
      <c r="BU282" s="744" t="str">
        <f t="shared" si="221"/>
        <v/>
      </c>
      <c r="BV282" s="744" t="str">
        <f t="shared" si="222"/>
        <v/>
      </c>
      <c r="BW282" s="744" t="str">
        <f t="shared" si="223"/>
        <v/>
      </c>
      <c r="BX282" s="744" t="str">
        <f t="shared" si="224"/>
        <v/>
      </c>
      <c r="BY282" s="744" t="str">
        <f t="shared" si="225"/>
        <v/>
      </c>
      <c r="BZ282" s="744" t="str">
        <f t="shared" si="226"/>
        <v/>
      </c>
      <c r="CA282" s="744" t="str">
        <f t="shared" si="227"/>
        <v/>
      </c>
      <c r="CB282" s="744" t="str">
        <f t="shared" si="228"/>
        <v/>
      </c>
      <c r="CC282" s="744" t="str">
        <f t="shared" si="229"/>
        <v/>
      </c>
      <c r="CD282" s="744" t="str">
        <f t="shared" si="230"/>
        <v/>
      </c>
      <c r="CE282" s="744" t="str">
        <f t="shared" si="231"/>
        <v/>
      </c>
      <c r="CF282" s="744" t="str">
        <f t="shared" si="232"/>
        <v/>
      </c>
      <c r="CG282" s="744" t="str">
        <f t="shared" si="233"/>
        <v/>
      </c>
      <c r="CH282" s="744" t="str">
        <f t="shared" si="234"/>
        <v/>
      </c>
      <c r="CI282" s="744" t="str">
        <f t="shared" si="235"/>
        <v/>
      </c>
      <c r="CJ282" s="744" t="str">
        <f t="shared" si="236"/>
        <v/>
      </c>
      <c r="CK282" s="744" t="str">
        <f t="shared" si="237"/>
        <v/>
      </c>
      <c r="CL282" s="744" t="str">
        <f t="shared" si="238"/>
        <v/>
      </c>
      <c r="CM282" s="744" t="str">
        <f t="shared" si="239"/>
        <v/>
      </c>
      <c r="CN282" s="744" t="str">
        <f t="shared" si="240"/>
        <v/>
      </c>
      <c r="CO282" s="744" t="str">
        <f t="shared" si="241"/>
        <v/>
      </c>
      <c r="CP282" s="744" t="str">
        <f t="shared" si="242"/>
        <v/>
      </c>
      <c r="CQ282" s="744" t="str">
        <f t="shared" si="243"/>
        <v/>
      </c>
      <c r="CR282" s="744" t="str">
        <f t="shared" si="244"/>
        <v/>
      </c>
      <c r="CS282" s="744" t="str">
        <f t="shared" si="245"/>
        <v/>
      </c>
      <c r="CT282" s="744" t="str">
        <f t="shared" si="246"/>
        <v/>
      </c>
      <c r="CU282" s="744" t="str">
        <f t="shared" si="247"/>
        <v/>
      </c>
      <c r="CV282" s="744" t="str">
        <f t="shared" si="248"/>
        <v/>
      </c>
      <c r="CW282" s="744" t="str">
        <f t="shared" si="249"/>
        <v/>
      </c>
      <c r="CX282" s="744" t="str">
        <f t="shared" si="250"/>
        <v/>
      </c>
    </row>
    <row r="283" spans="1:102">
      <c r="A283" s="633">
        <v>279</v>
      </c>
      <c r="B283" s="630"/>
      <c r="C283" s="631"/>
      <c r="D283" s="630"/>
      <c r="E283" s="632"/>
      <c r="F283" s="1067"/>
      <c r="G283" s="1066"/>
      <c r="H283" s="1070"/>
      <c r="I283" s="1070"/>
      <c r="J283" s="1070"/>
      <c r="K283" s="1070"/>
      <c r="L283" s="1072"/>
      <c r="M283" s="1070"/>
      <c r="N283" s="1070"/>
      <c r="O283" s="1070"/>
      <c r="P283" s="1073"/>
      <c r="Q283" s="1070"/>
      <c r="R283" s="1070"/>
      <c r="S283" s="1070"/>
      <c r="T283" s="1070"/>
      <c r="U283" s="1070"/>
      <c r="V283" s="1066"/>
      <c r="W283" s="1070"/>
      <c r="X283" s="1070"/>
      <c r="Y283" s="1070"/>
      <c r="Z283" s="1070"/>
      <c r="AA283" s="1070"/>
      <c r="AB283" s="1070"/>
      <c r="AC283" s="1070"/>
      <c r="AD283" s="1070"/>
      <c r="AE283" s="1070"/>
      <c r="AF283" s="1070"/>
      <c r="AG283" s="1070"/>
      <c r="AH283" s="1073"/>
      <c r="AI283" s="1070"/>
      <c r="AJ283" s="1070"/>
      <c r="AK283" s="1070"/>
      <c r="AL283" s="1082"/>
      <c r="AM283" s="1069"/>
      <c r="AN283" s="1070"/>
      <c r="AO283" s="1070"/>
      <c r="AP283" s="1070"/>
      <c r="AQ283" s="1070"/>
      <c r="AR283" s="1069"/>
      <c r="AS283" s="1282"/>
      <c r="AT283" s="1282"/>
      <c r="AU283" s="1069"/>
      <c r="AV283" s="1069"/>
      <c r="AW283" s="1069"/>
      <c r="AX283" s="1070"/>
      <c r="AY283" s="1070"/>
      <c r="AZ283" s="1078">
        <f t="shared" si="203"/>
        <v>0</v>
      </c>
      <c r="BA283" s="59">
        <v>279</v>
      </c>
      <c r="BB283" s="59" t="str">
        <f t="shared" si="204"/>
        <v/>
      </c>
      <c r="BC283" s="60" t="str">
        <f t="shared" si="205"/>
        <v>-</v>
      </c>
      <c r="BD283" s="61" t="str">
        <f ca="1">IFERROR(IF(SEARCH('Calcular Dieta'!A$3,$BC$5:$BC$310)&gt;=1,BC283,"Não encontrado"),"Não encontrado")</f>
        <v>-</v>
      </c>
      <c r="BE283" s="62">
        <f ca="1">COUNTIF(BD$5:BD283,"&lt;&gt;"&amp;"Não encontrado")</f>
        <v>279</v>
      </c>
      <c r="BF283" s="63" t="str">
        <f t="shared" ca="1" si="206"/>
        <v>-</v>
      </c>
      <c r="BG283" s="744" t="str">
        <f t="shared" si="207"/>
        <v/>
      </c>
      <c r="BH283" s="744" t="str">
        <f t="shared" si="208"/>
        <v/>
      </c>
      <c r="BI283" s="744" t="str">
        <f t="shared" si="209"/>
        <v/>
      </c>
      <c r="BJ283" s="744" t="str">
        <f t="shared" si="210"/>
        <v/>
      </c>
      <c r="BK283" s="744" t="str">
        <f t="shared" si="211"/>
        <v/>
      </c>
      <c r="BL283" s="744" t="str">
        <f t="shared" si="212"/>
        <v/>
      </c>
      <c r="BM283" s="744" t="str">
        <f t="shared" si="213"/>
        <v/>
      </c>
      <c r="BN283" s="744" t="str">
        <f t="shared" si="214"/>
        <v/>
      </c>
      <c r="BO283" s="744" t="str">
        <f t="shared" si="215"/>
        <v/>
      </c>
      <c r="BP283" s="744" t="str">
        <f t="shared" si="216"/>
        <v/>
      </c>
      <c r="BQ283" s="744" t="str">
        <f t="shared" si="217"/>
        <v/>
      </c>
      <c r="BR283" s="744" t="str">
        <f t="shared" si="218"/>
        <v/>
      </c>
      <c r="BS283" s="744" t="str">
        <f t="shared" si="219"/>
        <v/>
      </c>
      <c r="BT283" s="744" t="str">
        <f t="shared" si="220"/>
        <v/>
      </c>
      <c r="BU283" s="744" t="str">
        <f t="shared" si="221"/>
        <v/>
      </c>
      <c r="BV283" s="744" t="str">
        <f t="shared" si="222"/>
        <v/>
      </c>
      <c r="BW283" s="744" t="str">
        <f t="shared" si="223"/>
        <v/>
      </c>
      <c r="BX283" s="744" t="str">
        <f t="shared" si="224"/>
        <v/>
      </c>
      <c r="BY283" s="744" t="str">
        <f t="shared" si="225"/>
        <v/>
      </c>
      <c r="BZ283" s="744" t="str">
        <f t="shared" si="226"/>
        <v/>
      </c>
      <c r="CA283" s="744" t="str">
        <f t="shared" si="227"/>
        <v/>
      </c>
      <c r="CB283" s="744" t="str">
        <f t="shared" si="228"/>
        <v/>
      </c>
      <c r="CC283" s="744" t="str">
        <f t="shared" si="229"/>
        <v/>
      </c>
      <c r="CD283" s="744" t="str">
        <f t="shared" si="230"/>
        <v/>
      </c>
      <c r="CE283" s="744" t="str">
        <f t="shared" si="231"/>
        <v/>
      </c>
      <c r="CF283" s="744" t="str">
        <f t="shared" si="232"/>
        <v/>
      </c>
      <c r="CG283" s="744" t="str">
        <f t="shared" si="233"/>
        <v/>
      </c>
      <c r="CH283" s="744" t="str">
        <f t="shared" si="234"/>
        <v/>
      </c>
      <c r="CI283" s="744" t="str">
        <f t="shared" si="235"/>
        <v/>
      </c>
      <c r="CJ283" s="744" t="str">
        <f t="shared" si="236"/>
        <v/>
      </c>
      <c r="CK283" s="744" t="str">
        <f t="shared" si="237"/>
        <v/>
      </c>
      <c r="CL283" s="744" t="str">
        <f t="shared" si="238"/>
        <v/>
      </c>
      <c r="CM283" s="744" t="str">
        <f t="shared" si="239"/>
        <v/>
      </c>
      <c r="CN283" s="744" t="str">
        <f t="shared" si="240"/>
        <v/>
      </c>
      <c r="CO283" s="744" t="str">
        <f t="shared" si="241"/>
        <v/>
      </c>
      <c r="CP283" s="744" t="str">
        <f t="shared" si="242"/>
        <v/>
      </c>
      <c r="CQ283" s="744" t="str">
        <f t="shared" si="243"/>
        <v/>
      </c>
      <c r="CR283" s="744" t="str">
        <f t="shared" si="244"/>
        <v/>
      </c>
      <c r="CS283" s="744" t="str">
        <f t="shared" si="245"/>
        <v/>
      </c>
      <c r="CT283" s="744" t="str">
        <f t="shared" si="246"/>
        <v/>
      </c>
      <c r="CU283" s="744" t="str">
        <f t="shared" si="247"/>
        <v/>
      </c>
      <c r="CV283" s="744" t="str">
        <f t="shared" si="248"/>
        <v/>
      </c>
      <c r="CW283" s="744" t="str">
        <f t="shared" si="249"/>
        <v/>
      </c>
      <c r="CX283" s="744" t="str">
        <f t="shared" si="250"/>
        <v/>
      </c>
    </row>
    <row r="284" spans="1:102">
      <c r="A284" s="630">
        <v>280</v>
      </c>
      <c r="B284" s="630"/>
      <c r="C284" s="631"/>
      <c r="D284" s="630"/>
      <c r="E284" s="632"/>
      <c r="F284" s="1067"/>
      <c r="G284" s="1066"/>
      <c r="H284" s="1070"/>
      <c r="I284" s="1070"/>
      <c r="J284" s="1070"/>
      <c r="K284" s="1070"/>
      <c r="L284" s="1072"/>
      <c r="M284" s="1070"/>
      <c r="N284" s="1070"/>
      <c r="O284" s="1070"/>
      <c r="P284" s="1073"/>
      <c r="Q284" s="1070"/>
      <c r="R284" s="1070"/>
      <c r="S284" s="1070"/>
      <c r="T284" s="1070"/>
      <c r="U284" s="1070"/>
      <c r="V284" s="1066"/>
      <c r="W284" s="1070"/>
      <c r="X284" s="1070"/>
      <c r="Y284" s="1070"/>
      <c r="Z284" s="1070"/>
      <c r="AA284" s="1070"/>
      <c r="AB284" s="1070"/>
      <c r="AC284" s="1070"/>
      <c r="AD284" s="1070"/>
      <c r="AE284" s="1070"/>
      <c r="AF284" s="1070"/>
      <c r="AG284" s="1070"/>
      <c r="AH284" s="1073"/>
      <c r="AI284" s="1070"/>
      <c r="AJ284" s="1070"/>
      <c r="AK284" s="1070"/>
      <c r="AL284" s="1082"/>
      <c r="AM284" s="1069"/>
      <c r="AN284" s="1070"/>
      <c r="AO284" s="1070"/>
      <c r="AP284" s="1070"/>
      <c r="AQ284" s="1070"/>
      <c r="AR284" s="1069"/>
      <c r="AS284" s="1282"/>
      <c r="AT284" s="1282"/>
      <c r="AU284" s="1069"/>
      <c r="AV284" s="1069"/>
      <c r="AW284" s="1069"/>
      <c r="AX284" s="1070"/>
      <c r="AY284" s="1070"/>
      <c r="AZ284" s="1078">
        <f t="shared" si="203"/>
        <v>0</v>
      </c>
      <c r="BA284" s="59">
        <v>280</v>
      </c>
      <c r="BB284" s="59" t="str">
        <f t="shared" si="204"/>
        <v/>
      </c>
      <c r="BC284" s="60" t="str">
        <f t="shared" si="205"/>
        <v>-</v>
      </c>
      <c r="BD284" s="61" t="str">
        <f ca="1">IFERROR(IF(SEARCH('Calcular Dieta'!A$3,$BC$5:$BC$310)&gt;=1,BC284,"Não encontrado"),"Não encontrado")</f>
        <v>-</v>
      </c>
      <c r="BE284" s="62">
        <f ca="1">COUNTIF(BD$5:BD284,"&lt;&gt;"&amp;"Não encontrado")</f>
        <v>280</v>
      </c>
      <c r="BF284" s="63" t="str">
        <f t="shared" ca="1" si="206"/>
        <v>-</v>
      </c>
      <c r="BG284" s="744" t="str">
        <f t="shared" si="207"/>
        <v/>
      </c>
      <c r="BH284" s="744" t="str">
        <f t="shared" si="208"/>
        <v/>
      </c>
      <c r="BI284" s="744" t="str">
        <f t="shared" si="209"/>
        <v/>
      </c>
      <c r="BJ284" s="744" t="str">
        <f t="shared" si="210"/>
        <v/>
      </c>
      <c r="BK284" s="744" t="str">
        <f t="shared" si="211"/>
        <v/>
      </c>
      <c r="BL284" s="744" t="str">
        <f t="shared" si="212"/>
        <v/>
      </c>
      <c r="BM284" s="744" t="str">
        <f t="shared" si="213"/>
        <v/>
      </c>
      <c r="BN284" s="744" t="str">
        <f t="shared" si="214"/>
        <v/>
      </c>
      <c r="BO284" s="744" t="str">
        <f t="shared" si="215"/>
        <v/>
      </c>
      <c r="BP284" s="744" t="str">
        <f t="shared" si="216"/>
        <v/>
      </c>
      <c r="BQ284" s="744" t="str">
        <f t="shared" si="217"/>
        <v/>
      </c>
      <c r="BR284" s="744" t="str">
        <f t="shared" si="218"/>
        <v/>
      </c>
      <c r="BS284" s="744" t="str">
        <f t="shared" si="219"/>
        <v/>
      </c>
      <c r="BT284" s="744" t="str">
        <f t="shared" si="220"/>
        <v/>
      </c>
      <c r="BU284" s="744" t="str">
        <f t="shared" si="221"/>
        <v/>
      </c>
      <c r="BV284" s="744" t="str">
        <f t="shared" si="222"/>
        <v/>
      </c>
      <c r="BW284" s="744" t="str">
        <f t="shared" si="223"/>
        <v/>
      </c>
      <c r="BX284" s="744" t="str">
        <f t="shared" si="224"/>
        <v/>
      </c>
      <c r="BY284" s="744" t="str">
        <f t="shared" si="225"/>
        <v/>
      </c>
      <c r="BZ284" s="744" t="str">
        <f t="shared" si="226"/>
        <v/>
      </c>
      <c r="CA284" s="744" t="str">
        <f t="shared" si="227"/>
        <v/>
      </c>
      <c r="CB284" s="744" t="str">
        <f t="shared" si="228"/>
        <v/>
      </c>
      <c r="CC284" s="744" t="str">
        <f t="shared" si="229"/>
        <v/>
      </c>
      <c r="CD284" s="744" t="str">
        <f t="shared" si="230"/>
        <v/>
      </c>
      <c r="CE284" s="744" t="str">
        <f t="shared" si="231"/>
        <v/>
      </c>
      <c r="CF284" s="744" t="str">
        <f t="shared" si="232"/>
        <v/>
      </c>
      <c r="CG284" s="744" t="str">
        <f t="shared" si="233"/>
        <v/>
      </c>
      <c r="CH284" s="744" t="str">
        <f t="shared" si="234"/>
        <v/>
      </c>
      <c r="CI284" s="744" t="str">
        <f t="shared" si="235"/>
        <v/>
      </c>
      <c r="CJ284" s="744" t="str">
        <f t="shared" si="236"/>
        <v/>
      </c>
      <c r="CK284" s="744" t="str">
        <f t="shared" si="237"/>
        <v/>
      </c>
      <c r="CL284" s="744" t="str">
        <f t="shared" si="238"/>
        <v/>
      </c>
      <c r="CM284" s="744" t="str">
        <f t="shared" si="239"/>
        <v/>
      </c>
      <c r="CN284" s="744" t="str">
        <f t="shared" si="240"/>
        <v/>
      </c>
      <c r="CO284" s="744" t="str">
        <f t="shared" si="241"/>
        <v/>
      </c>
      <c r="CP284" s="744" t="str">
        <f t="shared" si="242"/>
        <v/>
      </c>
      <c r="CQ284" s="744" t="str">
        <f t="shared" si="243"/>
        <v/>
      </c>
      <c r="CR284" s="744" t="str">
        <f t="shared" si="244"/>
        <v/>
      </c>
      <c r="CS284" s="744" t="str">
        <f t="shared" si="245"/>
        <v/>
      </c>
      <c r="CT284" s="744" t="str">
        <f t="shared" si="246"/>
        <v/>
      </c>
      <c r="CU284" s="744" t="str">
        <f t="shared" si="247"/>
        <v/>
      </c>
      <c r="CV284" s="744" t="str">
        <f t="shared" si="248"/>
        <v/>
      </c>
      <c r="CW284" s="744" t="str">
        <f t="shared" si="249"/>
        <v/>
      </c>
      <c r="CX284" s="744" t="str">
        <f t="shared" si="250"/>
        <v/>
      </c>
    </row>
    <row r="285" spans="1:102">
      <c r="A285" s="633">
        <v>281</v>
      </c>
      <c r="B285" s="630"/>
      <c r="C285" s="631"/>
      <c r="D285" s="630"/>
      <c r="E285" s="632"/>
      <c r="F285" s="1067"/>
      <c r="G285" s="1066"/>
      <c r="H285" s="1070"/>
      <c r="I285" s="1070"/>
      <c r="J285" s="1070"/>
      <c r="K285" s="1070"/>
      <c r="L285" s="1072"/>
      <c r="M285" s="1070"/>
      <c r="N285" s="1070"/>
      <c r="O285" s="1070"/>
      <c r="P285" s="1073"/>
      <c r="Q285" s="1070"/>
      <c r="R285" s="1070"/>
      <c r="S285" s="1070"/>
      <c r="T285" s="1070"/>
      <c r="U285" s="1070"/>
      <c r="V285" s="1066"/>
      <c r="W285" s="1070"/>
      <c r="X285" s="1070"/>
      <c r="Y285" s="1070"/>
      <c r="Z285" s="1070"/>
      <c r="AA285" s="1070"/>
      <c r="AB285" s="1070"/>
      <c r="AC285" s="1070"/>
      <c r="AD285" s="1070"/>
      <c r="AE285" s="1070"/>
      <c r="AF285" s="1070"/>
      <c r="AG285" s="1070"/>
      <c r="AH285" s="1073"/>
      <c r="AI285" s="1070"/>
      <c r="AJ285" s="1070"/>
      <c r="AK285" s="1070"/>
      <c r="AL285" s="1082"/>
      <c r="AM285" s="1069"/>
      <c r="AN285" s="1070"/>
      <c r="AO285" s="1070"/>
      <c r="AP285" s="1070"/>
      <c r="AQ285" s="1070"/>
      <c r="AR285" s="1069"/>
      <c r="AS285" s="1282"/>
      <c r="AT285" s="1282"/>
      <c r="AU285" s="1069"/>
      <c r="AV285" s="1069"/>
      <c r="AW285" s="1069"/>
      <c r="AX285" s="1070"/>
      <c r="AY285" s="1070"/>
      <c r="AZ285" s="1078">
        <f t="shared" si="203"/>
        <v>0</v>
      </c>
      <c r="BA285" s="59">
        <v>281</v>
      </c>
      <c r="BB285" s="59" t="str">
        <f t="shared" si="204"/>
        <v/>
      </c>
      <c r="BC285" s="60" t="str">
        <f t="shared" si="205"/>
        <v>-</v>
      </c>
      <c r="BD285" s="61" t="str">
        <f ca="1">IFERROR(IF(SEARCH('Calcular Dieta'!A$3,$BC$5:$BC$310)&gt;=1,BC285,"Não encontrado"),"Não encontrado")</f>
        <v>-</v>
      </c>
      <c r="BE285" s="62">
        <f ca="1">COUNTIF(BD$5:BD285,"&lt;&gt;"&amp;"Não encontrado")</f>
        <v>281</v>
      </c>
      <c r="BF285" s="63" t="str">
        <f t="shared" ca="1" si="206"/>
        <v>-</v>
      </c>
      <c r="BG285" s="744" t="str">
        <f t="shared" si="207"/>
        <v/>
      </c>
      <c r="BH285" s="744" t="str">
        <f t="shared" si="208"/>
        <v/>
      </c>
      <c r="BI285" s="744" t="str">
        <f t="shared" si="209"/>
        <v/>
      </c>
      <c r="BJ285" s="744" t="str">
        <f t="shared" si="210"/>
        <v/>
      </c>
      <c r="BK285" s="744" t="str">
        <f t="shared" si="211"/>
        <v/>
      </c>
      <c r="BL285" s="744" t="str">
        <f t="shared" si="212"/>
        <v/>
      </c>
      <c r="BM285" s="744" t="str">
        <f t="shared" si="213"/>
        <v/>
      </c>
      <c r="BN285" s="744" t="str">
        <f t="shared" si="214"/>
        <v/>
      </c>
      <c r="BO285" s="744" t="str">
        <f t="shared" si="215"/>
        <v/>
      </c>
      <c r="BP285" s="744" t="str">
        <f t="shared" si="216"/>
        <v/>
      </c>
      <c r="BQ285" s="744" t="str">
        <f t="shared" si="217"/>
        <v/>
      </c>
      <c r="BR285" s="744" t="str">
        <f t="shared" si="218"/>
        <v/>
      </c>
      <c r="BS285" s="744" t="str">
        <f t="shared" si="219"/>
        <v/>
      </c>
      <c r="BT285" s="744" t="str">
        <f t="shared" si="220"/>
        <v/>
      </c>
      <c r="BU285" s="744" t="str">
        <f t="shared" si="221"/>
        <v/>
      </c>
      <c r="BV285" s="744" t="str">
        <f t="shared" si="222"/>
        <v/>
      </c>
      <c r="BW285" s="744" t="str">
        <f t="shared" si="223"/>
        <v/>
      </c>
      <c r="BX285" s="744" t="str">
        <f t="shared" si="224"/>
        <v/>
      </c>
      <c r="BY285" s="744" t="str">
        <f t="shared" si="225"/>
        <v/>
      </c>
      <c r="BZ285" s="744" t="str">
        <f t="shared" si="226"/>
        <v/>
      </c>
      <c r="CA285" s="744" t="str">
        <f t="shared" si="227"/>
        <v/>
      </c>
      <c r="CB285" s="744" t="str">
        <f t="shared" si="228"/>
        <v/>
      </c>
      <c r="CC285" s="744" t="str">
        <f t="shared" si="229"/>
        <v/>
      </c>
      <c r="CD285" s="744" t="str">
        <f t="shared" si="230"/>
        <v/>
      </c>
      <c r="CE285" s="744" t="str">
        <f t="shared" si="231"/>
        <v/>
      </c>
      <c r="CF285" s="744" t="str">
        <f t="shared" si="232"/>
        <v/>
      </c>
      <c r="CG285" s="744" t="str">
        <f t="shared" si="233"/>
        <v/>
      </c>
      <c r="CH285" s="744" t="str">
        <f t="shared" si="234"/>
        <v/>
      </c>
      <c r="CI285" s="744" t="str">
        <f t="shared" si="235"/>
        <v/>
      </c>
      <c r="CJ285" s="744" t="str">
        <f t="shared" si="236"/>
        <v/>
      </c>
      <c r="CK285" s="744" t="str">
        <f t="shared" si="237"/>
        <v/>
      </c>
      <c r="CL285" s="744" t="str">
        <f t="shared" si="238"/>
        <v/>
      </c>
      <c r="CM285" s="744" t="str">
        <f t="shared" si="239"/>
        <v/>
      </c>
      <c r="CN285" s="744" t="str">
        <f t="shared" si="240"/>
        <v/>
      </c>
      <c r="CO285" s="744" t="str">
        <f t="shared" si="241"/>
        <v/>
      </c>
      <c r="CP285" s="744" t="str">
        <f t="shared" si="242"/>
        <v/>
      </c>
      <c r="CQ285" s="744" t="str">
        <f t="shared" si="243"/>
        <v/>
      </c>
      <c r="CR285" s="744" t="str">
        <f t="shared" si="244"/>
        <v/>
      </c>
      <c r="CS285" s="744" t="str">
        <f t="shared" si="245"/>
        <v/>
      </c>
      <c r="CT285" s="744" t="str">
        <f t="shared" si="246"/>
        <v/>
      </c>
      <c r="CU285" s="744" t="str">
        <f t="shared" si="247"/>
        <v/>
      </c>
      <c r="CV285" s="744" t="str">
        <f t="shared" si="248"/>
        <v/>
      </c>
      <c r="CW285" s="744" t="str">
        <f t="shared" si="249"/>
        <v/>
      </c>
      <c r="CX285" s="744" t="str">
        <f t="shared" si="250"/>
        <v/>
      </c>
    </row>
    <row r="286" spans="1:102">
      <c r="A286" s="630">
        <v>282</v>
      </c>
      <c r="B286" s="630"/>
      <c r="C286" s="631"/>
      <c r="D286" s="630"/>
      <c r="E286" s="632"/>
      <c r="F286" s="1067"/>
      <c r="G286" s="1066"/>
      <c r="H286" s="1070"/>
      <c r="I286" s="1070"/>
      <c r="J286" s="1070"/>
      <c r="K286" s="1070"/>
      <c r="L286" s="1072"/>
      <c r="M286" s="1070"/>
      <c r="N286" s="1070"/>
      <c r="O286" s="1070"/>
      <c r="P286" s="1073"/>
      <c r="Q286" s="1070"/>
      <c r="R286" s="1070"/>
      <c r="S286" s="1070"/>
      <c r="T286" s="1070"/>
      <c r="U286" s="1070"/>
      <c r="V286" s="1066"/>
      <c r="W286" s="1070"/>
      <c r="X286" s="1070"/>
      <c r="Y286" s="1070"/>
      <c r="Z286" s="1070"/>
      <c r="AA286" s="1070"/>
      <c r="AB286" s="1070"/>
      <c r="AC286" s="1070"/>
      <c r="AD286" s="1070"/>
      <c r="AE286" s="1070"/>
      <c r="AF286" s="1070"/>
      <c r="AG286" s="1070"/>
      <c r="AH286" s="1073"/>
      <c r="AI286" s="1070"/>
      <c r="AJ286" s="1070"/>
      <c r="AK286" s="1070"/>
      <c r="AL286" s="1082"/>
      <c r="AM286" s="1069"/>
      <c r="AN286" s="1070"/>
      <c r="AO286" s="1070"/>
      <c r="AP286" s="1070"/>
      <c r="AQ286" s="1070"/>
      <c r="AR286" s="1069"/>
      <c r="AS286" s="1282"/>
      <c r="AT286" s="1282"/>
      <c r="AU286" s="1069"/>
      <c r="AV286" s="1069"/>
      <c r="AW286" s="1069"/>
      <c r="AX286" s="1070"/>
      <c r="AY286" s="1070"/>
      <c r="AZ286" s="1078">
        <f t="shared" si="203"/>
        <v>0</v>
      </c>
      <c r="BA286" s="59">
        <v>282</v>
      </c>
      <c r="BB286" s="59" t="str">
        <f t="shared" si="204"/>
        <v/>
      </c>
      <c r="BC286" s="60" t="str">
        <f t="shared" si="205"/>
        <v>-</v>
      </c>
      <c r="BD286" s="61" t="str">
        <f ca="1">IFERROR(IF(SEARCH('Calcular Dieta'!A$3,$BC$5:$BC$310)&gt;=1,BC286,"Não encontrado"),"Não encontrado")</f>
        <v>-</v>
      </c>
      <c r="BE286" s="62">
        <f ca="1">COUNTIF(BD$5:BD286,"&lt;&gt;"&amp;"Não encontrado")</f>
        <v>282</v>
      </c>
      <c r="BF286" s="63" t="str">
        <f t="shared" ca="1" si="206"/>
        <v>-</v>
      </c>
      <c r="BG286" s="744" t="str">
        <f t="shared" si="207"/>
        <v/>
      </c>
      <c r="BH286" s="744" t="str">
        <f t="shared" si="208"/>
        <v/>
      </c>
      <c r="BI286" s="744" t="str">
        <f t="shared" si="209"/>
        <v/>
      </c>
      <c r="BJ286" s="744" t="str">
        <f t="shared" si="210"/>
        <v/>
      </c>
      <c r="BK286" s="744" t="str">
        <f t="shared" si="211"/>
        <v/>
      </c>
      <c r="BL286" s="744" t="str">
        <f t="shared" si="212"/>
        <v/>
      </c>
      <c r="BM286" s="744" t="str">
        <f t="shared" si="213"/>
        <v/>
      </c>
      <c r="BN286" s="744" t="str">
        <f t="shared" si="214"/>
        <v/>
      </c>
      <c r="BO286" s="744" t="str">
        <f t="shared" si="215"/>
        <v/>
      </c>
      <c r="BP286" s="744" t="str">
        <f t="shared" si="216"/>
        <v/>
      </c>
      <c r="BQ286" s="744" t="str">
        <f t="shared" si="217"/>
        <v/>
      </c>
      <c r="BR286" s="744" t="str">
        <f t="shared" si="218"/>
        <v/>
      </c>
      <c r="BS286" s="744" t="str">
        <f t="shared" si="219"/>
        <v/>
      </c>
      <c r="BT286" s="744" t="str">
        <f t="shared" si="220"/>
        <v/>
      </c>
      <c r="BU286" s="744" t="str">
        <f t="shared" si="221"/>
        <v/>
      </c>
      <c r="BV286" s="744" t="str">
        <f t="shared" si="222"/>
        <v/>
      </c>
      <c r="BW286" s="744" t="str">
        <f t="shared" si="223"/>
        <v/>
      </c>
      <c r="BX286" s="744" t="str">
        <f t="shared" si="224"/>
        <v/>
      </c>
      <c r="BY286" s="744" t="str">
        <f t="shared" si="225"/>
        <v/>
      </c>
      <c r="BZ286" s="744" t="str">
        <f t="shared" si="226"/>
        <v/>
      </c>
      <c r="CA286" s="744" t="str">
        <f t="shared" si="227"/>
        <v/>
      </c>
      <c r="CB286" s="744" t="str">
        <f t="shared" si="228"/>
        <v/>
      </c>
      <c r="CC286" s="744" t="str">
        <f t="shared" si="229"/>
        <v/>
      </c>
      <c r="CD286" s="744" t="str">
        <f t="shared" si="230"/>
        <v/>
      </c>
      <c r="CE286" s="744" t="str">
        <f t="shared" si="231"/>
        <v/>
      </c>
      <c r="CF286" s="744" t="str">
        <f t="shared" si="232"/>
        <v/>
      </c>
      <c r="CG286" s="744" t="str">
        <f t="shared" si="233"/>
        <v/>
      </c>
      <c r="CH286" s="744" t="str">
        <f t="shared" si="234"/>
        <v/>
      </c>
      <c r="CI286" s="744" t="str">
        <f t="shared" si="235"/>
        <v/>
      </c>
      <c r="CJ286" s="744" t="str">
        <f t="shared" si="236"/>
        <v/>
      </c>
      <c r="CK286" s="744" t="str">
        <f t="shared" si="237"/>
        <v/>
      </c>
      <c r="CL286" s="744" t="str">
        <f t="shared" si="238"/>
        <v/>
      </c>
      <c r="CM286" s="744" t="str">
        <f t="shared" si="239"/>
        <v/>
      </c>
      <c r="CN286" s="744" t="str">
        <f t="shared" si="240"/>
        <v/>
      </c>
      <c r="CO286" s="744" t="str">
        <f t="shared" si="241"/>
        <v/>
      </c>
      <c r="CP286" s="744" t="str">
        <f t="shared" si="242"/>
        <v/>
      </c>
      <c r="CQ286" s="744" t="str">
        <f t="shared" si="243"/>
        <v/>
      </c>
      <c r="CR286" s="744" t="str">
        <f t="shared" si="244"/>
        <v/>
      </c>
      <c r="CS286" s="744" t="str">
        <f t="shared" si="245"/>
        <v/>
      </c>
      <c r="CT286" s="744" t="str">
        <f t="shared" si="246"/>
        <v/>
      </c>
      <c r="CU286" s="744" t="str">
        <f t="shared" si="247"/>
        <v/>
      </c>
      <c r="CV286" s="744" t="str">
        <f t="shared" si="248"/>
        <v/>
      </c>
      <c r="CW286" s="744" t="str">
        <f t="shared" si="249"/>
        <v/>
      </c>
      <c r="CX286" s="744" t="str">
        <f t="shared" si="250"/>
        <v/>
      </c>
    </row>
    <row r="287" spans="1:102">
      <c r="A287" s="633">
        <v>283</v>
      </c>
      <c r="B287" s="630"/>
      <c r="C287" s="631"/>
      <c r="D287" s="630"/>
      <c r="E287" s="632"/>
      <c r="F287" s="1067"/>
      <c r="G287" s="1066"/>
      <c r="H287" s="1070"/>
      <c r="I287" s="1070"/>
      <c r="J287" s="1070"/>
      <c r="K287" s="1070"/>
      <c r="L287" s="1072"/>
      <c r="M287" s="1070"/>
      <c r="N287" s="1070"/>
      <c r="O287" s="1070"/>
      <c r="P287" s="1073"/>
      <c r="Q287" s="1070"/>
      <c r="R287" s="1070"/>
      <c r="S287" s="1070"/>
      <c r="T287" s="1070"/>
      <c r="U287" s="1070"/>
      <c r="V287" s="1066"/>
      <c r="W287" s="1070"/>
      <c r="X287" s="1070"/>
      <c r="Y287" s="1070"/>
      <c r="Z287" s="1070"/>
      <c r="AA287" s="1070"/>
      <c r="AB287" s="1070"/>
      <c r="AC287" s="1070"/>
      <c r="AD287" s="1070"/>
      <c r="AE287" s="1070"/>
      <c r="AF287" s="1070"/>
      <c r="AG287" s="1070"/>
      <c r="AH287" s="1073"/>
      <c r="AI287" s="1070"/>
      <c r="AJ287" s="1070"/>
      <c r="AK287" s="1070"/>
      <c r="AL287" s="1082"/>
      <c r="AM287" s="1069"/>
      <c r="AN287" s="1070"/>
      <c r="AO287" s="1070"/>
      <c r="AP287" s="1070"/>
      <c r="AQ287" s="1070"/>
      <c r="AR287" s="1069"/>
      <c r="AS287" s="1282"/>
      <c r="AT287" s="1282"/>
      <c r="AU287" s="1069"/>
      <c r="AV287" s="1069"/>
      <c r="AW287" s="1069"/>
      <c r="AX287" s="1070"/>
      <c r="AY287" s="1070"/>
      <c r="AZ287" s="1078">
        <f t="shared" si="203"/>
        <v>0</v>
      </c>
      <c r="BA287" s="59">
        <v>284</v>
      </c>
      <c r="BB287" s="59" t="str">
        <f t="shared" ref="BB287:BB290" si="251">IF(E287="","",COUNTIF($E$5:$E$310,"&lt;"&amp;E287)+1)</f>
        <v/>
      </c>
      <c r="BC287" s="60" t="str">
        <f t="shared" ref="BC287:BC290" si="252">IFERROR(INDEX($E$5:$E$310,MATCH(BA287,$BB$5:$BB$310,0)),"-")</f>
        <v>-</v>
      </c>
      <c r="BD287" s="61" t="str">
        <f ca="1">IFERROR(IF(SEARCH('Calcular Dieta'!A$3,$BC$5:$BC$310)&gt;=1,BC287,"Não encontrado"),"Não encontrado")</f>
        <v>-</v>
      </c>
      <c r="BE287" s="62">
        <f ca="1">COUNTIF(BD$5:BD287,"&lt;&gt;"&amp;"Não encontrado")</f>
        <v>283</v>
      </c>
      <c r="BF287" s="63" t="str">
        <f t="shared" ref="BF287:BF290" ca="1" si="253">IFERROR(UPPER(INDEX($BD$5:$BD$310,MATCH(BA287,$BE$5:$BE$310,0))),"-")</f>
        <v>-</v>
      </c>
      <c r="BG287" s="744" t="str">
        <f t="shared" si="207"/>
        <v/>
      </c>
      <c r="BH287" s="744" t="str">
        <f t="shared" si="208"/>
        <v/>
      </c>
      <c r="BI287" s="744" t="str">
        <f t="shared" si="209"/>
        <v/>
      </c>
      <c r="BJ287" s="744" t="str">
        <f t="shared" si="210"/>
        <v/>
      </c>
      <c r="BK287" s="744" t="str">
        <f t="shared" si="211"/>
        <v/>
      </c>
      <c r="BL287" s="744" t="str">
        <f t="shared" si="212"/>
        <v/>
      </c>
      <c r="BM287" s="744" t="str">
        <f t="shared" si="213"/>
        <v/>
      </c>
      <c r="BN287" s="744" t="str">
        <f t="shared" si="214"/>
        <v/>
      </c>
      <c r="BO287" s="744" t="str">
        <f t="shared" si="215"/>
        <v/>
      </c>
      <c r="BP287" s="744" t="str">
        <f t="shared" si="216"/>
        <v/>
      </c>
      <c r="BQ287" s="744" t="str">
        <f t="shared" si="217"/>
        <v/>
      </c>
      <c r="BR287" s="744" t="str">
        <f t="shared" si="218"/>
        <v/>
      </c>
      <c r="BS287" s="744" t="str">
        <f t="shared" si="219"/>
        <v/>
      </c>
      <c r="BT287" s="744" t="str">
        <f t="shared" si="220"/>
        <v/>
      </c>
      <c r="BU287" s="744" t="str">
        <f t="shared" si="221"/>
        <v/>
      </c>
      <c r="BV287" s="744" t="str">
        <f t="shared" si="222"/>
        <v/>
      </c>
      <c r="BW287" s="744" t="str">
        <f t="shared" si="223"/>
        <v/>
      </c>
      <c r="BX287" s="744" t="str">
        <f t="shared" si="224"/>
        <v/>
      </c>
      <c r="BY287" s="744" t="str">
        <f t="shared" si="225"/>
        <v/>
      </c>
      <c r="BZ287" s="744" t="str">
        <f t="shared" si="226"/>
        <v/>
      </c>
      <c r="CA287" s="744" t="str">
        <f t="shared" si="227"/>
        <v/>
      </c>
      <c r="CB287" s="744" t="str">
        <f t="shared" si="228"/>
        <v/>
      </c>
      <c r="CC287" s="744" t="str">
        <f t="shared" si="229"/>
        <v/>
      </c>
      <c r="CD287" s="744" t="str">
        <f t="shared" si="230"/>
        <v/>
      </c>
      <c r="CE287" s="744" t="str">
        <f t="shared" si="231"/>
        <v/>
      </c>
      <c r="CF287" s="744" t="str">
        <f t="shared" si="232"/>
        <v/>
      </c>
      <c r="CG287" s="744" t="str">
        <f t="shared" si="233"/>
        <v/>
      </c>
      <c r="CH287" s="744" t="str">
        <f t="shared" si="234"/>
        <v/>
      </c>
      <c r="CI287" s="744" t="str">
        <f t="shared" si="235"/>
        <v/>
      </c>
      <c r="CJ287" s="744" t="str">
        <f t="shared" si="236"/>
        <v/>
      </c>
      <c r="CK287" s="744" t="str">
        <f t="shared" si="237"/>
        <v/>
      </c>
      <c r="CL287" s="744" t="str">
        <f t="shared" si="238"/>
        <v/>
      </c>
      <c r="CM287" s="744" t="str">
        <f t="shared" si="239"/>
        <v/>
      </c>
      <c r="CN287" s="744" t="str">
        <f t="shared" si="240"/>
        <v/>
      </c>
      <c r="CO287" s="744" t="str">
        <f t="shared" si="241"/>
        <v/>
      </c>
      <c r="CP287" s="744" t="str">
        <f t="shared" si="242"/>
        <v/>
      </c>
      <c r="CQ287" s="744" t="str">
        <f t="shared" si="243"/>
        <v/>
      </c>
      <c r="CR287" s="744" t="str">
        <f t="shared" si="244"/>
        <v/>
      </c>
      <c r="CS287" s="744" t="str">
        <f t="shared" si="245"/>
        <v/>
      </c>
      <c r="CT287" s="744" t="str">
        <f t="shared" si="246"/>
        <v/>
      </c>
      <c r="CU287" s="744" t="str">
        <f t="shared" si="247"/>
        <v/>
      </c>
      <c r="CV287" s="744" t="str">
        <f t="shared" si="248"/>
        <v/>
      </c>
      <c r="CW287" s="744" t="str">
        <f t="shared" si="249"/>
        <v/>
      </c>
      <c r="CX287" s="744" t="str">
        <f t="shared" si="250"/>
        <v/>
      </c>
    </row>
    <row r="288" spans="1:102">
      <c r="A288" s="630">
        <v>284</v>
      </c>
      <c r="B288" s="630"/>
      <c r="C288" s="631"/>
      <c r="D288" s="630"/>
      <c r="E288" s="632"/>
      <c r="F288" s="1067"/>
      <c r="G288" s="1066"/>
      <c r="H288" s="1070"/>
      <c r="I288" s="1070"/>
      <c r="J288" s="1070"/>
      <c r="K288" s="1070"/>
      <c r="L288" s="1072"/>
      <c r="M288" s="1070"/>
      <c r="N288" s="1070"/>
      <c r="O288" s="1070"/>
      <c r="P288" s="1073"/>
      <c r="Q288" s="1070"/>
      <c r="R288" s="1070"/>
      <c r="S288" s="1070"/>
      <c r="T288" s="1070"/>
      <c r="U288" s="1070"/>
      <c r="V288" s="1066"/>
      <c r="W288" s="1070"/>
      <c r="X288" s="1070"/>
      <c r="Y288" s="1070"/>
      <c r="Z288" s="1070"/>
      <c r="AA288" s="1070"/>
      <c r="AB288" s="1070"/>
      <c r="AC288" s="1070"/>
      <c r="AD288" s="1070"/>
      <c r="AE288" s="1070"/>
      <c r="AF288" s="1070"/>
      <c r="AG288" s="1070"/>
      <c r="AH288" s="1073"/>
      <c r="AI288" s="1070"/>
      <c r="AJ288" s="1070"/>
      <c r="AK288" s="1070"/>
      <c r="AL288" s="1082"/>
      <c r="AM288" s="1069"/>
      <c r="AN288" s="1070"/>
      <c r="AO288" s="1070"/>
      <c r="AP288" s="1070"/>
      <c r="AQ288" s="1070"/>
      <c r="AR288" s="1069"/>
      <c r="AS288" s="1282"/>
      <c r="AT288" s="1282"/>
      <c r="AU288" s="1069"/>
      <c r="AV288" s="1069"/>
      <c r="AW288" s="1069"/>
      <c r="AX288" s="1070"/>
      <c r="AY288" s="1070"/>
      <c r="AZ288" s="1078">
        <f t="shared" si="203"/>
        <v>0</v>
      </c>
      <c r="BA288" s="59">
        <v>285</v>
      </c>
      <c r="BB288" s="59" t="str">
        <f t="shared" si="251"/>
        <v/>
      </c>
      <c r="BC288" s="60" t="str">
        <f t="shared" si="252"/>
        <v>-</v>
      </c>
      <c r="BD288" s="61" t="str">
        <f ca="1">IFERROR(IF(SEARCH('Calcular Dieta'!A$3,$BC$5:$BC$310)&gt;=1,BC288,"Não encontrado"),"Não encontrado")</f>
        <v>-</v>
      </c>
      <c r="BE288" s="62">
        <f ca="1">COUNTIF(BD$5:BD288,"&lt;&gt;"&amp;"Não encontrado")</f>
        <v>284</v>
      </c>
      <c r="BF288" s="63" t="str">
        <f t="shared" ca="1" si="253"/>
        <v>-</v>
      </c>
      <c r="BG288" s="744" t="str">
        <f t="shared" si="207"/>
        <v/>
      </c>
      <c r="BH288" s="744" t="str">
        <f t="shared" si="208"/>
        <v/>
      </c>
      <c r="BI288" s="744" t="str">
        <f t="shared" si="209"/>
        <v/>
      </c>
      <c r="BJ288" s="744" t="str">
        <f t="shared" si="210"/>
        <v/>
      </c>
      <c r="BK288" s="744" t="str">
        <f t="shared" si="211"/>
        <v/>
      </c>
      <c r="BL288" s="744" t="str">
        <f t="shared" si="212"/>
        <v/>
      </c>
      <c r="BM288" s="744" t="str">
        <f t="shared" si="213"/>
        <v/>
      </c>
      <c r="BN288" s="744" t="str">
        <f t="shared" si="214"/>
        <v/>
      </c>
      <c r="BO288" s="744" t="str">
        <f t="shared" si="215"/>
        <v/>
      </c>
      <c r="BP288" s="744" t="str">
        <f t="shared" si="216"/>
        <v/>
      </c>
      <c r="BQ288" s="744" t="str">
        <f t="shared" si="217"/>
        <v/>
      </c>
      <c r="BR288" s="744" t="str">
        <f t="shared" si="218"/>
        <v/>
      </c>
      <c r="BS288" s="744" t="str">
        <f t="shared" si="219"/>
        <v/>
      </c>
      <c r="BT288" s="744" t="str">
        <f t="shared" si="220"/>
        <v/>
      </c>
      <c r="BU288" s="744" t="str">
        <f t="shared" si="221"/>
        <v/>
      </c>
      <c r="BV288" s="744" t="str">
        <f t="shared" si="222"/>
        <v/>
      </c>
      <c r="BW288" s="744" t="str">
        <f t="shared" si="223"/>
        <v/>
      </c>
      <c r="BX288" s="744" t="str">
        <f t="shared" si="224"/>
        <v/>
      </c>
      <c r="BY288" s="744" t="str">
        <f t="shared" si="225"/>
        <v/>
      </c>
      <c r="BZ288" s="744" t="str">
        <f t="shared" si="226"/>
        <v/>
      </c>
      <c r="CA288" s="744" t="str">
        <f t="shared" si="227"/>
        <v/>
      </c>
      <c r="CB288" s="744" t="str">
        <f t="shared" si="228"/>
        <v/>
      </c>
      <c r="CC288" s="744" t="str">
        <f t="shared" si="229"/>
        <v/>
      </c>
      <c r="CD288" s="744" t="str">
        <f t="shared" si="230"/>
        <v/>
      </c>
      <c r="CE288" s="744" t="str">
        <f t="shared" si="231"/>
        <v/>
      </c>
      <c r="CF288" s="744" t="str">
        <f t="shared" si="232"/>
        <v/>
      </c>
      <c r="CG288" s="744" t="str">
        <f t="shared" si="233"/>
        <v/>
      </c>
      <c r="CH288" s="744" t="str">
        <f t="shared" si="234"/>
        <v/>
      </c>
      <c r="CI288" s="744" t="str">
        <f t="shared" si="235"/>
        <v/>
      </c>
      <c r="CJ288" s="744" t="str">
        <f t="shared" si="236"/>
        <v/>
      </c>
      <c r="CK288" s="744" t="str">
        <f t="shared" si="237"/>
        <v/>
      </c>
      <c r="CL288" s="744" t="str">
        <f t="shared" si="238"/>
        <v/>
      </c>
      <c r="CM288" s="744" t="str">
        <f t="shared" si="239"/>
        <v/>
      </c>
      <c r="CN288" s="744" t="str">
        <f t="shared" si="240"/>
        <v/>
      </c>
      <c r="CO288" s="744" t="str">
        <f t="shared" si="241"/>
        <v/>
      </c>
      <c r="CP288" s="744" t="str">
        <f t="shared" si="242"/>
        <v/>
      </c>
      <c r="CQ288" s="744" t="str">
        <f t="shared" si="243"/>
        <v/>
      </c>
      <c r="CR288" s="744" t="str">
        <f t="shared" si="244"/>
        <v/>
      </c>
      <c r="CS288" s="744" t="str">
        <f t="shared" si="245"/>
        <v/>
      </c>
      <c r="CT288" s="744" t="str">
        <f t="shared" si="246"/>
        <v/>
      </c>
      <c r="CU288" s="744" t="str">
        <f t="shared" si="247"/>
        <v/>
      </c>
      <c r="CV288" s="744" t="str">
        <f t="shared" si="248"/>
        <v/>
      </c>
      <c r="CW288" s="744" t="str">
        <f t="shared" si="249"/>
        <v/>
      </c>
      <c r="CX288" s="744" t="str">
        <f t="shared" si="250"/>
        <v/>
      </c>
    </row>
    <row r="289" spans="1:102">
      <c r="A289" s="633">
        <v>285</v>
      </c>
      <c r="B289" s="630"/>
      <c r="C289" s="631"/>
      <c r="D289" s="630"/>
      <c r="E289" s="632"/>
      <c r="F289" s="1067"/>
      <c r="G289" s="1066"/>
      <c r="H289" s="1070"/>
      <c r="I289" s="1070"/>
      <c r="J289" s="1070"/>
      <c r="K289" s="1070"/>
      <c r="L289" s="1072"/>
      <c r="M289" s="1070"/>
      <c r="N289" s="1070"/>
      <c r="O289" s="1070"/>
      <c r="P289" s="1073"/>
      <c r="Q289" s="1070"/>
      <c r="R289" s="1070"/>
      <c r="S289" s="1070"/>
      <c r="T289" s="1070"/>
      <c r="U289" s="1070"/>
      <c r="V289" s="1066"/>
      <c r="W289" s="1070"/>
      <c r="X289" s="1070"/>
      <c r="Y289" s="1070"/>
      <c r="Z289" s="1070"/>
      <c r="AA289" s="1070"/>
      <c r="AB289" s="1070"/>
      <c r="AC289" s="1070"/>
      <c r="AD289" s="1070"/>
      <c r="AE289" s="1070"/>
      <c r="AF289" s="1070"/>
      <c r="AG289" s="1070"/>
      <c r="AH289" s="1073"/>
      <c r="AI289" s="1070"/>
      <c r="AJ289" s="1070"/>
      <c r="AK289" s="1070"/>
      <c r="AL289" s="1082"/>
      <c r="AM289" s="1069"/>
      <c r="AN289" s="1070"/>
      <c r="AO289" s="1070"/>
      <c r="AP289" s="1070"/>
      <c r="AQ289" s="1070"/>
      <c r="AR289" s="1069"/>
      <c r="AS289" s="1282"/>
      <c r="AT289" s="1282"/>
      <c r="AU289" s="1069"/>
      <c r="AV289" s="1069"/>
      <c r="AW289" s="1069"/>
      <c r="AX289" s="1070"/>
      <c r="AY289" s="1070"/>
      <c r="AZ289" s="1078">
        <f t="shared" si="203"/>
        <v>0</v>
      </c>
      <c r="BA289" s="59">
        <v>286</v>
      </c>
      <c r="BB289" s="59" t="str">
        <f t="shared" si="251"/>
        <v/>
      </c>
      <c r="BC289" s="60" t="str">
        <f t="shared" si="252"/>
        <v>-</v>
      </c>
      <c r="BD289" s="61" t="str">
        <f ca="1">IFERROR(IF(SEARCH('Calcular Dieta'!A$3,$BC$5:$BC$310)&gt;=1,BC289,"Não encontrado"),"Não encontrado")</f>
        <v>-</v>
      </c>
      <c r="BE289" s="62">
        <f ca="1">COUNTIF(BD$5:BD289,"&lt;&gt;"&amp;"Não encontrado")</f>
        <v>285</v>
      </c>
      <c r="BF289" s="63" t="str">
        <f t="shared" ca="1" si="253"/>
        <v>-</v>
      </c>
      <c r="BG289" s="744" t="str">
        <f t="shared" si="207"/>
        <v/>
      </c>
      <c r="BH289" s="744" t="str">
        <f t="shared" si="208"/>
        <v/>
      </c>
      <c r="BI289" s="744" t="str">
        <f t="shared" si="209"/>
        <v/>
      </c>
      <c r="BJ289" s="744" t="str">
        <f t="shared" si="210"/>
        <v/>
      </c>
      <c r="BK289" s="744" t="str">
        <f t="shared" si="211"/>
        <v/>
      </c>
      <c r="BL289" s="744" t="str">
        <f t="shared" si="212"/>
        <v/>
      </c>
      <c r="BM289" s="744" t="str">
        <f t="shared" si="213"/>
        <v/>
      </c>
      <c r="BN289" s="744" t="str">
        <f t="shared" si="214"/>
        <v/>
      </c>
      <c r="BO289" s="744" t="str">
        <f t="shared" si="215"/>
        <v/>
      </c>
      <c r="BP289" s="744" t="str">
        <f t="shared" si="216"/>
        <v/>
      </c>
      <c r="BQ289" s="744" t="str">
        <f t="shared" si="217"/>
        <v/>
      </c>
      <c r="BR289" s="744" t="str">
        <f t="shared" si="218"/>
        <v/>
      </c>
      <c r="BS289" s="744" t="str">
        <f t="shared" si="219"/>
        <v/>
      </c>
      <c r="BT289" s="744" t="str">
        <f t="shared" si="220"/>
        <v/>
      </c>
      <c r="BU289" s="744" t="str">
        <f t="shared" si="221"/>
        <v/>
      </c>
      <c r="BV289" s="744" t="str">
        <f t="shared" si="222"/>
        <v/>
      </c>
      <c r="BW289" s="744" t="str">
        <f t="shared" si="223"/>
        <v/>
      </c>
      <c r="BX289" s="744" t="str">
        <f t="shared" si="224"/>
        <v/>
      </c>
      <c r="BY289" s="744" t="str">
        <f t="shared" si="225"/>
        <v/>
      </c>
      <c r="BZ289" s="744" t="str">
        <f t="shared" si="226"/>
        <v/>
      </c>
      <c r="CA289" s="744" t="str">
        <f t="shared" si="227"/>
        <v/>
      </c>
      <c r="CB289" s="744" t="str">
        <f t="shared" si="228"/>
        <v/>
      </c>
      <c r="CC289" s="744" t="str">
        <f t="shared" si="229"/>
        <v/>
      </c>
      <c r="CD289" s="744" t="str">
        <f t="shared" si="230"/>
        <v/>
      </c>
      <c r="CE289" s="744" t="str">
        <f t="shared" si="231"/>
        <v/>
      </c>
      <c r="CF289" s="744" t="str">
        <f t="shared" si="232"/>
        <v/>
      </c>
      <c r="CG289" s="744" t="str">
        <f t="shared" si="233"/>
        <v/>
      </c>
      <c r="CH289" s="744" t="str">
        <f t="shared" si="234"/>
        <v/>
      </c>
      <c r="CI289" s="744" t="str">
        <f t="shared" si="235"/>
        <v/>
      </c>
      <c r="CJ289" s="744" t="str">
        <f t="shared" si="236"/>
        <v/>
      </c>
      <c r="CK289" s="744" t="str">
        <f t="shared" si="237"/>
        <v/>
      </c>
      <c r="CL289" s="744" t="str">
        <f t="shared" si="238"/>
        <v/>
      </c>
      <c r="CM289" s="744" t="str">
        <f t="shared" si="239"/>
        <v/>
      </c>
      <c r="CN289" s="744" t="str">
        <f t="shared" si="240"/>
        <v/>
      </c>
      <c r="CO289" s="744" t="str">
        <f t="shared" si="241"/>
        <v/>
      </c>
      <c r="CP289" s="744" t="str">
        <f t="shared" si="242"/>
        <v/>
      </c>
      <c r="CQ289" s="744" t="str">
        <f t="shared" si="243"/>
        <v/>
      </c>
      <c r="CR289" s="744" t="str">
        <f t="shared" si="244"/>
        <v/>
      </c>
      <c r="CS289" s="744" t="str">
        <f t="shared" si="245"/>
        <v/>
      </c>
      <c r="CT289" s="744" t="str">
        <f t="shared" si="246"/>
        <v/>
      </c>
      <c r="CU289" s="744" t="str">
        <f t="shared" si="247"/>
        <v/>
      </c>
      <c r="CV289" s="744" t="str">
        <f t="shared" si="248"/>
        <v/>
      </c>
      <c r="CW289" s="744" t="str">
        <f t="shared" si="249"/>
        <v/>
      </c>
      <c r="CX289" s="744" t="str">
        <f t="shared" si="250"/>
        <v/>
      </c>
    </row>
    <row r="290" spans="1:102">
      <c r="A290" s="630">
        <v>286</v>
      </c>
      <c r="B290" s="630"/>
      <c r="C290" s="631"/>
      <c r="D290" s="630"/>
      <c r="E290" s="632"/>
      <c r="F290" s="1067"/>
      <c r="G290" s="1066"/>
      <c r="H290" s="1070"/>
      <c r="I290" s="1070"/>
      <c r="J290" s="1070"/>
      <c r="K290" s="1070"/>
      <c r="L290" s="1072"/>
      <c r="M290" s="1070"/>
      <c r="N290" s="1070"/>
      <c r="O290" s="1070"/>
      <c r="P290" s="1073"/>
      <c r="Q290" s="1070"/>
      <c r="R290" s="1070"/>
      <c r="S290" s="1070"/>
      <c r="T290" s="1070"/>
      <c r="U290" s="1070"/>
      <c r="V290" s="1066"/>
      <c r="W290" s="1070"/>
      <c r="X290" s="1070"/>
      <c r="Y290" s="1070"/>
      <c r="Z290" s="1070"/>
      <c r="AA290" s="1070"/>
      <c r="AB290" s="1070"/>
      <c r="AC290" s="1070"/>
      <c r="AD290" s="1070"/>
      <c r="AE290" s="1070"/>
      <c r="AF290" s="1070"/>
      <c r="AG290" s="1070"/>
      <c r="AH290" s="1073"/>
      <c r="AI290" s="1070"/>
      <c r="AJ290" s="1070"/>
      <c r="AK290" s="1070"/>
      <c r="AL290" s="1082"/>
      <c r="AM290" s="1069"/>
      <c r="AN290" s="1070"/>
      <c r="AO290" s="1070"/>
      <c r="AP290" s="1070"/>
      <c r="AQ290" s="1070"/>
      <c r="AR290" s="1069"/>
      <c r="AS290" s="1282"/>
      <c r="AT290" s="1282"/>
      <c r="AU290" s="1069"/>
      <c r="AV290" s="1069"/>
      <c r="AW290" s="1069"/>
      <c r="AX290" s="1070"/>
      <c r="AY290" s="1070"/>
      <c r="AZ290" s="1078">
        <f t="shared" si="203"/>
        <v>0</v>
      </c>
      <c r="BA290" s="59">
        <v>287</v>
      </c>
      <c r="BB290" s="59" t="str">
        <f t="shared" si="251"/>
        <v/>
      </c>
      <c r="BC290" s="60" t="str">
        <f t="shared" si="252"/>
        <v>-</v>
      </c>
      <c r="BD290" s="61" t="str">
        <f ca="1">IFERROR(IF(SEARCH('Calcular Dieta'!A$3,$BC$5:$BC$310)&gt;=1,BC290,"Não encontrado"),"Não encontrado")</f>
        <v>-</v>
      </c>
      <c r="BE290" s="62">
        <f ca="1">COUNTIF(BD$5:BD290,"&lt;&gt;"&amp;"Não encontrado")</f>
        <v>286</v>
      </c>
      <c r="BF290" s="63" t="str">
        <f t="shared" ca="1" si="253"/>
        <v>-</v>
      </c>
      <c r="BG290" s="744" t="str">
        <f t="shared" si="207"/>
        <v/>
      </c>
      <c r="BH290" s="744" t="str">
        <f t="shared" si="208"/>
        <v/>
      </c>
      <c r="BI290" s="744" t="str">
        <f t="shared" si="209"/>
        <v/>
      </c>
      <c r="BJ290" s="744" t="str">
        <f t="shared" si="210"/>
        <v/>
      </c>
      <c r="BK290" s="744" t="str">
        <f t="shared" si="211"/>
        <v/>
      </c>
      <c r="BL290" s="744" t="str">
        <f t="shared" si="212"/>
        <v/>
      </c>
      <c r="BM290" s="744" t="str">
        <f t="shared" si="213"/>
        <v/>
      </c>
      <c r="BN290" s="744" t="str">
        <f t="shared" si="214"/>
        <v/>
      </c>
      <c r="BO290" s="744" t="str">
        <f t="shared" si="215"/>
        <v/>
      </c>
      <c r="BP290" s="744" t="str">
        <f t="shared" si="216"/>
        <v/>
      </c>
      <c r="BQ290" s="744" t="str">
        <f t="shared" si="217"/>
        <v/>
      </c>
      <c r="BR290" s="744" t="str">
        <f t="shared" si="218"/>
        <v/>
      </c>
      <c r="BS290" s="744" t="str">
        <f t="shared" si="219"/>
        <v/>
      </c>
      <c r="BT290" s="744" t="str">
        <f t="shared" si="220"/>
        <v/>
      </c>
      <c r="BU290" s="744" t="str">
        <f t="shared" si="221"/>
        <v/>
      </c>
      <c r="BV290" s="744" t="str">
        <f t="shared" si="222"/>
        <v/>
      </c>
      <c r="BW290" s="744" t="str">
        <f t="shared" si="223"/>
        <v/>
      </c>
      <c r="BX290" s="744" t="str">
        <f t="shared" si="224"/>
        <v/>
      </c>
      <c r="BY290" s="744" t="str">
        <f t="shared" si="225"/>
        <v/>
      </c>
      <c r="BZ290" s="744" t="str">
        <f t="shared" si="226"/>
        <v/>
      </c>
      <c r="CA290" s="744" t="str">
        <f t="shared" si="227"/>
        <v/>
      </c>
      <c r="CB290" s="744" t="str">
        <f t="shared" si="228"/>
        <v/>
      </c>
      <c r="CC290" s="744" t="str">
        <f t="shared" si="229"/>
        <v/>
      </c>
      <c r="CD290" s="744" t="str">
        <f t="shared" si="230"/>
        <v/>
      </c>
      <c r="CE290" s="744" t="str">
        <f t="shared" si="231"/>
        <v/>
      </c>
      <c r="CF290" s="744" t="str">
        <f t="shared" si="232"/>
        <v/>
      </c>
      <c r="CG290" s="744" t="str">
        <f t="shared" si="233"/>
        <v/>
      </c>
      <c r="CH290" s="744" t="str">
        <f t="shared" si="234"/>
        <v/>
      </c>
      <c r="CI290" s="744" t="str">
        <f t="shared" si="235"/>
        <v/>
      </c>
      <c r="CJ290" s="744" t="str">
        <f t="shared" si="236"/>
        <v/>
      </c>
      <c r="CK290" s="744" t="str">
        <f t="shared" si="237"/>
        <v/>
      </c>
      <c r="CL290" s="744" t="str">
        <f t="shared" si="238"/>
        <v/>
      </c>
      <c r="CM290" s="744" t="str">
        <f t="shared" si="239"/>
        <v/>
      </c>
      <c r="CN290" s="744" t="str">
        <f t="shared" si="240"/>
        <v/>
      </c>
      <c r="CO290" s="744" t="str">
        <f t="shared" si="241"/>
        <v/>
      </c>
      <c r="CP290" s="744" t="str">
        <f t="shared" si="242"/>
        <v/>
      </c>
      <c r="CQ290" s="744" t="str">
        <f t="shared" si="243"/>
        <v/>
      </c>
      <c r="CR290" s="744" t="str">
        <f t="shared" si="244"/>
        <v/>
      </c>
      <c r="CS290" s="744" t="str">
        <f t="shared" si="245"/>
        <v/>
      </c>
      <c r="CT290" s="744" t="str">
        <f t="shared" si="246"/>
        <v/>
      </c>
      <c r="CU290" s="744" t="str">
        <f t="shared" si="247"/>
        <v/>
      </c>
      <c r="CV290" s="744" t="str">
        <f t="shared" si="248"/>
        <v/>
      </c>
      <c r="CW290" s="744" t="str">
        <f t="shared" si="249"/>
        <v/>
      </c>
      <c r="CX290" s="744" t="str">
        <f t="shared" si="250"/>
        <v/>
      </c>
    </row>
    <row r="291" spans="1:102">
      <c r="A291" s="633">
        <v>287</v>
      </c>
      <c r="B291" s="630"/>
      <c r="C291" s="631"/>
      <c r="D291" s="630"/>
      <c r="E291" s="632"/>
      <c r="F291" s="1067"/>
      <c r="G291" s="1066"/>
      <c r="H291" s="1070"/>
      <c r="I291" s="1070"/>
      <c r="J291" s="1070"/>
      <c r="K291" s="1070"/>
      <c r="L291" s="1072"/>
      <c r="M291" s="1070"/>
      <c r="N291" s="1070"/>
      <c r="O291" s="1070"/>
      <c r="P291" s="1073"/>
      <c r="Q291" s="1070"/>
      <c r="R291" s="1070"/>
      <c r="S291" s="1070"/>
      <c r="T291" s="1070"/>
      <c r="U291" s="1070"/>
      <c r="V291" s="1066"/>
      <c r="W291" s="1070"/>
      <c r="X291" s="1070"/>
      <c r="Y291" s="1070"/>
      <c r="Z291" s="1070"/>
      <c r="AA291" s="1070"/>
      <c r="AB291" s="1070"/>
      <c r="AC291" s="1070"/>
      <c r="AD291" s="1070"/>
      <c r="AE291" s="1070"/>
      <c r="AF291" s="1070"/>
      <c r="AG291" s="1070"/>
      <c r="AH291" s="1073"/>
      <c r="AI291" s="1070"/>
      <c r="AJ291" s="1070"/>
      <c r="AK291" s="1070"/>
      <c r="AL291" s="1082"/>
      <c r="AM291" s="1069"/>
      <c r="AN291" s="1070"/>
      <c r="AO291" s="1070"/>
      <c r="AP291" s="1070"/>
      <c r="AQ291" s="1070"/>
      <c r="AR291" s="1069"/>
      <c r="AS291" s="1282"/>
      <c r="AT291" s="1282"/>
      <c r="AU291" s="1069"/>
      <c r="AV291" s="1069"/>
      <c r="AW291" s="1069"/>
      <c r="AX291" s="1070"/>
      <c r="AY291" s="1070"/>
      <c r="AZ291" s="1078">
        <f t="shared" si="203"/>
        <v>0</v>
      </c>
      <c r="BA291" s="59">
        <v>287</v>
      </c>
      <c r="BB291" s="59" t="str">
        <f t="shared" si="204"/>
        <v/>
      </c>
      <c r="BC291" s="60" t="str">
        <f t="shared" si="205"/>
        <v>-</v>
      </c>
      <c r="BD291" s="61" t="str">
        <f ca="1">IFERROR(IF(SEARCH('Calcular Dieta'!A$3,$BC$5:$BC$310)&gt;=1,BC291,"Não encontrado"),"Não encontrado")</f>
        <v>-</v>
      </c>
      <c r="BE291" s="62">
        <f ca="1">COUNTIF(BD$5:BD291,"&lt;&gt;"&amp;"Não encontrado")</f>
        <v>287</v>
      </c>
      <c r="BF291" s="63" t="str">
        <f t="shared" ca="1" si="206"/>
        <v>-</v>
      </c>
      <c r="BG291" s="744" t="str">
        <f t="shared" si="207"/>
        <v/>
      </c>
      <c r="BH291" s="744" t="str">
        <f t="shared" si="208"/>
        <v/>
      </c>
      <c r="BI291" s="744" t="str">
        <f t="shared" si="209"/>
        <v/>
      </c>
      <c r="BJ291" s="744" t="str">
        <f t="shared" si="210"/>
        <v/>
      </c>
      <c r="BK291" s="744" t="str">
        <f t="shared" si="211"/>
        <v/>
      </c>
      <c r="BL291" s="744" t="str">
        <f t="shared" si="212"/>
        <v/>
      </c>
      <c r="BM291" s="744" t="str">
        <f t="shared" si="213"/>
        <v/>
      </c>
      <c r="BN291" s="744" t="str">
        <f t="shared" si="214"/>
        <v/>
      </c>
      <c r="BO291" s="744" t="str">
        <f t="shared" si="215"/>
        <v/>
      </c>
      <c r="BP291" s="744" t="str">
        <f t="shared" si="216"/>
        <v/>
      </c>
      <c r="BQ291" s="744" t="str">
        <f t="shared" si="217"/>
        <v/>
      </c>
      <c r="BR291" s="744" t="str">
        <f t="shared" si="218"/>
        <v/>
      </c>
      <c r="BS291" s="744" t="str">
        <f t="shared" si="219"/>
        <v/>
      </c>
      <c r="BT291" s="744" t="str">
        <f t="shared" si="220"/>
        <v/>
      </c>
      <c r="BU291" s="744" t="str">
        <f t="shared" si="221"/>
        <v/>
      </c>
      <c r="BV291" s="744" t="str">
        <f t="shared" si="222"/>
        <v/>
      </c>
      <c r="BW291" s="744" t="str">
        <f t="shared" si="223"/>
        <v/>
      </c>
      <c r="BX291" s="744" t="str">
        <f t="shared" si="224"/>
        <v/>
      </c>
      <c r="BY291" s="744" t="str">
        <f t="shared" si="225"/>
        <v/>
      </c>
      <c r="BZ291" s="744" t="str">
        <f t="shared" si="226"/>
        <v/>
      </c>
      <c r="CA291" s="744" t="str">
        <f t="shared" si="227"/>
        <v/>
      </c>
      <c r="CB291" s="744" t="str">
        <f t="shared" si="228"/>
        <v/>
      </c>
      <c r="CC291" s="744" t="str">
        <f t="shared" si="229"/>
        <v/>
      </c>
      <c r="CD291" s="744" t="str">
        <f t="shared" si="230"/>
        <v/>
      </c>
      <c r="CE291" s="744" t="str">
        <f t="shared" si="231"/>
        <v/>
      </c>
      <c r="CF291" s="744" t="str">
        <f t="shared" si="232"/>
        <v/>
      </c>
      <c r="CG291" s="744" t="str">
        <f t="shared" si="233"/>
        <v/>
      </c>
      <c r="CH291" s="744" t="str">
        <f t="shared" si="234"/>
        <v/>
      </c>
      <c r="CI291" s="744" t="str">
        <f t="shared" si="235"/>
        <v/>
      </c>
      <c r="CJ291" s="744" t="str">
        <f t="shared" si="236"/>
        <v/>
      </c>
      <c r="CK291" s="744" t="str">
        <f t="shared" si="237"/>
        <v/>
      </c>
      <c r="CL291" s="744" t="str">
        <f t="shared" si="238"/>
        <v/>
      </c>
      <c r="CM291" s="744" t="str">
        <f t="shared" si="239"/>
        <v/>
      </c>
      <c r="CN291" s="744" t="str">
        <f t="shared" si="240"/>
        <v/>
      </c>
      <c r="CO291" s="744" t="str">
        <f t="shared" si="241"/>
        <v/>
      </c>
      <c r="CP291" s="744" t="str">
        <f t="shared" si="242"/>
        <v/>
      </c>
      <c r="CQ291" s="744" t="str">
        <f t="shared" si="243"/>
        <v/>
      </c>
      <c r="CR291" s="744" t="str">
        <f t="shared" si="244"/>
        <v/>
      </c>
      <c r="CS291" s="744" t="str">
        <f t="shared" si="245"/>
        <v/>
      </c>
      <c r="CT291" s="744" t="str">
        <f t="shared" si="246"/>
        <v/>
      </c>
      <c r="CU291" s="744" t="str">
        <f t="shared" si="247"/>
        <v/>
      </c>
      <c r="CV291" s="744" t="str">
        <f t="shared" si="248"/>
        <v/>
      </c>
      <c r="CW291" s="744" t="str">
        <f t="shared" si="249"/>
        <v/>
      </c>
      <c r="CX291" s="744" t="str">
        <f t="shared" si="250"/>
        <v/>
      </c>
    </row>
    <row r="292" spans="1:102">
      <c r="A292" s="630">
        <v>288</v>
      </c>
      <c r="B292" s="630"/>
      <c r="C292" s="631"/>
      <c r="D292" s="630"/>
      <c r="E292" s="632"/>
      <c r="F292" s="1067"/>
      <c r="G292" s="1066"/>
      <c r="H292" s="1070"/>
      <c r="I292" s="1070"/>
      <c r="J292" s="1070"/>
      <c r="K292" s="1070"/>
      <c r="L292" s="1072"/>
      <c r="M292" s="1070"/>
      <c r="N292" s="1070"/>
      <c r="O292" s="1070"/>
      <c r="P292" s="1073"/>
      <c r="Q292" s="1070"/>
      <c r="R292" s="1070"/>
      <c r="S292" s="1070"/>
      <c r="T292" s="1070"/>
      <c r="U292" s="1070"/>
      <c r="V292" s="1066"/>
      <c r="W292" s="1070"/>
      <c r="X292" s="1070"/>
      <c r="Y292" s="1070"/>
      <c r="Z292" s="1070"/>
      <c r="AA292" s="1070"/>
      <c r="AB292" s="1070"/>
      <c r="AC292" s="1070"/>
      <c r="AD292" s="1070"/>
      <c r="AE292" s="1070"/>
      <c r="AF292" s="1070"/>
      <c r="AG292" s="1070"/>
      <c r="AH292" s="1073"/>
      <c r="AI292" s="1070"/>
      <c r="AJ292" s="1070"/>
      <c r="AK292" s="1070"/>
      <c r="AL292" s="1082"/>
      <c r="AM292" s="1069"/>
      <c r="AN292" s="1070"/>
      <c r="AO292" s="1070"/>
      <c r="AP292" s="1070"/>
      <c r="AQ292" s="1070"/>
      <c r="AR292" s="1069"/>
      <c r="AS292" s="1282"/>
      <c r="AT292" s="1282"/>
      <c r="AU292" s="1069"/>
      <c r="AV292" s="1069"/>
      <c r="AW292" s="1069"/>
      <c r="AX292" s="1070"/>
      <c r="AY292" s="1070"/>
      <c r="AZ292" s="1078">
        <f t="shared" si="203"/>
        <v>0</v>
      </c>
      <c r="BA292" s="59">
        <v>288</v>
      </c>
      <c r="BB292" s="59" t="str">
        <f t="shared" si="204"/>
        <v/>
      </c>
      <c r="BC292" s="60" t="str">
        <f t="shared" si="205"/>
        <v>-</v>
      </c>
      <c r="BD292" s="61" t="str">
        <f ca="1">IFERROR(IF(SEARCH('Calcular Dieta'!A$3,$BC$5:$BC$310)&gt;=1,BC292,"Não encontrado"),"Não encontrado")</f>
        <v>-</v>
      </c>
      <c r="BE292" s="62">
        <f ca="1">COUNTIF(BD$5:BD292,"&lt;&gt;"&amp;"Não encontrado")</f>
        <v>288</v>
      </c>
      <c r="BF292" s="63" t="str">
        <f t="shared" ca="1" si="206"/>
        <v>-</v>
      </c>
      <c r="BG292" s="744" t="str">
        <f t="shared" si="207"/>
        <v/>
      </c>
      <c r="BH292" s="744" t="str">
        <f t="shared" si="208"/>
        <v/>
      </c>
      <c r="BI292" s="744" t="str">
        <f t="shared" si="209"/>
        <v/>
      </c>
      <c r="BJ292" s="744" t="str">
        <f t="shared" si="210"/>
        <v/>
      </c>
      <c r="BK292" s="744" t="str">
        <f t="shared" si="211"/>
        <v/>
      </c>
      <c r="BL292" s="744" t="str">
        <f t="shared" si="212"/>
        <v/>
      </c>
      <c r="BM292" s="744" t="str">
        <f t="shared" si="213"/>
        <v/>
      </c>
      <c r="BN292" s="744" t="str">
        <f t="shared" si="214"/>
        <v/>
      </c>
      <c r="BO292" s="744" t="str">
        <f t="shared" si="215"/>
        <v/>
      </c>
      <c r="BP292" s="744" t="str">
        <f t="shared" si="216"/>
        <v/>
      </c>
      <c r="BQ292" s="744" t="str">
        <f t="shared" si="217"/>
        <v/>
      </c>
      <c r="BR292" s="744" t="str">
        <f t="shared" si="218"/>
        <v/>
      </c>
      <c r="BS292" s="744" t="str">
        <f t="shared" si="219"/>
        <v/>
      </c>
      <c r="BT292" s="744" t="str">
        <f t="shared" si="220"/>
        <v/>
      </c>
      <c r="BU292" s="744" t="str">
        <f t="shared" si="221"/>
        <v/>
      </c>
      <c r="BV292" s="744" t="str">
        <f t="shared" si="222"/>
        <v/>
      </c>
      <c r="BW292" s="744" t="str">
        <f t="shared" si="223"/>
        <v/>
      </c>
      <c r="BX292" s="744" t="str">
        <f t="shared" si="224"/>
        <v/>
      </c>
      <c r="BY292" s="744" t="str">
        <f t="shared" si="225"/>
        <v/>
      </c>
      <c r="BZ292" s="744" t="str">
        <f t="shared" si="226"/>
        <v/>
      </c>
      <c r="CA292" s="744" t="str">
        <f t="shared" si="227"/>
        <v/>
      </c>
      <c r="CB292" s="744" t="str">
        <f t="shared" si="228"/>
        <v/>
      </c>
      <c r="CC292" s="744" t="str">
        <f t="shared" si="229"/>
        <v/>
      </c>
      <c r="CD292" s="744" t="str">
        <f t="shared" si="230"/>
        <v/>
      </c>
      <c r="CE292" s="744" t="str">
        <f t="shared" si="231"/>
        <v/>
      </c>
      <c r="CF292" s="744" t="str">
        <f t="shared" si="232"/>
        <v/>
      </c>
      <c r="CG292" s="744" t="str">
        <f t="shared" si="233"/>
        <v/>
      </c>
      <c r="CH292" s="744" t="str">
        <f t="shared" si="234"/>
        <v/>
      </c>
      <c r="CI292" s="744" t="str">
        <f t="shared" si="235"/>
        <v/>
      </c>
      <c r="CJ292" s="744" t="str">
        <f t="shared" si="236"/>
        <v/>
      </c>
      <c r="CK292" s="744" t="str">
        <f t="shared" si="237"/>
        <v/>
      </c>
      <c r="CL292" s="744" t="str">
        <f t="shared" si="238"/>
        <v/>
      </c>
      <c r="CM292" s="744" t="str">
        <f t="shared" si="239"/>
        <v/>
      </c>
      <c r="CN292" s="744" t="str">
        <f t="shared" si="240"/>
        <v/>
      </c>
      <c r="CO292" s="744" t="str">
        <f t="shared" si="241"/>
        <v/>
      </c>
      <c r="CP292" s="744" t="str">
        <f t="shared" si="242"/>
        <v/>
      </c>
      <c r="CQ292" s="744" t="str">
        <f t="shared" si="243"/>
        <v/>
      </c>
      <c r="CR292" s="744" t="str">
        <f t="shared" si="244"/>
        <v/>
      </c>
      <c r="CS292" s="744" t="str">
        <f t="shared" si="245"/>
        <v/>
      </c>
      <c r="CT292" s="744" t="str">
        <f t="shared" si="246"/>
        <v/>
      </c>
      <c r="CU292" s="744" t="str">
        <f t="shared" si="247"/>
        <v/>
      </c>
      <c r="CV292" s="744" t="str">
        <f t="shared" si="248"/>
        <v/>
      </c>
      <c r="CW292" s="744" t="str">
        <f t="shared" si="249"/>
        <v/>
      </c>
      <c r="CX292" s="744" t="str">
        <f t="shared" si="250"/>
        <v/>
      </c>
    </row>
    <row r="293" spans="1:102">
      <c r="A293" s="633">
        <v>289</v>
      </c>
      <c r="B293" s="630"/>
      <c r="C293" s="631"/>
      <c r="D293" s="630"/>
      <c r="E293" s="632"/>
      <c r="F293" s="1067"/>
      <c r="G293" s="1066"/>
      <c r="H293" s="1070"/>
      <c r="I293" s="1070"/>
      <c r="J293" s="1070"/>
      <c r="K293" s="1070"/>
      <c r="L293" s="1072"/>
      <c r="M293" s="1070"/>
      <c r="N293" s="1070"/>
      <c r="O293" s="1070"/>
      <c r="P293" s="1073"/>
      <c r="Q293" s="1070"/>
      <c r="R293" s="1070"/>
      <c r="S293" s="1070"/>
      <c r="T293" s="1070"/>
      <c r="U293" s="1070"/>
      <c r="V293" s="1066"/>
      <c r="W293" s="1070"/>
      <c r="X293" s="1070"/>
      <c r="Y293" s="1070"/>
      <c r="Z293" s="1070"/>
      <c r="AA293" s="1070"/>
      <c r="AB293" s="1070"/>
      <c r="AC293" s="1070"/>
      <c r="AD293" s="1070"/>
      <c r="AE293" s="1070"/>
      <c r="AF293" s="1070"/>
      <c r="AG293" s="1070"/>
      <c r="AH293" s="1073"/>
      <c r="AI293" s="1070"/>
      <c r="AJ293" s="1070"/>
      <c r="AK293" s="1070"/>
      <c r="AL293" s="1082"/>
      <c r="AM293" s="1069"/>
      <c r="AN293" s="1070"/>
      <c r="AO293" s="1070"/>
      <c r="AP293" s="1070"/>
      <c r="AQ293" s="1070"/>
      <c r="AR293" s="1069"/>
      <c r="AS293" s="1282"/>
      <c r="AT293" s="1282"/>
      <c r="AU293" s="1069"/>
      <c r="AV293" s="1069"/>
      <c r="AW293" s="1069"/>
      <c r="AX293" s="1070"/>
      <c r="AY293" s="1070"/>
      <c r="AZ293" s="1078">
        <f t="shared" si="203"/>
        <v>0</v>
      </c>
      <c r="BA293" s="59">
        <v>289</v>
      </c>
      <c r="BB293" s="59" t="str">
        <f t="shared" si="204"/>
        <v/>
      </c>
      <c r="BC293" s="60" t="str">
        <f t="shared" si="205"/>
        <v>-</v>
      </c>
      <c r="BD293" s="61" t="str">
        <f ca="1">IFERROR(IF(SEARCH('Calcular Dieta'!A$3,$BC$5:$BC$310)&gt;=1,BC293,"Não encontrado"),"Não encontrado")</f>
        <v>-</v>
      </c>
      <c r="BE293" s="62">
        <f ca="1">COUNTIF(BD$5:BD293,"&lt;&gt;"&amp;"Não encontrado")</f>
        <v>289</v>
      </c>
      <c r="BF293" s="63" t="str">
        <f t="shared" ca="1" si="206"/>
        <v>-</v>
      </c>
      <c r="BG293" s="744" t="str">
        <f t="shared" si="207"/>
        <v/>
      </c>
      <c r="BH293" s="744" t="str">
        <f t="shared" si="208"/>
        <v/>
      </c>
      <c r="BI293" s="744" t="str">
        <f t="shared" si="209"/>
        <v/>
      </c>
      <c r="BJ293" s="744" t="str">
        <f t="shared" si="210"/>
        <v/>
      </c>
      <c r="BK293" s="744" t="str">
        <f t="shared" si="211"/>
        <v/>
      </c>
      <c r="BL293" s="744" t="str">
        <f t="shared" si="212"/>
        <v/>
      </c>
      <c r="BM293" s="744" t="str">
        <f t="shared" si="213"/>
        <v/>
      </c>
      <c r="BN293" s="744" t="str">
        <f t="shared" si="214"/>
        <v/>
      </c>
      <c r="BO293" s="744" t="str">
        <f t="shared" si="215"/>
        <v/>
      </c>
      <c r="BP293" s="744" t="str">
        <f t="shared" si="216"/>
        <v/>
      </c>
      <c r="BQ293" s="744" t="str">
        <f t="shared" si="217"/>
        <v/>
      </c>
      <c r="BR293" s="744" t="str">
        <f t="shared" si="218"/>
        <v/>
      </c>
      <c r="BS293" s="744" t="str">
        <f t="shared" si="219"/>
        <v/>
      </c>
      <c r="BT293" s="744" t="str">
        <f t="shared" si="220"/>
        <v/>
      </c>
      <c r="BU293" s="744" t="str">
        <f t="shared" si="221"/>
        <v/>
      </c>
      <c r="BV293" s="744" t="str">
        <f t="shared" si="222"/>
        <v/>
      </c>
      <c r="BW293" s="744" t="str">
        <f t="shared" si="223"/>
        <v/>
      </c>
      <c r="BX293" s="744" t="str">
        <f t="shared" si="224"/>
        <v/>
      </c>
      <c r="BY293" s="744" t="str">
        <f t="shared" si="225"/>
        <v/>
      </c>
      <c r="BZ293" s="744" t="str">
        <f t="shared" si="226"/>
        <v/>
      </c>
      <c r="CA293" s="744" t="str">
        <f t="shared" si="227"/>
        <v/>
      </c>
      <c r="CB293" s="744" t="str">
        <f t="shared" si="228"/>
        <v/>
      </c>
      <c r="CC293" s="744" t="str">
        <f t="shared" si="229"/>
        <v/>
      </c>
      <c r="CD293" s="744" t="str">
        <f t="shared" si="230"/>
        <v/>
      </c>
      <c r="CE293" s="744" t="str">
        <f t="shared" si="231"/>
        <v/>
      </c>
      <c r="CF293" s="744" t="str">
        <f t="shared" si="232"/>
        <v/>
      </c>
      <c r="CG293" s="744" t="str">
        <f t="shared" si="233"/>
        <v/>
      </c>
      <c r="CH293" s="744" t="str">
        <f t="shared" si="234"/>
        <v/>
      </c>
      <c r="CI293" s="744" t="str">
        <f t="shared" si="235"/>
        <v/>
      </c>
      <c r="CJ293" s="744" t="str">
        <f t="shared" si="236"/>
        <v/>
      </c>
      <c r="CK293" s="744" t="str">
        <f t="shared" si="237"/>
        <v/>
      </c>
      <c r="CL293" s="744" t="str">
        <f t="shared" si="238"/>
        <v/>
      </c>
      <c r="CM293" s="744" t="str">
        <f t="shared" si="239"/>
        <v/>
      </c>
      <c r="CN293" s="744" t="str">
        <f t="shared" si="240"/>
        <v/>
      </c>
      <c r="CO293" s="744" t="str">
        <f t="shared" si="241"/>
        <v/>
      </c>
      <c r="CP293" s="744" t="str">
        <f t="shared" si="242"/>
        <v/>
      </c>
      <c r="CQ293" s="744" t="str">
        <f t="shared" si="243"/>
        <v/>
      </c>
      <c r="CR293" s="744" t="str">
        <f t="shared" si="244"/>
        <v/>
      </c>
      <c r="CS293" s="744" t="str">
        <f t="shared" si="245"/>
        <v/>
      </c>
      <c r="CT293" s="744" t="str">
        <f t="shared" si="246"/>
        <v/>
      </c>
      <c r="CU293" s="744" t="str">
        <f t="shared" si="247"/>
        <v/>
      </c>
      <c r="CV293" s="744" t="str">
        <f t="shared" si="248"/>
        <v/>
      </c>
      <c r="CW293" s="744" t="str">
        <f t="shared" si="249"/>
        <v/>
      </c>
      <c r="CX293" s="744" t="str">
        <f t="shared" si="250"/>
        <v/>
      </c>
    </row>
    <row r="294" spans="1:102">
      <c r="A294" s="630">
        <v>290</v>
      </c>
      <c r="B294" s="630"/>
      <c r="C294" s="631"/>
      <c r="D294" s="630"/>
      <c r="E294" s="632"/>
      <c r="F294" s="1067"/>
      <c r="G294" s="1066"/>
      <c r="H294" s="1070"/>
      <c r="I294" s="1070"/>
      <c r="J294" s="1070"/>
      <c r="K294" s="1070"/>
      <c r="L294" s="1072"/>
      <c r="M294" s="1070"/>
      <c r="N294" s="1070"/>
      <c r="O294" s="1070"/>
      <c r="P294" s="1073"/>
      <c r="Q294" s="1070"/>
      <c r="R294" s="1070"/>
      <c r="S294" s="1070"/>
      <c r="T294" s="1070"/>
      <c r="U294" s="1070"/>
      <c r="V294" s="1066"/>
      <c r="W294" s="1070"/>
      <c r="X294" s="1070"/>
      <c r="Y294" s="1070"/>
      <c r="Z294" s="1070"/>
      <c r="AA294" s="1070"/>
      <c r="AB294" s="1070"/>
      <c r="AC294" s="1070"/>
      <c r="AD294" s="1070"/>
      <c r="AE294" s="1070"/>
      <c r="AF294" s="1070"/>
      <c r="AG294" s="1070"/>
      <c r="AH294" s="1073"/>
      <c r="AI294" s="1070"/>
      <c r="AJ294" s="1070"/>
      <c r="AK294" s="1070"/>
      <c r="AL294" s="1082"/>
      <c r="AM294" s="1069"/>
      <c r="AN294" s="1070"/>
      <c r="AO294" s="1070"/>
      <c r="AP294" s="1070"/>
      <c r="AQ294" s="1070"/>
      <c r="AR294" s="1069"/>
      <c r="AS294" s="1282"/>
      <c r="AT294" s="1282"/>
      <c r="AU294" s="1069"/>
      <c r="AV294" s="1069"/>
      <c r="AW294" s="1069"/>
      <c r="AX294" s="1070"/>
      <c r="AY294" s="1070"/>
      <c r="AZ294" s="1078">
        <f t="shared" si="203"/>
        <v>0</v>
      </c>
      <c r="BA294" s="59">
        <v>290</v>
      </c>
      <c r="BB294" s="59" t="str">
        <f t="shared" si="204"/>
        <v/>
      </c>
      <c r="BC294" s="60" t="str">
        <f t="shared" si="205"/>
        <v>-</v>
      </c>
      <c r="BD294" s="61" t="str">
        <f ca="1">IFERROR(IF(SEARCH('Calcular Dieta'!A$3,$BC$5:$BC$310)&gt;=1,BC294,"Não encontrado"),"Não encontrado")</f>
        <v>-</v>
      </c>
      <c r="BE294" s="62">
        <f ca="1">COUNTIF(BD$5:BD294,"&lt;&gt;"&amp;"Não encontrado")</f>
        <v>290</v>
      </c>
      <c r="BF294" s="63" t="str">
        <f t="shared" ca="1" si="206"/>
        <v>-</v>
      </c>
      <c r="BG294" s="744" t="str">
        <f t="shared" si="207"/>
        <v/>
      </c>
      <c r="BH294" s="744" t="str">
        <f t="shared" si="208"/>
        <v/>
      </c>
      <c r="BI294" s="744" t="str">
        <f t="shared" si="209"/>
        <v/>
      </c>
      <c r="BJ294" s="744" t="str">
        <f t="shared" si="210"/>
        <v/>
      </c>
      <c r="BK294" s="744" t="str">
        <f t="shared" si="211"/>
        <v/>
      </c>
      <c r="BL294" s="744" t="str">
        <f t="shared" si="212"/>
        <v/>
      </c>
      <c r="BM294" s="744" t="str">
        <f t="shared" si="213"/>
        <v/>
      </c>
      <c r="BN294" s="744" t="str">
        <f t="shared" si="214"/>
        <v/>
      </c>
      <c r="BO294" s="744" t="str">
        <f t="shared" si="215"/>
        <v/>
      </c>
      <c r="BP294" s="744" t="str">
        <f t="shared" si="216"/>
        <v/>
      </c>
      <c r="BQ294" s="744" t="str">
        <f t="shared" si="217"/>
        <v/>
      </c>
      <c r="BR294" s="744" t="str">
        <f t="shared" si="218"/>
        <v/>
      </c>
      <c r="BS294" s="744" t="str">
        <f t="shared" si="219"/>
        <v/>
      </c>
      <c r="BT294" s="744" t="str">
        <f t="shared" si="220"/>
        <v/>
      </c>
      <c r="BU294" s="744" t="str">
        <f t="shared" si="221"/>
        <v/>
      </c>
      <c r="BV294" s="744" t="str">
        <f t="shared" si="222"/>
        <v/>
      </c>
      <c r="BW294" s="744" t="str">
        <f t="shared" si="223"/>
        <v/>
      </c>
      <c r="BX294" s="744" t="str">
        <f t="shared" si="224"/>
        <v/>
      </c>
      <c r="BY294" s="744" t="str">
        <f t="shared" si="225"/>
        <v/>
      </c>
      <c r="BZ294" s="744" t="str">
        <f t="shared" si="226"/>
        <v/>
      </c>
      <c r="CA294" s="744" t="str">
        <f t="shared" si="227"/>
        <v/>
      </c>
      <c r="CB294" s="744" t="str">
        <f t="shared" si="228"/>
        <v/>
      </c>
      <c r="CC294" s="744" t="str">
        <f t="shared" si="229"/>
        <v/>
      </c>
      <c r="CD294" s="744" t="str">
        <f t="shared" si="230"/>
        <v/>
      </c>
      <c r="CE294" s="744" t="str">
        <f t="shared" si="231"/>
        <v/>
      </c>
      <c r="CF294" s="744" t="str">
        <f t="shared" si="232"/>
        <v/>
      </c>
      <c r="CG294" s="744" t="str">
        <f t="shared" si="233"/>
        <v/>
      </c>
      <c r="CH294" s="744" t="str">
        <f t="shared" si="234"/>
        <v/>
      </c>
      <c r="CI294" s="744" t="str">
        <f t="shared" si="235"/>
        <v/>
      </c>
      <c r="CJ294" s="744" t="str">
        <f t="shared" si="236"/>
        <v/>
      </c>
      <c r="CK294" s="744" t="str">
        <f t="shared" si="237"/>
        <v/>
      </c>
      <c r="CL294" s="744" t="str">
        <f t="shared" si="238"/>
        <v/>
      </c>
      <c r="CM294" s="744" t="str">
        <f t="shared" si="239"/>
        <v/>
      </c>
      <c r="CN294" s="744" t="str">
        <f t="shared" si="240"/>
        <v/>
      </c>
      <c r="CO294" s="744" t="str">
        <f t="shared" si="241"/>
        <v/>
      </c>
      <c r="CP294" s="744" t="str">
        <f t="shared" si="242"/>
        <v/>
      </c>
      <c r="CQ294" s="744" t="str">
        <f t="shared" si="243"/>
        <v/>
      </c>
      <c r="CR294" s="744" t="str">
        <f t="shared" si="244"/>
        <v/>
      </c>
      <c r="CS294" s="744" t="str">
        <f t="shared" si="245"/>
        <v/>
      </c>
      <c r="CT294" s="744" t="str">
        <f t="shared" si="246"/>
        <v/>
      </c>
      <c r="CU294" s="744" t="str">
        <f t="shared" si="247"/>
        <v/>
      </c>
      <c r="CV294" s="744" t="str">
        <f t="shared" si="248"/>
        <v/>
      </c>
      <c r="CW294" s="744" t="str">
        <f t="shared" si="249"/>
        <v/>
      </c>
      <c r="CX294" s="744" t="str">
        <f t="shared" si="250"/>
        <v/>
      </c>
    </row>
    <row r="295" spans="1:102">
      <c r="A295" s="633">
        <v>291</v>
      </c>
      <c r="B295" s="630"/>
      <c r="C295" s="631"/>
      <c r="D295" s="630"/>
      <c r="E295" s="632"/>
      <c r="F295" s="1067"/>
      <c r="G295" s="1066"/>
      <c r="H295" s="1070"/>
      <c r="I295" s="1070"/>
      <c r="J295" s="1070"/>
      <c r="K295" s="1070"/>
      <c r="L295" s="1072"/>
      <c r="M295" s="1070"/>
      <c r="N295" s="1070"/>
      <c r="O295" s="1070"/>
      <c r="P295" s="1073"/>
      <c r="Q295" s="1070"/>
      <c r="R295" s="1070"/>
      <c r="S295" s="1070"/>
      <c r="T295" s="1070"/>
      <c r="U295" s="1070"/>
      <c r="V295" s="1066"/>
      <c r="W295" s="1070"/>
      <c r="X295" s="1070"/>
      <c r="Y295" s="1070"/>
      <c r="Z295" s="1070"/>
      <c r="AA295" s="1070"/>
      <c r="AB295" s="1070"/>
      <c r="AC295" s="1070"/>
      <c r="AD295" s="1070"/>
      <c r="AE295" s="1070"/>
      <c r="AF295" s="1070"/>
      <c r="AG295" s="1070"/>
      <c r="AH295" s="1073"/>
      <c r="AI295" s="1070"/>
      <c r="AJ295" s="1070"/>
      <c r="AK295" s="1070"/>
      <c r="AL295" s="1082"/>
      <c r="AM295" s="1069"/>
      <c r="AN295" s="1070"/>
      <c r="AO295" s="1070"/>
      <c r="AP295" s="1070"/>
      <c r="AQ295" s="1070"/>
      <c r="AR295" s="1069"/>
      <c r="AS295" s="1282"/>
      <c r="AT295" s="1282"/>
      <c r="AU295" s="1069"/>
      <c r="AV295" s="1069"/>
      <c r="AW295" s="1069"/>
      <c r="AX295" s="1070"/>
      <c r="AY295" s="1070"/>
      <c r="AZ295" s="1078">
        <f t="shared" si="203"/>
        <v>0</v>
      </c>
      <c r="BA295" s="59">
        <v>291</v>
      </c>
      <c r="BB295" s="59" t="str">
        <f t="shared" si="204"/>
        <v/>
      </c>
      <c r="BC295" s="60" t="str">
        <f t="shared" si="205"/>
        <v>-</v>
      </c>
      <c r="BD295" s="61" t="str">
        <f ca="1">IFERROR(IF(SEARCH('Calcular Dieta'!A$3,$BC$5:$BC$310)&gt;=1,BC295,"Não encontrado"),"Não encontrado")</f>
        <v>-</v>
      </c>
      <c r="BE295" s="62">
        <f ca="1">COUNTIF(BD$5:BD295,"&lt;&gt;"&amp;"Não encontrado")</f>
        <v>291</v>
      </c>
      <c r="BF295" s="63" t="str">
        <f t="shared" ca="1" si="206"/>
        <v>-</v>
      </c>
      <c r="BG295" s="744" t="str">
        <f t="shared" si="207"/>
        <v/>
      </c>
      <c r="BH295" s="744" t="str">
        <f t="shared" si="208"/>
        <v/>
      </c>
      <c r="BI295" s="744" t="str">
        <f t="shared" si="209"/>
        <v/>
      </c>
      <c r="BJ295" s="744" t="str">
        <f t="shared" si="210"/>
        <v/>
      </c>
      <c r="BK295" s="744" t="str">
        <f t="shared" si="211"/>
        <v/>
      </c>
      <c r="BL295" s="744" t="str">
        <f t="shared" si="212"/>
        <v/>
      </c>
      <c r="BM295" s="744" t="str">
        <f t="shared" si="213"/>
        <v/>
      </c>
      <c r="BN295" s="744" t="str">
        <f t="shared" si="214"/>
        <v/>
      </c>
      <c r="BO295" s="744" t="str">
        <f t="shared" si="215"/>
        <v/>
      </c>
      <c r="BP295" s="744" t="str">
        <f t="shared" si="216"/>
        <v/>
      </c>
      <c r="BQ295" s="744" t="str">
        <f t="shared" si="217"/>
        <v/>
      </c>
      <c r="BR295" s="744" t="str">
        <f t="shared" si="218"/>
        <v/>
      </c>
      <c r="BS295" s="744" t="str">
        <f t="shared" si="219"/>
        <v/>
      </c>
      <c r="BT295" s="744" t="str">
        <f t="shared" si="220"/>
        <v/>
      </c>
      <c r="BU295" s="744" t="str">
        <f t="shared" si="221"/>
        <v/>
      </c>
      <c r="BV295" s="744" t="str">
        <f t="shared" si="222"/>
        <v/>
      </c>
      <c r="BW295" s="744" t="str">
        <f t="shared" si="223"/>
        <v/>
      </c>
      <c r="BX295" s="744" t="str">
        <f t="shared" si="224"/>
        <v/>
      </c>
      <c r="BY295" s="744" t="str">
        <f t="shared" si="225"/>
        <v/>
      </c>
      <c r="BZ295" s="744" t="str">
        <f t="shared" si="226"/>
        <v/>
      </c>
      <c r="CA295" s="744" t="str">
        <f t="shared" si="227"/>
        <v/>
      </c>
      <c r="CB295" s="744" t="str">
        <f t="shared" si="228"/>
        <v/>
      </c>
      <c r="CC295" s="744" t="str">
        <f t="shared" si="229"/>
        <v/>
      </c>
      <c r="CD295" s="744" t="str">
        <f t="shared" si="230"/>
        <v/>
      </c>
      <c r="CE295" s="744" t="str">
        <f t="shared" si="231"/>
        <v/>
      </c>
      <c r="CF295" s="744" t="str">
        <f t="shared" si="232"/>
        <v/>
      </c>
      <c r="CG295" s="744" t="str">
        <f t="shared" si="233"/>
        <v/>
      </c>
      <c r="CH295" s="744" t="str">
        <f t="shared" si="234"/>
        <v/>
      </c>
      <c r="CI295" s="744" t="str">
        <f t="shared" si="235"/>
        <v/>
      </c>
      <c r="CJ295" s="744" t="str">
        <f t="shared" si="236"/>
        <v/>
      </c>
      <c r="CK295" s="744" t="str">
        <f t="shared" si="237"/>
        <v/>
      </c>
      <c r="CL295" s="744" t="str">
        <f t="shared" si="238"/>
        <v/>
      </c>
      <c r="CM295" s="744" t="str">
        <f t="shared" si="239"/>
        <v/>
      </c>
      <c r="CN295" s="744" t="str">
        <f t="shared" si="240"/>
        <v/>
      </c>
      <c r="CO295" s="744" t="str">
        <f t="shared" si="241"/>
        <v/>
      </c>
      <c r="CP295" s="744" t="str">
        <f t="shared" si="242"/>
        <v/>
      </c>
      <c r="CQ295" s="744" t="str">
        <f t="shared" si="243"/>
        <v/>
      </c>
      <c r="CR295" s="744" t="str">
        <f t="shared" si="244"/>
        <v/>
      </c>
      <c r="CS295" s="744" t="str">
        <f t="shared" si="245"/>
        <v/>
      </c>
      <c r="CT295" s="744" t="str">
        <f t="shared" si="246"/>
        <v/>
      </c>
      <c r="CU295" s="744" t="str">
        <f t="shared" si="247"/>
        <v/>
      </c>
      <c r="CV295" s="744" t="str">
        <f t="shared" si="248"/>
        <v/>
      </c>
      <c r="CW295" s="744" t="str">
        <f t="shared" si="249"/>
        <v/>
      </c>
      <c r="CX295" s="744" t="str">
        <f t="shared" si="250"/>
        <v/>
      </c>
    </row>
    <row r="296" spans="1:102">
      <c r="A296" s="630">
        <v>292</v>
      </c>
      <c r="B296" s="630"/>
      <c r="C296" s="631"/>
      <c r="D296" s="630"/>
      <c r="E296" s="632"/>
      <c r="F296" s="1067"/>
      <c r="G296" s="1066"/>
      <c r="H296" s="1070"/>
      <c r="I296" s="1070"/>
      <c r="J296" s="1070"/>
      <c r="K296" s="1070"/>
      <c r="L296" s="1072"/>
      <c r="M296" s="1070"/>
      <c r="N296" s="1070"/>
      <c r="O296" s="1070"/>
      <c r="P296" s="1073"/>
      <c r="Q296" s="1070"/>
      <c r="R296" s="1070"/>
      <c r="S296" s="1070"/>
      <c r="T296" s="1070"/>
      <c r="U296" s="1070"/>
      <c r="V296" s="1066"/>
      <c r="W296" s="1070"/>
      <c r="X296" s="1070"/>
      <c r="Y296" s="1070"/>
      <c r="Z296" s="1070"/>
      <c r="AA296" s="1070"/>
      <c r="AB296" s="1070"/>
      <c r="AC296" s="1070"/>
      <c r="AD296" s="1070"/>
      <c r="AE296" s="1070"/>
      <c r="AF296" s="1070"/>
      <c r="AG296" s="1070"/>
      <c r="AH296" s="1073"/>
      <c r="AI296" s="1070"/>
      <c r="AJ296" s="1070"/>
      <c r="AK296" s="1070"/>
      <c r="AL296" s="1082"/>
      <c r="AM296" s="1069"/>
      <c r="AN296" s="1070"/>
      <c r="AO296" s="1070"/>
      <c r="AP296" s="1070"/>
      <c r="AQ296" s="1070"/>
      <c r="AR296" s="1069"/>
      <c r="AS296" s="1282"/>
      <c r="AT296" s="1282"/>
      <c r="AU296" s="1069"/>
      <c r="AV296" s="1069"/>
      <c r="AW296" s="1069"/>
      <c r="AX296" s="1070"/>
      <c r="AY296" s="1070"/>
      <c r="AZ296" s="1078">
        <f t="shared" si="203"/>
        <v>0</v>
      </c>
      <c r="BA296" s="59">
        <v>292</v>
      </c>
      <c r="BB296" s="59" t="str">
        <f t="shared" si="204"/>
        <v/>
      </c>
      <c r="BC296" s="60" t="str">
        <f t="shared" si="205"/>
        <v>-</v>
      </c>
      <c r="BD296" s="61" t="str">
        <f ca="1">IFERROR(IF(SEARCH('Calcular Dieta'!A$3,$BC$5:$BC$310)&gt;=1,BC296,"Não encontrado"),"Não encontrado")</f>
        <v>-</v>
      </c>
      <c r="BE296" s="62">
        <f ca="1">COUNTIF(BD$5:BD296,"&lt;&gt;"&amp;"Não encontrado")</f>
        <v>292</v>
      </c>
      <c r="BF296" s="63" t="str">
        <f t="shared" ca="1" si="206"/>
        <v>-</v>
      </c>
      <c r="BG296" s="744" t="str">
        <f t="shared" si="207"/>
        <v/>
      </c>
      <c r="BH296" s="744" t="str">
        <f t="shared" si="208"/>
        <v/>
      </c>
      <c r="BI296" s="744" t="str">
        <f t="shared" si="209"/>
        <v/>
      </c>
      <c r="BJ296" s="744" t="str">
        <f t="shared" si="210"/>
        <v/>
      </c>
      <c r="BK296" s="744" t="str">
        <f t="shared" si="211"/>
        <v/>
      </c>
      <c r="BL296" s="744" t="str">
        <f t="shared" si="212"/>
        <v/>
      </c>
      <c r="BM296" s="744" t="str">
        <f t="shared" si="213"/>
        <v/>
      </c>
      <c r="BN296" s="744" t="str">
        <f t="shared" si="214"/>
        <v/>
      </c>
      <c r="BO296" s="744" t="str">
        <f t="shared" si="215"/>
        <v/>
      </c>
      <c r="BP296" s="744" t="str">
        <f t="shared" si="216"/>
        <v/>
      </c>
      <c r="BQ296" s="744" t="str">
        <f t="shared" si="217"/>
        <v/>
      </c>
      <c r="BR296" s="744" t="str">
        <f t="shared" si="218"/>
        <v/>
      </c>
      <c r="BS296" s="744" t="str">
        <f t="shared" si="219"/>
        <v/>
      </c>
      <c r="BT296" s="744" t="str">
        <f t="shared" si="220"/>
        <v/>
      </c>
      <c r="BU296" s="744" t="str">
        <f t="shared" si="221"/>
        <v/>
      </c>
      <c r="BV296" s="744" t="str">
        <f t="shared" si="222"/>
        <v/>
      </c>
      <c r="BW296" s="744" t="str">
        <f t="shared" si="223"/>
        <v/>
      </c>
      <c r="BX296" s="744" t="str">
        <f t="shared" si="224"/>
        <v/>
      </c>
      <c r="BY296" s="744" t="str">
        <f t="shared" si="225"/>
        <v/>
      </c>
      <c r="BZ296" s="744" t="str">
        <f t="shared" si="226"/>
        <v/>
      </c>
      <c r="CA296" s="744" t="str">
        <f t="shared" si="227"/>
        <v/>
      </c>
      <c r="CB296" s="744" t="str">
        <f t="shared" si="228"/>
        <v/>
      </c>
      <c r="CC296" s="744" t="str">
        <f t="shared" si="229"/>
        <v/>
      </c>
      <c r="CD296" s="744" t="str">
        <f t="shared" si="230"/>
        <v/>
      </c>
      <c r="CE296" s="744" t="str">
        <f t="shared" si="231"/>
        <v/>
      </c>
      <c r="CF296" s="744" t="str">
        <f t="shared" si="232"/>
        <v/>
      </c>
      <c r="CG296" s="744" t="str">
        <f t="shared" si="233"/>
        <v/>
      </c>
      <c r="CH296" s="744" t="str">
        <f t="shared" si="234"/>
        <v/>
      </c>
      <c r="CI296" s="744" t="str">
        <f t="shared" si="235"/>
        <v/>
      </c>
      <c r="CJ296" s="744" t="str">
        <f t="shared" si="236"/>
        <v/>
      </c>
      <c r="CK296" s="744" t="str">
        <f t="shared" si="237"/>
        <v/>
      </c>
      <c r="CL296" s="744" t="str">
        <f t="shared" si="238"/>
        <v/>
      </c>
      <c r="CM296" s="744" t="str">
        <f t="shared" si="239"/>
        <v/>
      </c>
      <c r="CN296" s="744" t="str">
        <f t="shared" si="240"/>
        <v/>
      </c>
      <c r="CO296" s="744" t="str">
        <f t="shared" si="241"/>
        <v/>
      </c>
      <c r="CP296" s="744" t="str">
        <f t="shared" si="242"/>
        <v/>
      </c>
      <c r="CQ296" s="744" t="str">
        <f t="shared" si="243"/>
        <v/>
      </c>
      <c r="CR296" s="744" t="str">
        <f t="shared" si="244"/>
        <v/>
      </c>
      <c r="CS296" s="744" t="str">
        <f t="shared" si="245"/>
        <v/>
      </c>
      <c r="CT296" s="744" t="str">
        <f t="shared" si="246"/>
        <v/>
      </c>
      <c r="CU296" s="744" t="str">
        <f t="shared" si="247"/>
        <v/>
      </c>
      <c r="CV296" s="744" t="str">
        <f t="shared" si="248"/>
        <v/>
      </c>
      <c r="CW296" s="744" t="str">
        <f t="shared" si="249"/>
        <v/>
      </c>
      <c r="CX296" s="744" t="str">
        <f t="shared" si="250"/>
        <v/>
      </c>
    </row>
    <row r="297" spans="1:102">
      <c r="A297" s="633">
        <v>293</v>
      </c>
      <c r="B297" s="630"/>
      <c r="C297" s="631"/>
      <c r="D297" s="630"/>
      <c r="E297" s="632"/>
      <c r="F297" s="1067"/>
      <c r="G297" s="1066"/>
      <c r="H297" s="1070"/>
      <c r="I297" s="1070"/>
      <c r="J297" s="1070"/>
      <c r="K297" s="1070"/>
      <c r="L297" s="1072"/>
      <c r="M297" s="1070"/>
      <c r="N297" s="1070"/>
      <c r="O297" s="1070"/>
      <c r="P297" s="1073"/>
      <c r="Q297" s="1070"/>
      <c r="R297" s="1070"/>
      <c r="S297" s="1070"/>
      <c r="T297" s="1070"/>
      <c r="U297" s="1070"/>
      <c r="V297" s="1066"/>
      <c r="W297" s="1070"/>
      <c r="X297" s="1070"/>
      <c r="Y297" s="1070"/>
      <c r="Z297" s="1070"/>
      <c r="AA297" s="1070"/>
      <c r="AB297" s="1070"/>
      <c r="AC297" s="1070"/>
      <c r="AD297" s="1070"/>
      <c r="AE297" s="1070"/>
      <c r="AF297" s="1070"/>
      <c r="AG297" s="1070"/>
      <c r="AH297" s="1073"/>
      <c r="AI297" s="1070"/>
      <c r="AJ297" s="1070"/>
      <c r="AK297" s="1070"/>
      <c r="AL297" s="1082"/>
      <c r="AM297" s="1069"/>
      <c r="AN297" s="1070"/>
      <c r="AO297" s="1070"/>
      <c r="AP297" s="1070"/>
      <c r="AQ297" s="1070"/>
      <c r="AR297" s="1069"/>
      <c r="AS297" s="1282"/>
      <c r="AT297" s="1282"/>
      <c r="AU297" s="1069"/>
      <c r="AV297" s="1069"/>
      <c r="AW297" s="1069"/>
      <c r="AX297" s="1070"/>
      <c r="AY297" s="1070"/>
      <c r="AZ297" s="1078">
        <f t="shared" si="203"/>
        <v>0</v>
      </c>
      <c r="BA297" s="59">
        <v>293</v>
      </c>
      <c r="BB297" s="59" t="str">
        <f t="shared" si="204"/>
        <v/>
      </c>
      <c r="BC297" s="60" t="str">
        <f t="shared" si="205"/>
        <v>-</v>
      </c>
      <c r="BD297" s="61" t="str">
        <f ca="1">IFERROR(IF(SEARCH('Calcular Dieta'!A$3,$BC$5:$BC$310)&gt;=1,BC297,"Não encontrado"),"Não encontrado")</f>
        <v>-</v>
      </c>
      <c r="BE297" s="62">
        <f ca="1">COUNTIF(BD$5:BD297,"&lt;&gt;"&amp;"Não encontrado")</f>
        <v>293</v>
      </c>
      <c r="BF297" s="63" t="str">
        <f t="shared" ca="1" si="206"/>
        <v>-</v>
      </c>
      <c r="BG297" s="744" t="str">
        <f t="shared" si="207"/>
        <v/>
      </c>
      <c r="BH297" s="744" t="str">
        <f t="shared" si="208"/>
        <v/>
      </c>
      <c r="BI297" s="744" t="str">
        <f t="shared" si="209"/>
        <v/>
      </c>
      <c r="BJ297" s="744" t="str">
        <f t="shared" si="210"/>
        <v/>
      </c>
      <c r="BK297" s="744" t="str">
        <f t="shared" si="211"/>
        <v/>
      </c>
      <c r="BL297" s="744" t="str">
        <f t="shared" si="212"/>
        <v/>
      </c>
      <c r="BM297" s="744" t="str">
        <f t="shared" si="213"/>
        <v/>
      </c>
      <c r="BN297" s="744" t="str">
        <f t="shared" si="214"/>
        <v/>
      </c>
      <c r="BO297" s="744" t="str">
        <f t="shared" si="215"/>
        <v/>
      </c>
      <c r="BP297" s="744" t="str">
        <f t="shared" si="216"/>
        <v/>
      </c>
      <c r="BQ297" s="744" t="str">
        <f t="shared" si="217"/>
        <v/>
      </c>
      <c r="BR297" s="744" t="str">
        <f t="shared" si="218"/>
        <v/>
      </c>
      <c r="BS297" s="744" t="str">
        <f t="shared" si="219"/>
        <v/>
      </c>
      <c r="BT297" s="744" t="str">
        <f t="shared" si="220"/>
        <v/>
      </c>
      <c r="BU297" s="744" t="str">
        <f t="shared" si="221"/>
        <v/>
      </c>
      <c r="BV297" s="744" t="str">
        <f t="shared" si="222"/>
        <v/>
      </c>
      <c r="BW297" s="744" t="str">
        <f t="shared" si="223"/>
        <v/>
      </c>
      <c r="BX297" s="744" t="str">
        <f t="shared" si="224"/>
        <v/>
      </c>
      <c r="BY297" s="744" t="str">
        <f t="shared" si="225"/>
        <v/>
      </c>
      <c r="BZ297" s="744" t="str">
        <f t="shared" si="226"/>
        <v/>
      </c>
      <c r="CA297" s="744" t="str">
        <f t="shared" si="227"/>
        <v/>
      </c>
      <c r="CB297" s="744" t="str">
        <f t="shared" si="228"/>
        <v/>
      </c>
      <c r="CC297" s="744" t="str">
        <f t="shared" si="229"/>
        <v/>
      </c>
      <c r="CD297" s="744" t="str">
        <f t="shared" si="230"/>
        <v/>
      </c>
      <c r="CE297" s="744" t="str">
        <f t="shared" si="231"/>
        <v/>
      </c>
      <c r="CF297" s="744" t="str">
        <f t="shared" si="232"/>
        <v/>
      </c>
      <c r="CG297" s="744" t="str">
        <f t="shared" si="233"/>
        <v/>
      </c>
      <c r="CH297" s="744" t="str">
        <f t="shared" si="234"/>
        <v/>
      </c>
      <c r="CI297" s="744" t="str">
        <f t="shared" si="235"/>
        <v/>
      </c>
      <c r="CJ297" s="744" t="str">
        <f t="shared" si="236"/>
        <v/>
      </c>
      <c r="CK297" s="744" t="str">
        <f t="shared" si="237"/>
        <v/>
      </c>
      <c r="CL297" s="744" t="str">
        <f t="shared" si="238"/>
        <v/>
      </c>
      <c r="CM297" s="744" t="str">
        <f t="shared" si="239"/>
        <v/>
      </c>
      <c r="CN297" s="744" t="str">
        <f t="shared" si="240"/>
        <v/>
      </c>
      <c r="CO297" s="744" t="str">
        <f t="shared" si="241"/>
        <v/>
      </c>
      <c r="CP297" s="744" t="str">
        <f t="shared" si="242"/>
        <v/>
      </c>
      <c r="CQ297" s="744" t="str">
        <f t="shared" si="243"/>
        <v/>
      </c>
      <c r="CR297" s="744" t="str">
        <f t="shared" si="244"/>
        <v/>
      </c>
      <c r="CS297" s="744" t="str">
        <f t="shared" si="245"/>
        <v/>
      </c>
      <c r="CT297" s="744" t="str">
        <f t="shared" si="246"/>
        <v/>
      </c>
      <c r="CU297" s="744" t="str">
        <f t="shared" si="247"/>
        <v/>
      </c>
      <c r="CV297" s="744" t="str">
        <f t="shared" si="248"/>
        <v/>
      </c>
      <c r="CW297" s="744" t="str">
        <f t="shared" si="249"/>
        <v/>
      </c>
      <c r="CX297" s="744" t="str">
        <f t="shared" si="250"/>
        <v/>
      </c>
    </row>
    <row r="298" spans="1:102">
      <c r="A298" s="630">
        <v>294</v>
      </c>
      <c r="B298" s="630"/>
      <c r="C298" s="631"/>
      <c r="D298" s="630"/>
      <c r="E298" s="632"/>
      <c r="F298" s="1067"/>
      <c r="G298" s="1066"/>
      <c r="H298" s="1070"/>
      <c r="I298" s="1070"/>
      <c r="J298" s="1070"/>
      <c r="K298" s="1070"/>
      <c r="L298" s="1072"/>
      <c r="M298" s="1070"/>
      <c r="N298" s="1070"/>
      <c r="O298" s="1070"/>
      <c r="P298" s="1073"/>
      <c r="Q298" s="1070"/>
      <c r="R298" s="1070"/>
      <c r="S298" s="1070"/>
      <c r="T298" s="1070"/>
      <c r="U298" s="1070"/>
      <c r="V298" s="1066"/>
      <c r="W298" s="1070"/>
      <c r="X298" s="1070"/>
      <c r="Y298" s="1070"/>
      <c r="Z298" s="1070"/>
      <c r="AA298" s="1070"/>
      <c r="AB298" s="1070"/>
      <c r="AC298" s="1070"/>
      <c r="AD298" s="1070"/>
      <c r="AE298" s="1070"/>
      <c r="AF298" s="1070"/>
      <c r="AG298" s="1070"/>
      <c r="AH298" s="1073"/>
      <c r="AI298" s="1070"/>
      <c r="AJ298" s="1070"/>
      <c r="AK298" s="1070"/>
      <c r="AL298" s="1082"/>
      <c r="AM298" s="1069"/>
      <c r="AN298" s="1070"/>
      <c r="AO298" s="1070"/>
      <c r="AP298" s="1070"/>
      <c r="AQ298" s="1070"/>
      <c r="AR298" s="1069"/>
      <c r="AS298" s="1282"/>
      <c r="AT298" s="1282"/>
      <c r="AU298" s="1069"/>
      <c r="AV298" s="1069"/>
      <c r="AW298" s="1069"/>
      <c r="AX298" s="1070"/>
      <c r="AY298" s="1070"/>
      <c r="AZ298" s="1078">
        <f t="shared" si="203"/>
        <v>0</v>
      </c>
      <c r="BA298" s="59">
        <v>294</v>
      </c>
      <c r="BB298" s="59" t="str">
        <f t="shared" si="204"/>
        <v/>
      </c>
      <c r="BC298" s="60" t="str">
        <f t="shared" si="205"/>
        <v>-</v>
      </c>
      <c r="BD298" s="61" t="str">
        <f ca="1">IFERROR(IF(SEARCH('Calcular Dieta'!A$3,$BC$5:$BC$310)&gt;=1,BC298,"Não encontrado"),"Não encontrado")</f>
        <v>-</v>
      </c>
      <c r="BE298" s="62">
        <f ca="1">COUNTIF(BD$5:BD298,"&lt;&gt;"&amp;"Não encontrado")</f>
        <v>294</v>
      </c>
      <c r="BF298" s="63" t="str">
        <f t="shared" ca="1" si="206"/>
        <v>-</v>
      </c>
      <c r="BG298" s="744" t="str">
        <f t="shared" si="207"/>
        <v/>
      </c>
      <c r="BH298" s="744" t="str">
        <f t="shared" si="208"/>
        <v/>
      </c>
      <c r="BI298" s="744" t="str">
        <f t="shared" si="209"/>
        <v/>
      </c>
      <c r="BJ298" s="744" t="str">
        <f t="shared" si="210"/>
        <v/>
      </c>
      <c r="BK298" s="744" t="str">
        <f t="shared" si="211"/>
        <v/>
      </c>
      <c r="BL298" s="744" t="str">
        <f t="shared" si="212"/>
        <v/>
      </c>
      <c r="BM298" s="744" t="str">
        <f t="shared" si="213"/>
        <v/>
      </c>
      <c r="BN298" s="744" t="str">
        <f t="shared" si="214"/>
        <v/>
      </c>
      <c r="BO298" s="744" t="str">
        <f t="shared" si="215"/>
        <v/>
      </c>
      <c r="BP298" s="744" t="str">
        <f t="shared" si="216"/>
        <v/>
      </c>
      <c r="BQ298" s="744" t="str">
        <f t="shared" si="217"/>
        <v/>
      </c>
      <c r="BR298" s="744" t="str">
        <f t="shared" si="218"/>
        <v/>
      </c>
      <c r="BS298" s="744" t="str">
        <f t="shared" si="219"/>
        <v/>
      </c>
      <c r="BT298" s="744" t="str">
        <f t="shared" si="220"/>
        <v/>
      </c>
      <c r="BU298" s="744" t="str">
        <f t="shared" si="221"/>
        <v/>
      </c>
      <c r="BV298" s="744" t="str">
        <f t="shared" si="222"/>
        <v/>
      </c>
      <c r="BW298" s="744" t="str">
        <f t="shared" si="223"/>
        <v/>
      </c>
      <c r="BX298" s="744" t="str">
        <f t="shared" si="224"/>
        <v/>
      </c>
      <c r="BY298" s="744" t="str">
        <f t="shared" si="225"/>
        <v/>
      </c>
      <c r="BZ298" s="744" t="str">
        <f t="shared" si="226"/>
        <v/>
      </c>
      <c r="CA298" s="744" t="str">
        <f t="shared" si="227"/>
        <v/>
      </c>
      <c r="CB298" s="744" t="str">
        <f t="shared" si="228"/>
        <v/>
      </c>
      <c r="CC298" s="744" t="str">
        <f t="shared" si="229"/>
        <v/>
      </c>
      <c r="CD298" s="744" t="str">
        <f t="shared" si="230"/>
        <v/>
      </c>
      <c r="CE298" s="744" t="str">
        <f t="shared" si="231"/>
        <v/>
      </c>
      <c r="CF298" s="744" t="str">
        <f t="shared" si="232"/>
        <v/>
      </c>
      <c r="CG298" s="744" t="str">
        <f t="shared" si="233"/>
        <v/>
      </c>
      <c r="CH298" s="744" t="str">
        <f t="shared" si="234"/>
        <v/>
      </c>
      <c r="CI298" s="744" t="str">
        <f t="shared" si="235"/>
        <v/>
      </c>
      <c r="CJ298" s="744" t="str">
        <f t="shared" si="236"/>
        <v/>
      </c>
      <c r="CK298" s="744" t="str">
        <f t="shared" si="237"/>
        <v/>
      </c>
      <c r="CL298" s="744" t="str">
        <f t="shared" si="238"/>
        <v/>
      </c>
      <c r="CM298" s="744" t="str">
        <f t="shared" si="239"/>
        <v/>
      </c>
      <c r="CN298" s="744" t="str">
        <f t="shared" si="240"/>
        <v/>
      </c>
      <c r="CO298" s="744" t="str">
        <f t="shared" si="241"/>
        <v/>
      </c>
      <c r="CP298" s="744" t="str">
        <f t="shared" si="242"/>
        <v/>
      </c>
      <c r="CQ298" s="744" t="str">
        <f t="shared" si="243"/>
        <v/>
      </c>
      <c r="CR298" s="744" t="str">
        <f t="shared" si="244"/>
        <v/>
      </c>
      <c r="CS298" s="744" t="str">
        <f t="shared" si="245"/>
        <v/>
      </c>
      <c r="CT298" s="744" t="str">
        <f t="shared" si="246"/>
        <v/>
      </c>
      <c r="CU298" s="744" t="str">
        <f t="shared" si="247"/>
        <v/>
      </c>
      <c r="CV298" s="744" t="str">
        <f t="shared" si="248"/>
        <v/>
      </c>
      <c r="CW298" s="744" t="str">
        <f t="shared" si="249"/>
        <v/>
      </c>
      <c r="CX298" s="744" t="str">
        <f t="shared" si="250"/>
        <v/>
      </c>
    </row>
    <row r="299" spans="1:102">
      <c r="A299" s="633">
        <v>295</v>
      </c>
      <c r="B299" s="630"/>
      <c r="C299" s="631"/>
      <c r="D299" s="630"/>
      <c r="E299" s="632"/>
      <c r="F299" s="1067"/>
      <c r="G299" s="1066"/>
      <c r="H299" s="1070"/>
      <c r="I299" s="1070"/>
      <c r="J299" s="1070"/>
      <c r="K299" s="1070"/>
      <c r="L299" s="1072"/>
      <c r="M299" s="1070"/>
      <c r="N299" s="1070"/>
      <c r="O299" s="1070"/>
      <c r="P299" s="1073"/>
      <c r="Q299" s="1070"/>
      <c r="R299" s="1070"/>
      <c r="S299" s="1070"/>
      <c r="T299" s="1070"/>
      <c r="U299" s="1070"/>
      <c r="V299" s="1066"/>
      <c r="W299" s="1070"/>
      <c r="X299" s="1070"/>
      <c r="Y299" s="1070"/>
      <c r="Z299" s="1070"/>
      <c r="AA299" s="1070"/>
      <c r="AB299" s="1070"/>
      <c r="AC299" s="1070"/>
      <c r="AD299" s="1070"/>
      <c r="AE299" s="1070"/>
      <c r="AF299" s="1070"/>
      <c r="AG299" s="1070"/>
      <c r="AH299" s="1073"/>
      <c r="AI299" s="1070"/>
      <c r="AJ299" s="1070"/>
      <c r="AK299" s="1070"/>
      <c r="AL299" s="1082"/>
      <c r="AM299" s="1069"/>
      <c r="AN299" s="1070"/>
      <c r="AO299" s="1070"/>
      <c r="AP299" s="1070"/>
      <c r="AQ299" s="1070"/>
      <c r="AR299" s="1069"/>
      <c r="AS299" s="1282"/>
      <c r="AT299" s="1282"/>
      <c r="AU299" s="1069"/>
      <c r="AV299" s="1069"/>
      <c r="AW299" s="1069"/>
      <c r="AX299" s="1070"/>
      <c r="AY299" s="1070"/>
      <c r="AZ299" s="1078">
        <f t="shared" si="203"/>
        <v>0</v>
      </c>
      <c r="BA299" s="59">
        <v>295</v>
      </c>
      <c r="BB299" s="59" t="str">
        <f t="shared" si="204"/>
        <v/>
      </c>
      <c r="BC299" s="60" t="str">
        <f t="shared" si="205"/>
        <v>-</v>
      </c>
      <c r="BD299" s="61" t="str">
        <f ca="1">IFERROR(IF(SEARCH('Calcular Dieta'!A$3,$BC$5:$BC$310)&gt;=1,BC299,"Não encontrado"),"Não encontrado")</f>
        <v>-</v>
      </c>
      <c r="BE299" s="62">
        <f ca="1">COUNTIF(BD$5:BD299,"&lt;&gt;"&amp;"Não encontrado")</f>
        <v>295</v>
      </c>
      <c r="BF299" s="63" t="str">
        <f t="shared" ca="1" si="206"/>
        <v>-</v>
      </c>
      <c r="BG299" s="744" t="str">
        <f t="shared" si="207"/>
        <v/>
      </c>
      <c r="BH299" s="744" t="str">
        <f t="shared" si="208"/>
        <v/>
      </c>
      <c r="BI299" s="744" t="str">
        <f t="shared" si="209"/>
        <v/>
      </c>
      <c r="BJ299" s="744" t="str">
        <f t="shared" si="210"/>
        <v/>
      </c>
      <c r="BK299" s="744" t="str">
        <f t="shared" si="211"/>
        <v/>
      </c>
      <c r="BL299" s="744" t="str">
        <f t="shared" si="212"/>
        <v/>
      </c>
      <c r="BM299" s="744" t="str">
        <f t="shared" si="213"/>
        <v/>
      </c>
      <c r="BN299" s="744" t="str">
        <f t="shared" si="214"/>
        <v/>
      </c>
      <c r="BO299" s="744" t="str">
        <f t="shared" si="215"/>
        <v/>
      </c>
      <c r="BP299" s="744" t="str">
        <f t="shared" si="216"/>
        <v/>
      </c>
      <c r="BQ299" s="744" t="str">
        <f t="shared" si="217"/>
        <v/>
      </c>
      <c r="BR299" s="744" t="str">
        <f t="shared" si="218"/>
        <v/>
      </c>
      <c r="BS299" s="744" t="str">
        <f t="shared" si="219"/>
        <v/>
      </c>
      <c r="BT299" s="744" t="str">
        <f t="shared" si="220"/>
        <v/>
      </c>
      <c r="BU299" s="744" t="str">
        <f t="shared" si="221"/>
        <v/>
      </c>
      <c r="BV299" s="744" t="str">
        <f t="shared" si="222"/>
        <v/>
      </c>
      <c r="BW299" s="744" t="str">
        <f t="shared" si="223"/>
        <v/>
      </c>
      <c r="BX299" s="744" t="str">
        <f t="shared" si="224"/>
        <v/>
      </c>
      <c r="BY299" s="744" t="str">
        <f t="shared" si="225"/>
        <v/>
      </c>
      <c r="BZ299" s="744" t="str">
        <f t="shared" si="226"/>
        <v/>
      </c>
      <c r="CA299" s="744" t="str">
        <f t="shared" si="227"/>
        <v/>
      </c>
      <c r="CB299" s="744" t="str">
        <f t="shared" si="228"/>
        <v/>
      </c>
      <c r="CC299" s="744" t="str">
        <f t="shared" si="229"/>
        <v/>
      </c>
      <c r="CD299" s="744" t="str">
        <f t="shared" si="230"/>
        <v/>
      </c>
      <c r="CE299" s="744" t="str">
        <f t="shared" si="231"/>
        <v/>
      </c>
      <c r="CF299" s="744" t="str">
        <f t="shared" si="232"/>
        <v/>
      </c>
      <c r="CG299" s="744" t="str">
        <f t="shared" si="233"/>
        <v/>
      </c>
      <c r="CH299" s="744" t="str">
        <f t="shared" si="234"/>
        <v/>
      </c>
      <c r="CI299" s="744" t="str">
        <f t="shared" si="235"/>
        <v/>
      </c>
      <c r="CJ299" s="744" t="str">
        <f t="shared" si="236"/>
        <v/>
      </c>
      <c r="CK299" s="744" t="str">
        <f t="shared" si="237"/>
        <v/>
      </c>
      <c r="CL299" s="744" t="str">
        <f t="shared" si="238"/>
        <v/>
      </c>
      <c r="CM299" s="744" t="str">
        <f t="shared" si="239"/>
        <v/>
      </c>
      <c r="CN299" s="744" t="str">
        <f t="shared" si="240"/>
        <v/>
      </c>
      <c r="CO299" s="744" t="str">
        <f t="shared" si="241"/>
        <v/>
      </c>
      <c r="CP299" s="744" t="str">
        <f t="shared" si="242"/>
        <v/>
      </c>
      <c r="CQ299" s="744" t="str">
        <f t="shared" si="243"/>
        <v/>
      </c>
      <c r="CR299" s="744" t="str">
        <f t="shared" si="244"/>
        <v/>
      </c>
      <c r="CS299" s="744" t="str">
        <f t="shared" si="245"/>
        <v/>
      </c>
      <c r="CT299" s="744" t="str">
        <f t="shared" si="246"/>
        <v/>
      </c>
      <c r="CU299" s="744" t="str">
        <f t="shared" si="247"/>
        <v/>
      </c>
      <c r="CV299" s="744" t="str">
        <f t="shared" si="248"/>
        <v/>
      </c>
      <c r="CW299" s="744" t="str">
        <f t="shared" si="249"/>
        <v/>
      </c>
      <c r="CX299" s="744" t="str">
        <f t="shared" si="250"/>
        <v/>
      </c>
    </row>
    <row r="300" spans="1:102">
      <c r="A300" s="630">
        <v>296</v>
      </c>
      <c r="B300" s="630"/>
      <c r="C300" s="631"/>
      <c r="D300" s="630"/>
      <c r="E300" s="632"/>
      <c r="F300" s="1067"/>
      <c r="G300" s="1066"/>
      <c r="H300" s="1070"/>
      <c r="I300" s="1070"/>
      <c r="J300" s="1070"/>
      <c r="K300" s="1070"/>
      <c r="L300" s="1072"/>
      <c r="M300" s="1070"/>
      <c r="N300" s="1070"/>
      <c r="O300" s="1070"/>
      <c r="P300" s="1073"/>
      <c r="Q300" s="1070"/>
      <c r="R300" s="1070"/>
      <c r="S300" s="1070"/>
      <c r="T300" s="1070"/>
      <c r="U300" s="1070"/>
      <c r="V300" s="1066"/>
      <c r="W300" s="1070"/>
      <c r="X300" s="1070"/>
      <c r="Y300" s="1070"/>
      <c r="Z300" s="1070"/>
      <c r="AA300" s="1070"/>
      <c r="AB300" s="1070"/>
      <c r="AC300" s="1070"/>
      <c r="AD300" s="1070"/>
      <c r="AE300" s="1070"/>
      <c r="AF300" s="1070"/>
      <c r="AG300" s="1070"/>
      <c r="AH300" s="1073"/>
      <c r="AI300" s="1070"/>
      <c r="AJ300" s="1070"/>
      <c r="AK300" s="1070"/>
      <c r="AL300" s="1082"/>
      <c r="AM300" s="1069"/>
      <c r="AN300" s="1070"/>
      <c r="AO300" s="1070"/>
      <c r="AP300" s="1070"/>
      <c r="AQ300" s="1070"/>
      <c r="AR300" s="1069"/>
      <c r="AS300" s="1282"/>
      <c r="AT300" s="1282"/>
      <c r="AU300" s="1069"/>
      <c r="AV300" s="1069"/>
      <c r="AW300" s="1069"/>
      <c r="AX300" s="1070"/>
      <c r="AY300" s="1070"/>
      <c r="AZ300" s="1078">
        <f t="shared" si="203"/>
        <v>0</v>
      </c>
      <c r="BA300" s="59">
        <v>296</v>
      </c>
      <c r="BB300" s="59" t="str">
        <f t="shared" si="204"/>
        <v/>
      </c>
      <c r="BC300" s="60" t="str">
        <f t="shared" si="205"/>
        <v>-</v>
      </c>
      <c r="BD300" s="61" t="str">
        <f ca="1">IFERROR(IF(SEARCH('Calcular Dieta'!A$3,$BC$5:$BC$310)&gt;=1,BC300,"Não encontrado"),"Não encontrado")</f>
        <v>-</v>
      </c>
      <c r="BE300" s="62">
        <f ca="1">COUNTIF(BD$5:BD300,"&lt;&gt;"&amp;"Não encontrado")</f>
        <v>296</v>
      </c>
      <c r="BF300" s="63" t="str">
        <f t="shared" ca="1" si="206"/>
        <v>-</v>
      </c>
      <c r="BG300" s="744" t="str">
        <f t="shared" si="207"/>
        <v/>
      </c>
      <c r="BH300" s="744" t="str">
        <f t="shared" si="208"/>
        <v/>
      </c>
      <c r="BI300" s="744" t="str">
        <f t="shared" si="209"/>
        <v/>
      </c>
      <c r="BJ300" s="744" t="str">
        <f t="shared" si="210"/>
        <v/>
      </c>
      <c r="BK300" s="744" t="str">
        <f t="shared" si="211"/>
        <v/>
      </c>
      <c r="BL300" s="744" t="str">
        <f t="shared" si="212"/>
        <v/>
      </c>
      <c r="BM300" s="744" t="str">
        <f t="shared" si="213"/>
        <v/>
      </c>
      <c r="BN300" s="744" t="str">
        <f t="shared" si="214"/>
        <v/>
      </c>
      <c r="BO300" s="744" t="str">
        <f t="shared" si="215"/>
        <v/>
      </c>
      <c r="BP300" s="744" t="str">
        <f t="shared" si="216"/>
        <v/>
      </c>
      <c r="BQ300" s="744" t="str">
        <f t="shared" si="217"/>
        <v/>
      </c>
      <c r="BR300" s="744" t="str">
        <f t="shared" si="218"/>
        <v/>
      </c>
      <c r="BS300" s="744" t="str">
        <f t="shared" si="219"/>
        <v/>
      </c>
      <c r="BT300" s="744" t="str">
        <f t="shared" si="220"/>
        <v/>
      </c>
      <c r="BU300" s="744" t="str">
        <f t="shared" si="221"/>
        <v/>
      </c>
      <c r="BV300" s="744" t="str">
        <f t="shared" si="222"/>
        <v/>
      </c>
      <c r="BW300" s="744" t="str">
        <f t="shared" si="223"/>
        <v/>
      </c>
      <c r="BX300" s="744" t="str">
        <f t="shared" si="224"/>
        <v/>
      </c>
      <c r="BY300" s="744" t="str">
        <f t="shared" si="225"/>
        <v/>
      </c>
      <c r="BZ300" s="744" t="str">
        <f t="shared" si="226"/>
        <v/>
      </c>
      <c r="CA300" s="744" t="str">
        <f t="shared" si="227"/>
        <v/>
      </c>
      <c r="CB300" s="744" t="str">
        <f t="shared" si="228"/>
        <v/>
      </c>
      <c r="CC300" s="744" t="str">
        <f t="shared" si="229"/>
        <v/>
      </c>
      <c r="CD300" s="744" t="str">
        <f t="shared" si="230"/>
        <v/>
      </c>
      <c r="CE300" s="744" t="str">
        <f t="shared" si="231"/>
        <v/>
      </c>
      <c r="CF300" s="744" t="str">
        <f t="shared" si="232"/>
        <v/>
      </c>
      <c r="CG300" s="744" t="str">
        <f t="shared" si="233"/>
        <v/>
      </c>
      <c r="CH300" s="744" t="str">
        <f t="shared" si="234"/>
        <v/>
      </c>
      <c r="CI300" s="744" t="str">
        <f t="shared" si="235"/>
        <v/>
      </c>
      <c r="CJ300" s="744" t="str">
        <f t="shared" si="236"/>
        <v/>
      </c>
      <c r="CK300" s="744" t="str">
        <f t="shared" si="237"/>
        <v/>
      </c>
      <c r="CL300" s="744" t="str">
        <f t="shared" si="238"/>
        <v/>
      </c>
      <c r="CM300" s="744" t="str">
        <f t="shared" si="239"/>
        <v/>
      </c>
      <c r="CN300" s="744" t="str">
        <f t="shared" si="240"/>
        <v/>
      </c>
      <c r="CO300" s="744" t="str">
        <f t="shared" si="241"/>
        <v/>
      </c>
      <c r="CP300" s="744" t="str">
        <f t="shared" si="242"/>
        <v/>
      </c>
      <c r="CQ300" s="744" t="str">
        <f t="shared" si="243"/>
        <v/>
      </c>
      <c r="CR300" s="744" t="str">
        <f t="shared" si="244"/>
        <v/>
      </c>
      <c r="CS300" s="744" t="str">
        <f t="shared" si="245"/>
        <v/>
      </c>
      <c r="CT300" s="744" t="str">
        <f t="shared" si="246"/>
        <v/>
      </c>
      <c r="CU300" s="744" t="str">
        <f t="shared" si="247"/>
        <v/>
      </c>
      <c r="CV300" s="744" t="str">
        <f t="shared" si="248"/>
        <v/>
      </c>
      <c r="CW300" s="744" t="str">
        <f t="shared" si="249"/>
        <v/>
      </c>
      <c r="CX300" s="744" t="str">
        <f t="shared" si="250"/>
        <v/>
      </c>
    </row>
    <row r="301" spans="1:102">
      <c r="A301" s="633">
        <v>297</v>
      </c>
      <c r="B301" s="630"/>
      <c r="C301" s="631"/>
      <c r="D301" s="630"/>
      <c r="E301" s="632"/>
      <c r="F301" s="1067"/>
      <c r="G301" s="1066"/>
      <c r="H301" s="1070"/>
      <c r="I301" s="1070"/>
      <c r="J301" s="1070"/>
      <c r="K301" s="1070"/>
      <c r="L301" s="1072"/>
      <c r="M301" s="1070"/>
      <c r="N301" s="1070"/>
      <c r="O301" s="1070"/>
      <c r="P301" s="1073"/>
      <c r="Q301" s="1070"/>
      <c r="R301" s="1070"/>
      <c r="S301" s="1070"/>
      <c r="T301" s="1070"/>
      <c r="U301" s="1070"/>
      <c r="V301" s="1066"/>
      <c r="W301" s="1070"/>
      <c r="X301" s="1070"/>
      <c r="Y301" s="1070"/>
      <c r="Z301" s="1070"/>
      <c r="AA301" s="1070"/>
      <c r="AB301" s="1070"/>
      <c r="AC301" s="1070"/>
      <c r="AD301" s="1070"/>
      <c r="AE301" s="1070"/>
      <c r="AF301" s="1070"/>
      <c r="AG301" s="1070"/>
      <c r="AH301" s="1073"/>
      <c r="AI301" s="1070"/>
      <c r="AJ301" s="1070"/>
      <c r="AK301" s="1070"/>
      <c r="AL301" s="1082"/>
      <c r="AM301" s="1069"/>
      <c r="AN301" s="1070"/>
      <c r="AO301" s="1070"/>
      <c r="AP301" s="1070"/>
      <c r="AQ301" s="1070"/>
      <c r="AR301" s="1069"/>
      <c r="AS301" s="1282"/>
      <c r="AT301" s="1282"/>
      <c r="AU301" s="1069"/>
      <c r="AV301" s="1069"/>
      <c r="AW301" s="1069"/>
      <c r="AX301" s="1070"/>
      <c r="AY301" s="1070"/>
      <c r="AZ301" s="1078">
        <f t="shared" si="203"/>
        <v>0</v>
      </c>
      <c r="BA301" s="59">
        <v>297</v>
      </c>
      <c r="BB301" s="59" t="str">
        <f t="shared" si="204"/>
        <v/>
      </c>
      <c r="BC301" s="60" t="str">
        <f t="shared" si="205"/>
        <v>-</v>
      </c>
      <c r="BD301" s="61" t="str">
        <f ca="1">IFERROR(IF(SEARCH('Calcular Dieta'!A$3,$BC$5:$BC$310)&gt;=1,BC301,"Não encontrado"),"Não encontrado")</f>
        <v>-</v>
      </c>
      <c r="BE301" s="62">
        <f ca="1">COUNTIF(BD$5:BD301,"&lt;&gt;"&amp;"Não encontrado")</f>
        <v>297</v>
      </c>
      <c r="BF301" s="63" t="str">
        <f t="shared" ca="1" si="206"/>
        <v>-</v>
      </c>
      <c r="BG301" s="744" t="str">
        <f t="shared" si="207"/>
        <v/>
      </c>
      <c r="BH301" s="744" t="str">
        <f t="shared" si="208"/>
        <v/>
      </c>
      <c r="BI301" s="744" t="str">
        <f t="shared" si="209"/>
        <v/>
      </c>
      <c r="BJ301" s="744" t="str">
        <f t="shared" si="210"/>
        <v/>
      </c>
      <c r="BK301" s="744" t="str">
        <f t="shared" si="211"/>
        <v/>
      </c>
      <c r="BL301" s="744" t="str">
        <f t="shared" si="212"/>
        <v/>
      </c>
      <c r="BM301" s="744" t="str">
        <f t="shared" si="213"/>
        <v/>
      </c>
      <c r="BN301" s="744" t="str">
        <f t="shared" si="214"/>
        <v/>
      </c>
      <c r="BO301" s="744" t="str">
        <f t="shared" si="215"/>
        <v/>
      </c>
      <c r="BP301" s="744" t="str">
        <f t="shared" si="216"/>
        <v/>
      </c>
      <c r="BQ301" s="744" t="str">
        <f t="shared" si="217"/>
        <v/>
      </c>
      <c r="BR301" s="744" t="str">
        <f t="shared" si="218"/>
        <v/>
      </c>
      <c r="BS301" s="744" t="str">
        <f t="shared" si="219"/>
        <v/>
      </c>
      <c r="BT301" s="744" t="str">
        <f t="shared" si="220"/>
        <v/>
      </c>
      <c r="BU301" s="744" t="str">
        <f t="shared" si="221"/>
        <v/>
      </c>
      <c r="BV301" s="744" t="str">
        <f t="shared" si="222"/>
        <v/>
      </c>
      <c r="BW301" s="744" t="str">
        <f t="shared" si="223"/>
        <v/>
      </c>
      <c r="BX301" s="744" t="str">
        <f t="shared" si="224"/>
        <v/>
      </c>
      <c r="BY301" s="744" t="str">
        <f t="shared" si="225"/>
        <v/>
      </c>
      <c r="BZ301" s="744" t="str">
        <f t="shared" si="226"/>
        <v/>
      </c>
      <c r="CA301" s="744" t="str">
        <f t="shared" si="227"/>
        <v/>
      </c>
      <c r="CB301" s="744" t="str">
        <f t="shared" si="228"/>
        <v/>
      </c>
      <c r="CC301" s="744" t="str">
        <f t="shared" si="229"/>
        <v/>
      </c>
      <c r="CD301" s="744" t="str">
        <f t="shared" si="230"/>
        <v/>
      </c>
      <c r="CE301" s="744" t="str">
        <f t="shared" si="231"/>
        <v/>
      </c>
      <c r="CF301" s="744" t="str">
        <f t="shared" si="232"/>
        <v/>
      </c>
      <c r="CG301" s="744" t="str">
        <f t="shared" si="233"/>
        <v/>
      </c>
      <c r="CH301" s="744" t="str">
        <f t="shared" si="234"/>
        <v/>
      </c>
      <c r="CI301" s="744" t="str">
        <f t="shared" si="235"/>
        <v/>
      </c>
      <c r="CJ301" s="744" t="str">
        <f t="shared" si="236"/>
        <v/>
      </c>
      <c r="CK301" s="744" t="str">
        <f t="shared" si="237"/>
        <v/>
      </c>
      <c r="CL301" s="744" t="str">
        <f t="shared" si="238"/>
        <v/>
      </c>
      <c r="CM301" s="744" t="str">
        <f t="shared" si="239"/>
        <v/>
      </c>
      <c r="CN301" s="744" t="str">
        <f t="shared" si="240"/>
        <v/>
      </c>
      <c r="CO301" s="744" t="str">
        <f t="shared" si="241"/>
        <v/>
      </c>
      <c r="CP301" s="744" t="str">
        <f t="shared" si="242"/>
        <v/>
      </c>
      <c r="CQ301" s="744" t="str">
        <f t="shared" si="243"/>
        <v/>
      </c>
      <c r="CR301" s="744" t="str">
        <f t="shared" si="244"/>
        <v/>
      </c>
      <c r="CS301" s="744" t="str">
        <f t="shared" si="245"/>
        <v/>
      </c>
      <c r="CT301" s="744" t="str">
        <f t="shared" si="246"/>
        <v/>
      </c>
      <c r="CU301" s="744" t="str">
        <f t="shared" si="247"/>
        <v/>
      </c>
      <c r="CV301" s="744" t="str">
        <f t="shared" si="248"/>
        <v/>
      </c>
      <c r="CW301" s="744" t="str">
        <f t="shared" si="249"/>
        <v/>
      </c>
      <c r="CX301" s="744" t="str">
        <f t="shared" si="250"/>
        <v/>
      </c>
    </row>
    <row r="302" spans="1:102">
      <c r="A302" s="630">
        <v>298</v>
      </c>
      <c r="B302" s="630"/>
      <c r="C302" s="631"/>
      <c r="D302" s="630"/>
      <c r="E302" s="632"/>
      <c r="F302" s="1067"/>
      <c r="G302" s="1066"/>
      <c r="H302" s="1070"/>
      <c r="I302" s="1070"/>
      <c r="J302" s="1070"/>
      <c r="K302" s="1070"/>
      <c r="L302" s="1072"/>
      <c r="M302" s="1070"/>
      <c r="N302" s="1070"/>
      <c r="O302" s="1070"/>
      <c r="P302" s="1073"/>
      <c r="Q302" s="1070"/>
      <c r="R302" s="1070"/>
      <c r="S302" s="1070"/>
      <c r="T302" s="1070"/>
      <c r="U302" s="1070"/>
      <c r="V302" s="1066"/>
      <c r="W302" s="1070"/>
      <c r="X302" s="1070"/>
      <c r="Y302" s="1070"/>
      <c r="Z302" s="1070"/>
      <c r="AA302" s="1070"/>
      <c r="AB302" s="1070"/>
      <c r="AC302" s="1070"/>
      <c r="AD302" s="1070"/>
      <c r="AE302" s="1070"/>
      <c r="AF302" s="1070"/>
      <c r="AG302" s="1070"/>
      <c r="AH302" s="1073"/>
      <c r="AI302" s="1070"/>
      <c r="AJ302" s="1070"/>
      <c r="AK302" s="1070"/>
      <c r="AL302" s="1082"/>
      <c r="AM302" s="1069"/>
      <c r="AN302" s="1070"/>
      <c r="AO302" s="1070"/>
      <c r="AP302" s="1070"/>
      <c r="AQ302" s="1070"/>
      <c r="AR302" s="1069"/>
      <c r="AS302" s="1282"/>
      <c r="AT302" s="1282"/>
      <c r="AU302" s="1069"/>
      <c r="AV302" s="1069"/>
      <c r="AW302" s="1069"/>
      <c r="AX302" s="1070"/>
      <c r="AY302" s="1070"/>
      <c r="AZ302" s="1078">
        <f t="shared" si="203"/>
        <v>0</v>
      </c>
      <c r="BA302" s="59">
        <v>298</v>
      </c>
      <c r="BB302" s="59" t="str">
        <f t="shared" si="204"/>
        <v/>
      </c>
      <c r="BC302" s="60" t="str">
        <f t="shared" si="205"/>
        <v>-</v>
      </c>
      <c r="BD302" s="61" t="str">
        <f ca="1">IFERROR(IF(SEARCH('Calcular Dieta'!A$3,$BC$5:$BC$310)&gt;=1,BC302,"Não encontrado"),"Não encontrado")</f>
        <v>-</v>
      </c>
      <c r="BE302" s="62">
        <f ca="1">COUNTIF(BD$5:BD302,"&lt;&gt;"&amp;"Não encontrado")</f>
        <v>298</v>
      </c>
      <c r="BF302" s="63" t="str">
        <f t="shared" ca="1" si="206"/>
        <v>-</v>
      </c>
      <c r="BG302" s="744" t="str">
        <f t="shared" si="207"/>
        <v/>
      </c>
      <c r="BH302" s="744" t="str">
        <f t="shared" si="208"/>
        <v/>
      </c>
      <c r="BI302" s="744" t="str">
        <f t="shared" si="209"/>
        <v/>
      </c>
      <c r="BJ302" s="744" t="str">
        <f t="shared" si="210"/>
        <v/>
      </c>
      <c r="BK302" s="744" t="str">
        <f t="shared" si="211"/>
        <v/>
      </c>
      <c r="BL302" s="744" t="str">
        <f t="shared" si="212"/>
        <v/>
      </c>
      <c r="BM302" s="744" t="str">
        <f t="shared" si="213"/>
        <v/>
      </c>
      <c r="BN302" s="744" t="str">
        <f t="shared" si="214"/>
        <v/>
      </c>
      <c r="BO302" s="744" t="str">
        <f t="shared" si="215"/>
        <v/>
      </c>
      <c r="BP302" s="744" t="str">
        <f t="shared" si="216"/>
        <v/>
      </c>
      <c r="BQ302" s="744" t="str">
        <f t="shared" si="217"/>
        <v/>
      </c>
      <c r="BR302" s="744" t="str">
        <f t="shared" si="218"/>
        <v/>
      </c>
      <c r="BS302" s="744" t="str">
        <f t="shared" si="219"/>
        <v/>
      </c>
      <c r="BT302" s="744" t="str">
        <f t="shared" si="220"/>
        <v/>
      </c>
      <c r="BU302" s="744" t="str">
        <f t="shared" si="221"/>
        <v/>
      </c>
      <c r="BV302" s="744" t="str">
        <f t="shared" si="222"/>
        <v/>
      </c>
      <c r="BW302" s="744" t="str">
        <f t="shared" si="223"/>
        <v/>
      </c>
      <c r="BX302" s="744" t="str">
        <f t="shared" si="224"/>
        <v/>
      </c>
      <c r="BY302" s="744" t="str">
        <f t="shared" si="225"/>
        <v/>
      </c>
      <c r="BZ302" s="744" t="str">
        <f t="shared" si="226"/>
        <v/>
      </c>
      <c r="CA302" s="744" t="str">
        <f t="shared" si="227"/>
        <v/>
      </c>
      <c r="CB302" s="744" t="str">
        <f t="shared" si="228"/>
        <v/>
      </c>
      <c r="CC302" s="744" t="str">
        <f t="shared" si="229"/>
        <v/>
      </c>
      <c r="CD302" s="744" t="str">
        <f t="shared" si="230"/>
        <v/>
      </c>
      <c r="CE302" s="744" t="str">
        <f t="shared" si="231"/>
        <v/>
      </c>
      <c r="CF302" s="744" t="str">
        <f t="shared" si="232"/>
        <v/>
      </c>
      <c r="CG302" s="744" t="str">
        <f t="shared" si="233"/>
        <v/>
      </c>
      <c r="CH302" s="744" t="str">
        <f t="shared" si="234"/>
        <v/>
      </c>
      <c r="CI302" s="744" t="str">
        <f t="shared" si="235"/>
        <v/>
      </c>
      <c r="CJ302" s="744" t="str">
        <f t="shared" si="236"/>
        <v/>
      </c>
      <c r="CK302" s="744" t="str">
        <f t="shared" si="237"/>
        <v/>
      </c>
      <c r="CL302" s="744" t="str">
        <f t="shared" si="238"/>
        <v/>
      </c>
      <c r="CM302" s="744" t="str">
        <f t="shared" si="239"/>
        <v/>
      </c>
      <c r="CN302" s="744" t="str">
        <f t="shared" si="240"/>
        <v/>
      </c>
      <c r="CO302" s="744" t="str">
        <f t="shared" si="241"/>
        <v/>
      </c>
      <c r="CP302" s="744" t="str">
        <f t="shared" si="242"/>
        <v/>
      </c>
      <c r="CQ302" s="744" t="str">
        <f t="shared" si="243"/>
        <v/>
      </c>
      <c r="CR302" s="744" t="str">
        <f t="shared" si="244"/>
        <v/>
      </c>
      <c r="CS302" s="744" t="str">
        <f t="shared" si="245"/>
        <v/>
      </c>
      <c r="CT302" s="744" t="str">
        <f t="shared" si="246"/>
        <v/>
      </c>
      <c r="CU302" s="744" t="str">
        <f t="shared" si="247"/>
        <v/>
      </c>
      <c r="CV302" s="744" t="str">
        <f t="shared" si="248"/>
        <v/>
      </c>
      <c r="CW302" s="744" t="str">
        <f t="shared" si="249"/>
        <v/>
      </c>
      <c r="CX302" s="744" t="str">
        <f t="shared" si="250"/>
        <v/>
      </c>
    </row>
    <row r="303" spans="1:102">
      <c r="A303" s="633">
        <v>299</v>
      </c>
      <c r="B303" s="630"/>
      <c r="C303" s="631"/>
      <c r="D303" s="630"/>
      <c r="E303" s="632"/>
      <c r="F303" s="1067"/>
      <c r="G303" s="1066"/>
      <c r="H303" s="1070"/>
      <c r="I303" s="1070"/>
      <c r="J303" s="1070"/>
      <c r="K303" s="1070"/>
      <c r="L303" s="1072"/>
      <c r="M303" s="1070"/>
      <c r="N303" s="1070"/>
      <c r="O303" s="1070"/>
      <c r="P303" s="1073"/>
      <c r="Q303" s="1070"/>
      <c r="R303" s="1070"/>
      <c r="S303" s="1070"/>
      <c r="T303" s="1070"/>
      <c r="U303" s="1070"/>
      <c r="V303" s="1066"/>
      <c r="W303" s="1070"/>
      <c r="X303" s="1070"/>
      <c r="Y303" s="1070"/>
      <c r="Z303" s="1070"/>
      <c r="AA303" s="1070"/>
      <c r="AB303" s="1070"/>
      <c r="AC303" s="1070"/>
      <c r="AD303" s="1070"/>
      <c r="AE303" s="1070"/>
      <c r="AF303" s="1070"/>
      <c r="AG303" s="1070"/>
      <c r="AH303" s="1073"/>
      <c r="AI303" s="1070"/>
      <c r="AJ303" s="1070"/>
      <c r="AK303" s="1070"/>
      <c r="AL303" s="1082"/>
      <c r="AM303" s="1069"/>
      <c r="AN303" s="1070"/>
      <c r="AO303" s="1070"/>
      <c r="AP303" s="1070"/>
      <c r="AQ303" s="1070"/>
      <c r="AR303" s="1069"/>
      <c r="AS303" s="1282"/>
      <c r="AT303" s="1282"/>
      <c r="AU303" s="1069"/>
      <c r="AV303" s="1069"/>
      <c r="AW303" s="1069"/>
      <c r="AX303" s="1070"/>
      <c r="AY303" s="1070"/>
      <c r="AZ303" s="1078">
        <f t="shared" si="203"/>
        <v>0</v>
      </c>
      <c r="BA303" s="59">
        <v>299</v>
      </c>
      <c r="BB303" s="59" t="str">
        <f t="shared" si="204"/>
        <v/>
      </c>
      <c r="BC303" s="60" t="str">
        <f t="shared" si="205"/>
        <v>-</v>
      </c>
      <c r="BD303" s="61" t="str">
        <f ca="1">IFERROR(IF(SEARCH('Calcular Dieta'!A$3,$BC$5:$BC$310)&gt;=1,BC303,"Não encontrado"),"Não encontrado")</f>
        <v>-</v>
      </c>
      <c r="BE303" s="62">
        <f ca="1">COUNTIF(BD$5:BD303,"&lt;&gt;"&amp;"Não encontrado")</f>
        <v>299</v>
      </c>
      <c r="BF303" s="63" t="str">
        <f t="shared" ca="1" si="206"/>
        <v>-</v>
      </c>
      <c r="BG303" s="744" t="str">
        <f t="shared" si="207"/>
        <v/>
      </c>
      <c r="BH303" s="744" t="str">
        <f t="shared" si="208"/>
        <v/>
      </c>
      <c r="BI303" s="744" t="str">
        <f t="shared" si="209"/>
        <v/>
      </c>
      <c r="BJ303" s="744" t="str">
        <f t="shared" si="210"/>
        <v/>
      </c>
      <c r="BK303" s="744" t="str">
        <f t="shared" si="211"/>
        <v/>
      </c>
      <c r="BL303" s="744" t="str">
        <f t="shared" si="212"/>
        <v/>
      </c>
      <c r="BM303" s="744" t="str">
        <f t="shared" si="213"/>
        <v/>
      </c>
      <c r="BN303" s="744" t="str">
        <f t="shared" si="214"/>
        <v/>
      </c>
      <c r="BO303" s="744" t="str">
        <f t="shared" si="215"/>
        <v/>
      </c>
      <c r="BP303" s="744" t="str">
        <f t="shared" si="216"/>
        <v/>
      </c>
      <c r="BQ303" s="744" t="str">
        <f t="shared" si="217"/>
        <v/>
      </c>
      <c r="BR303" s="744" t="str">
        <f t="shared" si="218"/>
        <v/>
      </c>
      <c r="BS303" s="744" t="str">
        <f t="shared" si="219"/>
        <v/>
      </c>
      <c r="BT303" s="744" t="str">
        <f t="shared" si="220"/>
        <v/>
      </c>
      <c r="BU303" s="744" t="str">
        <f t="shared" si="221"/>
        <v/>
      </c>
      <c r="BV303" s="744" t="str">
        <f t="shared" si="222"/>
        <v/>
      </c>
      <c r="BW303" s="744" t="str">
        <f t="shared" si="223"/>
        <v/>
      </c>
      <c r="BX303" s="744" t="str">
        <f t="shared" si="224"/>
        <v/>
      </c>
      <c r="BY303" s="744" t="str">
        <f t="shared" si="225"/>
        <v/>
      </c>
      <c r="BZ303" s="744" t="str">
        <f t="shared" si="226"/>
        <v/>
      </c>
      <c r="CA303" s="744" t="str">
        <f t="shared" si="227"/>
        <v/>
      </c>
      <c r="CB303" s="744" t="str">
        <f t="shared" si="228"/>
        <v/>
      </c>
      <c r="CC303" s="744" t="str">
        <f t="shared" si="229"/>
        <v/>
      </c>
      <c r="CD303" s="744" t="str">
        <f t="shared" si="230"/>
        <v/>
      </c>
      <c r="CE303" s="744" t="str">
        <f t="shared" si="231"/>
        <v/>
      </c>
      <c r="CF303" s="744" t="str">
        <f t="shared" si="232"/>
        <v/>
      </c>
      <c r="CG303" s="744" t="str">
        <f t="shared" si="233"/>
        <v/>
      </c>
      <c r="CH303" s="744" t="str">
        <f t="shared" si="234"/>
        <v/>
      </c>
      <c r="CI303" s="744" t="str">
        <f t="shared" si="235"/>
        <v/>
      </c>
      <c r="CJ303" s="744" t="str">
        <f t="shared" si="236"/>
        <v/>
      </c>
      <c r="CK303" s="744" t="str">
        <f t="shared" si="237"/>
        <v/>
      </c>
      <c r="CL303" s="744" t="str">
        <f t="shared" si="238"/>
        <v/>
      </c>
      <c r="CM303" s="744" t="str">
        <f t="shared" si="239"/>
        <v/>
      </c>
      <c r="CN303" s="744" t="str">
        <f t="shared" si="240"/>
        <v/>
      </c>
      <c r="CO303" s="744" t="str">
        <f t="shared" si="241"/>
        <v/>
      </c>
      <c r="CP303" s="744" t="str">
        <f t="shared" si="242"/>
        <v/>
      </c>
      <c r="CQ303" s="744" t="str">
        <f t="shared" si="243"/>
        <v/>
      </c>
      <c r="CR303" s="744" t="str">
        <f t="shared" si="244"/>
        <v/>
      </c>
      <c r="CS303" s="744" t="str">
        <f t="shared" si="245"/>
        <v/>
      </c>
      <c r="CT303" s="744" t="str">
        <f t="shared" si="246"/>
        <v/>
      </c>
      <c r="CU303" s="744" t="str">
        <f t="shared" si="247"/>
        <v/>
      </c>
      <c r="CV303" s="744" t="str">
        <f t="shared" si="248"/>
        <v/>
      </c>
      <c r="CW303" s="744" t="str">
        <f t="shared" si="249"/>
        <v/>
      </c>
      <c r="CX303" s="744" t="str">
        <f t="shared" si="250"/>
        <v/>
      </c>
    </row>
    <row r="304" spans="1:102">
      <c r="A304" s="630">
        <v>300</v>
      </c>
      <c r="B304" s="630"/>
      <c r="C304" s="631"/>
      <c r="D304" s="630"/>
      <c r="E304" s="632"/>
      <c r="F304" s="1067"/>
      <c r="G304" s="1066"/>
      <c r="H304" s="1070"/>
      <c r="I304" s="1070"/>
      <c r="J304" s="1070"/>
      <c r="K304" s="1070"/>
      <c r="L304" s="1072"/>
      <c r="M304" s="1070"/>
      <c r="N304" s="1070"/>
      <c r="O304" s="1070"/>
      <c r="P304" s="1073"/>
      <c r="Q304" s="1070"/>
      <c r="R304" s="1070"/>
      <c r="S304" s="1070"/>
      <c r="T304" s="1070"/>
      <c r="U304" s="1070"/>
      <c r="V304" s="1066"/>
      <c r="W304" s="1070"/>
      <c r="X304" s="1070"/>
      <c r="Y304" s="1070"/>
      <c r="Z304" s="1070"/>
      <c r="AA304" s="1070"/>
      <c r="AB304" s="1070"/>
      <c r="AC304" s="1070"/>
      <c r="AD304" s="1070"/>
      <c r="AE304" s="1070"/>
      <c r="AF304" s="1070"/>
      <c r="AG304" s="1070"/>
      <c r="AH304" s="1073"/>
      <c r="AI304" s="1070"/>
      <c r="AJ304" s="1070"/>
      <c r="AK304" s="1070"/>
      <c r="AL304" s="1082"/>
      <c r="AM304" s="1069"/>
      <c r="AN304" s="1070"/>
      <c r="AO304" s="1070"/>
      <c r="AP304" s="1070"/>
      <c r="AQ304" s="1070"/>
      <c r="AR304" s="1069"/>
      <c r="AS304" s="1282"/>
      <c r="AT304" s="1282"/>
      <c r="AU304" s="1069"/>
      <c r="AV304" s="1069"/>
      <c r="AW304" s="1069"/>
      <c r="AX304" s="1070"/>
      <c r="AY304" s="1070"/>
      <c r="AZ304" s="1078">
        <f t="shared" si="203"/>
        <v>0</v>
      </c>
      <c r="BA304" s="59">
        <v>300</v>
      </c>
      <c r="BB304" s="59" t="str">
        <f t="shared" si="204"/>
        <v/>
      </c>
      <c r="BC304" s="60" t="str">
        <f t="shared" si="205"/>
        <v>-</v>
      </c>
      <c r="BD304" s="61" t="str">
        <f ca="1">IFERROR(IF(SEARCH('Calcular Dieta'!A$3,$BC$5:$BC$310)&gt;=1,BC304,"Não encontrado"),"Não encontrado")</f>
        <v>-</v>
      </c>
      <c r="BE304" s="62">
        <f ca="1">COUNTIF(BD$5:BD304,"&lt;&gt;"&amp;"Não encontrado")</f>
        <v>300</v>
      </c>
      <c r="BF304" s="63" t="str">
        <f t="shared" ca="1" si="206"/>
        <v>-</v>
      </c>
      <c r="BG304" s="744" t="str">
        <f t="shared" si="207"/>
        <v/>
      </c>
      <c r="BH304" s="744" t="str">
        <f t="shared" si="208"/>
        <v/>
      </c>
      <c r="BI304" s="744" t="str">
        <f t="shared" si="209"/>
        <v/>
      </c>
      <c r="BJ304" s="744" t="str">
        <f t="shared" si="210"/>
        <v/>
      </c>
      <c r="BK304" s="744" t="str">
        <f t="shared" si="211"/>
        <v/>
      </c>
      <c r="BL304" s="744" t="str">
        <f t="shared" si="212"/>
        <v/>
      </c>
      <c r="BM304" s="744" t="str">
        <f t="shared" si="213"/>
        <v/>
      </c>
      <c r="BN304" s="744" t="str">
        <f t="shared" si="214"/>
        <v/>
      </c>
      <c r="BO304" s="744" t="str">
        <f t="shared" si="215"/>
        <v/>
      </c>
      <c r="BP304" s="744" t="str">
        <f t="shared" si="216"/>
        <v/>
      </c>
      <c r="BQ304" s="744" t="str">
        <f t="shared" si="217"/>
        <v/>
      </c>
      <c r="BR304" s="744" t="str">
        <f t="shared" si="218"/>
        <v/>
      </c>
      <c r="BS304" s="744" t="str">
        <f t="shared" si="219"/>
        <v/>
      </c>
      <c r="BT304" s="744" t="str">
        <f t="shared" si="220"/>
        <v/>
      </c>
      <c r="BU304" s="744" t="str">
        <f t="shared" si="221"/>
        <v/>
      </c>
      <c r="BV304" s="744" t="str">
        <f t="shared" si="222"/>
        <v/>
      </c>
      <c r="BW304" s="744" t="str">
        <f t="shared" si="223"/>
        <v/>
      </c>
      <c r="BX304" s="744" t="str">
        <f t="shared" si="224"/>
        <v/>
      </c>
      <c r="BY304" s="744" t="str">
        <f t="shared" si="225"/>
        <v/>
      </c>
      <c r="BZ304" s="744" t="str">
        <f t="shared" si="226"/>
        <v/>
      </c>
      <c r="CA304" s="744" t="str">
        <f t="shared" si="227"/>
        <v/>
      </c>
      <c r="CB304" s="744" t="str">
        <f t="shared" si="228"/>
        <v/>
      </c>
      <c r="CC304" s="744" t="str">
        <f t="shared" si="229"/>
        <v/>
      </c>
      <c r="CD304" s="744" t="str">
        <f t="shared" si="230"/>
        <v/>
      </c>
      <c r="CE304" s="744" t="str">
        <f t="shared" si="231"/>
        <v/>
      </c>
      <c r="CF304" s="744" t="str">
        <f t="shared" si="232"/>
        <v/>
      </c>
      <c r="CG304" s="744" t="str">
        <f t="shared" si="233"/>
        <v/>
      </c>
      <c r="CH304" s="744" t="str">
        <f t="shared" si="234"/>
        <v/>
      </c>
      <c r="CI304" s="744" t="str">
        <f t="shared" si="235"/>
        <v/>
      </c>
      <c r="CJ304" s="744" t="str">
        <f t="shared" si="236"/>
        <v/>
      </c>
      <c r="CK304" s="744" t="str">
        <f t="shared" si="237"/>
        <v/>
      </c>
      <c r="CL304" s="744" t="str">
        <f t="shared" si="238"/>
        <v/>
      </c>
      <c r="CM304" s="744" t="str">
        <f t="shared" si="239"/>
        <v/>
      </c>
      <c r="CN304" s="744" t="str">
        <f t="shared" si="240"/>
        <v/>
      </c>
      <c r="CO304" s="744" t="str">
        <f t="shared" si="241"/>
        <v/>
      </c>
      <c r="CP304" s="744" t="str">
        <f t="shared" si="242"/>
        <v/>
      </c>
      <c r="CQ304" s="744" t="str">
        <f t="shared" si="243"/>
        <v/>
      </c>
      <c r="CR304" s="744" t="str">
        <f t="shared" si="244"/>
        <v/>
      </c>
      <c r="CS304" s="744" t="str">
        <f t="shared" si="245"/>
        <v/>
      </c>
      <c r="CT304" s="744" t="str">
        <f t="shared" si="246"/>
        <v/>
      </c>
      <c r="CU304" s="744" t="str">
        <f t="shared" si="247"/>
        <v/>
      </c>
      <c r="CV304" s="744" t="str">
        <f t="shared" si="248"/>
        <v/>
      </c>
      <c r="CW304" s="744" t="str">
        <f t="shared" si="249"/>
        <v/>
      </c>
      <c r="CX304" s="744" t="str">
        <f t="shared" si="250"/>
        <v/>
      </c>
    </row>
    <row r="305" spans="1:102">
      <c r="A305" s="633">
        <v>301</v>
      </c>
      <c r="B305" s="630"/>
      <c r="C305" s="631"/>
      <c r="D305" s="630"/>
      <c r="E305" s="632"/>
      <c r="F305" s="1067"/>
      <c r="G305" s="1066"/>
      <c r="H305" s="1070"/>
      <c r="I305" s="1070"/>
      <c r="J305" s="1070"/>
      <c r="K305" s="1070"/>
      <c r="L305" s="1072"/>
      <c r="M305" s="1070"/>
      <c r="N305" s="1070"/>
      <c r="O305" s="1070"/>
      <c r="P305" s="1073"/>
      <c r="Q305" s="1070"/>
      <c r="R305" s="1070"/>
      <c r="S305" s="1070"/>
      <c r="T305" s="1070"/>
      <c r="U305" s="1070"/>
      <c r="V305" s="1066"/>
      <c r="W305" s="1070"/>
      <c r="X305" s="1070"/>
      <c r="Y305" s="1070"/>
      <c r="Z305" s="1070"/>
      <c r="AA305" s="1070"/>
      <c r="AB305" s="1070"/>
      <c r="AC305" s="1070"/>
      <c r="AD305" s="1070"/>
      <c r="AE305" s="1070"/>
      <c r="AF305" s="1070"/>
      <c r="AG305" s="1070"/>
      <c r="AH305" s="1073"/>
      <c r="AI305" s="1070"/>
      <c r="AJ305" s="1070"/>
      <c r="AK305" s="1070"/>
      <c r="AL305" s="1082"/>
      <c r="AM305" s="1069"/>
      <c r="AN305" s="1070"/>
      <c r="AO305" s="1070"/>
      <c r="AP305" s="1070"/>
      <c r="AQ305" s="1070"/>
      <c r="AR305" s="1069"/>
      <c r="AS305" s="1282"/>
      <c r="AT305" s="1282"/>
      <c r="AU305" s="1069"/>
      <c r="AV305" s="1069"/>
      <c r="AW305" s="1069"/>
      <c r="AX305" s="1070"/>
      <c r="AY305" s="1070"/>
      <c r="AZ305" s="1078">
        <f t="shared" si="203"/>
        <v>0</v>
      </c>
      <c r="BA305" s="59">
        <v>301</v>
      </c>
      <c r="BB305" s="59" t="str">
        <f t="shared" si="204"/>
        <v/>
      </c>
      <c r="BC305" s="60" t="str">
        <f t="shared" si="205"/>
        <v>-</v>
      </c>
      <c r="BD305" s="61" t="str">
        <f ca="1">IFERROR(IF(SEARCH('Calcular Dieta'!A$3,$BC$5:$BC$310)&gt;=1,BC305,"Não encontrado"),"Não encontrado")</f>
        <v>-</v>
      </c>
      <c r="BE305" s="62">
        <f ca="1">COUNTIF(BD$5:BD305,"&lt;&gt;"&amp;"Não encontrado")</f>
        <v>301</v>
      </c>
      <c r="BF305" s="63" t="str">
        <f t="shared" ca="1" si="206"/>
        <v>-</v>
      </c>
      <c r="BG305" s="744" t="str">
        <f t="shared" si="207"/>
        <v/>
      </c>
      <c r="BH305" s="744" t="str">
        <f t="shared" si="208"/>
        <v/>
      </c>
      <c r="BI305" s="744" t="str">
        <f t="shared" si="209"/>
        <v/>
      </c>
      <c r="BJ305" s="744" t="str">
        <f t="shared" si="210"/>
        <v/>
      </c>
      <c r="BK305" s="744" t="str">
        <f t="shared" si="211"/>
        <v/>
      </c>
      <c r="BL305" s="744" t="str">
        <f t="shared" si="212"/>
        <v/>
      </c>
      <c r="BM305" s="744" t="str">
        <f t="shared" si="213"/>
        <v/>
      </c>
      <c r="BN305" s="744" t="str">
        <f t="shared" si="214"/>
        <v/>
      </c>
      <c r="BO305" s="744" t="str">
        <f t="shared" si="215"/>
        <v/>
      </c>
      <c r="BP305" s="744" t="str">
        <f t="shared" si="216"/>
        <v/>
      </c>
      <c r="BQ305" s="744" t="str">
        <f t="shared" si="217"/>
        <v/>
      </c>
      <c r="BR305" s="744" t="str">
        <f t="shared" si="218"/>
        <v/>
      </c>
      <c r="BS305" s="744" t="str">
        <f t="shared" si="219"/>
        <v/>
      </c>
      <c r="BT305" s="744" t="str">
        <f t="shared" si="220"/>
        <v/>
      </c>
      <c r="BU305" s="744" t="str">
        <f t="shared" si="221"/>
        <v/>
      </c>
      <c r="BV305" s="744" t="str">
        <f t="shared" si="222"/>
        <v/>
      </c>
      <c r="BW305" s="744" t="str">
        <f t="shared" si="223"/>
        <v/>
      </c>
      <c r="BX305" s="744" t="str">
        <f t="shared" si="224"/>
        <v/>
      </c>
      <c r="BY305" s="744" t="str">
        <f t="shared" si="225"/>
        <v/>
      </c>
      <c r="BZ305" s="744" t="str">
        <f t="shared" si="226"/>
        <v/>
      </c>
      <c r="CA305" s="744" t="str">
        <f t="shared" si="227"/>
        <v/>
      </c>
      <c r="CB305" s="744" t="str">
        <f t="shared" si="228"/>
        <v/>
      </c>
      <c r="CC305" s="744" t="str">
        <f t="shared" si="229"/>
        <v/>
      </c>
      <c r="CD305" s="744" t="str">
        <f t="shared" si="230"/>
        <v/>
      </c>
      <c r="CE305" s="744" t="str">
        <f t="shared" si="231"/>
        <v/>
      </c>
      <c r="CF305" s="744" t="str">
        <f t="shared" si="232"/>
        <v/>
      </c>
      <c r="CG305" s="744" t="str">
        <f t="shared" si="233"/>
        <v/>
      </c>
      <c r="CH305" s="744" t="str">
        <f t="shared" si="234"/>
        <v/>
      </c>
      <c r="CI305" s="744" t="str">
        <f t="shared" si="235"/>
        <v/>
      </c>
      <c r="CJ305" s="744" t="str">
        <f t="shared" si="236"/>
        <v/>
      </c>
      <c r="CK305" s="744" t="str">
        <f t="shared" si="237"/>
        <v/>
      </c>
      <c r="CL305" s="744" t="str">
        <f t="shared" si="238"/>
        <v/>
      </c>
      <c r="CM305" s="744" t="str">
        <f t="shared" si="239"/>
        <v/>
      </c>
      <c r="CN305" s="744" t="str">
        <f t="shared" si="240"/>
        <v/>
      </c>
      <c r="CO305" s="744" t="str">
        <f t="shared" si="241"/>
        <v/>
      </c>
      <c r="CP305" s="744" t="str">
        <f t="shared" si="242"/>
        <v/>
      </c>
      <c r="CQ305" s="744" t="str">
        <f t="shared" si="243"/>
        <v/>
      </c>
      <c r="CR305" s="744" t="str">
        <f t="shared" si="244"/>
        <v/>
      </c>
      <c r="CS305" s="744" t="str">
        <f t="shared" si="245"/>
        <v/>
      </c>
      <c r="CT305" s="744" t="str">
        <f t="shared" si="246"/>
        <v/>
      </c>
      <c r="CU305" s="744" t="str">
        <f t="shared" si="247"/>
        <v/>
      </c>
      <c r="CV305" s="744" t="str">
        <f t="shared" si="248"/>
        <v/>
      </c>
      <c r="CW305" s="744" t="str">
        <f t="shared" si="249"/>
        <v/>
      </c>
      <c r="CX305" s="744" t="str">
        <f t="shared" si="250"/>
        <v/>
      </c>
    </row>
    <row r="306" spans="1:102">
      <c r="A306" s="630">
        <v>302</v>
      </c>
      <c r="B306" s="630"/>
      <c r="C306" s="631"/>
      <c r="D306" s="630"/>
      <c r="E306" s="632"/>
      <c r="F306" s="1067"/>
      <c r="G306" s="1066"/>
      <c r="H306" s="1070"/>
      <c r="I306" s="1070"/>
      <c r="J306" s="1070"/>
      <c r="K306" s="1070"/>
      <c r="L306" s="1072"/>
      <c r="M306" s="1070"/>
      <c r="N306" s="1070"/>
      <c r="O306" s="1070"/>
      <c r="P306" s="1073"/>
      <c r="Q306" s="1070"/>
      <c r="R306" s="1070"/>
      <c r="S306" s="1070"/>
      <c r="T306" s="1070"/>
      <c r="U306" s="1070"/>
      <c r="V306" s="1066"/>
      <c r="W306" s="1070"/>
      <c r="X306" s="1070"/>
      <c r="Y306" s="1070"/>
      <c r="Z306" s="1070"/>
      <c r="AA306" s="1070"/>
      <c r="AB306" s="1070"/>
      <c r="AC306" s="1070"/>
      <c r="AD306" s="1070"/>
      <c r="AE306" s="1070"/>
      <c r="AF306" s="1070"/>
      <c r="AG306" s="1070"/>
      <c r="AH306" s="1073"/>
      <c r="AI306" s="1070"/>
      <c r="AJ306" s="1070"/>
      <c r="AK306" s="1070"/>
      <c r="AL306" s="1082"/>
      <c r="AM306" s="1069"/>
      <c r="AN306" s="1070"/>
      <c r="AO306" s="1070"/>
      <c r="AP306" s="1070"/>
      <c r="AQ306" s="1070"/>
      <c r="AR306" s="1069"/>
      <c r="AS306" s="1282"/>
      <c r="AT306" s="1282"/>
      <c r="AU306" s="1069"/>
      <c r="AV306" s="1069"/>
      <c r="AW306" s="1069"/>
      <c r="AX306" s="1070"/>
      <c r="AY306" s="1070"/>
      <c r="AZ306" s="1078">
        <f t="shared" si="203"/>
        <v>0</v>
      </c>
      <c r="BA306" s="59">
        <v>302</v>
      </c>
      <c r="BB306" s="59" t="str">
        <f t="shared" si="204"/>
        <v/>
      </c>
      <c r="BC306" s="60" t="str">
        <f t="shared" si="205"/>
        <v>-</v>
      </c>
      <c r="BD306" s="61" t="str">
        <f ca="1">IFERROR(IF(SEARCH('Calcular Dieta'!A$3,$BC$5:$BC$310)&gt;=1,BC306,"Não encontrado"),"Não encontrado")</f>
        <v>-</v>
      </c>
      <c r="BE306" s="62">
        <f ca="1">COUNTIF(BD$5:BD306,"&lt;&gt;"&amp;"Não encontrado")</f>
        <v>302</v>
      </c>
      <c r="BF306" s="63" t="str">
        <f t="shared" ca="1" si="206"/>
        <v>-</v>
      </c>
      <c r="BG306" s="744" t="str">
        <f t="shared" si="207"/>
        <v/>
      </c>
      <c r="BH306" s="744" t="str">
        <f t="shared" si="208"/>
        <v/>
      </c>
      <c r="BI306" s="744" t="str">
        <f t="shared" si="209"/>
        <v/>
      </c>
      <c r="BJ306" s="744" t="str">
        <f t="shared" si="210"/>
        <v/>
      </c>
      <c r="BK306" s="744" t="str">
        <f t="shared" si="211"/>
        <v/>
      </c>
      <c r="BL306" s="744" t="str">
        <f t="shared" si="212"/>
        <v/>
      </c>
      <c r="BM306" s="744" t="str">
        <f t="shared" si="213"/>
        <v/>
      </c>
      <c r="BN306" s="744" t="str">
        <f t="shared" si="214"/>
        <v/>
      </c>
      <c r="BO306" s="744" t="str">
        <f t="shared" si="215"/>
        <v/>
      </c>
      <c r="BP306" s="744" t="str">
        <f t="shared" si="216"/>
        <v/>
      </c>
      <c r="BQ306" s="744" t="str">
        <f t="shared" si="217"/>
        <v/>
      </c>
      <c r="BR306" s="744" t="str">
        <f t="shared" si="218"/>
        <v/>
      </c>
      <c r="BS306" s="744" t="str">
        <f t="shared" si="219"/>
        <v/>
      </c>
      <c r="BT306" s="744" t="str">
        <f t="shared" si="220"/>
        <v/>
      </c>
      <c r="BU306" s="744" t="str">
        <f t="shared" si="221"/>
        <v/>
      </c>
      <c r="BV306" s="744" t="str">
        <f t="shared" si="222"/>
        <v/>
      </c>
      <c r="BW306" s="744" t="str">
        <f t="shared" si="223"/>
        <v/>
      </c>
      <c r="BX306" s="744" t="str">
        <f t="shared" si="224"/>
        <v/>
      </c>
      <c r="BY306" s="744" t="str">
        <f t="shared" si="225"/>
        <v/>
      </c>
      <c r="BZ306" s="744" t="str">
        <f t="shared" si="226"/>
        <v/>
      </c>
      <c r="CA306" s="744" t="str">
        <f t="shared" si="227"/>
        <v/>
      </c>
      <c r="CB306" s="744" t="str">
        <f t="shared" si="228"/>
        <v/>
      </c>
      <c r="CC306" s="744" t="str">
        <f t="shared" si="229"/>
        <v/>
      </c>
      <c r="CD306" s="744" t="str">
        <f t="shared" si="230"/>
        <v/>
      </c>
      <c r="CE306" s="744" t="str">
        <f t="shared" si="231"/>
        <v/>
      </c>
      <c r="CF306" s="744" t="str">
        <f t="shared" si="232"/>
        <v/>
      </c>
      <c r="CG306" s="744" t="str">
        <f t="shared" si="233"/>
        <v/>
      </c>
      <c r="CH306" s="744" t="str">
        <f t="shared" si="234"/>
        <v/>
      </c>
      <c r="CI306" s="744" t="str">
        <f t="shared" si="235"/>
        <v/>
      </c>
      <c r="CJ306" s="744" t="str">
        <f t="shared" si="236"/>
        <v/>
      </c>
      <c r="CK306" s="744" t="str">
        <f t="shared" si="237"/>
        <v/>
      </c>
      <c r="CL306" s="744" t="str">
        <f t="shared" si="238"/>
        <v/>
      </c>
      <c r="CM306" s="744" t="str">
        <f t="shared" si="239"/>
        <v/>
      </c>
      <c r="CN306" s="744" t="str">
        <f t="shared" si="240"/>
        <v/>
      </c>
      <c r="CO306" s="744" t="str">
        <f t="shared" si="241"/>
        <v/>
      </c>
      <c r="CP306" s="744" t="str">
        <f t="shared" si="242"/>
        <v/>
      </c>
      <c r="CQ306" s="744" t="str">
        <f t="shared" si="243"/>
        <v/>
      </c>
      <c r="CR306" s="744" t="str">
        <f t="shared" si="244"/>
        <v/>
      </c>
      <c r="CS306" s="744" t="str">
        <f t="shared" si="245"/>
        <v/>
      </c>
      <c r="CT306" s="744" t="str">
        <f t="shared" si="246"/>
        <v/>
      </c>
      <c r="CU306" s="744" t="str">
        <f t="shared" si="247"/>
        <v/>
      </c>
      <c r="CV306" s="744" t="str">
        <f t="shared" si="248"/>
        <v/>
      </c>
      <c r="CW306" s="744" t="str">
        <f t="shared" si="249"/>
        <v/>
      </c>
      <c r="CX306" s="744" t="str">
        <f t="shared" si="250"/>
        <v/>
      </c>
    </row>
    <row r="307" spans="1:102">
      <c r="A307" s="633">
        <v>303</v>
      </c>
      <c r="B307" s="630"/>
      <c r="C307" s="631"/>
      <c r="D307" s="630"/>
      <c r="E307" s="632"/>
      <c r="F307" s="1067"/>
      <c r="G307" s="1066"/>
      <c r="H307" s="1070"/>
      <c r="I307" s="1070"/>
      <c r="J307" s="1070"/>
      <c r="K307" s="1070"/>
      <c r="L307" s="1072"/>
      <c r="M307" s="1070"/>
      <c r="N307" s="1070"/>
      <c r="O307" s="1070"/>
      <c r="P307" s="1073"/>
      <c r="Q307" s="1070"/>
      <c r="R307" s="1070"/>
      <c r="S307" s="1070"/>
      <c r="T307" s="1070"/>
      <c r="U307" s="1070"/>
      <c r="V307" s="1066"/>
      <c r="W307" s="1070"/>
      <c r="X307" s="1070"/>
      <c r="Y307" s="1070"/>
      <c r="Z307" s="1070"/>
      <c r="AA307" s="1070"/>
      <c r="AB307" s="1070"/>
      <c r="AC307" s="1070"/>
      <c r="AD307" s="1070"/>
      <c r="AE307" s="1070"/>
      <c r="AF307" s="1070"/>
      <c r="AG307" s="1070"/>
      <c r="AH307" s="1073"/>
      <c r="AI307" s="1070"/>
      <c r="AJ307" s="1070"/>
      <c r="AK307" s="1070"/>
      <c r="AL307" s="1082"/>
      <c r="AM307" s="1069"/>
      <c r="AN307" s="1070"/>
      <c r="AO307" s="1070"/>
      <c r="AP307" s="1070"/>
      <c r="AQ307" s="1070"/>
      <c r="AR307" s="1069"/>
      <c r="AS307" s="1282"/>
      <c r="AT307" s="1282"/>
      <c r="AU307" s="1069"/>
      <c r="AV307" s="1069"/>
      <c r="AW307" s="1069"/>
      <c r="AX307" s="1070"/>
      <c r="AY307" s="1070"/>
      <c r="AZ307" s="1078">
        <f t="shared" si="203"/>
        <v>0</v>
      </c>
      <c r="BA307" s="59">
        <v>303</v>
      </c>
      <c r="BB307" s="59" t="str">
        <f t="shared" si="204"/>
        <v/>
      </c>
      <c r="BC307" s="60" t="str">
        <f t="shared" si="205"/>
        <v>-</v>
      </c>
      <c r="BD307" s="61" t="str">
        <f ca="1">IFERROR(IF(SEARCH('Calcular Dieta'!A$3,$BC$5:$BC$310)&gt;=1,BC307,"Não encontrado"),"Não encontrado")</f>
        <v>-</v>
      </c>
      <c r="BE307" s="62">
        <f ca="1">COUNTIF(BD$5:BD307,"&lt;&gt;"&amp;"Não encontrado")</f>
        <v>303</v>
      </c>
      <c r="BF307" s="63" t="str">
        <f t="shared" ca="1" si="206"/>
        <v>-</v>
      </c>
      <c r="BG307" s="744" t="str">
        <f t="shared" si="207"/>
        <v/>
      </c>
      <c r="BH307" s="744" t="str">
        <f t="shared" si="208"/>
        <v/>
      </c>
      <c r="BI307" s="744" t="str">
        <f t="shared" si="209"/>
        <v/>
      </c>
      <c r="BJ307" s="744" t="str">
        <f t="shared" si="210"/>
        <v/>
      </c>
      <c r="BK307" s="744" t="str">
        <f t="shared" si="211"/>
        <v/>
      </c>
      <c r="BL307" s="744" t="str">
        <f t="shared" si="212"/>
        <v/>
      </c>
      <c r="BM307" s="744" t="str">
        <f t="shared" si="213"/>
        <v/>
      </c>
      <c r="BN307" s="744" t="str">
        <f t="shared" si="214"/>
        <v/>
      </c>
      <c r="BO307" s="744" t="str">
        <f t="shared" si="215"/>
        <v/>
      </c>
      <c r="BP307" s="744" t="str">
        <f t="shared" si="216"/>
        <v/>
      </c>
      <c r="BQ307" s="744" t="str">
        <f t="shared" si="217"/>
        <v/>
      </c>
      <c r="BR307" s="744" t="str">
        <f t="shared" si="218"/>
        <v/>
      </c>
      <c r="BS307" s="744" t="str">
        <f t="shared" si="219"/>
        <v/>
      </c>
      <c r="BT307" s="744" t="str">
        <f t="shared" si="220"/>
        <v/>
      </c>
      <c r="BU307" s="744" t="str">
        <f t="shared" si="221"/>
        <v/>
      </c>
      <c r="BV307" s="744" t="str">
        <f t="shared" si="222"/>
        <v/>
      </c>
      <c r="BW307" s="744" t="str">
        <f t="shared" si="223"/>
        <v/>
      </c>
      <c r="BX307" s="744" t="str">
        <f t="shared" si="224"/>
        <v/>
      </c>
      <c r="BY307" s="744" t="str">
        <f t="shared" si="225"/>
        <v/>
      </c>
      <c r="BZ307" s="744" t="str">
        <f t="shared" si="226"/>
        <v/>
      </c>
      <c r="CA307" s="744" t="str">
        <f t="shared" si="227"/>
        <v/>
      </c>
      <c r="CB307" s="744" t="str">
        <f t="shared" si="228"/>
        <v/>
      </c>
      <c r="CC307" s="744" t="str">
        <f t="shared" si="229"/>
        <v/>
      </c>
      <c r="CD307" s="744" t="str">
        <f t="shared" si="230"/>
        <v/>
      </c>
      <c r="CE307" s="744" t="str">
        <f t="shared" si="231"/>
        <v/>
      </c>
      <c r="CF307" s="744" t="str">
        <f t="shared" si="232"/>
        <v/>
      </c>
      <c r="CG307" s="744" t="str">
        <f t="shared" si="233"/>
        <v/>
      </c>
      <c r="CH307" s="744" t="str">
        <f t="shared" si="234"/>
        <v/>
      </c>
      <c r="CI307" s="744" t="str">
        <f t="shared" si="235"/>
        <v/>
      </c>
      <c r="CJ307" s="744" t="str">
        <f t="shared" si="236"/>
        <v/>
      </c>
      <c r="CK307" s="744" t="str">
        <f t="shared" si="237"/>
        <v/>
      </c>
      <c r="CL307" s="744" t="str">
        <f t="shared" si="238"/>
        <v/>
      </c>
      <c r="CM307" s="744" t="str">
        <f t="shared" si="239"/>
        <v/>
      </c>
      <c r="CN307" s="744" t="str">
        <f t="shared" si="240"/>
        <v/>
      </c>
      <c r="CO307" s="744" t="str">
        <f t="shared" si="241"/>
        <v/>
      </c>
      <c r="CP307" s="744" t="str">
        <f t="shared" si="242"/>
        <v/>
      </c>
      <c r="CQ307" s="744" t="str">
        <f t="shared" si="243"/>
        <v/>
      </c>
      <c r="CR307" s="744" t="str">
        <f t="shared" si="244"/>
        <v/>
      </c>
      <c r="CS307" s="744" t="str">
        <f t="shared" si="245"/>
        <v/>
      </c>
      <c r="CT307" s="744" t="str">
        <f t="shared" si="246"/>
        <v/>
      </c>
      <c r="CU307" s="744" t="str">
        <f t="shared" si="247"/>
        <v/>
      </c>
      <c r="CV307" s="744" t="str">
        <f t="shared" si="248"/>
        <v/>
      </c>
      <c r="CW307" s="744" t="str">
        <f t="shared" si="249"/>
        <v/>
      </c>
      <c r="CX307" s="744" t="str">
        <f t="shared" si="250"/>
        <v/>
      </c>
    </row>
    <row r="308" spans="1:102">
      <c r="A308" s="630">
        <v>304</v>
      </c>
      <c r="B308" s="630"/>
      <c r="C308" s="631"/>
      <c r="D308" s="630"/>
      <c r="E308" s="632"/>
      <c r="F308" s="1067"/>
      <c r="G308" s="1066"/>
      <c r="H308" s="1070"/>
      <c r="I308" s="1070"/>
      <c r="J308" s="1070"/>
      <c r="K308" s="1070"/>
      <c r="L308" s="1072"/>
      <c r="M308" s="1070"/>
      <c r="N308" s="1070"/>
      <c r="O308" s="1070"/>
      <c r="P308" s="1073"/>
      <c r="Q308" s="1070"/>
      <c r="R308" s="1070"/>
      <c r="S308" s="1070"/>
      <c r="T308" s="1070"/>
      <c r="U308" s="1070"/>
      <c r="V308" s="1066"/>
      <c r="W308" s="1070"/>
      <c r="X308" s="1070"/>
      <c r="Y308" s="1070"/>
      <c r="Z308" s="1070"/>
      <c r="AA308" s="1070"/>
      <c r="AB308" s="1070"/>
      <c r="AC308" s="1070"/>
      <c r="AD308" s="1070"/>
      <c r="AE308" s="1070"/>
      <c r="AF308" s="1070"/>
      <c r="AG308" s="1070"/>
      <c r="AH308" s="1073"/>
      <c r="AI308" s="1070"/>
      <c r="AJ308" s="1070"/>
      <c r="AK308" s="1070"/>
      <c r="AL308" s="1082"/>
      <c r="AM308" s="1069"/>
      <c r="AN308" s="1070"/>
      <c r="AO308" s="1070"/>
      <c r="AP308" s="1070"/>
      <c r="AQ308" s="1070"/>
      <c r="AR308" s="1069"/>
      <c r="AS308" s="1282"/>
      <c r="AT308" s="1282"/>
      <c r="AU308" s="1069"/>
      <c r="AV308" s="1069"/>
      <c r="AW308" s="1069"/>
      <c r="AX308" s="1070"/>
      <c r="AY308" s="1070"/>
      <c r="AZ308" s="1078">
        <f t="shared" si="203"/>
        <v>0</v>
      </c>
      <c r="BA308" s="59">
        <v>304</v>
      </c>
      <c r="BB308" s="59" t="str">
        <f t="shared" si="204"/>
        <v/>
      </c>
      <c r="BC308" s="60" t="str">
        <f t="shared" si="205"/>
        <v>-</v>
      </c>
      <c r="BD308" s="61" t="str">
        <f ca="1">IFERROR(IF(SEARCH('Calcular Dieta'!A$3,$BC$5:$BC$310)&gt;=1,BC308,"Não encontrado"),"Não encontrado")</f>
        <v>-</v>
      </c>
      <c r="BE308" s="62">
        <f ca="1">COUNTIF(BD$5:BD308,"&lt;&gt;"&amp;"Não encontrado")</f>
        <v>304</v>
      </c>
      <c r="BF308" s="63" t="str">
        <f t="shared" ca="1" si="206"/>
        <v>-</v>
      </c>
      <c r="BG308" s="744" t="str">
        <f t="shared" si="207"/>
        <v/>
      </c>
      <c r="BH308" s="744" t="str">
        <f t="shared" si="208"/>
        <v/>
      </c>
      <c r="BI308" s="744" t="str">
        <f t="shared" si="209"/>
        <v/>
      </c>
      <c r="BJ308" s="744" t="str">
        <f t="shared" si="210"/>
        <v/>
      </c>
      <c r="BK308" s="744" t="str">
        <f t="shared" si="211"/>
        <v/>
      </c>
      <c r="BL308" s="744" t="str">
        <f t="shared" si="212"/>
        <v/>
      </c>
      <c r="BM308" s="744" t="str">
        <f t="shared" si="213"/>
        <v/>
      </c>
      <c r="BN308" s="744" t="str">
        <f t="shared" si="214"/>
        <v/>
      </c>
      <c r="BO308" s="744" t="str">
        <f t="shared" si="215"/>
        <v/>
      </c>
      <c r="BP308" s="744" t="str">
        <f t="shared" si="216"/>
        <v/>
      </c>
      <c r="BQ308" s="744" t="str">
        <f t="shared" si="217"/>
        <v/>
      </c>
      <c r="BR308" s="744" t="str">
        <f t="shared" si="218"/>
        <v/>
      </c>
      <c r="BS308" s="744" t="str">
        <f t="shared" si="219"/>
        <v/>
      </c>
      <c r="BT308" s="744" t="str">
        <f t="shared" si="220"/>
        <v/>
      </c>
      <c r="BU308" s="744" t="str">
        <f t="shared" si="221"/>
        <v/>
      </c>
      <c r="BV308" s="744" t="str">
        <f t="shared" si="222"/>
        <v/>
      </c>
      <c r="BW308" s="744" t="str">
        <f t="shared" si="223"/>
        <v/>
      </c>
      <c r="BX308" s="744" t="str">
        <f t="shared" si="224"/>
        <v/>
      </c>
      <c r="BY308" s="744" t="str">
        <f t="shared" si="225"/>
        <v/>
      </c>
      <c r="BZ308" s="744" t="str">
        <f t="shared" si="226"/>
        <v/>
      </c>
      <c r="CA308" s="744" t="str">
        <f t="shared" si="227"/>
        <v/>
      </c>
      <c r="CB308" s="744" t="str">
        <f t="shared" si="228"/>
        <v/>
      </c>
      <c r="CC308" s="744" t="str">
        <f t="shared" si="229"/>
        <v/>
      </c>
      <c r="CD308" s="744" t="str">
        <f t="shared" si="230"/>
        <v/>
      </c>
      <c r="CE308" s="744" t="str">
        <f t="shared" si="231"/>
        <v/>
      </c>
      <c r="CF308" s="744" t="str">
        <f t="shared" si="232"/>
        <v/>
      </c>
      <c r="CG308" s="744" t="str">
        <f t="shared" si="233"/>
        <v/>
      </c>
      <c r="CH308" s="744" t="str">
        <f t="shared" si="234"/>
        <v/>
      </c>
      <c r="CI308" s="744" t="str">
        <f t="shared" si="235"/>
        <v/>
      </c>
      <c r="CJ308" s="744" t="str">
        <f t="shared" si="236"/>
        <v/>
      </c>
      <c r="CK308" s="744" t="str">
        <f t="shared" si="237"/>
        <v/>
      </c>
      <c r="CL308" s="744" t="str">
        <f t="shared" si="238"/>
        <v/>
      </c>
      <c r="CM308" s="744" t="str">
        <f t="shared" si="239"/>
        <v/>
      </c>
      <c r="CN308" s="744" t="str">
        <f t="shared" si="240"/>
        <v/>
      </c>
      <c r="CO308" s="744" t="str">
        <f t="shared" si="241"/>
        <v/>
      </c>
      <c r="CP308" s="744" t="str">
        <f t="shared" si="242"/>
        <v/>
      </c>
      <c r="CQ308" s="744" t="str">
        <f t="shared" si="243"/>
        <v/>
      </c>
      <c r="CR308" s="744" t="str">
        <f t="shared" si="244"/>
        <v/>
      </c>
      <c r="CS308" s="744" t="str">
        <f t="shared" si="245"/>
        <v/>
      </c>
      <c r="CT308" s="744" t="str">
        <f t="shared" si="246"/>
        <v/>
      </c>
      <c r="CU308" s="744" t="str">
        <f t="shared" si="247"/>
        <v/>
      </c>
      <c r="CV308" s="744" t="str">
        <f t="shared" si="248"/>
        <v/>
      </c>
      <c r="CW308" s="744" t="str">
        <f t="shared" si="249"/>
        <v/>
      </c>
      <c r="CX308" s="744" t="str">
        <f t="shared" si="250"/>
        <v/>
      </c>
    </row>
    <row r="309" spans="1:102">
      <c r="A309" s="633">
        <v>305</v>
      </c>
      <c r="B309" s="630"/>
      <c r="C309" s="631"/>
      <c r="D309" s="630"/>
      <c r="E309" s="632"/>
      <c r="F309" s="1067"/>
      <c r="G309" s="1066"/>
      <c r="H309" s="1070"/>
      <c r="I309" s="1070"/>
      <c r="J309" s="1070"/>
      <c r="K309" s="1070"/>
      <c r="L309" s="1072"/>
      <c r="M309" s="1070"/>
      <c r="N309" s="1070"/>
      <c r="O309" s="1070"/>
      <c r="P309" s="1073"/>
      <c r="Q309" s="1070"/>
      <c r="R309" s="1070"/>
      <c r="S309" s="1070"/>
      <c r="T309" s="1070"/>
      <c r="U309" s="1070"/>
      <c r="V309" s="1066"/>
      <c r="W309" s="1070"/>
      <c r="X309" s="1070"/>
      <c r="Y309" s="1070"/>
      <c r="Z309" s="1070"/>
      <c r="AA309" s="1070"/>
      <c r="AB309" s="1070"/>
      <c r="AC309" s="1070"/>
      <c r="AD309" s="1070"/>
      <c r="AE309" s="1070"/>
      <c r="AF309" s="1070"/>
      <c r="AG309" s="1070"/>
      <c r="AH309" s="1073"/>
      <c r="AI309" s="1070"/>
      <c r="AJ309" s="1070"/>
      <c r="AK309" s="1070"/>
      <c r="AL309" s="1082"/>
      <c r="AM309" s="1069"/>
      <c r="AN309" s="1070"/>
      <c r="AO309" s="1070"/>
      <c r="AP309" s="1070"/>
      <c r="AQ309" s="1070"/>
      <c r="AR309" s="1069"/>
      <c r="AS309" s="1282"/>
      <c r="AT309" s="1282"/>
      <c r="AU309" s="1069"/>
      <c r="AV309" s="1069"/>
      <c r="AW309" s="1069"/>
      <c r="AX309" s="1070"/>
      <c r="AY309" s="1070"/>
      <c r="AZ309" s="1078">
        <f t="shared" si="203"/>
        <v>0</v>
      </c>
      <c r="BA309" s="59">
        <v>305</v>
      </c>
      <c r="BB309" s="59" t="str">
        <f t="shared" si="204"/>
        <v/>
      </c>
      <c r="BC309" s="60" t="str">
        <f t="shared" si="205"/>
        <v>-</v>
      </c>
      <c r="BD309" s="61" t="str">
        <f ca="1">IFERROR(IF(SEARCH('Calcular Dieta'!A$3,$BC$5:$BC$310)&gt;=1,BC309,"Não encontrado"),"Não encontrado")</f>
        <v>-</v>
      </c>
      <c r="BE309" s="62">
        <f ca="1">COUNTIF(BD$5:BD309,"&lt;&gt;"&amp;"Não encontrado")</f>
        <v>305</v>
      </c>
      <c r="BF309" s="63" t="str">
        <f t="shared" ca="1" si="206"/>
        <v>-</v>
      </c>
      <c r="BG309" s="744" t="str">
        <f t="shared" si="207"/>
        <v/>
      </c>
      <c r="BH309" s="744" t="str">
        <f t="shared" si="208"/>
        <v/>
      </c>
      <c r="BI309" s="744" t="str">
        <f t="shared" si="209"/>
        <v/>
      </c>
      <c r="BJ309" s="744" t="str">
        <f t="shared" si="210"/>
        <v/>
      </c>
      <c r="BK309" s="744" t="str">
        <f t="shared" si="211"/>
        <v/>
      </c>
      <c r="BL309" s="744" t="str">
        <f t="shared" si="212"/>
        <v/>
      </c>
      <c r="BM309" s="744" t="str">
        <f t="shared" si="213"/>
        <v/>
      </c>
      <c r="BN309" s="744" t="str">
        <f t="shared" si="214"/>
        <v/>
      </c>
      <c r="BO309" s="744" t="str">
        <f t="shared" si="215"/>
        <v/>
      </c>
      <c r="BP309" s="744" t="str">
        <f t="shared" si="216"/>
        <v/>
      </c>
      <c r="BQ309" s="744" t="str">
        <f t="shared" si="217"/>
        <v/>
      </c>
      <c r="BR309" s="744" t="str">
        <f t="shared" si="218"/>
        <v/>
      </c>
      <c r="BS309" s="744" t="str">
        <f t="shared" si="219"/>
        <v/>
      </c>
      <c r="BT309" s="744" t="str">
        <f t="shared" si="220"/>
        <v/>
      </c>
      <c r="BU309" s="744" t="str">
        <f t="shared" si="221"/>
        <v/>
      </c>
      <c r="BV309" s="744" t="str">
        <f t="shared" si="222"/>
        <v/>
      </c>
      <c r="BW309" s="744" t="str">
        <f t="shared" si="223"/>
        <v/>
      </c>
      <c r="BX309" s="744" t="str">
        <f t="shared" si="224"/>
        <v/>
      </c>
      <c r="BY309" s="744" t="str">
        <f t="shared" si="225"/>
        <v/>
      </c>
      <c r="BZ309" s="744" t="str">
        <f t="shared" si="226"/>
        <v/>
      </c>
      <c r="CA309" s="744" t="str">
        <f t="shared" si="227"/>
        <v/>
      </c>
      <c r="CB309" s="744" t="str">
        <f t="shared" si="228"/>
        <v/>
      </c>
      <c r="CC309" s="744" t="str">
        <f t="shared" si="229"/>
        <v/>
      </c>
      <c r="CD309" s="744" t="str">
        <f t="shared" si="230"/>
        <v/>
      </c>
      <c r="CE309" s="744" t="str">
        <f t="shared" si="231"/>
        <v/>
      </c>
      <c r="CF309" s="744" t="str">
        <f t="shared" si="232"/>
        <v/>
      </c>
      <c r="CG309" s="744" t="str">
        <f t="shared" si="233"/>
        <v/>
      </c>
      <c r="CH309" s="744" t="str">
        <f t="shared" si="234"/>
        <v/>
      </c>
      <c r="CI309" s="744" t="str">
        <f t="shared" si="235"/>
        <v/>
      </c>
      <c r="CJ309" s="744" t="str">
        <f t="shared" si="236"/>
        <v/>
      </c>
      <c r="CK309" s="744" t="str">
        <f t="shared" si="237"/>
        <v/>
      </c>
      <c r="CL309" s="744" t="str">
        <f t="shared" si="238"/>
        <v/>
      </c>
      <c r="CM309" s="744" t="str">
        <f t="shared" si="239"/>
        <v/>
      </c>
      <c r="CN309" s="744" t="str">
        <f t="shared" si="240"/>
        <v/>
      </c>
      <c r="CO309" s="744" t="str">
        <f t="shared" si="241"/>
        <v/>
      </c>
      <c r="CP309" s="744" t="str">
        <f t="shared" si="242"/>
        <v/>
      </c>
      <c r="CQ309" s="744" t="str">
        <f t="shared" si="243"/>
        <v/>
      </c>
      <c r="CR309" s="744" t="str">
        <f t="shared" si="244"/>
        <v/>
      </c>
      <c r="CS309" s="744" t="str">
        <f t="shared" si="245"/>
        <v/>
      </c>
      <c r="CT309" s="744" t="str">
        <f t="shared" si="246"/>
        <v/>
      </c>
      <c r="CU309" s="744" t="str">
        <f t="shared" si="247"/>
        <v/>
      </c>
      <c r="CV309" s="744" t="str">
        <f t="shared" si="248"/>
        <v/>
      </c>
      <c r="CW309" s="744" t="str">
        <f t="shared" si="249"/>
        <v/>
      </c>
      <c r="CX309" s="744" t="str">
        <f t="shared" si="250"/>
        <v/>
      </c>
    </row>
    <row r="310" spans="1:102">
      <c r="A310" s="630">
        <v>306</v>
      </c>
      <c r="B310" s="630"/>
      <c r="C310" s="631"/>
      <c r="D310" s="630"/>
      <c r="E310" s="632"/>
      <c r="F310" s="1067"/>
      <c r="G310" s="1066"/>
      <c r="H310" s="1070"/>
      <c r="I310" s="1070"/>
      <c r="J310" s="1070"/>
      <c r="K310" s="1070"/>
      <c r="L310" s="1072"/>
      <c r="M310" s="1070"/>
      <c r="N310" s="1070"/>
      <c r="O310" s="1070"/>
      <c r="P310" s="1073"/>
      <c r="Q310" s="1070"/>
      <c r="R310" s="1070"/>
      <c r="S310" s="1070"/>
      <c r="T310" s="1070"/>
      <c r="U310" s="1070"/>
      <c r="V310" s="1066"/>
      <c r="W310" s="1070"/>
      <c r="X310" s="1070"/>
      <c r="Y310" s="1070"/>
      <c r="Z310" s="1070"/>
      <c r="AA310" s="1070"/>
      <c r="AB310" s="1070"/>
      <c r="AC310" s="1070"/>
      <c r="AD310" s="1070"/>
      <c r="AE310" s="1070"/>
      <c r="AF310" s="1070"/>
      <c r="AG310" s="1070"/>
      <c r="AH310" s="1073"/>
      <c r="AI310" s="1070"/>
      <c r="AJ310" s="1070"/>
      <c r="AK310" s="1070"/>
      <c r="AL310" s="1082"/>
      <c r="AM310" s="1069"/>
      <c r="AN310" s="1070"/>
      <c r="AO310" s="1070"/>
      <c r="AP310" s="1070"/>
      <c r="AQ310" s="1070"/>
      <c r="AR310" s="1069"/>
      <c r="AS310" s="1282"/>
      <c r="AT310" s="1282"/>
      <c r="AU310" s="1069"/>
      <c r="AV310" s="1069"/>
      <c r="AW310" s="1069"/>
      <c r="AX310" s="1070"/>
      <c r="AY310" s="1070"/>
      <c r="AZ310" s="1078">
        <f t="shared" si="203"/>
        <v>0</v>
      </c>
      <c r="BA310" s="59">
        <v>306</v>
      </c>
      <c r="BB310" s="59" t="str">
        <f t="shared" si="204"/>
        <v/>
      </c>
      <c r="BC310" s="60" t="str">
        <f t="shared" si="205"/>
        <v>-</v>
      </c>
      <c r="BD310" s="61" t="str">
        <f ca="1">IFERROR(IF(SEARCH('Calcular Dieta'!A$3,$BC$5:$BC$310)&gt;=1,BC310,"Não encontrado"),"Não encontrado")</f>
        <v>-</v>
      </c>
      <c r="BE310" s="62">
        <f ca="1">COUNTIF(BD$5:BD310,"&lt;&gt;"&amp;"Não encontrado")</f>
        <v>306</v>
      </c>
      <c r="BF310" s="63" t="str">
        <f t="shared" ca="1" si="206"/>
        <v>-</v>
      </c>
      <c r="BG310" s="744" t="str">
        <f t="shared" si="207"/>
        <v/>
      </c>
      <c r="BH310" s="744" t="str">
        <f t="shared" si="208"/>
        <v/>
      </c>
      <c r="BI310" s="744" t="str">
        <f t="shared" si="209"/>
        <v/>
      </c>
      <c r="BJ310" s="744" t="str">
        <f t="shared" si="210"/>
        <v/>
      </c>
      <c r="BK310" s="744" t="str">
        <f t="shared" si="211"/>
        <v/>
      </c>
      <c r="BL310" s="744" t="str">
        <f t="shared" si="212"/>
        <v/>
      </c>
      <c r="BM310" s="744" t="str">
        <f t="shared" si="213"/>
        <v/>
      </c>
      <c r="BN310" s="744" t="str">
        <f t="shared" si="214"/>
        <v/>
      </c>
      <c r="BO310" s="744" t="str">
        <f t="shared" si="215"/>
        <v/>
      </c>
      <c r="BP310" s="744" t="str">
        <f t="shared" si="216"/>
        <v/>
      </c>
      <c r="BQ310" s="744" t="str">
        <f t="shared" si="217"/>
        <v/>
      </c>
      <c r="BR310" s="744" t="str">
        <f t="shared" si="218"/>
        <v/>
      </c>
      <c r="BS310" s="744" t="str">
        <f t="shared" si="219"/>
        <v/>
      </c>
      <c r="BT310" s="744" t="str">
        <f t="shared" si="220"/>
        <v/>
      </c>
      <c r="BU310" s="744" t="str">
        <f t="shared" si="221"/>
        <v/>
      </c>
      <c r="BV310" s="744" t="str">
        <f t="shared" si="222"/>
        <v/>
      </c>
      <c r="BW310" s="744" t="str">
        <f t="shared" si="223"/>
        <v/>
      </c>
      <c r="BX310" s="744" t="str">
        <f t="shared" si="224"/>
        <v/>
      </c>
      <c r="BY310" s="744" t="str">
        <f t="shared" si="225"/>
        <v/>
      </c>
      <c r="BZ310" s="744" t="str">
        <f t="shared" si="226"/>
        <v/>
      </c>
      <c r="CA310" s="744" t="str">
        <f t="shared" si="227"/>
        <v/>
      </c>
      <c r="CB310" s="744" t="str">
        <f t="shared" si="228"/>
        <v/>
      </c>
      <c r="CC310" s="744" t="str">
        <f t="shared" si="229"/>
        <v/>
      </c>
      <c r="CD310" s="744" t="str">
        <f t="shared" si="230"/>
        <v/>
      </c>
      <c r="CE310" s="744" t="str">
        <f t="shared" si="231"/>
        <v/>
      </c>
      <c r="CF310" s="744" t="str">
        <f t="shared" si="232"/>
        <v/>
      </c>
      <c r="CG310" s="744" t="str">
        <f t="shared" si="233"/>
        <v/>
      </c>
      <c r="CH310" s="744" t="str">
        <f t="shared" si="234"/>
        <v/>
      </c>
      <c r="CI310" s="744" t="str">
        <f t="shared" si="235"/>
        <v/>
      </c>
      <c r="CJ310" s="744" t="str">
        <f t="shared" si="236"/>
        <v/>
      </c>
      <c r="CK310" s="744" t="str">
        <f t="shared" si="237"/>
        <v/>
      </c>
      <c r="CL310" s="744" t="str">
        <f t="shared" si="238"/>
        <v/>
      </c>
      <c r="CM310" s="744" t="str">
        <f t="shared" si="239"/>
        <v/>
      </c>
      <c r="CN310" s="744" t="str">
        <f t="shared" si="240"/>
        <v/>
      </c>
      <c r="CO310" s="744" t="str">
        <f t="shared" si="241"/>
        <v/>
      </c>
      <c r="CP310" s="744" t="str">
        <f t="shared" si="242"/>
        <v/>
      </c>
      <c r="CQ310" s="744" t="str">
        <f t="shared" si="243"/>
        <v/>
      </c>
      <c r="CR310" s="744" t="str">
        <f t="shared" si="244"/>
        <v/>
      </c>
      <c r="CS310" s="744" t="str">
        <f t="shared" si="245"/>
        <v/>
      </c>
      <c r="CT310" s="744" t="str">
        <f t="shared" si="246"/>
        <v/>
      </c>
      <c r="CU310" s="744" t="str">
        <f t="shared" si="247"/>
        <v/>
      </c>
      <c r="CV310" s="744" t="str">
        <f t="shared" si="248"/>
        <v/>
      </c>
      <c r="CW310" s="744" t="str">
        <f t="shared" si="249"/>
        <v/>
      </c>
      <c r="CX310" s="744" t="str">
        <f t="shared" si="250"/>
        <v/>
      </c>
    </row>
    <row r="311" spans="1:102" hidden="1">
      <c r="H311" s="79"/>
      <c r="I311" s="79"/>
      <c r="J311" s="79"/>
      <c r="K311" s="79"/>
      <c r="L311" s="79"/>
      <c r="M311" s="79"/>
      <c r="N311" s="79"/>
      <c r="O311" s="79"/>
      <c r="P311" s="79"/>
      <c r="Q311" s="79"/>
      <c r="U311" s="79"/>
      <c r="V311" s="79"/>
      <c r="W311" s="79"/>
      <c r="X311" s="79"/>
      <c r="Y311" s="79"/>
      <c r="Z311" s="79"/>
      <c r="AA311" s="79"/>
      <c r="AB311" s="79"/>
      <c r="AC311" s="79"/>
      <c r="AD311" s="79"/>
      <c r="AE311" s="79"/>
      <c r="AF311" s="79"/>
      <c r="AG311" s="79"/>
      <c r="AH311" s="79"/>
      <c r="AI311" s="79"/>
      <c r="AJ311" s="79"/>
      <c r="AK311" s="79"/>
      <c r="AL311" s="79"/>
      <c r="AM311" s="79"/>
      <c r="AN311" s="79"/>
      <c r="AO311" s="79"/>
      <c r="AP311" s="79"/>
      <c r="AQ311" s="79"/>
      <c r="AR311" s="79"/>
      <c r="AS311" s="79"/>
      <c r="AT311" s="79"/>
      <c r="AU311" s="79"/>
      <c r="AV311" s="79"/>
      <c r="AW311" s="79"/>
      <c r="AX311" s="79"/>
      <c r="AY311" s="79"/>
      <c r="AZ311" s="79"/>
    </row>
    <row r="312" spans="1:102" hidden="1">
      <c r="B312" s="512"/>
      <c r="E312" s="513"/>
    </row>
  </sheetData>
  <sheetProtection formatCells="0" formatColumns="0" formatRows="0" sort="0"/>
  <autoFilter ref="A4:AZ310" xr:uid="{CF2D8BA6-AEA5-4662-86C2-47DA5BCDDF35}">
    <sortState ref="A5:AZ310">
      <sortCondition ref="E4:E310"/>
    </sortState>
  </autoFilter>
  <mergeCells count="1">
    <mergeCell ref="A2:E3"/>
  </mergeCells>
  <phoneticPr fontId="14" type="noConversion"/>
  <conditionalFormatting sqref="E5:E310">
    <cfRule type="duplicateValues" dxfId="59" priority="1"/>
  </conditionalFormatting>
  <dataValidations count="2">
    <dataValidation type="list" allowBlank="1" showInputMessage="1" showErrorMessage="1" sqref="B5:B310" xr:uid="{855BC474-A42E-4566-869C-DB5C67526822}">
      <formula1>"Volumoso,Concentrado"</formula1>
    </dataValidation>
    <dataValidation type="list" allowBlank="1" showInputMessage="1" showErrorMessage="1" sqref="C5:C310" xr:uid="{C2DD0F72-B257-40C2-BC0C-44FBD25374DA}">
      <formula1>GrupoAlimentos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0BFDF-091F-498F-86AE-B1CDDD75D59C}">
  <sheetPr codeName="Planilha10">
    <tabColor rgb="FF00B050"/>
    <pageSetUpPr fitToPage="1"/>
  </sheetPr>
  <dimension ref="A1:BB55"/>
  <sheetViews>
    <sheetView showGridLines="0" showRowColHeaders="0" zoomScaleNormal="100" workbookViewId="0">
      <pane xSplit="6" ySplit="4" topLeftCell="G5" activePane="bottomRight" state="frozen"/>
      <selection activeCell="G2" sqref="G2"/>
      <selection pane="topRight" activeCell="G2" sqref="G2"/>
      <selection pane="bottomLeft" activeCell="G2" sqref="G2"/>
      <selection pane="bottomRight" activeCell="A4" sqref="A4"/>
    </sheetView>
  </sheetViews>
  <sheetFormatPr defaultColWidth="0" defaultRowHeight="14.25" zeroHeight="1"/>
  <cols>
    <col min="1" max="1" width="2" customWidth="1"/>
    <col min="2" max="2" width="49" customWidth="1"/>
    <col min="3" max="3" width="20.25" customWidth="1"/>
    <col min="4" max="4" width="7.875" customWidth="1"/>
    <col min="5" max="5" width="8.5" customWidth="1"/>
    <col min="6" max="6" width="7" customWidth="1"/>
    <col min="7" max="7" width="10.375" customWidth="1"/>
    <col min="8" max="8" width="10.875" customWidth="1"/>
    <col min="9" max="9" width="11.625" customWidth="1"/>
    <col min="10" max="11" width="10.875" customWidth="1"/>
    <col min="12" max="12" width="11.75" customWidth="1"/>
    <col min="13" max="16" width="10.875" customWidth="1"/>
    <col min="17" max="17" width="12" customWidth="1"/>
    <col min="18" max="18" width="11.625" customWidth="1"/>
    <col min="19" max="21" width="10.875" customWidth="1"/>
    <col min="22" max="34" width="11.25" bestFit="1" customWidth="1"/>
    <col min="35" max="35" width="10.125" bestFit="1" customWidth="1"/>
    <col min="36" max="36" width="11.125" bestFit="1" customWidth="1"/>
    <col min="37" max="37" width="11.625" bestFit="1" customWidth="1"/>
    <col min="38" max="39" width="11.75" bestFit="1" customWidth="1"/>
    <col min="40" max="40" width="11.875" bestFit="1" customWidth="1"/>
    <col min="41" max="41" width="11.625" bestFit="1" customWidth="1"/>
    <col min="42" max="43" width="16.25" bestFit="1" customWidth="1"/>
    <col min="44" max="51" width="14.625" bestFit="1" customWidth="1"/>
    <col min="52" max="52" width="16.625" bestFit="1" customWidth="1"/>
    <col min="53" max="53" width="4.875" customWidth="1"/>
    <col min="54" max="54" width="27.375" style="83" hidden="1" customWidth="1"/>
    <col min="55" max="16384" width="9" hidden="1"/>
  </cols>
  <sheetData>
    <row r="1" spans="1:54" ht="26.25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</row>
    <row r="2" spans="1:54" ht="22.5" customHeight="1">
      <c r="A2" s="1"/>
      <c r="B2" s="1539"/>
      <c r="C2" s="1540"/>
      <c r="D2" s="1540"/>
      <c r="E2" s="1540"/>
      <c r="F2" s="1541"/>
      <c r="G2" s="1542" t="str">
        <f>Alimentos!G2</f>
        <v>MN</v>
      </c>
      <c r="H2" s="1543" t="str">
        <f>Alimentos!H2</f>
        <v>MS</v>
      </c>
      <c r="I2" s="1544" t="str">
        <f>Alimentos!I2</f>
        <v>FDN</v>
      </c>
      <c r="J2" s="1544" t="str">
        <f>Alimentos!J2</f>
        <v>FDA</v>
      </c>
      <c r="K2" s="1544" t="str">
        <f>Alimentos!K2</f>
        <v>CNF</v>
      </c>
      <c r="L2" s="1544" t="str">
        <f>Alimentos!L2</f>
        <v>NDT</v>
      </c>
      <c r="M2" s="1544" t="str">
        <f>Alimentos!M2</f>
        <v>ED</v>
      </c>
      <c r="N2" s="1544" t="str">
        <f>Alimentos!N2</f>
        <v>EM</v>
      </c>
      <c r="O2" s="1544" t="str">
        <f>Alimentos!O2</f>
        <v>EL</v>
      </c>
      <c r="P2" s="1544" t="str">
        <f>Alimentos!P2</f>
        <v>EE</v>
      </c>
      <c r="Q2" s="1544" t="str">
        <f>Alimentos!Q2</f>
        <v>PB</v>
      </c>
      <c r="R2" s="1544" t="str">
        <f>Alimentos!R2</f>
        <v>PDR</v>
      </c>
      <c r="S2" s="1544" t="str">
        <f>Alimentos!S2</f>
        <v>PNDR</v>
      </c>
      <c r="T2" s="1544" t="str">
        <f>Alimentos!T2</f>
        <v>PM</v>
      </c>
      <c r="U2" s="1544" t="str">
        <f>Alimentos!U2</f>
        <v>PBNNP</v>
      </c>
      <c r="V2" s="1936" t="str">
        <f>Alimentos!V2</f>
        <v>Ca</v>
      </c>
      <c r="W2" s="1936" t="str">
        <f>Alimentos!W2</f>
        <v>P</v>
      </c>
      <c r="X2" s="1936" t="str">
        <f>Alimentos!X2</f>
        <v>Mg</v>
      </c>
      <c r="Y2" s="1936" t="str">
        <f>Alimentos!Y2</f>
        <v>Na</v>
      </c>
      <c r="Z2" s="1936" t="str">
        <f>Alimentos!Z2</f>
        <v>K</v>
      </c>
      <c r="AA2" s="1936" t="str">
        <f>Alimentos!AA2</f>
        <v>S</v>
      </c>
      <c r="AB2" s="1936" t="str">
        <f>Alimentos!AB2</f>
        <v>Cu</v>
      </c>
      <c r="AC2" s="1936" t="str">
        <f>Alimentos!AC2</f>
        <v>Zn</v>
      </c>
      <c r="AD2" s="1936" t="str">
        <f>Alimentos!AD2</f>
        <v>Fe</v>
      </c>
      <c r="AE2" s="1936" t="str">
        <f>Alimentos!AE2</f>
        <v>Mn</v>
      </c>
      <c r="AF2" s="1936" t="str">
        <f>Alimentos!AF2</f>
        <v>I</v>
      </c>
      <c r="AG2" s="1936" t="str">
        <f>Alimentos!AG2</f>
        <v>Co</v>
      </c>
      <c r="AH2" s="1936" t="str">
        <f>Alimentos!AH2</f>
        <v>Se</v>
      </c>
      <c r="AI2" s="1544" t="str">
        <f>Alimentos!AI2</f>
        <v>Lis</v>
      </c>
      <c r="AJ2" s="1544" t="str">
        <f>Alimentos!AJ2</f>
        <v>Met</v>
      </c>
      <c r="AK2" s="1544" t="str">
        <f>Alimentos!AK2</f>
        <v>Mon</v>
      </c>
      <c r="AL2" s="1544" t="str">
        <f>Alimentos!AL2</f>
        <v>Vit A</v>
      </c>
      <c r="AM2" s="1544" t="str">
        <f>Alimentos!AM2</f>
        <v>Vit B (UI)</v>
      </c>
      <c r="AN2" s="1544" t="str">
        <f>Alimentos!AN2</f>
        <v>Vit D (UI)</v>
      </c>
      <c r="AO2" s="1544" t="str">
        <f>Alimentos!AO2</f>
        <v>Vit E (UI)</v>
      </c>
      <c r="AP2" s="1544" t="str">
        <f>Alimentos!AP2</f>
        <v>Novo 01</v>
      </c>
      <c r="AQ2" s="1544" t="str">
        <f>Alimentos!AQ2</f>
        <v>Novo 02</v>
      </c>
      <c r="AR2" s="1544" t="str">
        <f>Alimentos!AR2</f>
        <v>Novo 03</v>
      </c>
      <c r="AS2" s="1544" t="str">
        <f>Alimentos!AS2</f>
        <v>Novo 04</v>
      </c>
      <c r="AT2" s="1544" t="str">
        <f>Alimentos!AT2</f>
        <v>Novo 05</v>
      </c>
      <c r="AU2" s="1544" t="str">
        <f>Alimentos!AU2</f>
        <v>Novo 06</v>
      </c>
      <c r="AV2" s="1544" t="str">
        <f>Alimentos!AV2</f>
        <v>Novo 07</v>
      </c>
      <c r="AW2" s="1544" t="str">
        <f>Alimentos!AW2</f>
        <v>Novo 08</v>
      </c>
      <c r="AX2" s="1544" t="str">
        <f>Alimentos!AX2</f>
        <v>Novo 09</v>
      </c>
      <c r="AY2" s="1544" t="str">
        <f>Alimentos!AY2</f>
        <v>VOL</v>
      </c>
      <c r="AZ2" s="1544" t="str">
        <f>Alimentos!AZ2</f>
        <v>CONC</v>
      </c>
      <c r="BA2" s="258"/>
      <c r="BB2" s="259"/>
    </row>
    <row r="3" spans="1:54" ht="14.25" customHeight="1" thickBot="1">
      <c r="A3" s="1"/>
      <c r="B3" s="1545"/>
      <c r="C3" s="1546"/>
      <c r="D3" s="1546"/>
      <c r="E3" s="1546"/>
      <c r="F3" s="1547"/>
      <c r="G3" s="1937" t="str">
        <f>Alimentos!G3</f>
        <v>kg</v>
      </c>
      <c r="H3" s="1938" t="str">
        <f>Alimentos!H3</f>
        <v>kg</v>
      </c>
      <c r="I3" s="1938" t="str">
        <f>Alimentos!I3</f>
        <v>kg</v>
      </c>
      <c r="J3" s="1938" t="str">
        <f>Alimentos!J3</f>
        <v>kg</v>
      </c>
      <c r="K3" s="1938" t="str">
        <f>Alimentos!K3</f>
        <v>kg</v>
      </c>
      <c r="L3" s="1938" t="str">
        <f>Alimentos!L3</f>
        <v>kg</v>
      </c>
      <c r="M3" s="1938" t="str">
        <f>Alimentos!M3</f>
        <v>Mcal</v>
      </c>
      <c r="N3" s="1938" t="str">
        <f>Alimentos!N3</f>
        <v>Mcal</v>
      </c>
      <c r="O3" s="1938" t="str">
        <f>Alimentos!O3</f>
        <v>Mcal</v>
      </c>
      <c r="P3" s="1938" t="str">
        <f>Alimentos!P3</f>
        <v>g</v>
      </c>
      <c r="Q3" s="1938" t="str">
        <f>Alimentos!Q3</f>
        <v>g</v>
      </c>
      <c r="R3" s="1938" t="str">
        <f>Alimentos!R3</f>
        <v>g</v>
      </c>
      <c r="S3" s="1938" t="str">
        <f>Alimentos!S3</f>
        <v>g</v>
      </c>
      <c r="T3" s="1938" t="str">
        <f>Alimentos!T3</f>
        <v>g</v>
      </c>
      <c r="U3" s="1938" t="str">
        <f>Alimentos!U3</f>
        <v>g</v>
      </c>
      <c r="V3" s="1938" t="str">
        <f>Alimentos!V3</f>
        <v>g</v>
      </c>
      <c r="W3" s="1938" t="str">
        <f>Alimentos!W3</f>
        <v>g</v>
      </c>
      <c r="X3" s="1938" t="str">
        <f>Alimentos!X3</f>
        <v>g</v>
      </c>
      <c r="Y3" s="1938" t="str">
        <f>Alimentos!Y3</f>
        <v>g</v>
      </c>
      <c r="Z3" s="1938" t="str">
        <f>Alimentos!Z3</f>
        <v>g</v>
      </c>
      <c r="AA3" s="1938" t="str">
        <f>Alimentos!AA3</f>
        <v>g</v>
      </c>
      <c r="AB3" s="1938" t="str">
        <f>Alimentos!AB3</f>
        <v>mg</v>
      </c>
      <c r="AC3" s="1938" t="str">
        <f>Alimentos!AC3</f>
        <v>mg</v>
      </c>
      <c r="AD3" s="1938" t="str">
        <f>Alimentos!AD3</f>
        <v>mg</v>
      </c>
      <c r="AE3" s="1938" t="str">
        <f>Alimentos!AE3</f>
        <v>mg</v>
      </c>
      <c r="AF3" s="1938" t="str">
        <f>Alimentos!AF3</f>
        <v>mg</v>
      </c>
      <c r="AG3" s="1938" t="str">
        <f>Alimentos!AG3</f>
        <v>mg</v>
      </c>
      <c r="AH3" s="1938" t="str">
        <f>Alimentos!AH3</f>
        <v>mg</v>
      </c>
      <c r="AI3" s="1938" t="str">
        <f>Alimentos!AI3</f>
        <v>g</v>
      </c>
      <c r="AJ3" s="1938" t="str">
        <f>Alimentos!AJ3</f>
        <v>g</v>
      </c>
      <c r="AK3" s="1938" t="str">
        <f>Alimentos!AK3</f>
        <v>ppm</v>
      </c>
      <c r="AL3" s="1938" t="str">
        <f>Alimentos!AL3</f>
        <v>UI</v>
      </c>
      <c r="AM3" s="1938" t="str">
        <f>Alimentos!AM3</f>
        <v>UI</v>
      </c>
      <c r="AN3" s="1938" t="str">
        <f>Alimentos!AN3</f>
        <v>UI</v>
      </c>
      <c r="AO3" s="1938" t="str">
        <f>Alimentos!AO3</f>
        <v>UI</v>
      </c>
      <c r="AP3" s="1938" t="str">
        <f>Alimentos!AP3</f>
        <v>-</v>
      </c>
      <c r="AQ3" s="1938" t="str">
        <f>Alimentos!AQ3</f>
        <v>-</v>
      </c>
      <c r="AR3" s="1938" t="str">
        <f>Alimentos!AR3</f>
        <v>-</v>
      </c>
      <c r="AS3" s="1938" t="str">
        <f>Alimentos!AS3</f>
        <v>-</v>
      </c>
      <c r="AT3" s="1938" t="str">
        <f>Alimentos!AT3</f>
        <v>-</v>
      </c>
      <c r="AU3" s="1938" t="str">
        <f>Alimentos!AU3</f>
        <v>-</v>
      </c>
      <c r="AV3" s="1938" t="str">
        <f>Alimentos!AV3</f>
        <v>-</v>
      </c>
      <c r="AW3" s="1938" t="str">
        <f>Alimentos!AW3</f>
        <v>-</v>
      </c>
      <c r="AX3" s="1938" t="str">
        <f>Alimentos!AX3</f>
        <v>-</v>
      </c>
      <c r="AY3" s="1938" t="str">
        <f>Alimentos!AY3</f>
        <v>Kg</v>
      </c>
      <c r="AZ3" s="1938" t="str">
        <f>Alimentos!AZ3</f>
        <v>Kg</v>
      </c>
      <c r="BA3" s="258"/>
      <c r="BB3" s="259"/>
    </row>
    <row r="4" spans="1:54" s="3" customFormat="1" ht="44.25" customHeight="1" thickBot="1">
      <c r="A4" s="2"/>
      <c r="B4" s="1548" t="s">
        <v>2</v>
      </c>
      <c r="C4" s="1548" t="s">
        <v>323</v>
      </c>
      <c r="D4" s="1549" t="s">
        <v>744</v>
      </c>
      <c r="E4" s="1549" t="s">
        <v>660</v>
      </c>
      <c r="F4" s="1550" t="s">
        <v>69</v>
      </c>
      <c r="G4" s="1551" t="str">
        <f>Alimentos!G4</f>
        <v>Matéria Natural</v>
      </c>
      <c r="H4" s="1551" t="str">
        <f>Alimentos!H4</f>
        <v>Matéria Seca</v>
      </c>
      <c r="I4" s="1551" t="str">
        <f>Alimentos!I4</f>
        <v>Fibra em 
Detergente Neutro</v>
      </c>
      <c r="J4" s="1551" t="str">
        <f>Alimentos!J4</f>
        <v>Fibra em 
Detergente Ácido</v>
      </c>
      <c r="K4" s="1551" t="str">
        <f>Alimentos!K4</f>
        <v>Carboidratos Não Fibrosos</v>
      </c>
      <c r="L4" s="1551" t="str">
        <f>Alimentos!L4</f>
        <v>Nutrientes Digestíveis Totais</v>
      </c>
      <c r="M4" s="1551" t="str">
        <f>Alimentos!M4</f>
        <v>Energia Digestível (Bovinos)</v>
      </c>
      <c r="N4" s="1551" t="str">
        <f>Alimentos!N4</f>
        <v>Energia Metabolizável (Bovinos)</v>
      </c>
      <c r="O4" s="1551" t="str">
        <f>Alimentos!O4</f>
        <v>Energia Líquida (Bovinos)</v>
      </c>
      <c r="P4" s="1551" t="str">
        <f>Alimentos!P4</f>
        <v>Gordura</v>
      </c>
      <c r="Q4" s="1551" t="str">
        <f>Alimentos!Q4</f>
        <v>Proteína Bruta</v>
      </c>
      <c r="R4" s="1551" t="str">
        <f>Alimentos!R4</f>
        <v>Proteína Degradável no Rúmen</v>
      </c>
      <c r="S4" s="1551" t="str">
        <f>Alimentos!S4</f>
        <v>Proteína Não Degradável no Rúmen</v>
      </c>
      <c r="T4" s="1551" t="str">
        <f>Alimentos!T4</f>
        <v>Proteína Metabolizável</v>
      </c>
      <c r="U4" s="1551" t="str">
        <f>Alimentos!U4</f>
        <v>Proteína (NNP)</v>
      </c>
      <c r="V4" s="1551" t="str">
        <f>Alimentos!V4</f>
        <v>Cálcio</v>
      </c>
      <c r="W4" s="1551" t="str">
        <f>Alimentos!W4</f>
        <v>Fósforo</v>
      </c>
      <c r="X4" s="1551" t="str">
        <f>Alimentos!X4</f>
        <v>Magnésio</v>
      </c>
      <c r="Y4" s="1551" t="str">
        <f>Alimentos!Y4</f>
        <v>Sódio</v>
      </c>
      <c r="Z4" s="1551" t="str">
        <f>Alimentos!Z4</f>
        <v>Potássio</v>
      </c>
      <c r="AA4" s="1551" t="str">
        <f>Alimentos!AA4</f>
        <v>Enxofre</v>
      </c>
      <c r="AB4" s="1551" t="str">
        <f>Alimentos!AB4</f>
        <v>Cobre</v>
      </c>
      <c r="AC4" s="1551" t="str">
        <f>Alimentos!AC4</f>
        <v>Zinco</v>
      </c>
      <c r="AD4" s="1551" t="str">
        <f>Alimentos!AD4</f>
        <v>Ferro</v>
      </c>
      <c r="AE4" s="1551" t="str">
        <f>Alimentos!AE4</f>
        <v>Manganês</v>
      </c>
      <c r="AF4" s="1551" t="str">
        <f>Alimentos!AF4</f>
        <v>Iodo</v>
      </c>
      <c r="AG4" s="1551" t="str">
        <f>Alimentos!AG4</f>
        <v>Cobalto</v>
      </c>
      <c r="AH4" s="1551" t="str">
        <f>Alimentos!AH4</f>
        <v>Selênio</v>
      </c>
      <c r="AI4" s="1551" t="str">
        <f>Alimentos!AI4</f>
        <v>Lisina</v>
      </c>
      <c r="AJ4" s="1551" t="str">
        <f>Alimentos!AJ4</f>
        <v>Metionina</v>
      </c>
      <c r="AK4" s="1551" t="str">
        <f>Alimentos!AK4</f>
        <v>Monensina</v>
      </c>
      <c r="AL4" s="1551" t="str">
        <f>Alimentos!AL4</f>
        <v>Vitamina A</v>
      </c>
      <c r="AM4" s="1551" t="str">
        <f>Alimentos!AM4</f>
        <v>Vitamina B</v>
      </c>
      <c r="AN4" s="1551" t="str">
        <f>Alimentos!AN4</f>
        <v>Vitamina D</v>
      </c>
      <c r="AO4" s="1551" t="str">
        <f>Alimentos!AO4</f>
        <v>Vitamina E</v>
      </c>
      <c r="AP4" s="1551" t="str">
        <f>Alimentos!AP4</f>
        <v>Nutriente Novo 01</v>
      </c>
      <c r="AQ4" s="1551" t="str">
        <f>Alimentos!AQ4</f>
        <v>Nutriente Novo 02</v>
      </c>
      <c r="AR4" s="1551" t="str">
        <f>Alimentos!AR4</f>
        <v>Nutriente Novo 03</v>
      </c>
      <c r="AS4" s="1551" t="str">
        <f>Alimentos!AS4</f>
        <v>Nutriente Novo 04</v>
      </c>
      <c r="AT4" s="1551" t="str">
        <f>Alimentos!AT4</f>
        <v>Nutriente Novo 05</v>
      </c>
      <c r="AU4" s="1551" t="str">
        <f>Alimentos!AU4</f>
        <v>Nutriente Novo 06</v>
      </c>
      <c r="AV4" s="1551" t="str">
        <f>Alimentos!AV4</f>
        <v>Nutriente Novo 07</v>
      </c>
      <c r="AW4" s="1551" t="str">
        <f>Alimentos!AW4</f>
        <v>Nutriente Novo 08</v>
      </c>
      <c r="AX4" s="1551" t="str">
        <f>Alimentos!AX4</f>
        <v>Nutriente Novo 09</v>
      </c>
      <c r="AY4" s="1551" t="str">
        <f>Alimentos!AY4</f>
        <v>Volumoso</v>
      </c>
      <c r="AZ4" s="1551" t="str">
        <f>Alimentos!AZ4</f>
        <v>Concentrado</v>
      </c>
      <c r="BA4" s="258"/>
      <c r="BB4" s="260"/>
    </row>
    <row r="5" spans="1:54" ht="16.5" customHeight="1">
      <c r="A5" s="1"/>
      <c r="B5" s="2130" t="str">
        <f>"01 - "&amp;'Calc.Exg'!C23&amp;", "&amp;'Calc.Exg'!C24&amp;", "&amp;'Calc.Exg'!C25&amp;", "&amp;'Calc.Exg'!C26&amp;", "&amp;D5&amp;" kg PV"&amp;", "&amp;"GMD "&amp;'Calc.Exg'!C30&amp;"kg"</f>
        <v>01 - Zebuíno, Corte, Macho não castrado, Confinamento, 251 kg PV, GMD 0,5kg</v>
      </c>
      <c r="C5" s="2130" t="s">
        <v>1232</v>
      </c>
      <c r="D5" s="2132">
        <f>'Calc.Exg'!C29</f>
        <v>251</v>
      </c>
      <c r="E5" s="2134">
        <f>'Calc.Exg'!C30</f>
        <v>0.5</v>
      </c>
      <c r="F5" s="1974" t="s">
        <v>43</v>
      </c>
      <c r="G5" s="1975">
        <v>0</v>
      </c>
      <c r="H5" s="1975">
        <f>INDEX(BC!$E$15:$E$59,MATCH(Exigência!H2,BC!$C$15:$C$59,0))</f>
        <v>0</v>
      </c>
      <c r="I5" s="1975">
        <f>INDEX(BC!$E$15:$E$59,MATCH(Exigência!I2,BC!$C$15:$C$59,0))</f>
        <v>1.4194807801802669</v>
      </c>
      <c r="J5" s="1975">
        <f>INDEX(BC!$E$15:$E$59,MATCH(Exigência!J2,BC!$C$15:$C$59,0))</f>
        <v>1.0646105851352001</v>
      </c>
      <c r="K5" s="1975">
        <f>INDEX(BC!$E$15:$E$59,MATCH(Exigência!K2,BC!$C$15:$C$59,0))</f>
        <v>0</v>
      </c>
      <c r="L5" s="1975">
        <f>INDEX(BC!$E$15:$E$59,MATCH(Exigência!L2,BC!$C$15:$C$59,0))</f>
        <v>2.6341239542602399</v>
      </c>
      <c r="M5" s="1975">
        <f>INDEX(BC!$E$15:$E$59,MATCH(Exigência!M2,BC!$C$15:$C$59,0))</f>
        <v>0</v>
      </c>
      <c r="N5" s="1975">
        <f>INDEX(BC!$E$15:$E$59,MATCH(Exigência!N2,BC!$C$15:$C$59,0))</f>
        <v>0</v>
      </c>
      <c r="O5" s="1975">
        <f>INDEX(BC!$E$15:$E$59,MATCH(Exigência!O2,BC!$C$15:$C$59,0))</f>
        <v>0</v>
      </c>
      <c r="P5" s="1975">
        <f>INDEX(BC!$E$15:$E$59,MATCH(Exigência!P2,BC!$C$15:$C$59,0))</f>
        <v>0</v>
      </c>
      <c r="Q5" s="1975">
        <f>INDEX(BC!$E$15:$E$59,MATCH(Exigência!Q2,BC!$C$15:$C$59,0))</f>
        <v>443.50608304644629</v>
      </c>
      <c r="R5" s="1975">
        <f>INDEX(BC!$E$15:$E$59,MATCH(Exigência!R2,BC!$C$15:$C$59,0))</f>
        <v>0</v>
      </c>
      <c r="S5" s="1975">
        <f>INDEX(BC!$E$15:$E$59,MATCH(Exigência!S2,BC!$C$15:$C$59,0))</f>
        <v>0</v>
      </c>
      <c r="T5" s="1975">
        <f>INDEX(BC!$E$15:$E$59,MATCH(Exigência!T2,BC!$C$15:$C$59,0))</f>
        <v>0</v>
      </c>
      <c r="U5" s="1975">
        <f>INDEX(BC!$E$15:$E$59,MATCH(Exigência!U2,BC!$C$15:$C$59,0))</f>
        <v>0</v>
      </c>
      <c r="V5" s="1975">
        <f>INDEX(BC!$E$15:$E$59,MATCH(Exigência!V2,BC!$C$15:$C$59,0))</f>
        <v>13.62340040220473</v>
      </c>
      <c r="W5" s="1975">
        <f>INDEX(BC!$E$15:$E$59,MATCH(Exigência!W2,BC!$C$15:$C$59,0))</f>
        <v>8.936258663315602</v>
      </c>
      <c r="X5" s="1975">
        <f>INDEX(BC!$E$15:$E$59,MATCH(Exigência!X2,BC!$C$15:$C$59,0))</f>
        <v>4.6658114589413353</v>
      </c>
      <c r="Y5" s="1975">
        <f>INDEX(BC!$E$15:$E$59,MATCH(Exigência!Y2,BC!$C$15:$C$59,0))</f>
        <v>5.7026018072157338</v>
      </c>
      <c r="Z5" s="1975">
        <f>INDEX(BC!$E$15:$E$59,MATCH(Exigência!Z2,BC!$C$15:$C$59,0))</f>
        <v>13.97478477855134</v>
      </c>
      <c r="AA5" s="1975">
        <f>INDEX(BC!$E$15:$E$59,MATCH(Exigência!AA2,BC!$C$15:$C$59,0))</f>
        <v>5.5592716084106941</v>
      </c>
      <c r="AB5" s="1975">
        <f>INDEX(BC!$E$15:$E$59,MATCH(Exigência!AB2,BC!$C$15:$C$59,0))</f>
        <v>9.9216764145481644</v>
      </c>
      <c r="AC5" s="1975">
        <f>INDEX(BC!$E$15:$E$59,MATCH(Exigência!AC2,BC!$C$15:$C$59,0))</f>
        <v>29.765029243644495</v>
      </c>
      <c r="AD5" s="1975">
        <f>INDEX(BC!$E$15:$E$59,MATCH(Exigência!AD2,BC!$C$15:$C$59,0))</f>
        <v>49.608382072740824</v>
      </c>
      <c r="AE5" s="1975">
        <f>INDEX(BC!$E$15:$E$59,MATCH(Exigência!AE2,BC!$C$15:$C$59,0))</f>
        <v>19.843352829096329</v>
      </c>
      <c r="AF5" s="1975">
        <f>INDEX(BC!$E$15:$E$59,MATCH(Exigência!AF2,BC!$C$15:$C$59,0))</f>
        <v>0.49608382072740825</v>
      </c>
      <c r="AG5" s="1975">
        <f>INDEX(BC!$E$15:$E$59,MATCH(Exigência!AG2,BC!$C$15:$C$59,0))</f>
        <v>9.9216764145481653E-2</v>
      </c>
      <c r="AH5" s="1975">
        <f>INDEX(BC!$E$15:$E$59,MATCH(Exigência!AH2,BC!$C$15:$C$59,0))</f>
        <v>0.19843352829096331</v>
      </c>
      <c r="AI5" s="1975">
        <f>INDEX(BC!$E$15:$E$59,MATCH(Exigência!AI2,BC!$C$15:$C$59,0))</f>
        <v>0</v>
      </c>
      <c r="AJ5" s="1975">
        <f>INDEX(BC!$E$15:$E$59,MATCH(Exigência!AJ2,BC!$C$15:$C$59,0))</f>
        <v>0</v>
      </c>
      <c r="AK5" s="1975">
        <f>INDEX(BC!$E$15:$E$59,MATCH(Exigência!AK2,BC!$C$15:$C$59,0))</f>
        <v>0</v>
      </c>
      <c r="AL5" s="1975">
        <f>INDEX(BC!$E$15:$E$59,MATCH(Exigência!AL2,BC!$C$15:$C$59,0))</f>
        <v>0</v>
      </c>
      <c r="AM5" s="1975">
        <f>INDEX(BC!$E$15:$E$59,MATCH(Exigência!AM2,BC!$C$15:$C$59,0))</f>
        <v>0</v>
      </c>
      <c r="AN5" s="1975">
        <f>INDEX(BC!$E$15:$E$59,MATCH(Exigência!AN2,BC!$C$15:$C$59,0))</f>
        <v>0</v>
      </c>
      <c r="AO5" s="1975">
        <f>INDEX(BC!$E$15:$E$59,MATCH(Exigência!AO2,BC!$C$15:$C$59,0))</f>
        <v>0</v>
      </c>
      <c r="AP5" s="1975">
        <f>INDEX(BC!$E$15:$E$59,MATCH(Exigência!AP2,BC!$C$15:$C$59,0))</f>
        <v>0</v>
      </c>
      <c r="AQ5" s="1975">
        <f>INDEX(BC!$E$15:$E$59,MATCH(Exigência!AQ2,BC!$C$15:$C$59,0))</f>
        <v>0</v>
      </c>
      <c r="AR5" s="1975">
        <f>INDEX(BC!$E$15:$E$59,MATCH(Exigência!AR2,BC!$C$15:$C$59,0))</f>
        <v>0</v>
      </c>
      <c r="AS5" s="1975">
        <f>INDEX(BC!$E$15:$E$59,MATCH(Exigência!AS2,BC!$C$15:$C$59,0))</f>
        <v>0</v>
      </c>
      <c r="AT5" s="1975">
        <f>INDEX(BC!$E$15:$E$59,MATCH(Exigência!AT2,BC!$C$15:$C$59,0))</f>
        <v>0</v>
      </c>
      <c r="AU5" s="1975">
        <f>INDEX(BC!$E$15:$E$59,MATCH(Exigência!AU2,BC!$C$15:$C$59,0))</f>
        <v>0</v>
      </c>
      <c r="AV5" s="1975">
        <f>INDEX(BC!$E$15:$E$59,MATCH(Exigência!AV2,BC!$C$15:$C$59,0))</f>
        <v>0</v>
      </c>
      <c r="AW5" s="1975">
        <f>INDEX(BC!$E$15:$E$59,MATCH(Exigência!AW2,BC!$C$15:$C$59,0))</f>
        <v>0</v>
      </c>
      <c r="AX5" s="1975">
        <f>INDEX(BC!$E$15:$E$59,MATCH(Exigência!AX2,BC!$C$15:$C$59,0))</f>
        <v>0</v>
      </c>
      <c r="AY5" s="1975">
        <f>INDEX(BC!$E$15:$E$59,MATCH(Exigência!AY2,BC!$C$15:$C$59,0))</f>
        <v>0</v>
      </c>
      <c r="AZ5" s="1975">
        <f>INDEX(BC!$E$15:$E$59,MATCH(Exigência!AZ2,BC!$C$15:$C$59,0))</f>
        <v>0</v>
      </c>
      <c r="BA5" s="1283" t="s">
        <v>43</v>
      </c>
      <c r="BB5" s="1284" t="str">
        <f>B5</f>
        <v>01 - Zebuíno, Corte, Macho não castrado, Confinamento, 251 kg PV, GMD 0,5kg</v>
      </c>
    </row>
    <row r="6" spans="1:54" ht="18.75" customHeight="1" thickBot="1">
      <c r="A6" s="1"/>
      <c r="B6" s="2131"/>
      <c r="C6" s="2131"/>
      <c r="D6" s="2133"/>
      <c r="E6" s="2135"/>
      <c r="F6" s="1976" t="s">
        <v>44</v>
      </c>
      <c r="G6" s="1977">
        <v>999999</v>
      </c>
      <c r="H6" s="1977">
        <f>INDEX(BC!$G$15:$G$59,MATCH(Exigência!H2,BC!$C$15:$C$59,0))</f>
        <v>5.0695742149295242</v>
      </c>
      <c r="I6" s="1977">
        <f>INDEX(BC!$G$15:$G$59,MATCH(Exigência!I2,BC!$C$15:$C$59,0))</f>
        <v>9999</v>
      </c>
      <c r="J6" s="1977">
        <f>INDEX(BC!$G$15:$G$59,MATCH(Exigência!J2,BC!$C$15:$C$59,0))</f>
        <v>99999</v>
      </c>
      <c r="K6" s="1977">
        <f>INDEX(BC!$G$15:$G$59,MATCH(Exigência!K2,BC!$C$15:$C$59,0))</f>
        <v>99999</v>
      </c>
      <c r="L6" s="1977">
        <f>INDEX(BC!$G$15:$G$59,MATCH(Exigência!L2,BC!$C$15:$C$59,0))</f>
        <v>9999</v>
      </c>
      <c r="M6" s="1977">
        <f>INDEX(BC!$G$15:$G$59,MATCH(Exigência!M2,BC!$C$15:$C$59,0))</f>
        <v>99999</v>
      </c>
      <c r="N6" s="1977">
        <f>INDEX(BC!$G$15:$G$59,MATCH(Exigência!N2,BC!$C$15:$C$59,0))</f>
        <v>99999</v>
      </c>
      <c r="O6" s="1977">
        <f>INDEX(BC!$G$15:$G$59,MATCH(Exigência!O2,BC!$C$15:$C$59,0))</f>
        <v>99999</v>
      </c>
      <c r="P6" s="1977">
        <f>INDEX(BC!$G$15:$G$59,MATCH(Exigência!P2,BC!$C$15:$C$59,0))</f>
        <v>304.17445289577142</v>
      </c>
      <c r="Q6" s="1977">
        <f>INDEX(BC!$G$15:$G$59,MATCH(Exigência!Q2,BC!$C$15:$C$59,0))</f>
        <v>9999</v>
      </c>
      <c r="R6" s="1977">
        <f>INDEX(BC!$G$15:$G$59,MATCH(Exigência!R2,BC!$C$15:$C$59,0))</f>
        <v>9999</v>
      </c>
      <c r="S6" s="1977">
        <f>INDEX(BC!$G$15:$G$59,MATCH(Exigência!S2,BC!$C$15:$C$59,0))</f>
        <v>99999</v>
      </c>
      <c r="T6" s="1977">
        <f>INDEX(BC!$G$15:$G$59,MATCH(Exigência!T2,BC!$C$15:$C$59,0))</f>
        <v>99999</v>
      </c>
      <c r="U6" s="1977">
        <f>INDEX(BC!$G$15:$G$59,MATCH(Exigência!U2,BC!$C$15:$C$59,0))</f>
        <v>-31.841999999999999</v>
      </c>
      <c r="V6" s="1977">
        <f>INDEX(BC!$G$15:$G$59,MATCH(Exigência!V2,BC!$C$15:$C$59,0))</f>
        <v>223.06126545689906</v>
      </c>
      <c r="W6" s="1977">
        <f>INDEX(BC!$G$15:$G$59,MATCH(Exigência!W2,BC!$C$15:$C$59,0))</f>
        <v>50.695742149295242</v>
      </c>
      <c r="X6" s="1977">
        <f>INDEX(BC!$G$15:$G$59,MATCH(Exigência!X2,BC!$C$15:$C$59,0))</f>
        <v>20.278296859718097</v>
      </c>
      <c r="Y6" s="1977">
        <f>INDEX(BC!$G$15:$G$59,MATCH(Exigência!Y2,BC!$C$15:$C$59,0))</f>
        <v>329.52232397041911</v>
      </c>
      <c r="Z6" s="1977">
        <f>INDEX(BC!$G$15:$G$59,MATCH(Exigência!Z2,BC!$C$15:$C$59,0))</f>
        <v>152.08722644788571</v>
      </c>
      <c r="AA6" s="1977">
        <f>INDEX(BC!$G$15:$G$59,MATCH(Exigência!AA2,BC!$C$15:$C$59,0))</f>
        <v>20.278296859718097</v>
      </c>
      <c r="AB6" s="1977">
        <f>INDEX(BC!$G$15:$G$59,MATCH(Exigência!AB2,BC!$C$15:$C$59,0))</f>
        <v>506.95742149295245</v>
      </c>
      <c r="AC6" s="1977">
        <f>INDEX(BC!$G$15:$G$59,MATCH(Exigência!AC2,BC!$C$15:$C$59,0))</f>
        <v>2534.7871074647619</v>
      </c>
      <c r="AD6" s="1977">
        <f>INDEX(BC!$G$15:$G$59,MATCH(Exigência!AD2,BC!$C$15:$C$59,0))</f>
        <v>5069.5742149295238</v>
      </c>
      <c r="AE6" s="1977">
        <f>INDEX(BC!$G$15:$G$59,MATCH(Exigência!AE2,BC!$C$15:$C$59,0))</f>
        <v>5069.5742149295238</v>
      </c>
      <c r="AF6" s="1977">
        <f>INDEX(BC!$G$15:$G$59,MATCH(Exigência!AF2,BC!$C$15:$C$59,0))</f>
        <v>253.47871074647622</v>
      </c>
      <c r="AG6" s="1977">
        <f>INDEX(BC!$G$15:$G$59,MATCH(Exigência!AG2,BC!$C$15:$C$59,0))</f>
        <v>50.695742149295242</v>
      </c>
      <c r="AH6" s="1977">
        <f>INDEX(BC!$G$15:$G$59,MATCH(Exigência!AH2,BC!$C$15:$C$59,0))</f>
        <v>25.347871074647621</v>
      </c>
      <c r="AI6" s="1977">
        <f>INDEX(BC!$G$15:$G$59,MATCH(Exigência!AI2,BC!$C$15:$C$59,0))</f>
        <v>99999</v>
      </c>
      <c r="AJ6" s="1977">
        <f>INDEX(BC!$G$15:$G$59,MATCH(Exigência!AJ2,BC!$C$15:$C$59,0))</f>
        <v>99999</v>
      </c>
      <c r="AK6" s="1977">
        <f>INDEX(BC!$G$15:$G$59,MATCH(Exigência!AK2,BC!$C$15:$C$59,0))</f>
        <v>99999</v>
      </c>
      <c r="AL6" s="1977">
        <f>INDEX(BC!$G$15:$G$59,MATCH(Exigência!AL2,BC!$C$15:$C$59,0))</f>
        <v>99999</v>
      </c>
      <c r="AM6" s="1977">
        <f>INDEX(BC!$G$15:$G$59,MATCH(Exigência!AM2,BC!$C$15:$C$59,0))</f>
        <v>99999</v>
      </c>
      <c r="AN6" s="1977">
        <f>INDEX(BC!$G$15:$G$59,MATCH(Exigência!AN2,BC!$C$15:$C$59,0))</f>
        <v>99999</v>
      </c>
      <c r="AO6" s="1977">
        <f>INDEX(BC!$G$15:$G$59,MATCH(Exigência!AO2,BC!$C$15:$C$59,0))</f>
        <v>99999</v>
      </c>
      <c r="AP6" s="1977">
        <f>INDEX(BC!$G$15:$G$59,MATCH(Exigência!AP2,BC!$C$15:$C$59,0))</f>
        <v>99999</v>
      </c>
      <c r="AQ6" s="1977">
        <f>INDEX(BC!$G$15:$G$59,MATCH(Exigência!AQ2,BC!$C$15:$C$59,0))</f>
        <v>99999</v>
      </c>
      <c r="AR6" s="1977">
        <f>INDEX(BC!$G$15:$G$59,MATCH(Exigência!AR2,BC!$C$15:$C$59,0))</f>
        <v>99999</v>
      </c>
      <c r="AS6" s="1977">
        <f>INDEX(BC!$G$15:$G$59,MATCH(Exigência!AS2,BC!$C$15:$C$59,0))</f>
        <v>99999</v>
      </c>
      <c r="AT6" s="1977">
        <f>INDEX(BC!$G$15:$G$59,MATCH(Exigência!AT2,BC!$C$15:$C$59,0))</f>
        <v>99999</v>
      </c>
      <c r="AU6" s="1977">
        <f>INDEX(BC!$G$15:$G$59,MATCH(Exigência!AU2,BC!$C$15:$C$59,0))</f>
        <v>99999</v>
      </c>
      <c r="AV6" s="1977">
        <f>INDEX(BC!$G$15:$G$59,MATCH(Exigência!AV2,BC!$C$15:$C$59,0))</f>
        <v>99999</v>
      </c>
      <c r="AW6" s="1977">
        <f>INDEX(BC!$G$15:$G$59,MATCH(Exigência!AW2,BC!$C$15:$C$59,0))</f>
        <v>99999</v>
      </c>
      <c r="AX6" s="1977">
        <f>INDEX(BC!$G$15:$G$59,MATCH(Exigência!AX2,BC!$C$15:$C$59,0))</f>
        <v>99999</v>
      </c>
      <c r="AY6" s="1977">
        <f>INDEX(BC!$G$15:$G$59,MATCH(Exigência!AY2,BC!$C$15:$C$59,0))</f>
        <v>99999</v>
      </c>
      <c r="AZ6" s="1977">
        <f>INDEX(BC!$G$15:$G$59,MATCH(Exigência!AZ2,BC!$C$15:$C$59,0))</f>
        <v>99999</v>
      </c>
      <c r="BA6" s="1283" t="s">
        <v>44</v>
      </c>
      <c r="BB6" s="1284" t="str">
        <f>B5</f>
        <v>01 - Zebuíno, Corte, Macho não castrado, Confinamento, 251 kg PV, GMD 0,5kg</v>
      </c>
    </row>
    <row r="7" spans="1:54" ht="16.5" customHeight="1">
      <c r="A7" s="1"/>
      <c r="B7" s="2130" t="str">
        <f>"02 - "&amp;Base.BL!B7</f>
        <v>02 - Vacas em Sistema Intensivo (Lactação Maior que 3 Semanas)_460PV_15Prod_0Gord_0PB__0GMD</v>
      </c>
      <c r="C7" s="2130" t="s">
        <v>1233</v>
      </c>
      <c r="D7" s="2132">
        <f>Base.BL!E11</f>
        <v>460</v>
      </c>
      <c r="E7" s="2134">
        <f>IF(Base.BL!E12=0,Base.BL!E16,Base.BL!E12)</f>
        <v>15</v>
      </c>
      <c r="F7" s="1974" t="s">
        <v>43</v>
      </c>
      <c r="G7" s="1975">
        <v>0</v>
      </c>
      <c r="H7" s="1978">
        <f>INDEX(BL!$E$15:$E$59,MATCH(Exigência!H2,BL!$C$15:$C$59,0))</f>
        <v>0</v>
      </c>
      <c r="I7" s="1978">
        <f>INDEX(BL!$E$15:$E$59,MATCH(Exigência!I2,BL!$C$15:$C$59,0))</f>
        <v>3.9911339999999997</v>
      </c>
      <c r="J7" s="1978">
        <f>INDEX(BL!$E$15:$E$59,MATCH(Exigência!J2,BL!$C$15:$C$59,0))</f>
        <v>0</v>
      </c>
      <c r="K7" s="1978">
        <f>INDEX(BL!$E$15:$E$59,MATCH(Exigência!K2,BL!$C$15:$C$59,0))</f>
        <v>0</v>
      </c>
      <c r="L7" s="1978">
        <f>INDEX(BL!$E$15:$E$59,MATCH(Exigência!L2,BL!$C$15:$C$59,0))</f>
        <v>9.405050254799999</v>
      </c>
      <c r="M7" s="1978">
        <f>INDEX(BL!$E$15:$E$59,MATCH(Exigência!M2,BL!$C$15:$C$59,0))</f>
        <v>0</v>
      </c>
      <c r="N7" s="1978">
        <f>INDEX(BL!$E$15:$E$59,MATCH(Exigência!N2,BL!$C$15:$C$59,0))</f>
        <v>0</v>
      </c>
      <c r="O7" s="1978">
        <f>INDEX(BL!$E$15:$E$59,MATCH(Exigência!O2,BL!$C$15:$C$59,0))</f>
        <v>0</v>
      </c>
      <c r="P7" s="1978">
        <f>INDEX(BL!$E$15:$E$59,MATCH(Exigência!P2,BL!$C$15:$C$59,0))</f>
        <v>0</v>
      </c>
      <c r="Q7" s="1978">
        <f>INDEX(BL!$E$15:$E$59,MATCH(Exigência!Q2,BL!$C$15:$C$59,0))</f>
        <v>2013.2063868749999</v>
      </c>
      <c r="R7" s="1978">
        <f>INDEX(BL!$E$15:$E$59,MATCH(Exigência!R2,BL!$C$15:$C$59,0))</f>
        <v>1222.6565331239999</v>
      </c>
      <c r="S7" s="1978">
        <f>INDEX(BL!$E$15:$E$59,MATCH(Exigência!S2,BL!$C$15:$C$59,0))</f>
        <v>0</v>
      </c>
      <c r="T7" s="1978">
        <f>INDEX(BL!$E$15:$E$59,MATCH(Exigência!T2,BL!$C$15:$C$59,0))</f>
        <v>0</v>
      </c>
      <c r="U7" s="1978">
        <f>INDEX(BL!$E$15:$E$59,MATCH(Exigência!U2,BL!$C$15:$C$59,0))</f>
        <v>0</v>
      </c>
      <c r="V7" s="1978">
        <f>INDEX(BL!$E$15:$E$59,MATCH(Exigência!V2,BL!$C$15:$C$59,0))</f>
        <v>82.575137055000013</v>
      </c>
      <c r="W7" s="1978">
        <f>INDEX(BL!$E$15:$E$59,MATCH(Exigência!W2,BL!$C$15:$C$59,0))</f>
        <v>45.189614714999998</v>
      </c>
      <c r="X7" s="1978">
        <f>INDEX(BL!$E$15:$E$59,MATCH(Exigência!X2,BL!$C$15:$C$59,0))</f>
        <v>8.5595037000000005</v>
      </c>
      <c r="Y7" s="1978">
        <f>INDEX(BL!$E$15:$E$59,MATCH(Exigência!Y2,BL!$C$15:$C$59,0))</f>
        <v>28.576519439999998</v>
      </c>
      <c r="Z7" s="1978">
        <f>INDEX(BL!$E$15:$E$59,MATCH(Exigência!Z2,BL!$C$15:$C$59,0))</f>
        <v>141.31892791499999</v>
      </c>
      <c r="AA7" s="1978">
        <f>INDEX(BL!$E$15:$E$59,MATCH(Exigência!AA2,BL!$C$15:$C$59,0))</f>
        <v>28.508099999999999</v>
      </c>
      <c r="AB7" s="1978">
        <f>INDEX(BL!$E$15:$E$59,MATCH(Exigência!AB2,BL!$C$15:$C$59,0))</f>
        <v>1002.32</v>
      </c>
      <c r="AC7" s="1978">
        <f>INDEX(BL!$E$15:$E$59,MATCH(Exigência!AC2,BL!$C$15:$C$59,0))</f>
        <v>4094.56</v>
      </c>
      <c r="AD7" s="1978">
        <f>INDEX(BL!$E$15:$E$59,MATCH(Exigência!AD2,BL!$C$15:$C$59,0))</f>
        <v>1209.3599999999999</v>
      </c>
      <c r="AE7" s="1978">
        <f>INDEX(BL!$E$15:$E$59,MATCH(Exigência!AE2,BL!$C$15:$C$59,0))</f>
        <v>1263.54</v>
      </c>
      <c r="AF7" s="1978">
        <f>INDEX(BL!$E$15:$E$59,MATCH(Exigência!AF2,BL!$C$15:$C$59,0))</f>
        <v>51.744</v>
      </c>
      <c r="AG7" s="1978">
        <f>INDEX(BL!$E$15:$E$59,MATCH(Exigência!AG2,BL!$C$15:$C$59,0))</f>
        <v>11</v>
      </c>
      <c r="AH7" s="1978">
        <f>INDEX(BL!$E$15:$E$59,MATCH(Exigência!AH2,BL!$C$15:$C$59,0))</f>
        <v>30</v>
      </c>
      <c r="AI7" s="1978">
        <f>INDEX(BL!$E$15:$E$59,MATCH(Exigência!AI2,BL!$C$15:$C$59,0))</f>
        <v>0</v>
      </c>
      <c r="AJ7" s="1978">
        <f>INDEX(BL!$E$15:$E$59,MATCH(Exigência!AJ2,BL!$C$15:$C$59,0))</f>
        <v>0</v>
      </c>
      <c r="AK7" s="1978">
        <f>INDEX(BL!$E$15:$E$59,MATCH(Exigência!AK2,BL!$C$15:$C$59,0))</f>
        <v>0</v>
      </c>
      <c r="AL7" s="1978">
        <f>INDEX(BL!$E$15:$E$59,MATCH(Exigência!AL2,BL!$C$15:$C$59,0))</f>
        <v>316050</v>
      </c>
      <c r="AM7" s="1978">
        <f>INDEX(BL!$E$15:$E$59,MATCH(Exigência!AM2,BL!$C$15:$C$59,0))</f>
        <v>0</v>
      </c>
      <c r="AN7" s="1978">
        <f>INDEX(BL!$E$15:$E$59,MATCH(Exigência!AN2,BL!$C$15:$C$59,0))</f>
        <v>0</v>
      </c>
      <c r="AO7" s="1978">
        <f>INDEX(BL!$E$15:$E$59,MATCH(Exigência!AO2,BL!$C$15:$C$59,0))</f>
        <v>0</v>
      </c>
      <c r="AP7" s="1978">
        <f>INDEX(BL!$E$15:$E$59,MATCH(Exigência!AP2,BL!$C$15:$C$59,0))</f>
        <v>0</v>
      </c>
      <c r="AQ7" s="1978">
        <f>INDEX(BL!$E$15:$E$59,MATCH(Exigência!AQ2,BL!$C$15:$C$59,0))</f>
        <v>0</v>
      </c>
      <c r="AR7" s="1978">
        <f>INDEX(BL!$E$15:$E$59,MATCH(Exigência!AR2,BL!$C$15:$C$59,0))</f>
        <v>0</v>
      </c>
      <c r="AS7" s="1978">
        <f>INDEX(BL!$E$15:$E$59,MATCH(Exigência!AS2,BL!$C$15:$C$59,0))</f>
        <v>0</v>
      </c>
      <c r="AT7" s="1978">
        <f>INDEX(BL!$E$15:$E$59,MATCH(Exigência!AT2,BL!$C$15:$C$59,0))</f>
        <v>0</v>
      </c>
      <c r="AU7" s="1978">
        <f>INDEX(BL!$E$15:$E$59,MATCH(Exigência!AU2,BL!$C$15:$C$59,0))</f>
        <v>0</v>
      </c>
      <c r="AV7" s="1978">
        <f>INDEX(BL!$E$15:$E$59,MATCH(Exigência!AV2,BL!$C$15:$C$59,0))</f>
        <v>0</v>
      </c>
      <c r="AW7" s="1978">
        <f>INDEX(BL!$E$15:$E$59,MATCH(Exigência!AW2,BL!$C$15:$C$59,0))</f>
        <v>0</v>
      </c>
      <c r="AX7" s="1978">
        <f>INDEX(BL!$E$15:$E$59,MATCH(Exigência!AX2,BL!$C$15:$C$59,0))</f>
        <v>0</v>
      </c>
      <c r="AY7" s="1978">
        <f>INDEX(BL!$E$15:$E$59,MATCH(Exigência!AY2,BL!$C$15:$C$59,0))</f>
        <v>0</v>
      </c>
      <c r="AZ7" s="1978">
        <f>INDEX(BL!$E$15:$E$59,MATCH(Exigência!AZ2,BL!$C$15:$C$59,0))</f>
        <v>0</v>
      </c>
      <c r="BA7" s="1283" t="s">
        <v>43</v>
      </c>
      <c r="BB7" s="1284" t="str">
        <f>B7</f>
        <v>02 - Vacas em Sistema Intensivo (Lactação Maior que 3 Semanas)_460PV_15Prod_0Gord_0PB__0GMD</v>
      </c>
    </row>
    <row r="8" spans="1:54" ht="16.5" customHeight="1" thickBot="1">
      <c r="A8" s="1"/>
      <c r="B8" s="2131"/>
      <c r="C8" s="2131"/>
      <c r="D8" s="2133"/>
      <c r="E8" s="2135"/>
      <c r="F8" s="1976" t="s">
        <v>44</v>
      </c>
      <c r="G8" s="1977">
        <v>999999</v>
      </c>
      <c r="H8" s="1979">
        <f>INDEX(BL!$G$15:$G$59,MATCH(Exigência!H2,BL!$C$15:$C$59,0))</f>
        <v>14.254049999999999</v>
      </c>
      <c r="I8" s="1979">
        <f>INDEX(BL!$G$15:$G$59,MATCH(Exigência!I2,BL!$C$15:$C$59,0))</f>
        <v>9999999</v>
      </c>
      <c r="J8" s="1979">
        <f>INDEX(BL!$G$15:$G$59,MATCH(Exigência!J2,BL!$C$15:$C$59,0))</f>
        <v>999999</v>
      </c>
      <c r="K8" s="1979">
        <f>INDEX(BL!$G$15:$G$59,MATCH(Exigência!K2,BL!$C$15:$C$59,0))</f>
        <v>999999</v>
      </c>
      <c r="L8" s="1979">
        <f>INDEX(BL!$G$15:$G$59,MATCH(Exigência!L2,BL!$C$15:$C$59,0))</f>
        <v>9999999</v>
      </c>
      <c r="M8" s="1979">
        <f>INDEX(BL!$G$15:$G$59,MATCH(Exigência!M2,BL!$C$15:$C$59,0))</f>
        <v>999999</v>
      </c>
      <c r="N8" s="1979">
        <f>INDEX(BL!$G$15:$G$59,MATCH(Exigência!N2,BL!$C$15:$C$59,0))</f>
        <v>999999</v>
      </c>
      <c r="O8" s="1979">
        <f>INDEX(BL!$G$15:$G$59,MATCH(Exigência!O2,BL!$C$15:$C$59,0))</f>
        <v>999999</v>
      </c>
      <c r="P8" s="1979">
        <f>INDEX(BL!$G$15:$G$59,MATCH(Exigência!P2,BL!$C$15:$C$59,0))</f>
        <v>712.7025000000001</v>
      </c>
      <c r="Q8" s="1979">
        <f>INDEX(BL!$G$15:$G$59,MATCH(Exigência!Q2,BL!$C$15:$C$59,0))</f>
        <v>9999999</v>
      </c>
      <c r="R8" s="1979">
        <f>INDEX(BL!$G$15:$G$59,MATCH(Exigência!R2,BL!$C$15:$C$59,0))</f>
        <v>9999999</v>
      </c>
      <c r="S8" s="1979">
        <f>INDEX(BL!$G$15:$G$59,MATCH(Exigência!S2,BL!$C$15:$C$59,0))</f>
        <v>999999</v>
      </c>
      <c r="T8" s="1979">
        <f>INDEX(BL!$G$15:$G$59,MATCH(Exigência!T2,BL!$C$15:$C$59,0))</f>
        <v>999999</v>
      </c>
      <c r="U8" s="1979">
        <f>INDEX(BL!$G$15:$G$59,MATCH(Exigência!U2,BL!$C$15:$C$59,0))</f>
        <v>999999</v>
      </c>
      <c r="V8" s="1979">
        <f>INDEX(BL!$G$15:$G$59,MATCH(Exigência!V2,BL!$C$15:$C$59,0))</f>
        <v>9999999</v>
      </c>
      <c r="W8" s="1979">
        <f>INDEX(BL!$G$15:$G$59,MATCH(Exigência!W2,BL!$C$15:$C$59,0))</f>
        <v>9999999</v>
      </c>
      <c r="X8" s="1979">
        <f>INDEX(BL!$G$15:$G$59,MATCH(Exigência!X2,BL!$C$15:$C$59,0))</f>
        <v>9999999</v>
      </c>
      <c r="Y8" s="1979">
        <f>INDEX(BL!$G$15:$G$59,MATCH(Exigência!Y2,BL!$C$15:$C$59,0))</f>
        <v>9999999</v>
      </c>
      <c r="Z8" s="1979">
        <f>INDEX(BL!$G$15:$G$59,MATCH(Exigência!Z2,BL!$C$15:$C$59,0))</f>
        <v>9999999</v>
      </c>
      <c r="AA8" s="1979">
        <f>INDEX(BL!$G$15:$G$59,MATCH(Exigência!AA2,BL!$C$15:$C$59,0))</f>
        <v>9999999</v>
      </c>
      <c r="AB8" s="1979">
        <f>INDEX(BL!$G$15:$G$59,MATCH(Exigência!AB2,BL!$C$15:$C$59,0))</f>
        <v>9999999</v>
      </c>
      <c r="AC8" s="1979">
        <f>INDEX(BL!$G$15:$G$59,MATCH(Exigência!AC2,BL!$C$15:$C$59,0))</f>
        <v>9999999</v>
      </c>
      <c r="AD8" s="1979">
        <f>INDEX(BL!$G$15:$G$59,MATCH(Exigência!AD2,BL!$C$15:$C$59,0))</f>
        <v>9999999</v>
      </c>
      <c r="AE8" s="1979">
        <f>INDEX(BL!$G$15:$G$59,MATCH(Exigência!AE2,BL!$C$15:$C$59,0))</f>
        <v>9999999</v>
      </c>
      <c r="AF8" s="1979">
        <f>INDEX(BL!$G$15:$G$59,MATCH(Exigência!AF2,BL!$C$15:$C$59,0))</f>
        <v>9999999</v>
      </c>
      <c r="AG8" s="1979">
        <f>INDEX(BL!$G$15:$G$59,MATCH(Exigência!AG2,BL!$C$15:$C$59,0))</f>
        <v>9999999</v>
      </c>
      <c r="AH8" s="1979">
        <f>INDEX(BL!$G$15:$G$59,MATCH(Exigência!AH2,BL!$C$15:$C$59,0))</f>
        <v>9999999</v>
      </c>
      <c r="AI8" s="1979">
        <f>INDEX(BL!$G$15:$G$59,MATCH(Exigência!AI2,BL!$C$15:$C$59,0))</f>
        <v>999999</v>
      </c>
      <c r="AJ8" s="1979">
        <f>INDEX(BL!$G$15:$G$59,MATCH(Exigência!AJ2,BL!$C$15:$C$59,0))</f>
        <v>999999</v>
      </c>
      <c r="AK8" s="1979">
        <f>INDEX(BL!$G$15:$G$59,MATCH(Exigência!AK2,BL!$C$15:$C$59,0))</f>
        <v>999999</v>
      </c>
      <c r="AL8" s="1979">
        <f>INDEX(BL!$G$15:$G$59,MATCH(Exigência!AL2,BL!$C$15:$C$59,0))</f>
        <v>9999999</v>
      </c>
      <c r="AM8" s="1979">
        <f>INDEX(BL!$G$15:$G$59,MATCH(Exigência!AM2,BL!$C$15:$C$59,0))</f>
        <v>999999</v>
      </c>
      <c r="AN8" s="1979">
        <f>INDEX(BL!$G$15:$G$59,MATCH(Exigência!AN2,BL!$C$15:$C$59,0))</f>
        <v>999999</v>
      </c>
      <c r="AO8" s="1979">
        <f>INDEX(BL!$G$15:$G$59,MATCH(Exigência!AO2,BL!$C$15:$C$59,0))</f>
        <v>999999</v>
      </c>
      <c r="AP8" s="1979">
        <f>INDEX(BL!$G$15:$G$59,MATCH(Exigência!AP2,BL!$C$15:$C$59,0))</f>
        <v>999999</v>
      </c>
      <c r="AQ8" s="1979">
        <f>INDEX(BL!$G$15:$G$59,MATCH(Exigência!AQ2,BL!$C$15:$C$59,0))</f>
        <v>999999</v>
      </c>
      <c r="AR8" s="1979">
        <f>INDEX(BL!$G$15:$G$59,MATCH(Exigência!AR2,BL!$C$15:$C$59,0))</f>
        <v>999999</v>
      </c>
      <c r="AS8" s="1979">
        <f>INDEX(BL!$G$15:$G$59,MATCH(Exigência!AS2,BL!$C$15:$C$59,0))</f>
        <v>999999</v>
      </c>
      <c r="AT8" s="1979">
        <f>INDEX(BL!$G$15:$G$59,MATCH(Exigência!AT2,BL!$C$15:$C$59,0))</f>
        <v>999999</v>
      </c>
      <c r="AU8" s="1979">
        <f>INDEX(BL!$G$15:$G$59,MATCH(Exigência!AU2,BL!$C$15:$C$59,0))</f>
        <v>999999</v>
      </c>
      <c r="AV8" s="1979">
        <f>INDEX(BL!$G$15:$G$59,MATCH(Exigência!AV2,BL!$C$15:$C$59,0))</f>
        <v>999999</v>
      </c>
      <c r="AW8" s="1979">
        <f>INDEX(BL!$G$15:$G$59,MATCH(Exigência!AW2,BL!$C$15:$C$59,0))</f>
        <v>999999</v>
      </c>
      <c r="AX8" s="1979">
        <f>INDEX(BL!$G$15:$G$59,MATCH(Exigência!AX2,BL!$C$15:$C$59,0))</f>
        <v>999999</v>
      </c>
      <c r="AY8" s="1979">
        <f>INDEX(BL!$G$15:$G$59,MATCH(Exigência!AY2,BL!$C$15:$C$59,0))</f>
        <v>999999</v>
      </c>
      <c r="AZ8" s="1979">
        <f>INDEX(BL!$G$15:$G$59,MATCH(Exigência!AZ2,BL!$C$15:$C$59,0))</f>
        <v>999999</v>
      </c>
      <c r="BA8" s="1283" t="s">
        <v>44</v>
      </c>
      <c r="BB8" s="1284" t="str">
        <f>B7</f>
        <v>02 - Vacas em Sistema Intensivo (Lactação Maior que 3 Semanas)_460PV_15Prod_0Gord_0PB__0GMD</v>
      </c>
    </row>
    <row r="9" spans="1:54" ht="16.5" customHeight="1">
      <c r="A9" s="1"/>
      <c r="B9" s="2130" t="str">
        <f>"03 - "&amp;OC!B13</f>
        <v>03 - Caprino_Manutenção_40PV(kg)_0 GMD(g)</v>
      </c>
      <c r="C9" s="2130" t="s">
        <v>1287</v>
      </c>
      <c r="D9" s="2132">
        <f>Base.OC!G2</f>
        <v>40</v>
      </c>
      <c r="E9" s="2134">
        <f>IF(Base.OC!L2=0,0.01,Base.OC!L2)</f>
        <v>0.01</v>
      </c>
      <c r="F9" s="1974" t="s">
        <v>43</v>
      </c>
      <c r="G9" s="1975">
        <v>0</v>
      </c>
      <c r="H9" s="1978">
        <f>INDEX(OC!$E$15:$E$59,MATCH(H2,OC!$C$15:$C$59,0))</f>
        <v>0</v>
      </c>
      <c r="I9" s="1978">
        <f>INDEX(OC!$E$15:$E$59,MATCH(I2,OC!$C$15:$C$59,0))</f>
        <v>0.2268</v>
      </c>
      <c r="J9" s="1978">
        <f>INDEX(OC!$E$15:$E$59,MATCH(J2,OC!$C$15:$C$59,0))</f>
        <v>0</v>
      </c>
      <c r="K9" s="1978">
        <f>INDEX(OC!$E$15:$E$59,MATCH(K2,OC!$C$15:$C$59,0))</f>
        <v>0</v>
      </c>
      <c r="L9" s="1978">
        <f>INDEX(OC!$E$15:$E$59,MATCH(L2,OC!$C$15:$C$59,0))</f>
        <v>0.44800000000000001</v>
      </c>
      <c r="M9" s="1978">
        <f>INDEX(OC!$E$15:$E$59,MATCH(M2,OC!$C$15:$C$59,0))</f>
        <v>0</v>
      </c>
      <c r="N9" s="1978">
        <f>INDEX(OC!$E$15:$E$59,MATCH(N2,OC!$C$15:$C$59,0))</f>
        <v>0</v>
      </c>
      <c r="O9" s="1978">
        <f>INDEX(OC!$E$15:$E$59,MATCH(O2,OC!$C$15:$C$59,0))</f>
        <v>0</v>
      </c>
      <c r="P9" s="1978">
        <f>INDEX(OC!$E$15:$E$59,MATCH(P2,OC!$C$15:$C$59,0))</f>
        <v>0</v>
      </c>
      <c r="Q9" s="1978">
        <f>INDEX(OC!$E$15:$E$59,MATCH(Q2,OC!$C$15:$C$59,0))</f>
        <v>63</v>
      </c>
      <c r="R9" s="1978">
        <f>INDEX(OC!$E$15:$E$59,MATCH(R2,OC!$C$15:$C$59,0))</f>
        <v>0</v>
      </c>
      <c r="S9" s="1978">
        <f>INDEX(OC!$E$15:$E$59,MATCH(S2,OC!$C$15:$C$59,0))</f>
        <v>0</v>
      </c>
      <c r="T9" s="1978">
        <f>INDEX(OC!$E$15:$E$59,MATCH(T2,OC!$C$15:$C$59,0))</f>
        <v>0</v>
      </c>
      <c r="U9" s="1978">
        <f>INDEX(OC!$E$15:$E$59,MATCH(U2,OC!$C$15:$C$59,0))</f>
        <v>0</v>
      </c>
      <c r="V9" s="1978">
        <f>INDEX(OC!$E$15:$E$59,MATCH(V2,OC!$C$15:$C$59,0))</f>
        <v>2</v>
      </c>
      <c r="W9" s="1978">
        <f>INDEX(OC!$E$15:$E$59,MATCH(W2,OC!$C$15:$C$59,0))</f>
        <v>1.4</v>
      </c>
      <c r="X9" s="1978">
        <f>INDEX(OC!$E$15:$E$59,MATCH(X2,OC!$C$15:$C$59,0))</f>
        <v>1.62</v>
      </c>
      <c r="Y9" s="1978">
        <f>INDEX(OC!$E$15:$E$59,MATCH(Y2,OC!$C$15:$C$59,0))</f>
        <v>1.62</v>
      </c>
      <c r="Z9" s="1978">
        <f>INDEX(OC!$E$15:$E$59,MATCH(Z2,OC!$C$15:$C$59,0))</f>
        <v>4.05</v>
      </c>
      <c r="AA9" s="1978">
        <f>INDEX(OC!$E$15:$E$59,MATCH(AA2,OC!$C$15:$C$59,0))</f>
        <v>1.62</v>
      </c>
      <c r="AB9" s="1978">
        <f>INDEX(OC!$E$15:$E$59,MATCH(AB2,OC!$C$15:$C$59,0))</f>
        <v>5.67</v>
      </c>
      <c r="AC9" s="1978">
        <f>INDEX(OC!$E$15:$E$59,MATCH(AC2,OC!$C$15:$C$59,0))</f>
        <v>40.5</v>
      </c>
      <c r="AD9" s="1978">
        <f>INDEX(OC!$E$15:$E$59,MATCH(AD2,OC!$C$15:$C$59,0))</f>
        <v>40.5</v>
      </c>
      <c r="AE9" s="1978">
        <f>INDEX(OC!$E$15:$E$59,MATCH(AE2,OC!$C$15:$C$59,0))</f>
        <v>32.400000000000006</v>
      </c>
      <c r="AF9" s="1978">
        <f>INDEX(OC!$E$15:$E$59,MATCH(AF2,OC!$C$15:$C$59,0))</f>
        <v>0.32400000000000007</v>
      </c>
      <c r="AG9" s="1978">
        <f>INDEX(OC!$E$15:$E$59,MATCH(AG2,OC!$C$15:$C$59,0))</f>
        <v>0.16200000000000003</v>
      </c>
      <c r="AH9" s="1978">
        <f>INDEX(OC!$E$15:$E$59,MATCH(AH2,OC!$C$15:$C$59,0))</f>
        <v>8.1000000000000016E-2</v>
      </c>
      <c r="AI9" s="1978">
        <f>INDEX(OC!$E$15:$E$59,MATCH(AI2,OC!$C$15:$C$59,0))</f>
        <v>0</v>
      </c>
      <c r="AJ9" s="1978">
        <f>INDEX(OC!$E$15:$E$59,MATCH(AJ2,OC!$C$15:$C$59,0))</f>
        <v>0</v>
      </c>
      <c r="AK9" s="1978">
        <f>INDEX(OC!$E$15:$E$59,MATCH(AK2,OC!$C$15:$C$59,0))</f>
        <v>0</v>
      </c>
      <c r="AL9" s="1978">
        <f>INDEX(OC!$E$15:$E$59,MATCH(AL2,OC!$C$15:$C$59,0))</f>
        <v>0</v>
      </c>
      <c r="AM9" s="1978">
        <f>INDEX(OC!$E$15:$E$59,MATCH(AM2,OC!$C$15:$C$59,0))</f>
        <v>0</v>
      </c>
      <c r="AN9" s="1978">
        <f>INDEX(OC!$E$15:$E$59,MATCH(AN2,OC!$C$15:$C$59,0))</f>
        <v>0</v>
      </c>
      <c r="AO9" s="1978">
        <f>INDEX(OC!$E$15:$E$59,MATCH(AO2,OC!$C$15:$C$59,0))</f>
        <v>0</v>
      </c>
      <c r="AP9" s="1978">
        <f>INDEX(OC!$E$15:$E$59,MATCH(AP2,OC!$C$15:$C$59,0))</f>
        <v>0</v>
      </c>
      <c r="AQ9" s="1978">
        <f>INDEX(OC!$E$15:$E$59,MATCH(AQ2,OC!$C$15:$C$59,0))</f>
        <v>0</v>
      </c>
      <c r="AR9" s="1978">
        <f>INDEX(OC!$E$15:$E$59,MATCH(AR2,OC!$C$15:$C$59,0))</f>
        <v>0</v>
      </c>
      <c r="AS9" s="1978">
        <f>INDEX(OC!$E$15:$E$59,MATCH(AS2,OC!$C$15:$C$59,0))</f>
        <v>0</v>
      </c>
      <c r="AT9" s="1978">
        <f>INDEX(OC!$E$15:$E$59,MATCH(AT2,OC!$C$15:$C$59,0))</f>
        <v>0</v>
      </c>
      <c r="AU9" s="1978">
        <f>INDEX(OC!$E$15:$E$59,MATCH(AU2,OC!$C$15:$C$59,0))</f>
        <v>0</v>
      </c>
      <c r="AV9" s="1978">
        <f>INDEX(OC!$E$15:$E$59,MATCH(AV2,OC!$C$15:$C$59,0))</f>
        <v>0</v>
      </c>
      <c r="AW9" s="1978">
        <f>INDEX(OC!$E$15:$E$59,MATCH(AW2,OC!$C$15:$C$59,0))</f>
        <v>0</v>
      </c>
      <c r="AX9" s="1978">
        <f>INDEX(OC!$E$15:$E$59,MATCH(AX2,OC!$C$15:$C$59,0))</f>
        <v>0</v>
      </c>
      <c r="AY9" s="1978">
        <f>INDEX(OC!$E$15:$E$59,MATCH(AY2,OC!$C$15:$C$59,0))</f>
        <v>0</v>
      </c>
      <c r="AZ9" s="1978">
        <f>INDEX(OC!$E$15:$E$59,MATCH(AZ2,OC!$C$15:$C$59,0))</f>
        <v>0</v>
      </c>
      <c r="BA9" s="1283" t="s">
        <v>43</v>
      </c>
      <c r="BB9" s="1284" t="str">
        <f>B9</f>
        <v>03 - Caprino_Manutenção_40PV(kg)_0 GMD(g)</v>
      </c>
    </row>
    <row r="10" spans="1:54" ht="19.5" customHeight="1" thickBot="1">
      <c r="A10" s="1"/>
      <c r="B10" s="2131"/>
      <c r="C10" s="2131"/>
      <c r="D10" s="2133"/>
      <c r="E10" s="2135"/>
      <c r="F10" s="1976" t="s">
        <v>44</v>
      </c>
      <c r="G10" s="1977">
        <v>999999</v>
      </c>
      <c r="H10" s="1979">
        <f>INDEX(OC!$G$15:$G$59,MATCH(H2,OC!$C$15:$C$59,0))</f>
        <v>0.81</v>
      </c>
      <c r="I10" s="1979">
        <f>INDEX(OC!$G$15:$G$59,MATCH(I2,OC!$C$15:$C$59,0))</f>
        <v>10</v>
      </c>
      <c r="J10" s="1979">
        <f>INDEX(OC!$G$15:$G$59,MATCH(J2,OC!$C$15:$C$59,0))</f>
        <v>9999</v>
      </c>
      <c r="K10" s="1979">
        <f>INDEX(OC!$G$15:$G$59,MATCH(K2,OC!$C$15:$C$59,0))</f>
        <v>9999</v>
      </c>
      <c r="L10" s="1979">
        <f>INDEX(OC!$G$15:$G$59,MATCH(L2,OC!$C$15:$C$59,0))</f>
        <v>1</v>
      </c>
      <c r="M10" s="1979">
        <f>INDEX(OC!$G$15:$G$59,MATCH(M2,OC!$C$15:$C$59,0))</f>
        <v>9999</v>
      </c>
      <c r="N10" s="1979">
        <f>INDEX(OC!$G$15:$G$59,MATCH(N2,OC!$C$15:$C$59,0))</f>
        <v>9999</v>
      </c>
      <c r="O10" s="1979">
        <f>INDEX(OC!$G$15:$G$59,MATCH(O2,OC!$C$15:$C$59,0))</f>
        <v>9999</v>
      </c>
      <c r="P10" s="1979">
        <f>INDEX(OC!$G$15:$G$59,MATCH(P2,OC!$C$15:$C$59,0))</f>
        <v>40.5</v>
      </c>
      <c r="Q10" s="1979">
        <f>INDEX(OC!$G$15:$G$59,MATCH(Q2,OC!$C$15:$C$59,0))</f>
        <v>1000</v>
      </c>
      <c r="R10" s="1979">
        <f>INDEX(OC!$G$15:$G$59,MATCH(R2,OC!$C$15:$C$59,0))</f>
        <v>1000</v>
      </c>
      <c r="S10" s="1979">
        <f>INDEX(OC!$G$15:$G$59,MATCH(S2,OC!$C$15:$C$59,0))</f>
        <v>9999</v>
      </c>
      <c r="T10" s="1979">
        <f>INDEX(OC!$G$15:$G$59,MATCH(T2,OC!$C$15:$C$59,0))</f>
        <v>9999</v>
      </c>
      <c r="U10" s="1979">
        <f>INDEX(OC!$G$15:$G$59,MATCH(U2,OC!$C$15:$C$59,0))</f>
        <v>9999</v>
      </c>
      <c r="V10" s="1979">
        <f>INDEX(OC!$G$15:$G$59,MATCH(V2,OC!$C$15:$C$59,0))</f>
        <v>10000</v>
      </c>
      <c r="W10" s="1979">
        <f>INDEX(OC!$G$15:$G$59,MATCH(W2,OC!$C$15:$C$59,0))</f>
        <v>10000</v>
      </c>
      <c r="X10" s="1979">
        <f>INDEX(OC!$G$15:$G$59,MATCH(X2,OC!$C$15:$C$59,0))</f>
        <v>4.05</v>
      </c>
      <c r="Y10" s="1979">
        <f>INDEX(OC!$G$15:$G$59,MATCH(Y2,OC!$C$15:$C$59,0))</f>
        <v>14.579999999999998</v>
      </c>
      <c r="Z10" s="1979">
        <f>INDEX(OC!$G$15:$G$59,MATCH(Z2,OC!$C$15:$C$59,0))</f>
        <v>24.3</v>
      </c>
      <c r="AA10" s="1979">
        <f>INDEX(OC!$G$15:$G$59,MATCH(AA2,OC!$C$15:$C$59,0))</f>
        <v>3.24</v>
      </c>
      <c r="AB10" s="1979">
        <f>INDEX(OC!$G$15:$G$59,MATCH(AB2,OC!$C$15:$C$59,0))</f>
        <v>20.25</v>
      </c>
      <c r="AC10" s="1979">
        <f>INDEX(OC!$G$15:$G$59,MATCH(AC2,OC!$C$15:$C$59,0))</f>
        <v>607.5</v>
      </c>
      <c r="AD10" s="1979">
        <f>INDEX(OC!$G$15:$G$59,MATCH(AD2,OC!$C$15:$C$59,0))</f>
        <v>405</v>
      </c>
      <c r="AE10" s="1979">
        <f>INDEX(OC!$G$15:$G$59,MATCH(AE2,OC!$C$15:$C$59,0))</f>
        <v>810</v>
      </c>
      <c r="AF10" s="1979">
        <f>INDEX(OC!$G$15:$G$59,MATCH(AF2,OC!$C$15:$C$59,0))</f>
        <v>40.5</v>
      </c>
      <c r="AG10" s="1979">
        <f>INDEX(OC!$G$15:$G$59,MATCH(AG2,OC!$C$15:$C$59,0))</f>
        <v>8.1000000000000014</v>
      </c>
      <c r="AH10" s="1979">
        <f>INDEX(OC!$G$15:$G$59,MATCH(AH2,OC!$C$15:$C$59,0))</f>
        <v>1.62</v>
      </c>
      <c r="AI10" s="1979">
        <f>INDEX(OC!$G$15:$G$59,MATCH(AI2,OC!$C$15:$C$59,0))</f>
        <v>9999</v>
      </c>
      <c r="AJ10" s="1979">
        <f>INDEX(OC!$G$15:$G$59,MATCH(AJ2,OC!$C$15:$C$59,0))</f>
        <v>9999</v>
      </c>
      <c r="AK10" s="1979">
        <f>INDEX(OC!$G$15:$G$59,MATCH(AK2,OC!$C$15:$C$59,0))</f>
        <v>9999</v>
      </c>
      <c r="AL10" s="1979">
        <f>INDEX(OC!$G$15:$G$59,MATCH(AL2,OC!$C$15:$C$59,0))</f>
        <v>9999</v>
      </c>
      <c r="AM10" s="1979">
        <f>INDEX(OC!$G$15:$G$59,MATCH(AM2,OC!$C$15:$C$59,0))</f>
        <v>9999</v>
      </c>
      <c r="AN10" s="1979">
        <f>INDEX(OC!$G$15:$G$59,MATCH(AN2,OC!$C$15:$C$59,0))</f>
        <v>9999</v>
      </c>
      <c r="AO10" s="1979">
        <f>INDEX(OC!$G$15:$G$59,MATCH(AO2,OC!$C$15:$C$59,0))</f>
        <v>9999</v>
      </c>
      <c r="AP10" s="1979">
        <f>INDEX(OC!$G$15:$G$59,MATCH(AP2,OC!$C$15:$C$59,0))</f>
        <v>9999</v>
      </c>
      <c r="AQ10" s="1979">
        <f>INDEX(OC!$G$15:$G$59,MATCH(AQ2,OC!$C$15:$C$59,0))</f>
        <v>9999</v>
      </c>
      <c r="AR10" s="1979">
        <f>INDEX(OC!$G$15:$G$59,MATCH(AR2,OC!$C$15:$C$59,0))</f>
        <v>9999</v>
      </c>
      <c r="AS10" s="1979">
        <f>INDEX(OC!$G$15:$G$59,MATCH(AS2,OC!$C$15:$C$59,0))</f>
        <v>9999</v>
      </c>
      <c r="AT10" s="1979">
        <f>INDEX(OC!$G$15:$G$59,MATCH(AT2,OC!$C$15:$C$59,0))</f>
        <v>9999</v>
      </c>
      <c r="AU10" s="1979">
        <f>INDEX(OC!$G$15:$G$59,MATCH(AU2,OC!$C$15:$C$59,0))</f>
        <v>9999</v>
      </c>
      <c r="AV10" s="1979">
        <f>INDEX(OC!$G$15:$G$59,MATCH(AV2,OC!$C$15:$C$59,0))</f>
        <v>9999</v>
      </c>
      <c r="AW10" s="1979">
        <f>INDEX(OC!$G$15:$G$59,MATCH(AW2,OC!$C$15:$C$59,0))</f>
        <v>9999</v>
      </c>
      <c r="AX10" s="1979">
        <f>INDEX(OC!$G$15:$G$59,MATCH(AX2,OC!$C$15:$C$59,0))</f>
        <v>9999</v>
      </c>
      <c r="AY10" s="1979">
        <f>INDEX(OC!$G$15:$G$59,MATCH(AY2,OC!$C$15:$C$59,0))</f>
        <v>9999</v>
      </c>
      <c r="AZ10" s="1979">
        <f>INDEX(OC!$G$15:$G$59,MATCH(AZ2,OC!$C$15:$C$59,0))</f>
        <v>9999</v>
      </c>
      <c r="BA10" s="1283" t="s">
        <v>44</v>
      </c>
      <c r="BB10" s="1284" t="str">
        <f>B9</f>
        <v>03 - Caprino_Manutenção_40PV(kg)_0 GMD(g)</v>
      </c>
    </row>
    <row r="11" spans="1:54" ht="16.5" customHeight="1">
      <c r="A11" s="1"/>
      <c r="B11" s="2130" t="s">
        <v>1288</v>
      </c>
      <c r="C11" s="2130" t="s">
        <v>650</v>
      </c>
      <c r="D11" s="2132">
        <f>MPR!D60</f>
        <v>1</v>
      </c>
      <c r="E11" s="2134">
        <v>0</v>
      </c>
      <c r="F11" s="1974" t="s">
        <v>43</v>
      </c>
      <c r="G11" s="1975">
        <v>1</v>
      </c>
      <c r="H11" s="1978">
        <v>0</v>
      </c>
      <c r="I11" s="1978">
        <v>0</v>
      </c>
      <c r="J11" s="1978">
        <v>0</v>
      </c>
      <c r="K11" s="1978">
        <v>0</v>
      </c>
      <c r="L11" s="1978">
        <v>0</v>
      </c>
      <c r="M11" s="1978">
        <v>0</v>
      </c>
      <c r="N11" s="1978">
        <v>0</v>
      </c>
      <c r="O11" s="1978">
        <v>0</v>
      </c>
      <c r="P11" s="1978">
        <v>0</v>
      </c>
      <c r="Q11" s="1978">
        <v>0</v>
      </c>
      <c r="R11" s="1978">
        <v>0</v>
      </c>
      <c r="S11" s="1978">
        <v>0</v>
      </c>
      <c r="T11" s="1978">
        <v>0</v>
      </c>
      <c r="U11" s="1978">
        <v>0</v>
      </c>
      <c r="V11" s="1980">
        <v>108</v>
      </c>
      <c r="W11" s="1980">
        <v>0</v>
      </c>
      <c r="X11" s="1980">
        <v>37</v>
      </c>
      <c r="Y11" s="1980">
        <v>45</v>
      </c>
      <c r="Z11" s="1980">
        <v>111</v>
      </c>
      <c r="AA11" s="1980">
        <v>44</v>
      </c>
      <c r="AB11" s="1980">
        <v>391</v>
      </c>
      <c r="AC11" s="1980">
        <v>1171</v>
      </c>
      <c r="AD11" s="1980">
        <v>0</v>
      </c>
      <c r="AE11" s="1980">
        <v>781</v>
      </c>
      <c r="AF11" s="1980">
        <v>20</v>
      </c>
      <c r="AG11" s="1980">
        <v>4</v>
      </c>
      <c r="AH11" s="1980">
        <v>8</v>
      </c>
      <c r="AI11" s="1981">
        <v>0</v>
      </c>
      <c r="AJ11" s="1981">
        <v>0</v>
      </c>
      <c r="AK11" s="1981">
        <v>0</v>
      </c>
      <c r="AL11" s="1981">
        <v>0</v>
      </c>
      <c r="AM11" s="1981">
        <v>0</v>
      </c>
      <c r="AN11" s="1981">
        <v>0</v>
      </c>
      <c r="AO11" s="1981">
        <v>0</v>
      </c>
      <c r="AP11" s="1981">
        <v>0</v>
      </c>
      <c r="AQ11" s="1981">
        <v>0</v>
      </c>
      <c r="AR11" s="1981">
        <v>0</v>
      </c>
      <c r="AS11" s="1981">
        <v>0</v>
      </c>
      <c r="AT11" s="1981">
        <v>0</v>
      </c>
      <c r="AU11" s="1981">
        <v>0</v>
      </c>
      <c r="AV11" s="1981">
        <v>0</v>
      </c>
      <c r="AW11" s="1981">
        <v>0</v>
      </c>
      <c r="AX11" s="1981">
        <v>0</v>
      </c>
      <c r="AY11" s="1981">
        <v>0</v>
      </c>
      <c r="AZ11" s="1981">
        <v>0</v>
      </c>
      <c r="BA11" s="1283" t="s">
        <v>43</v>
      </c>
      <c r="BB11" s="1284" t="str">
        <f>B11</f>
        <v>04 - Suplemento  Mineral</v>
      </c>
    </row>
    <row r="12" spans="1:54" ht="16.5" customHeight="1" thickBot="1">
      <c r="A12" s="1"/>
      <c r="B12" s="2131"/>
      <c r="C12" s="2131"/>
      <c r="D12" s="2133"/>
      <c r="E12" s="2135"/>
      <c r="F12" s="1976" t="s">
        <v>44</v>
      </c>
      <c r="G12" s="1977">
        <v>1</v>
      </c>
      <c r="H12" s="1979">
        <v>1</v>
      </c>
      <c r="I12" s="1979">
        <v>1</v>
      </c>
      <c r="J12" s="1979">
        <v>1</v>
      </c>
      <c r="K12" s="1979">
        <v>1</v>
      </c>
      <c r="L12" s="1979">
        <v>1</v>
      </c>
      <c r="M12" s="1979">
        <v>99999</v>
      </c>
      <c r="N12" s="1979">
        <v>99999</v>
      </c>
      <c r="O12" s="1979">
        <v>99999</v>
      </c>
      <c r="P12" s="1979">
        <v>999</v>
      </c>
      <c r="Q12" s="1979">
        <v>999</v>
      </c>
      <c r="R12" s="1979">
        <v>999</v>
      </c>
      <c r="S12" s="1979">
        <v>999</v>
      </c>
      <c r="T12" s="1979">
        <v>999</v>
      </c>
      <c r="U12" s="1979">
        <v>999</v>
      </c>
      <c r="V12" s="1979">
        <f>IF(V11=0,999,V11)</f>
        <v>108</v>
      </c>
      <c r="W12" s="1979">
        <f t="shared" ref="W12:AH12" si="0">IF(W11=0,999,W11)</f>
        <v>999</v>
      </c>
      <c r="X12" s="1979">
        <f t="shared" si="0"/>
        <v>37</v>
      </c>
      <c r="Y12" s="1979">
        <f t="shared" si="0"/>
        <v>45</v>
      </c>
      <c r="Z12" s="1979">
        <f t="shared" si="0"/>
        <v>111</v>
      </c>
      <c r="AA12" s="1979">
        <f t="shared" si="0"/>
        <v>44</v>
      </c>
      <c r="AB12" s="1979">
        <f t="shared" si="0"/>
        <v>391</v>
      </c>
      <c r="AC12" s="1979">
        <f t="shared" si="0"/>
        <v>1171</v>
      </c>
      <c r="AD12" s="1979">
        <f t="shared" si="0"/>
        <v>999</v>
      </c>
      <c r="AE12" s="1979">
        <f t="shared" si="0"/>
        <v>781</v>
      </c>
      <c r="AF12" s="1979">
        <f t="shared" si="0"/>
        <v>20</v>
      </c>
      <c r="AG12" s="1979">
        <f t="shared" si="0"/>
        <v>4</v>
      </c>
      <c r="AH12" s="1979">
        <f t="shared" si="0"/>
        <v>8</v>
      </c>
      <c r="AI12" s="1979">
        <v>999</v>
      </c>
      <c r="AJ12" s="1979">
        <v>999</v>
      </c>
      <c r="AK12" s="1979">
        <v>999</v>
      </c>
      <c r="AL12" s="1979">
        <v>999</v>
      </c>
      <c r="AM12" s="1979">
        <v>999</v>
      </c>
      <c r="AN12" s="1979">
        <v>999</v>
      </c>
      <c r="AO12" s="1979">
        <v>999</v>
      </c>
      <c r="AP12" s="1979">
        <v>999</v>
      </c>
      <c r="AQ12" s="1979">
        <v>999</v>
      </c>
      <c r="AR12" s="1979">
        <v>999</v>
      </c>
      <c r="AS12" s="1979">
        <v>999</v>
      </c>
      <c r="AT12" s="1979">
        <v>999</v>
      </c>
      <c r="AU12" s="1979">
        <v>999</v>
      </c>
      <c r="AV12" s="1979">
        <v>999</v>
      </c>
      <c r="AW12" s="1979">
        <v>999</v>
      </c>
      <c r="AX12" s="1979">
        <v>999</v>
      </c>
      <c r="AY12" s="1979">
        <v>999</v>
      </c>
      <c r="AZ12" s="1979">
        <v>999</v>
      </c>
      <c r="BA12" s="1283" t="s">
        <v>44</v>
      </c>
      <c r="BB12" s="1284" t="str">
        <f>B11</f>
        <v>04 - Suplemento  Mineral</v>
      </c>
    </row>
    <row r="13" spans="1:54" ht="15" customHeight="1">
      <c r="A13" s="1"/>
      <c r="B13" s="2124"/>
      <c r="C13" s="764"/>
      <c r="D13" s="766"/>
      <c r="E13" s="762"/>
      <c r="F13" s="604" t="s">
        <v>43</v>
      </c>
      <c r="G13" s="605"/>
      <c r="H13" s="606"/>
      <c r="I13" s="606"/>
      <c r="J13" s="606"/>
      <c r="K13" s="606"/>
      <c r="L13" s="606"/>
      <c r="M13" s="606"/>
      <c r="N13" s="606"/>
      <c r="O13" s="606"/>
      <c r="P13" s="606"/>
      <c r="Q13" s="606"/>
      <c r="R13" s="606"/>
      <c r="S13" s="606"/>
      <c r="T13" s="606"/>
      <c r="U13" s="606"/>
      <c r="V13" s="606"/>
      <c r="W13" s="606"/>
      <c r="X13" s="606"/>
      <c r="Y13" s="606"/>
      <c r="Z13" s="606"/>
      <c r="AA13" s="606"/>
      <c r="AB13" s="606"/>
      <c r="AC13" s="606"/>
      <c r="AD13" s="606"/>
      <c r="AE13" s="606"/>
      <c r="AF13" s="606"/>
      <c r="AG13" s="606"/>
      <c r="AH13" s="606"/>
      <c r="AI13" s="606"/>
      <c r="AJ13" s="606"/>
      <c r="AK13" s="606"/>
      <c r="AL13" s="606"/>
      <c r="AM13" s="606"/>
      <c r="AN13" s="606"/>
      <c r="AO13" s="606"/>
      <c r="AP13" s="606"/>
      <c r="AQ13" s="606"/>
      <c r="AR13" s="606"/>
      <c r="AS13" s="606"/>
      <c r="AT13" s="606"/>
      <c r="AU13" s="606"/>
      <c r="AV13" s="606"/>
      <c r="AW13" s="606"/>
      <c r="AX13" s="606"/>
      <c r="AY13" s="606"/>
      <c r="AZ13" s="606"/>
      <c r="BA13" s="1283" t="s">
        <v>43</v>
      </c>
      <c r="BB13" s="1284">
        <f>B13</f>
        <v>0</v>
      </c>
    </row>
    <row r="14" spans="1:54" ht="15.75" thickBot="1">
      <c r="A14" s="1"/>
      <c r="B14" s="2125"/>
      <c r="C14" s="765"/>
      <c r="D14" s="767"/>
      <c r="E14" s="763"/>
      <c r="F14" s="607" t="s">
        <v>44</v>
      </c>
      <c r="G14" s="608"/>
      <c r="H14" s="609"/>
      <c r="I14" s="609"/>
      <c r="J14" s="609"/>
      <c r="K14" s="609"/>
      <c r="L14" s="609"/>
      <c r="M14" s="609"/>
      <c r="N14" s="609"/>
      <c r="O14" s="609"/>
      <c r="P14" s="609"/>
      <c r="Q14" s="609"/>
      <c r="R14" s="609"/>
      <c r="S14" s="609"/>
      <c r="T14" s="609"/>
      <c r="U14" s="609"/>
      <c r="V14" s="609"/>
      <c r="W14" s="609"/>
      <c r="X14" s="609"/>
      <c r="Y14" s="609"/>
      <c r="Z14" s="609"/>
      <c r="AA14" s="609"/>
      <c r="AB14" s="609"/>
      <c r="AC14" s="609"/>
      <c r="AD14" s="609"/>
      <c r="AE14" s="609"/>
      <c r="AF14" s="609"/>
      <c r="AG14" s="609"/>
      <c r="AH14" s="609"/>
      <c r="AI14" s="609"/>
      <c r="AJ14" s="609"/>
      <c r="AK14" s="609"/>
      <c r="AL14" s="609"/>
      <c r="AM14" s="609"/>
      <c r="AN14" s="609"/>
      <c r="AO14" s="609"/>
      <c r="AP14" s="609"/>
      <c r="AQ14" s="609"/>
      <c r="AR14" s="609"/>
      <c r="AS14" s="609"/>
      <c r="AT14" s="609"/>
      <c r="AU14" s="609"/>
      <c r="AV14" s="609"/>
      <c r="AW14" s="609"/>
      <c r="AX14" s="609"/>
      <c r="AY14" s="609"/>
      <c r="AZ14" s="609"/>
      <c r="BA14" s="1283" t="s">
        <v>44</v>
      </c>
      <c r="BB14" s="1284">
        <f>B13</f>
        <v>0</v>
      </c>
    </row>
    <row r="15" spans="1:54" ht="15">
      <c r="A15" s="1"/>
      <c r="B15" s="2128"/>
      <c r="C15" s="2128"/>
      <c r="D15" s="2126"/>
      <c r="E15" s="2126"/>
      <c r="F15" s="604" t="s">
        <v>43</v>
      </c>
      <c r="G15" s="605"/>
      <c r="H15" s="606"/>
      <c r="I15" s="606"/>
      <c r="J15" s="606"/>
      <c r="K15" s="606"/>
      <c r="L15" s="606"/>
      <c r="M15" s="606"/>
      <c r="N15" s="606"/>
      <c r="O15" s="606"/>
      <c r="P15" s="606"/>
      <c r="Q15" s="606"/>
      <c r="R15" s="606"/>
      <c r="S15" s="606"/>
      <c r="T15" s="606"/>
      <c r="U15" s="606"/>
      <c r="V15" s="606"/>
      <c r="W15" s="606"/>
      <c r="X15" s="606"/>
      <c r="Y15" s="606"/>
      <c r="Z15" s="606"/>
      <c r="AA15" s="606"/>
      <c r="AB15" s="606"/>
      <c r="AC15" s="606"/>
      <c r="AD15" s="606"/>
      <c r="AE15" s="606"/>
      <c r="AF15" s="606"/>
      <c r="AG15" s="606"/>
      <c r="AH15" s="606"/>
      <c r="AI15" s="606"/>
      <c r="AJ15" s="606"/>
      <c r="AK15" s="606"/>
      <c r="AL15" s="606"/>
      <c r="AM15" s="606"/>
      <c r="AN15" s="606"/>
      <c r="AO15" s="606"/>
      <c r="AP15" s="606"/>
      <c r="AQ15" s="606"/>
      <c r="AR15" s="606"/>
      <c r="AS15" s="606"/>
      <c r="AT15" s="606"/>
      <c r="AU15" s="610"/>
      <c r="AV15" s="610"/>
      <c r="AW15" s="610"/>
      <c r="AX15" s="610"/>
      <c r="AY15" s="610"/>
      <c r="AZ15" s="610"/>
      <c r="BA15" s="1283" t="s">
        <v>43</v>
      </c>
      <c r="BB15" s="1284">
        <f>B15</f>
        <v>0</v>
      </c>
    </row>
    <row r="16" spans="1:54" ht="15.75" thickBot="1">
      <c r="A16" s="1"/>
      <c r="B16" s="2129"/>
      <c r="C16" s="2129"/>
      <c r="D16" s="2127"/>
      <c r="E16" s="2127"/>
      <c r="F16" s="607" t="s">
        <v>44</v>
      </c>
      <c r="G16" s="608"/>
      <c r="H16" s="609"/>
      <c r="I16" s="611"/>
      <c r="J16" s="611"/>
      <c r="K16" s="611"/>
      <c r="L16" s="611"/>
      <c r="M16" s="611"/>
      <c r="N16" s="611"/>
      <c r="O16" s="611"/>
      <c r="P16" s="611"/>
      <c r="Q16" s="611"/>
      <c r="R16" s="611"/>
      <c r="S16" s="611"/>
      <c r="T16" s="611"/>
      <c r="U16" s="611"/>
      <c r="V16" s="611"/>
      <c r="W16" s="611"/>
      <c r="X16" s="611"/>
      <c r="Y16" s="611"/>
      <c r="Z16" s="611"/>
      <c r="AA16" s="611"/>
      <c r="AB16" s="611"/>
      <c r="AC16" s="611"/>
      <c r="AD16" s="611"/>
      <c r="AE16" s="611"/>
      <c r="AF16" s="611"/>
      <c r="AG16" s="611"/>
      <c r="AH16" s="611"/>
      <c r="AI16" s="611"/>
      <c r="AJ16" s="611"/>
      <c r="AK16" s="611"/>
      <c r="AL16" s="611"/>
      <c r="AM16" s="611"/>
      <c r="AN16" s="611"/>
      <c r="AO16" s="611"/>
      <c r="AP16" s="611"/>
      <c r="AQ16" s="611"/>
      <c r="AR16" s="611"/>
      <c r="AS16" s="611"/>
      <c r="AT16" s="609"/>
      <c r="AU16" s="612"/>
      <c r="AV16" s="612"/>
      <c r="AW16" s="612"/>
      <c r="AX16" s="612"/>
      <c r="AY16" s="612"/>
      <c r="AZ16" s="612"/>
      <c r="BA16" s="1283" t="s">
        <v>44</v>
      </c>
      <c r="BB16" s="1284">
        <f>B15</f>
        <v>0</v>
      </c>
    </row>
    <row r="17" spans="1:54" ht="15">
      <c r="A17" s="1"/>
      <c r="B17" s="2128"/>
      <c r="C17" s="2128"/>
      <c r="D17" s="2126"/>
      <c r="E17" s="2126"/>
      <c r="F17" s="604" t="s">
        <v>43</v>
      </c>
      <c r="G17" s="605"/>
      <c r="H17" s="606"/>
      <c r="I17" s="606"/>
      <c r="J17" s="606"/>
      <c r="K17" s="606"/>
      <c r="L17" s="606"/>
      <c r="M17" s="606"/>
      <c r="N17" s="606"/>
      <c r="O17" s="606"/>
      <c r="P17" s="606"/>
      <c r="Q17" s="606"/>
      <c r="R17" s="606"/>
      <c r="S17" s="606"/>
      <c r="T17" s="606"/>
      <c r="U17" s="606"/>
      <c r="V17" s="606"/>
      <c r="W17" s="606"/>
      <c r="X17" s="606"/>
      <c r="Y17" s="606"/>
      <c r="Z17" s="606"/>
      <c r="AA17" s="606"/>
      <c r="AB17" s="606"/>
      <c r="AC17" s="606"/>
      <c r="AD17" s="606"/>
      <c r="AE17" s="606"/>
      <c r="AF17" s="606"/>
      <c r="AG17" s="606"/>
      <c r="AH17" s="606"/>
      <c r="AI17" s="606"/>
      <c r="AJ17" s="606"/>
      <c r="AK17" s="606"/>
      <c r="AL17" s="606"/>
      <c r="AM17" s="606"/>
      <c r="AN17" s="606"/>
      <c r="AO17" s="606"/>
      <c r="AP17" s="606"/>
      <c r="AQ17" s="606"/>
      <c r="AR17" s="606"/>
      <c r="AS17" s="606"/>
      <c r="AT17" s="606"/>
      <c r="AU17" s="610"/>
      <c r="AV17" s="610"/>
      <c r="AW17" s="610"/>
      <c r="AX17" s="610"/>
      <c r="AY17" s="610"/>
      <c r="AZ17" s="610"/>
      <c r="BA17" s="1283" t="s">
        <v>43</v>
      </c>
      <c r="BB17" s="1284">
        <f>B17</f>
        <v>0</v>
      </c>
    </row>
    <row r="18" spans="1:54" ht="15.75" thickBot="1">
      <c r="A18" s="1"/>
      <c r="B18" s="2129"/>
      <c r="C18" s="2129"/>
      <c r="D18" s="2127"/>
      <c r="E18" s="2127"/>
      <c r="F18" s="607" t="s">
        <v>44</v>
      </c>
      <c r="G18" s="608"/>
      <c r="H18" s="609"/>
      <c r="I18" s="611"/>
      <c r="J18" s="611"/>
      <c r="K18" s="611"/>
      <c r="L18" s="611"/>
      <c r="M18" s="611"/>
      <c r="N18" s="611"/>
      <c r="O18" s="611"/>
      <c r="P18" s="611"/>
      <c r="Q18" s="611"/>
      <c r="R18" s="611"/>
      <c r="S18" s="611"/>
      <c r="T18" s="611"/>
      <c r="U18" s="611"/>
      <c r="V18" s="611"/>
      <c r="W18" s="611"/>
      <c r="X18" s="611"/>
      <c r="Y18" s="611"/>
      <c r="Z18" s="611"/>
      <c r="AA18" s="611"/>
      <c r="AB18" s="611"/>
      <c r="AC18" s="611"/>
      <c r="AD18" s="611"/>
      <c r="AE18" s="611"/>
      <c r="AF18" s="611"/>
      <c r="AG18" s="611"/>
      <c r="AH18" s="611"/>
      <c r="AI18" s="611"/>
      <c r="AJ18" s="611"/>
      <c r="AK18" s="611"/>
      <c r="AL18" s="611"/>
      <c r="AM18" s="611"/>
      <c r="AN18" s="611"/>
      <c r="AO18" s="611"/>
      <c r="AP18" s="611"/>
      <c r="AQ18" s="611"/>
      <c r="AR18" s="611"/>
      <c r="AS18" s="611"/>
      <c r="AT18" s="609"/>
      <c r="AU18" s="612"/>
      <c r="AV18" s="612"/>
      <c r="AW18" s="612"/>
      <c r="AX18" s="612"/>
      <c r="AY18" s="612"/>
      <c r="AZ18" s="612"/>
      <c r="BA18" s="1283" t="s">
        <v>44</v>
      </c>
      <c r="BB18" s="1284">
        <f>B17</f>
        <v>0</v>
      </c>
    </row>
    <row r="19" spans="1:54" ht="15">
      <c r="A19" s="1"/>
      <c r="B19" s="2128"/>
      <c r="C19" s="2128"/>
      <c r="D19" s="2126"/>
      <c r="E19" s="2126"/>
      <c r="F19" s="604" t="s">
        <v>43</v>
      </c>
      <c r="G19" s="605"/>
      <c r="H19" s="606"/>
      <c r="I19" s="606"/>
      <c r="J19" s="606"/>
      <c r="K19" s="606"/>
      <c r="L19" s="606"/>
      <c r="M19" s="606"/>
      <c r="N19" s="606"/>
      <c r="O19" s="606"/>
      <c r="P19" s="606"/>
      <c r="Q19" s="606"/>
      <c r="R19" s="606"/>
      <c r="S19" s="606"/>
      <c r="T19" s="606"/>
      <c r="U19" s="606"/>
      <c r="V19" s="606"/>
      <c r="W19" s="606"/>
      <c r="X19" s="606"/>
      <c r="Y19" s="606"/>
      <c r="Z19" s="606"/>
      <c r="AA19" s="606"/>
      <c r="AB19" s="606"/>
      <c r="AC19" s="606"/>
      <c r="AD19" s="606"/>
      <c r="AE19" s="606"/>
      <c r="AF19" s="606"/>
      <c r="AG19" s="606"/>
      <c r="AH19" s="606"/>
      <c r="AI19" s="606"/>
      <c r="AJ19" s="606"/>
      <c r="AK19" s="606"/>
      <c r="AL19" s="606"/>
      <c r="AM19" s="606"/>
      <c r="AN19" s="606"/>
      <c r="AO19" s="606"/>
      <c r="AP19" s="606"/>
      <c r="AQ19" s="606"/>
      <c r="AR19" s="606"/>
      <c r="AS19" s="606"/>
      <c r="AT19" s="606"/>
      <c r="AU19" s="610"/>
      <c r="AV19" s="610"/>
      <c r="AW19" s="610"/>
      <c r="AX19" s="610"/>
      <c r="AY19" s="610"/>
      <c r="AZ19" s="610"/>
      <c r="BA19" s="1283" t="s">
        <v>43</v>
      </c>
      <c r="BB19" s="1284">
        <f>B19</f>
        <v>0</v>
      </c>
    </row>
    <row r="20" spans="1:54" ht="15.75" thickBot="1">
      <c r="A20" s="1"/>
      <c r="B20" s="2129"/>
      <c r="C20" s="2129"/>
      <c r="D20" s="2127"/>
      <c r="E20" s="2127"/>
      <c r="F20" s="607" t="s">
        <v>44</v>
      </c>
      <c r="G20" s="608"/>
      <c r="H20" s="609"/>
      <c r="I20" s="611"/>
      <c r="J20" s="611"/>
      <c r="K20" s="611"/>
      <c r="L20" s="611"/>
      <c r="M20" s="611"/>
      <c r="N20" s="611"/>
      <c r="O20" s="611"/>
      <c r="P20" s="611"/>
      <c r="Q20" s="611"/>
      <c r="R20" s="611"/>
      <c r="S20" s="611"/>
      <c r="T20" s="611"/>
      <c r="U20" s="611"/>
      <c r="V20" s="611"/>
      <c r="W20" s="611"/>
      <c r="X20" s="611"/>
      <c r="Y20" s="611"/>
      <c r="Z20" s="611"/>
      <c r="AA20" s="611"/>
      <c r="AB20" s="611"/>
      <c r="AC20" s="611"/>
      <c r="AD20" s="611"/>
      <c r="AE20" s="611"/>
      <c r="AF20" s="611"/>
      <c r="AG20" s="611"/>
      <c r="AH20" s="611"/>
      <c r="AI20" s="611"/>
      <c r="AJ20" s="611"/>
      <c r="AK20" s="611"/>
      <c r="AL20" s="611"/>
      <c r="AM20" s="611"/>
      <c r="AN20" s="611"/>
      <c r="AO20" s="611"/>
      <c r="AP20" s="611"/>
      <c r="AQ20" s="611"/>
      <c r="AR20" s="611"/>
      <c r="AS20" s="611"/>
      <c r="AT20" s="609"/>
      <c r="AU20" s="612"/>
      <c r="AV20" s="612"/>
      <c r="AW20" s="612"/>
      <c r="AX20" s="612"/>
      <c r="AY20" s="612"/>
      <c r="AZ20" s="612"/>
      <c r="BA20" s="1283" t="s">
        <v>44</v>
      </c>
      <c r="BB20" s="1284">
        <f>B19</f>
        <v>0</v>
      </c>
    </row>
    <row r="21" spans="1:54" ht="15">
      <c r="A21" s="1"/>
      <c r="B21" s="2128"/>
      <c r="C21" s="2128"/>
      <c r="D21" s="2126"/>
      <c r="E21" s="2126"/>
      <c r="F21" s="604" t="s">
        <v>43</v>
      </c>
      <c r="G21" s="605"/>
      <c r="H21" s="606"/>
      <c r="I21" s="606"/>
      <c r="J21" s="606"/>
      <c r="K21" s="606"/>
      <c r="L21" s="606"/>
      <c r="M21" s="606"/>
      <c r="N21" s="606"/>
      <c r="O21" s="606"/>
      <c r="P21" s="606"/>
      <c r="Q21" s="606"/>
      <c r="R21" s="606"/>
      <c r="S21" s="606"/>
      <c r="T21" s="606"/>
      <c r="U21" s="606"/>
      <c r="V21" s="606"/>
      <c r="W21" s="606"/>
      <c r="X21" s="606"/>
      <c r="Y21" s="606"/>
      <c r="Z21" s="606"/>
      <c r="AA21" s="606"/>
      <c r="AB21" s="606"/>
      <c r="AC21" s="606"/>
      <c r="AD21" s="606"/>
      <c r="AE21" s="606"/>
      <c r="AF21" s="606"/>
      <c r="AG21" s="606"/>
      <c r="AH21" s="606"/>
      <c r="AI21" s="606"/>
      <c r="AJ21" s="606"/>
      <c r="AK21" s="606"/>
      <c r="AL21" s="606"/>
      <c r="AM21" s="606"/>
      <c r="AN21" s="606"/>
      <c r="AO21" s="606"/>
      <c r="AP21" s="606"/>
      <c r="AQ21" s="606"/>
      <c r="AR21" s="606"/>
      <c r="AS21" s="606"/>
      <c r="AT21" s="606"/>
      <c r="AU21" s="610"/>
      <c r="AV21" s="610"/>
      <c r="AW21" s="610"/>
      <c r="AX21" s="610"/>
      <c r="AY21" s="610"/>
      <c r="AZ21" s="610"/>
      <c r="BA21" s="1283" t="s">
        <v>43</v>
      </c>
      <c r="BB21" s="1284">
        <f>B21</f>
        <v>0</v>
      </c>
    </row>
    <row r="22" spans="1:54" ht="15.75" thickBot="1">
      <c r="A22" s="1"/>
      <c r="B22" s="2129"/>
      <c r="C22" s="2129"/>
      <c r="D22" s="2127"/>
      <c r="E22" s="2127"/>
      <c r="F22" s="607" t="s">
        <v>44</v>
      </c>
      <c r="G22" s="608"/>
      <c r="H22" s="609"/>
      <c r="I22" s="611"/>
      <c r="J22" s="611"/>
      <c r="K22" s="611"/>
      <c r="L22" s="611"/>
      <c r="M22" s="611"/>
      <c r="N22" s="611"/>
      <c r="O22" s="611"/>
      <c r="P22" s="611"/>
      <c r="Q22" s="611"/>
      <c r="R22" s="611"/>
      <c r="S22" s="611"/>
      <c r="T22" s="611"/>
      <c r="U22" s="611"/>
      <c r="V22" s="611"/>
      <c r="W22" s="611"/>
      <c r="X22" s="611"/>
      <c r="Y22" s="611"/>
      <c r="Z22" s="611"/>
      <c r="AA22" s="611"/>
      <c r="AB22" s="611"/>
      <c r="AC22" s="611"/>
      <c r="AD22" s="611"/>
      <c r="AE22" s="611"/>
      <c r="AF22" s="611"/>
      <c r="AG22" s="611"/>
      <c r="AH22" s="611"/>
      <c r="AI22" s="611"/>
      <c r="AJ22" s="611"/>
      <c r="AK22" s="611"/>
      <c r="AL22" s="611"/>
      <c r="AM22" s="611"/>
      <c r="AN22" s="611"/>
      <c r="AO22" s="611"/>
      <c r="AP22" s="611"/>
      <c r="AQ22" s="611"/>
      <c r="AR22" s="611"/>
      <c r="AS22" s="611"/>
      <c r="AT22" s="609"/>
      <c r="AU22" s="612"/>
      <c r="AV22" s="612"/>
      <c r="AW22" s="612"/>
      <c r="AX22" s="612"/>
      <c r="AY22" s="612"/>
      <c r="AZ22" s="612"/>
      <c r="BA22" s="1283" t="s">
        <v>44</v>
      </c>
      <c r="BB22" s="1284">
        <f>B21</f>
        <v>0</v>
      </c>
    </row>
    <row r="23" spans="1:54" ht="15">
      <c r="A23" s="1"/>
      <c r="B23" s="2128"/>
      <c r="C23" s="2128"/>
      <c r="D23" s="2126"/>
      <c r="E23" s="2126"/>
      <c r="F23" s="604" t="s">
        <v>43</v>
      </c>
      <c r="G23" s="605"/>
      <c r="H23" s="606"/>
      <c r="I23" s="606"/>
      <c r="J23" s="606"/>
      <c r="K23" s="606"/>
      <c r="L23" s="606"/>
      <c r="M23" s="606"/>
      <c r="N23" s="606"/>
      <c r="O23" s="606"/>
      <c r="P23" s="606"/>
      <c r="Q23" s="606"/>
      <c r="R23" s="606"/>
      <c r="S23" s="606"/>
      <c r="T23" s="606"/>
      <c r="U23" s="606"/>
      <c r="V23" s="606"/>
      <c r="W23" s="606"/>
      <c r="X23" s="606"/>
      <c r="Y23" s="606"/>
      <c r="Z23" s="606"/>
      <c r="AA23" s="606"/>
      <c r="AB23" s="606"/>
      <c r="AC23" s="606"/>
      <c r="AD23" s="606"/>
      <c r="AE23" s="606"/>
      <c r="AF23" s="606"/>
      <c r="AG23" s="606"/>
      <c r="AH23" s="606"/>
      <c r="AI23" s="606"/>
      <c r="AJ23" s="606"/>
      <c r="AK23" s="606"/>
      <c r="AL23" s="606"/>
      <c r="AM23" s="606"/>
      <c r="AN23" s="606"/>
      <c r="AO23" s="606"/>
      <c r="AP23" s="606"/>
      <c r="AQ23" s="606"/>
      <c r="AR23" s="606"/>
      <c r="AS23" s="606"/>
      <c r="AT23" s="606"/>
      <c r="AU23" s="610"/>
      <c r="AV23" s="610"/>
      <c r="AW23" s="610"/>
      <c r="AX23" s="610"/>
      <c r="AY23" s="610"/>
      <c r="AZ23" s="610"/>
      <c r="BA23" s="1283" t="s">
        <v>43</v>
      </c>
      <c r="BB23" s="1284">
        <f>B23</f>
        <v>0</v>
      </c>
    </row>
    <row r="24" spans="1:54" ht="15.75" thickBot="1">
      <c r="A24" s="1"/>
      <c r="B24" s="2129"/>
      <c r="C24" s="2129"/>
      <c r="D24" s="2127"/>
      <c r="E24" s="2127"/>
      <c r="F24" s="607" t="s">
        <v>44</v>
      </c>
      <c r="G24" s="608"/>
      <c r="H24" s="609"/>
      <c r="I24" s="611"/>
      <c r="J24" s="611"/>
      <c r="K24" s="611"/>
      <c r="L24" s="611"/>
      <c r="M24" s="611"/>
      <c r="N24" s="611"/>
      <c r="O24" s="611"/>
      <c r="P24" s="611"/>
      <c r="Q24" s="611"/>
      <c r="R24" s="611"/>
      <c r="S24" s="611"/>
      <c r="T24" s="611"/>
      <c r="U24" s="611"/>
      <c r="V24" s="611"/>
      <c r="W24" s="611"/>
      <c r="X24" s="611"/>
      <c r="Y24" s="611"/>
      <c r="Z24" s="611"/>
      <c r="AA24" s="611"/>
      <c r="AB24" s="611"/>
      <c r="AC24" s="611"/>
      <c r="AD24" s="611"/>
      <c r="AE24" s="611"/>
      <c r="AF24" s="611"/>
      <c r="AG24" s="611"/>
      <c r="AH24" s="611"/>
      <c r="AI24" s="611"/>
      <c r="AJ24" s="611"/>
      <c r="AK24" s="611"/>
      <c r="AL24" s="611"/>
      <c r="AM24" s="611"/>
      <c r="AN24" s="611"/>
      <c r="AO24" s="611"/>
      <c r="AP24" s="611"/>
      <c r="AQ24" s="611"/>
      <c r="AR24" s="611"/>
      <c r="AS24" s="611"/>
      <c r="AT24" s="609"/>
      <c r="AU24" s="612"/>
      <c r="AV24" s="612"/>
      <c r="AW24" s="612"/>
      <c r="AX24" s="612"/>
      <c r="AY24" s="612"/>
      <c r="AZ24" s="612"/>
      <c r="BA24" s="1283" t="s">
        <v>44</v>
      </c>
      <c r="BB24" s="1284">
        <f>B23</f>
        <v>0</v>
      </c>
    </row>
    <row r="25" spans="1:54" ht="15">
      <c r="A25" s="1"/>
      <c r="B25" s="2128"/>
      <c r="C25" s="2128"/>
      <c r="D25" s="2126"/>
      <c r="E25" s="2126"/>
      <c r="F25" s="604" t="s">
        <v>43</v>
      </c>
      <c r="G25" s="605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N25" s="606"/>
      <c r="AO25" s="606"/>
      <c r="AP25" s="606"/>
      <c r="AQ25" s="606"/>
      <c r="AR25" s="606"/>
      <c r="AS25" s="606"/>
      <c r="AT25" s="606"/>
      <c r="AU25" s="610"/>
      <c r="AV25" s="610"/>
      <c r="AW25" s="610"/>
      <c r="AX25" s="610"/>
      <c r="AY25" s="610"/>
      <c r="AZ25" s="610"/>
      <c r="BA25" s="1283" t="s">
        <v>43</v>
      </c>
      <c r="BB25" s="1284">
        <f>B25</f>
        <v>0</v>
      </c>
    </row>
    <row r="26" spans="1:54" ht="15.75" thickBot="1">
      <c r="A26" s="1"/>
      <c r="B26" s="2129"/>
      <c r="C26" s="2129"/>
      <c r="D26" s="2127"/>
      <c r="E26" s="2127"/>
      <c r="F26" s="607" t="s">
        <v>44</v>
      </c>
      <c r="G26" s="608"/>
      <c r="H26" s="609"/>
      <c r="I26" s="611"/>
      <c r="J26" s="611"/>
      <c r="K26" s="611"/>
      <c r="L26" s="611"/>
      <c r="M26" s="611"/>
      <c r="N26" s="611"/>
      <c r="O26" s="611"/>
      <c r="P26" s="611"/>
      <c r="Q26" s="611"/>
      <c r="R26" s="611"/>
      <c r="S26" s="611"/>
      <c r="T26" s="611"/>
      <c r="U26" s="611"/>
      <c r="V26" s="611"/>
      <c r="W26" s="611"/>
      <c r="X26" s="611"/>
      <c r="Y26" s="611"/>
      <c r="Z26" s="611"/>
      <c r="AA26" s="611"/>
      <c r="AB26" s="611"/>
      <c r="AC26" s="611"/>
      <c r="AD26" s="611"/>
      <c r="AE26" s="611"/>
      <c r="AF26" s="611"/>
      <c r="AG26" s="611"/>
      <c r="AH26" s="611"/>
      <c r="AI26" s="611"/>
      <c r="AJ26" s="611"/>
      <c r="AK26" s="611"/>
      <c r="AL26" s="611"/>
      <c r="AM26" s="611"/>
      <c r="AN26" s="611"/>
      <c r="AO26" s="611"/>
      <c r="AP26" s="611"/>
      <c r="AQ26" s="611"/>
      <c r="AR26" s="611"/>
      <c r="AS26" s="611"/>
      <c r="AT26" s="609"/>
      <c r="AU26" s="612"/>
      <c r="AV26" s="612"/>
      <c r="AW26" s="612"/>
      <c r="AX26" s="612"/>
      <c r="AY26" s="612"/>
      <c r="AZ26" s="612"/>
      <c r="BA26" s="1283" t="s">
        <v>44</v>
      </c>
      <c r="BB26" s="1284">
        <f>B25</f>
        <v>0</v>
      </c>
    </row>
    <row r="27" spans="1:54" ht="15">
      <c r="A27" s="1"/>
      <c r="B27" s="2128"/>
      <c r="C27" s="2128"/>
      <c r="D27" s="2126"/>
      <c r="E27" s="2126"/>
      <c r="F27" s="604" t="s">
        <v>43</v>
      </c>
      <c r="G27" s="605"/>
      <c r="H27" s="606"/>
      <c r="I27" s="606"/>
      <c r="J27" s="606"/>
      <c r="K27" s="606"/>
      <c r="L27" s="606"/>
      <c r="M27" s="606"/>
      <c r="N27" s="606"/>
      <c r="O27" s="606"/>
      <c r="P27" s="606"/>
      <c r="Q27" s="606"/>
      <c r="R27" s="606"/>
      <c r="S27" s="606"/>
      <c r="T27" s="606"/>
      <c r="U27" s="606"/>
      <c r="V27" s="606"/>
      <c r="W27" s="606"/>
      <c r="X27" s="606"/>
      <c r="Y27" s="606"/>
      <c r="Z27" s="606"/>
      <c r="AA27" s="606"/>
      <c r="AB27" s="606"/>
      <c r="AC27" s="606"/>
      <c r="AD27" s="606"/>
      <c r="AE27" s="606"/>
      <c r="AF27" s="606"/>
      <c r="AG27" s="606"/>
      <c r="AH27" s="606"/>
      <c r="AI27" s="606"/>
      <c r="AJ27" s="606"/>
      <c r="AK27" s="606"/>
      <c r="AL27" s="606"/>
      <c r="AM27" s="606"/>
      <c r="AN27" s="606"/>
      <c r="AO27" s="606"/>
      <c r="AP27" s="606"/>
      <c r="AQ27" s="606"/>
      <c r="AR27" s="606"/>
      <c r="AS27" s="606"/>
      <c r="AT27" s="606"/>
      <c r="AU27" s="610"/>
      <c r="AV27" s="610"/>
      <c r="AW27" s="610"/>
      <c r="AX27" s="610"/>
      <c r="AY27" s="610"/>
      <c r="AZ27" s="610"/>
      <c r="BA27" s="1283" t="s">
        <v>43</v>
      </c>
      <c r="BB27" s="1284">
        <f>B27</f>
        <v>0</v>
      </c>
    </row>
    <row r="28" spans="1:54" ht="15.75" thickBot="1">
      <c r="A28" s="1"/>
      <c r="B28" s="2129"/>
      <c r="C28" s="2129"/>
      <c r="D28" s="2127"/>
      <c r="E28" s="2127"/>
      <c r="F28" s="607" t="s">
        <v>44</v>
      </c>
      <c r="G28" s="608"/>
      <c r="H28" s="609"/>
      <c r="I28" s="611"/>
      <c r="J28" s="611"/>
      <c r="K28" s="611"/>
      <c r="L28" s="611"/>
      <c r="M28" s="611"/>
      <c r="N28" s="611"/>
      <c r="O28" s="611"/>
      <c r="P28" s="611"/>
      <c r="Q28" s="611"/>
      <c r="R28" s="611"/>
      <c r="S28" s="611"/>
      <c r="T28" s="611"/>
      <c r="U28" s="611"/>
      <c r="V28" s="611"/>
      <c r="W28" s="611"/>
      <c r="X28" s="611"/>
      <c r="Y28" s="611"/>
      <c r="Z28" s="611"/>
      <c r="AA28" s="611"/>
      <c r="AB28" s="611"/>
      <c r="AC28" s="611"/>
      <c r="AD28" s="611"/>
      <c r="AE28" s="611"/>
      <c r="AF28" s="611"/>
      <c r="AG28" s="611"/>
      <c r="AH28" s="611"/>
      <c r="AI28" s="611"/>
      <c r="AJ28" s="611"/>
      <c r="AK28" s="611"/>
      <c r="AL28" s="611"/>
      <c r="AM28" s="611"/>
      <c r="AN28" s="611"/>
      <c r="AO28" s="611"/>
      <c r="AP28" s="611"/>
      <c r="AQ28" s="611"/>
      <c r="AR28" s="611"/>
      <c r="AS28" s="611"/>
      <c r="AT28" s="609"/>
      <c r="AU28" s="612"/>
      <c r="AV28" s="612"/>
      <c r="AW28" s="612"/>
      <c r="AX28" s="612"/>
      <c r="AY28" s="612"/>
      <c r="AZ28" s="612"/>
      <c r="BA28" s="1283" t="s">
        <v>44</v>
      </c>
      <c r="BB28" s="1284">
        <f>B27</f>
        <v>0</v>
      </c>
    </row>
    <row r="29" spans="1:54" ht="15">
      <c r="A29" s="1"/>
      <c r="B29" s="2128"/>
      <c r="C29" s="2128"/>
      <c r="D29" s="2126"/>
      <c r="E29" s="2126"/>
      <c r="F29" s="604" t="s">
        <v>43</v>
      </c>
      <c r="G29" s="605"/>
      <c r="H29" s="606"/>
      <c r="I29" s="606"/>
      <c r="J29" s="606"/>
      <c r="K29" s="606"/>
      <c r="L29" s="606"/>
      <c r="M29" s="606"/>
      <c r="N29" s="606"/>
      <c r="O29" s="606"/>
      <c r="P29" s="606"/>
      <c r="Q29" s="606"/>
      <c r="R29" s="606"/>
      <c r="S29" s="606"/>
      <c r="T29" s="606"/>
      <c r="U29" s="606"/>
      <c r="V29" s="606"/>
      <c r="W29" s="606"/>
      <c r="X29" s="606"/>
      <c r="Y29" s="606"/>
      <c r="Z29" s="606"/>
      <c r="AA29" s="606"/>
      <c r="AB29" s="606"/>
      <c r="AC29" s="606"/>
      <c r="AD29" s="606"/>
      <c r="AE29" s="606"/>
      <c r="AF29" s="606"/>
      <c r="AG29" s="606"/>
      <c r="AH29" s="606"/>
      <c r="AI29" s="606"/>
      <c r="AJ29" s="606"/>
      <c r="AK29" s="606"/>
      <c r="AL29" s="606"/>
      <c r="AM29" s="606"/>
      <c r="AN29" s="606"/>
      <c r="AO29" s="606"/>
      <c r="AP29" s="606"/>
      <c r="AQ29" s="606"/>
      <c r="AR29" s="606"/>
      <c r="AS29" s="606"/>
      <c r="AT29" s="606"/>
      <c r="AU29" s="610"/>
      <c r="AV29" s="610"/>
      <c r="AW29" s="610"/>
      <c r="AX29" s="610"/>
      <c r="AY29" s="610"/>
      <c r="AZ29" s="610"/>
      <c r="BA29" s="1283" t="s">
        <v>43</v>
      </c>
      <c r="BB29" s="1284">
        <f>B29</f>
        <v>0</v>
      </c>
    </row>
    <row r="30" spans="1:54" ht="15.75" thickBot="1">
      <c r="A30" s="1"/>
      <c r="B30" s="2129"/>
      <c r="C30" s="2129"/>
      <c r="D30" s="2127"/>
      <c r="E30" s="2127"/>
      <c r="F30" s="607" t="s">
        <v>44</v>
      </c>
      <c r="G30" s="608"/>
      <c r="H30" s="609"/>
      <c r="I30" s="611"/>
      <c r="J30" s="611"/>
      <c r="K30" s="611"/>
      <c r="L30" s="611"/>
      <c r="M30" s="611"/>
      <c r="N30" s="611"/>
      <c r="O30" s="611"/>
      <c r="P30" s="611"/>
      <c r="Q30" s="611"/>
      <c r="R30" s="611"/>
      <c r="S30" s="611"/>
      <c r="T30" s="611"/>
      <c r="U30" s="611"/>
      <c r="V30" s="611"/>
      <c r="W30" s="611"/>
      <c r="X30" s="611"/>
      <c r="Y30" s="611"/>
      <c r="Z30" s="611"/>
      <c r="AA30" s="611"/>
      <c r="AB30" s="611"/>
      <c r="AC30" s="611"/>
      <c r="AD30" s="611"/>
      <c r="AE30" s="611"/>
      <c r="AF30" s="611"/>
      <c r="AG30" s="611"/>
      <c r="AH30" s="611"/>
      <c r="AI30" s="611"/>
      <c r="AJ30" s="611"/>
      <c r="AK30" s="611"/>
      <c r="AL30" s="611"/>
      <c r="AM30" s="611"/>
      <c r="AN30" s="611"/>
      <c r="AO30" s="611"/>
      <c r="AP30" s="611"/>
      <c r="AQ30" s="611"/>
      <c r="AR30" s="611"/>
      <c r="AS30" s="611"/>
      <c r="AT30" s="609"/>
      <c r="AU30" s="612"/>
      <c r="AV30" s="612"/>
      <c r="AW30" s="612"/>
      <c r="AX30" s="612"/>
      <c r="AY30" s="612"/>
      <c r="AZ30" s="612"/>
      <c r="BA30" s="1283" t="s">
        <v>44</v>
      </c>
      <c r="BB30" s="1284">
        <f>B29</f>
        <v>0</v>
      </c>
    </row>
    <row r="31" spans="1:54" ht="15">
      <c r="A31" s="1"/>
      <c r="B31" s="2128"/>
      <c r="C31" s="2128"/>
      <c r="D31" s="2126"/>
      <c r="E31" s="2126"/>
      <c r="F31" s="604" t="s">
        <v>43</v>
      </c>
      <c r="G31" s="605"/>
      <c r="H31" s="606"/>
      <c r="I31" s="606"/>
      <c r="J31" s="606"/>
      <c r="K31" s="606"/>
      <c r="L31" s="606"/>
      <c r="M31" s="606"/>
      <c r="N31" s="606"/>
      <c r="O31" s="606"/>
      <c r="P31" s="606"/>
      <c r="Q31" s="606"/>
      <c r="R31" s="606"/>
      <c r="S31" s="606"/>
      <c r="T31" s="606"/>
      <c r="U31" s="606"/>
      <c r="V31" s="606"/>
      <c r="W31" s="606"/>
      <c r="X31" s="606"/>
      <c r="Y31" s="606"/>
      <c r="Z31" s="606"/>
      <c r="AA31" s="606"/>
      <c r="AB31" s="606"/>
      <c r="AC31" s="606"/>
      <c r="AD31" s="606"/>
      <c r="AE31" s="606"/>
      <c r="AF31" s="606"/>
      <c r="AG31" s="606"/>
      <c r="AH31" s="606"/>
      <c r="AI31" s="606"/>
      <c r="AJ31" s="606"/>
      <c r="AK31" s="606"/>
      <c r="AL31" s="606"/>
      <c r="AM31" s="606"/>
      <c r="AN31" s="606"/>
      <c r="AO31" s="606"/>
      <c r="AP31" s="606"/>
      <c r="AQ31" s="606"/>
      <c r="AR31" s="606"/>
      <c r="AS31" s="606"/>
      <c r="AT31" s="606"/>
      <c r="AU31" s="610"/>
      <c r="AV31" s="610"/>
      <c r="AW31" s="610"/>
      <c r="AX31" s="610"/>
      <c r="AY31" s="610"/>
      <c r="AZ31" s="610"/>
      <c r="BA31" s="1283" t="s">
        <v>43</v>
      </c>
      <c r="BB31" s="1284">
        <f>B31</f>
        <v>0</v>
      </c>
    </row>
    <row r="32" spans="1:54" ht="15.75" thickBot="1">
      <c r="A32" s="1"/>
      <c r="B32" s="2129"/>
      <c r="C32" s="2129"/>
      <c r="D32" s="2127"/>
      <c r="E32" s="2127"/>
      <c r="F32" s="607" t="s">
        <v>44</v>
      </c>
      <c r="G32" s="608"/>
      <c r="H32" s="609"/>
      <c r="I32" s="611"/>
      <c r="J32" s="611"/>
      <c r="K32" s="611"/>
      <c r="L32" s="611"/>
      <c r="M32" s="611"/>
      <c r="N32" s="611"/>
      <c r="O32" s="611"/>
      <c r="P32" s="611"/>
      <c r="Q32" s="611"/>
      <c r="R32" s="611"/>
      <c r="S32" s="611"/>
      <c r="T32" s="611"/>
      <c r="U32" s="611"/>
      <c r="V32" s="611"/>
      <c r="W32" s="611"/>
      <c r="X32" s="611"/>
      <c r="Y32" s="611"/>
      <c r="Z32" s="611"/>
      <c r="AA32" s="611"/>
      <c r="AB32" s="611"/>
      <c r="AC32" s="611"/>
      <c r="AD32" s="611"/>
      <c r="AE32" s="611"/>
      <c r="AF32" s="611"/>
      <c r="AG32" s="611"/>
      <c r="AH32" s="611"/>
      <c r="AI32" s="611"/>
      <c r="AJ32" s="611"/>
      <c r="AK32" s="611"/>
      <c r="AL32" s="611"/>
      <c r="AM32" s="611"/>
      <c r="AN32" s="611"/>
      <c r="AO32" s="611"/>
      <c r="AP32" s="611"/>
      <c r="AQ32" s="611"/>
      <c r="AR32" s="611"/>
      <c r="AS32" s="611"/>
      <c r="AT32" s="609"/>
      <c r="AU32" s="612"/>
      <c r="AV32" s="612"/>
      <c r="AW32" s="612"/>
      <c r="AX32" s="612"/>
      <c r="AY32" s="612"/>
      <c r="AZ32" s="612"/>
      <c r="BA32" s="1283" t="s">
        <v>44</v>
      </c>
      <c r="BB32" s="1284">
        <f>B31</f>
        <v>0</v>
      </c>
    </row>
    <row r="33" spans="1:54" ht="15">
      <c r="A33" s="1"/>
      <c r="B33" s="2128"/>
      <c r="C33" s="2128"/>
      <c r="D33" s="2126"/>
      <c r="E33" s="2126"/>
      <c r="F33" s="604" t="s">
        <v>43</v>
      </c>
      <c r="G33" s="605"/>
      <c r="H33" s="606"/>
      <c r="I33" s="606"/>
      <c r="J33" s="606"/>
      <c r="K33" s="606"/>
      <c r="L33" s="606"/>
      <c r="M33" s="606"/>
      <c r="N33" s="606"/>
      <c r="O33" s="606"/>
      <c r="P33" s="606"/>
      <c r="Q33" s="606"/>
      <c r="R33" s="606"/>
      <c r="S33" s="606"/>
      <c r="T33" s="606"/>
      <c r="U33" s="606"/>
      <c r="V33" s="606"/>
      <c r="W33" s="606"/>
      <c r="X33" s="606"/>
      <c r="Y33" s="606"/>
      <c r="Z33" s="606"/>
      <c r="AA33" s="606"/>
      <c r="AB33" s="606"/>
      <c r="AC33" s="606"/>
      <c r="AD33" s="606"/>
      <c r="AE33" s="606"/>
      <c r="AF33" s="606"/>
      <c r="AG33" s="606"/>
      <c r="AH33" s="606"/>
      <c r="AI33" s="606"/>
      <c r="AJ33" s="606"/>
      <c r="AK33" s="606"/>
      <c r="AL33" s="606"/>
      <c r="AM33" s="606"/>
      <c r="AN33" s="606"/>
      <c r="AO33" s="606"/>
      <c r="AP33" s="606"/>
      <c r="AQ33" s="606"/>
      <c r="AR33" s="606"/>
      <c r="AS33" s="606"/>
      <c r="AT33" s="606"/>
      <c r="AU33" s="610"/>
      <c r="AV33" s="610"/>
      <c r="AW33" s="610"/>
      <c r="AX33" s="610"/>
      <c r="AY33" s="610"/>
      <c r="AZ33" s="610"/>
      <c r="BA33" s="1283" t="s">
        <v>43</v>
      </c>
      <c r="BB33" s="1284">
        <f>B33</f>
        <v>0</v>
      </c>
    </row>
    <row r="34" spans="1:54" ht="15.75" thickBot="1">
      <c r="A34" s="1"/>
      <c r="B34" s="2129"/>
      <c r="C34" s="2129"/>
      <c r="D34" s="2127"/>
      <c r="E34" s="2127"/>
      <c r="F34" s="607" t="s">
        <v>44</v>
      </c>
      <c r="G34" s="608"/>
      <c r="H34" s="609"/>
      <c r="I34" s="611"/>
      <c r="J34" s="611"/>
      <c r="K34" s="611"/>
      <c r="L34" s="611"/>
      <c r="M34" s="611"/>
      <c r="N34" s="611"/>
      <c r="O34" s="611"/>
      <c r="P34" s="611"/>
      <c r="Q34" s="611"/>
      <c r="R34" s="611"/>
      <c r="S34" s="611"/>
      <c r="T34" s="611"/>
      <c r="U34" s="611"/>
      <c r="V34" s="611"/>
      <c r="W34" s="611"/>
      <c r="X34" s="611"/>
      <c r="Y34" s="611"/>
      <c r="Z34" s="611"/>
      <c r="AA34" s="611"/>
      <c r="AB34" s="611"/>
      <c r="AC34" s="611"/>
      <c r="AD34" s="611"/>
      <c r="AE34" s="611"/>
      <c r="AF34" s="611"/>
      <c r="AG34" s="611"/>
      <c r="AH34" s="611"/>
      <c r="AI34" s="611"/>
      <c r="AJ34" s="611"/>
      <c r="AK34" s="611"/>
      <c r="AL34" s="611"/>
      <c r="AM34" s="611"/>
      <c r="AN34" s="611"/>
      <c r="AO34" s="611"/>
      <c r="AP34" s="611"/>
      <c r="AQ34" s="611"/>
      <c r="AR34" s="611"/>
      <c r="AS34" s="611"/>
      <c r="AT34" s="609"/>
      <c r="AU34" s="612"/>
      <c r="AV34" s="612"/>
      <c r="AW34" s="612"/>
      <c r="AX34" s="612"/>
      <c r="AY34" s="612"/>
      <c r="AZ34" s="612"/>
      <c r="BA34" s="1283" t="s">
        <v>44</v>
      </c>
      <c r="BB34" s="1284">
        <f>B33</f>
        <v>0</v>
      </c>
    </row>
    <row r="35" spans="1:54" ht="15">
      <c r="A35" s="1"/>
      <c r="B35" s="2128"/>
      <c r="C35" s="2128"/>
      <c r="D35" s="2126"/>
      <c r="E35" s="2126"/>
      <c r="F35" s="604" t="s">
        <v>43</v>
      </c>
      <c r="G35" s="605"/>
      <c r="H35" s="606"/>
      <c r="I35" s="606"/>
      <c r="J35" s="606"/>
      <c r="K35" s="606"/>
      <c r="L35" s="606"/>
      <c r="M35" s="606"/>
      <c r="N35" s="606"/>
      <c r="O35" s="606"/>
      <c r="P35" s="606"/>
      <c r="Q35" s="606"/>
      <c r="R35" s="606"/>
      <c r="S35" s="606"/>
      <c r="T35" s="606"/>
      <c r="U35" s="606"/>
      <c r="V35" s="606"/>
      <c r="W35" s="606"/>
      <c r="X35" s="606"/>
      <c r="Y35" s="606"/>
      <c r="Z35" s="606"/>
      <c r="AA35" s="606"/>
      <c r="AB35" s="606"/>
      <c r="AC35" s="606"/>
      <c r="AD35" s="606"/>
      <c r="AE35" s="606"/>
      <c r="AF35" s="606"/>
      <c r="AG35" s="606"/>
      <c r="AH35" s="606"/>
      <c r="AI35" s="606"/>
      <c r="AJ35" s="606"/>
      <c r="AK35" s="606"/>
      <c r="AL35" s="606"/>
      <c r="AM35" s="606"/>
      <c r="AN35" s="606"/>
      <c r="AO35" s="606"/>
      <c r="AP35" s="606"/>
      <c r="AQ35" s="606"/>
      <c r="AR35" s="606"/>
      <c r="AS35" s="606"/>
      <c r="AT35" s="606"/>
      <c r="AU35" s="610"/>
      <c r="AV35" s="610"/>
      <c r="AW35" s="610"/>
      <c r="AX35" s="610"/>
      <c r="AY35" s="610"/>
      <c r="AZ35" s="610"/>
      <c r="BA35" s="1283" t="s">
        <v>43</v>
      </c>
      <c r="BB35" s="1284">
        <f>B35</f>
        <v>0</v>
      </c>
    </row>
    <row r="36" spans="1:54" ht="15.75" thickBot="1">
      <c r="A36" s="1"/>
      <c r="B36" s="2129"/>
      <c r="C36" s="2129"/>
      <c r="D36" s="2127"/>
      <c r="E36" s="2127"/>
      <c r="F36" s="607" t="s">
        <v>44</v>
      </c>
      <c r="G36" s="608"/>
      <c r="H36" s="609"/>
      <c r="I36" s="611"/>
      <c r="J36" s="611"/>
      <c r="K36" s="611"/>
      <c r="L36" s="611"/>
      <c r="M36" s="611"/>
      <c r="N36" s="611"/>
      <c r="O36" s="611"/>
      <c r="P36" s="611"/>
      <c r="Q36" s="611"/>
      <c r="R36" s="611"/>
      <c r="S36" s="611"/>
      <c r="T36" s="611"/>
      <c r="U36" s="611"/>
      <c r="V36" s="611"/>
      <c r="W36" s="611"/>
      <c r="X36" s="611"/>
      <c r="Y36" s="611"/>
      <c r="Z36" s="611"/>
      <c r="AA36" s="611"/>
      <c r="AB36" s="611"/>
      <c r="AC36" s="611"/>
      <c r="AD36" s="611"/>
      <c r="AE36" s="611"/>
      <c r="AF36" s="611"/>
      <c r="AG36" s="611"/>
      <c r="AH36" s="611"/>
      <c r="AI36" s="611"/>
      <c r="AJ36" s="611"/>
      <c r="AK36" s="611"/>
      <c r="AL36" s="611"/>
      <c r="AM36" s="611"/>
      <c r="AN36" s="611"/>
      <c r="AO36" s="611"/>
      <c r="AP36" s="611"/>
      <c r="AQ36" s="611"/>
      <c r="AR36" s="611"/>
      <c r="AS36" s="611"/>
      <c r="AT36" s="609"/>
      <c r="AU36" s="612"/>
      <c r="AV36" s="612"/>
      <c r="AW36" s="612"/>
      <c r="AX36" s="612"/>
      <c r="AY36" s="612"/>
      <c r="AZ36" s="612"/>
      <c r="BA36" s="1283" t="s">
        <v>44</v>
      </c>
      <c r="BB36" s="1284">
        <f>B35</f>
        <v>0</v>
      </c>
    </row>
    <row r="37" spans="1:54" ht="15">
      <c r="A37" s="1"/>
      <c r="B37" s="2128"/>
      <c r="C37" s="2128"/>
      <c r="D37" s="2126"/>
      <c r="E37" s="2126"/>
      <c r="F37" s="604" t="s">
        <v>43</v>
      </c>
      <c r="G37" s="605"/>
      <c r="H37" s="606"/>
      <c r="I37" s="606"/>
      <c r="J37" s="606"/>
      <c r="K37" s="606"/>
      <c r="L37" s="606"/>
      <c r="M37" s="606"/>
      <c r="N37" s="606"/>
      <c r="O37" s="606"/>
      <c r="P37" s="606"/>
      <c r="Q37" s="606"/>
      <c r="R37" s="606"/>
      <c r="S37" s="606"/>
      <c r="T37" s="606"/>
      <c r="U37" s="606"/>
      <c r="V37" s="606"/>
      <c r="W37" s="606"/>
      <c r="X37" s="606"/>
      <c r="Y37" s="606"/>
      <c r="Z37" s="606"/>
      <c r="AA37" s="606"/>
      <c r="AB37" s="606"/>
      <c r="AC37" s="606"/>
      <c r="AD37" s="606"/>
      <c r="AE37" s="606"/>
      <c r="AF37" s="606"/>
      <c r="AG37" s="606"/>
      <c r="AH37" s="606"/>
      <c r="AI37" s="606"/>
      <c r="AJ37" s="606"/>
      <c r="AK37" s="606"/>
      <c r="AL37" s="606"/>
      <c r="AM37" s="606"/>
      <c r="AN37" s="606"/>
      <c r="AO37" s="606"/>
      <c r="AP37" s="606"/>
      <c r="AQ37" s="606"/>
      <c r="AR37" s="606"/>
      <c r="AS37" s="606"/>
      <c r="AT37" s="606"/>
      <c r="AU37" s="610"/>
      <c r="AV37" s="610"/>
      <c r="AW37" s="610"/>
      <c r="AX37" s="610"/>
      <c r="AY37" s="610"/>
      <c r="AZ37" s="610"/>
      <c r="BA37" s="1283" t="s">
        <v>43</v>
      </c>
      <c r="BB37" s="1284">
        <f>B37</f>
        <v>0</v>
      </c>
    </row>
    <row r="38" spans="1:54" ht="15.75" thickBot="1">
      <c r="A38" s="1"/>
      <c r="B38" s="2129"/>
      <c r="C38" s="2129"/>
      <c r="D38" s="2127"/>
      <c r="E38" s="2127"/>
      <c r="F38" s="607" t="s">
        <v>44</v>
      </c>
      <c r="G38" s="608"/>
      <c r="H38" s="609"/>
      <c r="I38" s="611"/>
      <c r="J38" s="611"/>
      <c r="K38" s="611"/>
      <c r="L38" s="611"/>
      <c r="M38" s="611"/>
      <c r="N38" s="611"/>
      <c r="O38" s="611"/>
      <c r="P38" s="611"/>
      <c r="Q38" s="611"/>
      <c r="R38" s="611"/>
      <c r="S38" s="611"/>
      <c r="T38" s="611"/>
      <c r="U38" s="611"/>
      <c r="V38" s="611"/>
      <c r="W38" s="611"/>
      <c r="X38" s="611"/>
      <c r="Y38" s="611"/>
      <c r="Z38" s="611"/>
      <c r="AA38" s="611"/>
      <c r="AB38" s="611"/>
      <c r="AC38" s="611"/>
      <c r="AD38" s="611"/>
      <c r="AE38" s="611"/>
      <c r="AF38" s="611"/>
      <c r="AG38" s="611"/>
      <c r="AH38" s="611"/>
      <c r="AI38" s="611"/>
      <c r="AJ38" s="611"/>
      <c r="AK38" s="611"/>
      <c r="AL38" s="611"/>
      <c r="AM38" s="611"/>
      <c r="AN38" s="611"/>
      <c r="AO38" s="611"/>
      <c r="AP38" s="611"/>
      <c r="AQ38" s="611"/>
      <c r="AR38" s="611"/>
      <c r="AS38" s="611"/>
      <c r="AT38" s="609"/>
      <c r="AU38" s="612"/>
      <c r="AV38" s="612"/>
      <c r="AW38" s="612"/>
      <c r="AX38" s="612"/>
      <c r="AY38" s="612"/>
      <c r="AZ38" s="612"/>
      <c r="BA38" s="1283" t="s">
        <v>44</v>
      </c>
      <c r="BB38" s="1284">
        <f>B37</f>
        <v>0</v>
      </c>
    </row>
    <row r="39" spans="1:54" ht="15">
      <c r="A39" s="1"/>
      <c r="B39" s="2128"/>
      <c r="C39" s="2128"/>
      <c r="D39" s="2126"/>
      <c r="E39" s="2126"/>
      <c r="F39" s="604" t="s">
        <v>43</v>
      </c>
      <c r="G39" s="605"/>
      <c r="H39" s="606"/>
      <c r="I39" s="606"/>
      <c r="J39" s="606"/>
      <c r="K39" s="606"/>
      <c r="L39" s="606"/>
      <c r="M39" s="606"/>
      <c r="N39" s="606"/>
      <c r="O39" s="606"/>
      <c r="P39" s="606"/>
      <c r="Q39" s="606"/>
      <c r="R39" s="606"/>
      <c r="S39" s="606"/>
      <c r="T39" s="606"/>
      <c r="U39" s="606"/>
      <c r="V39" s="606"/>
      <c r="W39" s="606"/>
      <c r="X39" s="606"/>
      <c r="Y39" s="606"/>
      <c r="Z39" s="606"/>
      <c r="AA39" s="606"/>
      <c r="AB39" s="606"/>
      <c r="AC39" s="606"/>
      <c r="AD39" s="606"/>
      <c r="AE39" s="606"/>
      <c r="AF39" s="606"/>
      <c r="AG39" s="606"/>
      <c r="AH39" s="606"/>
      <c r="AI39" s="606"/>
      <c r="AJ39" s="606"/>
      <c r="AK39" s="606"/>
      <c r="AL39" s="606"/>
      <c r="AM39" s="606"/>
      <c r="AN39" s="606"/>
      <c r="AO39" s="606"/>
      <c r="AP39" s="606"/>
      <c r="AQ39" s="606"/>
      <c r="AR39" s="606"/>
      <c r="AS39" s="606"/>
      <c r="AT39" s="606"/>
      <c r="AU39" s="610"/>
      <c r="AV39" s="610"/>
      <c r="AW39" s="610"/>
      <c r="AX39" s="610"/>
      <c r="AY39" s="610"/>
      <c r="AZ39" s="610"/>
      <c r="BA39" s="1283" t="s">
        <v>43</v>
      </c>
      <c r="BB39" s="1284">
        <f>B39</f>
        <v>0</v>
      </c>
    </row>
    <row r="40" spans="1:54" ht="15.75" thickBot="1">
      <c r="A40" s="1"/>
      <c r="B40" s="2129"/>
      <c r="C40" s="2129"/>
      <c r="D40" s="2127"/>
      <c r="E40" s="2127"/>
      <c r="F40" s="607" t="s">
        <v>44</v>
      </c>
      <c r="G40" s="608"/>
      <c r="H40" s="609"/>
      <c r="I40" s="611"/>
      <c r="J40" s="611"/>
      <c r="K40" s="611"/>
      <c r="L40" s="611"/>
      <c r="M40" s="611"/>
      <c r="N40" s="611"/>
      <c r="O40" s="611"/>
      <c r="P40" s="611"/>
      <c r="Q40" s="611"/>
      <c r="R40" s="611"/>
      <c r="S40" s="611"/>
      <c r="T40" s="611"/>
      <c r="U40" s="611"/>
      <c r="V40" s="611"/>
      <c r="W40" s="611"/>
      <c r="X40" s="611"/>
      <c r="Y40" s="611"/>
      <c r="Z40" s="611"/>
      <c r="AA40" s="611"/>
      <c r="AB40" s="611"/>
      <c r="AC40" s="611"/>
      <c r="AD40" s="611"/>
      <c r="AE40" s="611"/>
      <c r="AF40" s="611"/>
      <c r="AG40" s="611"/>
      <c r="AH40" s="611"/>
      <c r="AI40" s="611"/>
      <c r="AJ40" s="611"/>
      <c r="AK40" s="611"/>
      <c r="AL40" s="611"/>
      <c r="AM40" s="611"/>
      <c r="AN40" s="611"/>
      <c r="AO40" s="611"/>
      <c r="AP40" s="611"/>
      <c r="AQ40" s="611"/>
      <c r="AR40" s="611"/>
      <c r="AS40" s="611"/>
      <c r="AT40" s="609"/>
      <c r="AU40" s="612"/>
      <c r="AV40" s="612"/>
      <c r="AW40" s="612"/>
      <c r="AX40" s="612"/>
      <c r="AY40" s="612"/>
      <c r="AZ40" s="612"/>
      <c r="BA40" s="1283" t="s">
        <v>44</v>
      </c>
      <c r="BB40" s="1284">
        <f>B39</f>
        <v>0</v>
      </c>
    </row>
    <row r="41" spans="1:54" ht="15">
      <c r="A41" s="1"/>
      <c r="B41" s="2128"/>
      <c r="C41" s="2128"/>
      <c r="D41" s="2126"/>
      <c r="E41" s="2126"/>
      <c r="F41" s="604" t="s">
        <v>43</v>
      </c>
      <c r="G41" s="605"/>
      <c r="H41" s="606"/>
      <c r="I41" s="606"/>
      <c r="J41" s="606"/>
      <c r="K41" s="606"/>
      <c r="L41" s="606"/>
      <c r="M41" s="606"/>
      <c r="N41" s="606"/>
      <c r="O41" s="606"/>
      <c r="P41" s="606"/>
      <c r="Q41" s="606"/>
      <c r="R41" s="606"/>
      <c r="S41" s="606"/>
      <c r="T41" s="606"/>
      <c r="U41" s="606"/>
      <c r="V41" s="606"/>
      <c r="W41" s="606"/>
      <c r="X41" s="606"/>
      <c r="Y41" s="606"/>
      <c r="Z41" s="606"/>
      <c r="AA41" s="606"/>
      <c r="AB41" s="606"/>
      <c r="AC41" s="606"/>
      <c r="AD41" s="606"/>
      <c r="AE41" s="606"/>
      <c r="AF41" s="606"/>
      <c r="AG41" s="606"/>
      <c r="AH41" s="606"/>
      <c r="AI41" s="606"/>
      <c r="AJ41" s="606"/>
      <c r="AK41" s="606"/>
      <c r="AL41" s="606"/>
      <c r="AM41" s="606"/>
      <c r="AN41" s="606"/>
      <c r="AO41" s="606"/>
      <c r="AP41" s="606"/>
      <c r="AQ41" s="606"/>
      <c r="AR41" s="606"/>
      <c r="AS41" s="606"/>
      <c r="AT41" s="606"/>
      <c r="AU41" s="610"/>
      <c r="AV41" s="610"/>
      <c r="AW41" s="610"/>
      <c r="AX41" s="610"/>
      <c r="AY41" s="610"/>
      <c r="AZ41" s="610"/>
      <c r="BA41" s="1283" t="s">
        <v>43</v>
      </c>
      <c r="BB41" s="1284">
        <f>B41</f>
        <v>0</v>
      </c>
    </row>
    <row r="42" spans="1:54" ht="15.75" thickBot="1">
      <c r="A42" s="1"/>
      <c r="B42" s="2129"/>
      <c r="C42" s="2129"/>
      <c r="D42" s="2127"/>
      <c r="E42" s="2127"/>
      <c r="F42" s="607" t="s">
        <v>44</v>
      </c>
      <c r="G42" s="608"/>
      <c r="H42" s="609"/>
      <c r="I42" s="611"/>
      <c r="J42" s="611"/>
      <c r="K42" s="611"/>
      <c r="L42" s="611"/>
      <c r="M42" s="611"/>
      <c r="N42" s="611"/>
      <c r="O42" s="611"/>
      <c r="P42" s="611"/>
      <c r="Q42" s="611"/>
      <c r="R42" s="611"/>
      <c r="S42" s="611"/>
      <c r="T42" s="611"/>
      <c r="U42" s="611"/>
      <c r="V42" s="611"/>
      <c r="W42" s="611"/>
      <c r="X42" s="611"/>
      <c r="Y42" s="611"/>
      <c r="Z42" s="611"/>
      <c r="AA42" s="611"/>
      <c r="AB42" s="611"/>
      <c r="AC42" s="611"/>
      <c r="AD42" s="611"/>
      <c r="AE42" s="611"/>
      <c r="AF42" s="611"/>
      <c r="AG42" s="611"/>
      <c r="AH42" s="611"/>
      <c r="AI42" s="611"/>
      <c r="AJ42" s="611"/>
      <c r="AK42" s="611"/>
      <c r="AL42" s="611"/>
      <c r="AM42" s="611"/>
      <c r="AN42" s="611"/>
      <c r="AO42" s="611"/>
      <c r="AP42" s="611"/>
      <c r="AQ42" s="611"/>
      <c r="AR42" s="611"/>
      <c r="AS42" s="611"/>
      <c r="AT42" s="609"/>
      <c r="AU42" s="612"/>
      <c r="AV42" s="612"/>
      <c r="AW42" s="612"/>
      <c r="AX42" s="612"/>
      <c r="AY42" s="612"/>
      <c r="AZ42" s="612"/>
      <c r="BA42" s="1283" t="s">
        <v>44</v>
      </c>
      <c r="BB42" s="1284">
        <f>B41</f>
        <v>0</v>
      </c>
    </row>
    <row r="43" spans="1:54" ht="15">
      <c r="A43" s="1"/>
      <c r="B43" s="2128"/>
      <c r="C43" s="2128"/>
      <c r="D43" s="2126"/>
      <c r="E43" s="2126"/>
      <c r="F43" s="604" t="s">
        <v>43</v>
      </c>
      <c r="G43" s="605"/>
      <c r="H43" s="606"/>
      <c r="I43" s="606"/>
      <c r="J43" s="606"/>
      <c r="K43" s="606"/>
      <c r="L43" s="606"/>
      <c r="M43" s="606"/>
      <c r="N43" s="606"/>
      <c r="O43" s="606"/>
      <c r="P43" s="606"/>
      <c r="Q43" s="606"/>
      <c r="R43" s="606"/>
      <c r="S43" s="606"/>
      <c r="T43" s="606"/>
      <c r="U43" s="606"/>
      <c r="V43" s="606"/>
      <c r="W43" s="606"/>
      <c r="X43" s="606"/>
      <c r="Y43" s="606"/>
      <c r="Z43" s="606"/>
      <c r="AA43" s="606"/>
      <c r="AB43" s="606"/>
      <c r="AC43" s="606"/>
      <c r="AD43" s="606"/>
      <c r="AE43" s="606"/>
      <c r="AF43" s="606"/>
      <c r="AG43" s="606"/>
      <c r="AH43" s="606"/>
      <c r="AI43" s="606"/>
      <c r="AJ43" s="606"/>
      <c r="AK43" s="606"/>
      <c r="AL43" s="606"/>
      <c r="AM43" s="606"/>
      <c r="AN43" s="606"/>
      <c r="AO43" s="606"/>
      <c r="AP43" s="606"/>
      <c r="AQ43" s="606"/>
      <c r="AR43" s="606"/>
      <c r="AS43" s="606"/>
      <c r="AT43" s="606"/>
      <c r="AU43" s="610"/>
      <c r="AV43" s="610"/>
      <c r="AW43" s="610"/>
      <c r="AX43" s="610"/>
      <c r="AY43" s="610"/>
      <c r="AZ43" s="610"/>
      <c r="BA43" s="1283" t="s">
        <v>43</v>
      </c>
      <c r="BB43" s="1284">
        <f>B43</f>
        <v>0</v>
      </c>
    </row>
    <row r="44" spans="1:54" ht="15.75" thickBot="1">
      <c r="A44" s="1"/>
      <c r="B44" s="2129"/>
      <c r="C44" s="2129"/>
      <c r="D44" s="2127"/>
      <c r="E44" s="2127"/>
      <c r="F44" s="607" t="s">
        <v>44</v>
      </c>
      <c r="G44" s="608"/>
      <c r="H44" s="609"/>
      <c r="I44" s="611"/>
      <c r="J44" s="611"/>
      <c r="K44" s="611"/>
      <c r="L44" s="611"/>
      <c r="M44" s="611"/>
      <c r="N44" s="611"/>
      <c r="O44" s="611"/>
      <c r="P44" s="611"/>
      <c r="Q44" s="611"/>
      <c r="R44" s="611"/>
      <c r="S44" s="611"/>
      <c r="T44" s="611"/>
      <c r="U44" s="611"/>
      <c r="V44" s="611"/>
      <c r="W44" s="611"/>
      <c r="X44" s="611"/>
      <c r="Y44" s="611"/>
      <c r="Z44" s="611"/>
      <c r="AA44" s="611"/>
      <c r="AB44" s="611"/>
      <c r="AC44" s="611"/>
      <c r="AD44" s="611"/>
      <c r="AE44" s="611"/>
      <c r="AF44" s="611"/>
      <c r="AG44" s="611"/>
      <c r="AH44" s="611"/>
      <c r="AI44" s="611"/>
      <c r="AJ44" s="611"/>
      <c r="AK44" s="611"/>
      <c r="AL44" s="611"/>
      <c r="AM44" s="611"/>
      <c r="AN44" s="611"/>
      <c r="AO44" s="611"/>
      <c r="AP44" s="611"/>
      <c r="AQ44" s="611"/>
      <c r="AR44" s="611"/>
      <c r="AS44" s="611"/>
      <c r="AT44" s="609"/>
      <c r="AU44" s="612"/>
      <c r="AV44" s="612"/>
      <c r="AW44" s="612"/>
      <c r="AX44" s="612"/>
      <c r="AY44" s="612"/>
      <c r="AZ44" s="612"/>
      <c r="BA44" s="1283" t="s">
        <v>44</v>
      </c>
      <c r="BB44" s="1284">
        <f>B43</f>
        <v>0</v>
      </c>
    </row>
    <row r="45" spans="1:54" ht="15">
      <c r="A45" s="1"/>
      <c r="B45" s="2128"/>
      <c r="C45" s="2128"/>
      <c r="D45" s="2126"/>
      <c r="E45" s="2126"/>
      <c r="F45" s="604" t="s">
        <v>43</v>
      </c>
      <c r="G45" s="605"/>
      <c r="H45" s="606"/>
      <c r="I45" s="606"/>
      <c r="J45" s="606"/>
      <c r="K45" s="606"/>
      <c r="L45" s="606"/>
      <c r="M45" s="606"/>
      <c r="N45" s="606"/>
      <c r="O45" s="606"/>
      <c r="P45" s="606"/>
      <c r="Q45" s="606"/>
      <c r="R45" s="606"/>
      <c r="S45" s="606"/>
      <c r="T45" s="606"/>
      <c r="U45" s="606"/>
      <c r="V45" s="606"/>
      <c r="W45" s="606"/>
      <c r="X45" s="606"/>
      <c r="Y45" s="606"/>
      <c r="Z45" s="606"/>
      <c r="AA45" s="606"/>
      <c r="AB45" s="606"/>
      <c r="AC45" s="606"/>
      <c r="AD45" s="606"/>
      <c r="AE45" s="606"/>
      <c r="AF45" s="606"/>
      <c r="AG45" s="606"/>
      <c r="AH45" s="606"/>
      <c r="AI45" s="606"/>
      <c r="AJ45" s="606"/>
      <c r="AK45" s="606"/>
      <c r="AL45" s="606"/>
      <c r="AM45" s="606"/>
      <c r="AN45" s="606"/>
      <c r="AO45" s="606"/>
      <c r="AP45" s="606"/>
      <c r="AQ45" s="606"/>
      <c r="AR45" s="606"/>
      <c r="AS45" s="606"/>
      <c r="AT45" s="606"/>
      <c r="AU45" s="610"/>
      <c r="AV45" s="610"/>
      <c r="AW45" s="610"/>
      <c r="AX45" s="610"/>
      <c r="AY45" s="610"/>
      <c r="AZ45" s="610"/>
      <c r="BA45" s="1283" t="s">
        <v>43</v>
      </c>
      <c r="BB45" s="1284">
        <f>B45</f>
        <v>0</v>
      </c>
    </row>
    <row r="46" spans="1:54" ht="15.75" thickBot="1">
      <c r="A46" s="1"/>
      <c r="B46" s="2129"/>
      <c r="C46" s="2129"/>
      <c r="D46" s="2127"/>
      <c r="E46" s="2127"/>
      <c r="F46" s="607" t="s">
        <v>44</v>
      </c>
      <c r="G46" s="608"/>
      <c r="H46" s="609"/>
      <c r="I46" s="611"/>
      <c r="J46" s="611"/>
      <c r="K46" s="611"/>
      <c r="L46" s="611"/>
      <c r="M46" s="611"/>
      <c r="N46" s="611"/>
      <c r="O46" s="611"/>
      <c r="P46" s="611"/>
      <c r="Q46" s="611"/>
      <c r="R46" s="611"/>
      <c r="S46" s="611"/>
      <c r="T46" s="611"/>
      <c r="U46" s="611"/>
      <c r="V46" s="611"/>
      <c r="W46" s="611"/>
      <c r="X46" s="611"/>
      <c r="Y46" s="611"/>
      <c r="Z46" s="611"/>
      <c r="AA46" s="611"/>
      <c r="AB46" s="611"/>
      <c r="AC46" s="611"/>
      <c r="AD46" s="611"/>
      <c r="AE46" s="611"/>
      <c r="AF46" s="611"/>
      <c r="AG46" s="611"/>
      <c r="AH46" s="611"/>
      <c r="AI46" s="611"/>
      <c r="AJ46" s="611"/>
      <c r="AK46" s="611"/>
      <c r="AL46" s="611"/>
      <c r="AM46" s="611"/>
      <c r="AN46" s="611"/>
      <c r="AO46" s="611"/>
      <c r="AP46" s="611"/>
      <c r="AQ46" s="611"/>
      <c r="AR46" s="611"/>
      <c r="AS46" s="611"/>
      <c r="AT46" s="609"/>
      <c r="AU46" s="612"/>
      <c r="AV46" s="612"/>
      <c r="AW46" s="612"/>
      <c r="AX46" s="612"/>
      <c r="AY46" s="612"/>
      <c r="AZ46" s="612"/>
      <c r="BA46" s="1283" t="s">
        <v>44</v>
      </c>
      <c r="BB46" s="1284">
        <f>B45</f>
        <v>0</v>
      </c>
    </row>
    <row r="47" spans="1:54" ht="15">
      <c r="A47" s="1"/>
      <c r="B47" s="2128"/>
      <c r="C47" s="2128"/>
      <c r="D47" s="2126"/>
      <c r="E47" s="2126"/>
      <c r="F47" s="604" t="s">
        <v>43</v>
      </c>
      <c r="G47" s="605"/>
      <c r="H47" s="606"/>
      <c r="I47" s="606"/>
      <c r="J47" s="606"/>
      <c r="K47" s="606"/>
      <c r="L47" s="606"/>
      <c r="M47" s="606"/>
      <c r="N47" s="606"/>
      <c r="O47" s="606"/>
      <c r="P47" s="606"/>
      <c r="Q47" s="606"/>
      <c r="R47" s="606"/>
      <c r="S47" s="606"/>
      <c r="T47" s="606"/>
      <c r="U47" s="606"/>
      <c r="V47" s="606"/>
      <c r="W47" s="606"/>
      <c r="X47" s="606"/>
      <c r="Y47" s="606"/>
      <c r="Z47" s="606"/>
      <c r="AA47" s="606"/>
      <c r="AB47" s="606"/>
      <c r="AC47" s="606"/>
      <c r="AD47" s="606"/>
      <c r="AE47" s="606"/>
      <c r="AF47" s="606"/>
      <c r="AG47" s="606"/>
      <c r="AH47" s="606"/>
      <c r="AI47" s="606"/>
      <c r="AJ47" s="606"/>
      <c r="AK47" s="606"/>
      <c r="AL47" s="606"/>
      <c r="AM47" s="606"/>
      <c r="AN47" s="606"/>
      <c r="AO47" s="606"/>
      <c r="AP47" s="606"/>
      <c r="AQ47" s="606"/>
      <c r="AR47" s="606"/>
      <c r="AS47" s="606"/>
      <c r="AT47" s="606"/>
      <c r="AU47" s="610"/>
      <c r="AV47" s="610"/>
      <c r="AW47" s="610"/>
      <c r="AX47" s="610"/>
      <c r="AY47" s="610"/>
      <c r="AZ47" s="610"/>
      <c r="BA47" s="1283" t="s">
        <v>43</v>
      </c>
      <c r="BB47" s="1284">
        <f>B47</f>
        <v>0</v>
      </c>
    </row>
    <row r="48" spans="1:54" ht="15.75" thickBot="1">
      <c r="A48" s="1"/>
      <c r="B48" s="2129"/>
      <c r="C48" s="2129"/>
      <c r="D48" s="2127"/>
      <c r="E48" s="2127"/>
      <c r="F48" s="607" t="s">
        <v>44</v>
      </c>
      <c r="G48" s="608"/>
      <c r="H48" s="609"/>
      <c r="I48" s="611"/>
      <c r="J48" s="611"/>
      <c r="K48" s="611"/>
      <c r="L48" s="611"/>
      <c r="M48" s="611"/>
      <c r="N48" s="611"/>
      <c r="O48" s="611"/>
      <c r="P48" s="611"/>
      <c r="Q48" s="611"/>
      <c r="R48" s="611"/>
      <c r="S48" s="611"/>
      <c r="T48" s="611"/>
      <c r="U48" s="611"/>
      <c r="V48" s="611"/>
      <c r="W48" s="611"/>
      <c r="X48" s="611"/>
      <c r="Y48" s="611"/>
      <c r="Z48" s="611"/>
      <c r="AA48" s="611"/>
      <c r="AB48" s="611"/>
      <c r="AC48" s="611"/>
      <c r="AD48" s="611"/>
      <c r="AE48" s="611"/>
      <c r="AF48" s="611"/>
      <c r="AG48" s="611"/>
      <c r="AH48" s="611"/>
      <c r="AI48" s="611"/>
      <c r="AJ48" s="611"/>
      <c r="AK48" s="611"/>
      <c r="AL48" s="611"/>
      <c r="AM48" s="611"/>
      <c r="AN48" s="611"/>
      <c r="AO48" s="611"/>
      <c r="AP48" s="611"/>
      <c r="AQ48" s="611"/>
      <c r="AR48" s="611"/>
      <c r="AS48" s="611"/>
      <c r="AT48" s="609"/>
      <c r="AU48" s="612"/>
      <c r="AV48" s="612"/>
      <c r="AW48" s="612"/>
      <c r="AX48" s="612"/>
      <c r="AY48" s="612"/>
      <c r="AZ48" s="612"/>
      <c r="BA48" s="1283" t="s">
        <v>44</v>
      </c>
      <c r="BB48" s="1284">
        <f>B47</f>
        <v>0</v>
      </c>
    </row>
    <row r="49" spans="1:54" ht="15">
      <c r="A49" s="1"/>
      <c r="B49" s="2128"/>
      <c r="C49" s="2128"/>
      <c r="D49" s="2126"/>
      <c r="E49" s="2126"/>
      <c r="F49" s="604" t="s">
        <v>43</v>
      </c>
      <c r="G49" s="613"/>
      <c r="H49" s="614"/>
      <c r="I49" s="615"/>
      <c r="J49" s="615"/>
      <c r="K49" s="615"/>
      <c r="L49" s="615"/>
      <c r="M49" s="615"/>
      <c r="N49" s="615"/>
      <c r="O49" s="615"/>
      <c r="P49" s="615"/>
      <c r="Q49" s="615"/>
      <c r="R49" s="615"/>
      <c r="S49" s="615"/>
      <c r="T49" s="615"/>
      <c r="U49" s="615"/>
      <c r="V49" s="615"/>
      <c r="W49" s="615"/>
      <c r="X49" s="615"/>
      <c r="Y49" s="615"/>
      <c r="Z49" s="615"/>
      <c r="AA49" s="615"/>
      <c r="AB49" s="615"/>
      <c r="AC49" s="615"/>
      <c r="AD49" s="615"/>
      <c r="AE49" s="615"/>
      <c r="AF49" s="615"/>
      <c r="AG49" s="615"/>
      <c r="AH49" s="615"/>
      <c r="AI49" s="615"/>
      <c r="AJ49" s="615"/>
      <c r="AK49" s="615"/>
      <c r="AL49" s="615"/>
      <c r="AM49" s="615"/>
      <c r="AN49" s="615"/>
      <c r="AO49" s="615"/>
      <c r="AP49" s="615"/>
      <c r="AQ49" s="615"/>
      <c r="AR49" s="615"/>
      <c r="AS49" s="615"/>
      <c r="AT49" s="614"/>
      <c r="AU49" s="616"/>
      <c r="AV49" s="616"/>
      <c r="AW49" s="616"/>
      <c r="AX49" s="616"/>
      <c r="AY49" s="616"/>
      <c r="AZ49" s="616"/>
      <c r="BA49" s="1283" t="s">
        <v>43</v>
      </c>
      <c r="BB49" s="1284">
        <f>B49</f>
        <v>0</v>
      </c>
    </row>
    <row r="50" spans="1:54" ht="15.75" thickBot="1">
      <c r="A50" s="1"/>
      <c r="B50" s="2129"/>
      <c r="C50" s="2129"/>
      <c r="D50" s="2127"/>
      <c r="E50" s="2127"/>
      <c r="F50" s="607" t="s">
        <v>44</v>
      </c>
      <c r="G50" s="613"/>
      <c r="H50" s="614"/>
      <c r="I50" s="615"/>
      <c r="J50" s="615"/>
      <c r="K50" s="615"/>
      <c r="L50" s="615"/>
      <c r="M50" s="615"/>
      <c r="N50" s="615"/>
      <c r="O50" s="615"/>
      <c r="P50" s="615"/>
      <c r="Q50" s="615"/>
      <c r="R50" s="615"/>
      <c r="S50" s="615"/>
      <c r="T50" s="615"/>
      <c r="U50" s="615"/>
      <c r="V50" s="615"/>
      <c r="W50" s="615"/>
      <c r="X50" s="615"/>
      <c r="Y50" s="615"/>
      <c r="Z50" s="615"/>
      <c r="AA50" s="615"/>
      <c r="AB50" s="615"/>
      <c r="AC50" s="615"/>
      <c r="AD50" s="615"/>
      <c r="AE50" s="615"/>
      <c r="AF50" s="615"/>
      <c r="AG50" s="615"/>
      <c r="AH50" s="615"/>
      <c r="AI50" s="615"/>
      <c r="AJ50" s="615"/>
      <c r="AK50" s="615"/>
      <c r="AL50" s="615"/>
      <c r="AM50" s="615"/>
      <c r="AN50" s="615"/>
      <c r="AO50" s="615"/>
      <c r="AP50" s="615"/>
      <c r="AQ50" s="615"/>
      <c r="AR50" s="615"/>
      <c r="AS50" s="615"/>
      <c r="AT50" s="614"/>
      <c r="AU50" s="616"/>
      <c r="AV50" s="616"/>
      <c r="AW50" s="616"/>
      <c r="AX50" s="616"/>
      <c r="AY50" s="616"/>
      <c r="AZ50" s="616"/>
      <c r="BA50" s="1283" t="s">
        <v>44</v>
      </c>
      <c r="BB50" s="1284">
        <f>B49</f>
        <v>0</v>
      </c>
    </row>
    <row r="51" spans="1:54" ht="15">
      <c r="A51" s="1"/>
      <c r="B51" s="2128"/>
      <c r="C51" s="2128"/>
      <c r="D51" s="2126"/>
      <c r="E51" s="2126"/>
      <c r="F51" s="604" t="s">
        <v>43</v>
      </c>
      <c r="G51" s="605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N51" s="606"/>
      <c r="AO51" s="606"/>
      <c r="AP51" s="606"/>
      <c r="AQ51" s="606"/>
      <c r="AR51" s="606"/>
      <c r="AS51" s="606"/>
      <c r="AT51" s="606"/>
      <c r="AU51" s="610"/>
      <c r="AV51" s="610"/>
      <c r="AW51" s="610"/>
      <c r="AX51" s="610"/>
      <c r="AY51" s="610"/>
      <c r="AZ51" s="610"/>
      <c r="BA51" s="1283" t="s">
        <v>43</v>
      </c>
      <c r="BB51" s="1284">
        <f>B51</f>
        <v>0</v>
      </c>
    </row>
    <row r="52" spans="1:54" ht="15.75" thickBot="1">
      <c r="A52" s="1"/>
      <c r="B52" s="2129"/>
      <c r="C52" s="2129"/>
      <c r="D52" s="2127"/>
      <c r="E52" s="2127"/>
      <c r="F52" s="607" t="s">
        <v>44</v>
      </c>
      <c r="G52" s="608"/>
      <c r="H52" s="609"/>
      <c r="I52" s="611"/>
      <c r="J52" s="611"/>
      <c r="K52" s="611"/>
      <c r="L52" s="611"/>
      <c r="M52" s="611"/>
      <c r="N52" s="611"/>
      <c r="O52" s="611"/>
      <c r="P52" s="611"/>
      <c r="Q52" s="611"/>
      <c r="R52" s="611"/>
      <c r="S52" s="611"/>
      <c r="T52" s="611"/>
      <c r="U52" s="611"/>
      <c r="V52" s="611"/>
      <c r="W52" s="611"/>
      <c r="X52" s="611"/>
      <c r="Y52" s="611"/>
      <c r="Z52" s="611"/>
      <c r="AA52" s="611"/>
      <c r="AB52" s="611"/>
      <c r="AC52" s="611"/>
      <c r="AD52" s="611"/>
      <c r="AE52" s="611"/>
      <c r="AF52" s="611"/>
      <c r="AG52" s="611"/>
      <c r="AH52" s="611"/>
      <c r="AI52" s="611"/>
      <c r="AJ52" s="611"/>
      <c r="AK52" s="611"/>
      <c r="AL52" s="611"/>
      <c r="AM52" s="611"/>
      <c r="AN52" s="611"/>
      <c r="AO52" s="611"/>
      <c r="AP52" s="611"/>
      <c r="AQ52" s="611"/>
      <c r="AR52" s="611"/>
      <c r="AS52" s="611"/>
      <c r="AT52" s="609"/>
      <c r="AU52" s="612"/>
      <c r="AV52" s="612"/>
      <c r="AW52" s="612"/>
      <c r="AX52" s="612"/>
      <c r="AY52" s="612"/>
      <c r="AZ52" s="612"/>
      <c r="BA52" s="1283" t="s">
        <v>44</v>
      </c>
      <c r="BB52" s="1284">
        <f>B51</f>
        <v>0</v>
      </c>
    </row>
    <row r="53" spans="1:54" ht="15">
      <c r="A53" s="1"/>
      <c r="B53" s="2128"/>
      <c r="C53" s="2128"/>
      <c r="D53" s="2126"/>
      <c r="E53" s="2126"/>
      <c r="F53" s="604" t="s">
        <v>43</v>
      </c>
      <c r="G53" s="605"/>
      <c r="H53" s="606"/>
      <c r="I53" s="606"/>
      <c r="J53" s="606"/>
      <c r="K53" s="606"/>
      <c r="L53" s="606"/>
      <c r="M53" s="606"/>
      <c r="N53" s="606"/>
      <c r="O53" s="606"/>
      <c r="P53" s="606"/>
      <c r="Q53" s="606"/>
      <c r="R53" s="606"/>
      <c r="S53" s="606"/>
      <c r="T53" s="606"/>
      <c r="U53" s="606"/>
      <c r="V53" s="606"/>
      <c r="W53" s="606"/>
      <c r="X53" s="606"/>
      <c r="Y53" s="606"/>
      <c r="Z53" s="606"/>
      <c r="AA53" s="606"/>
      <c r="AB53" s="606"/>
      <c r="AC53" s="606"/>
      <c r="AD53" s="606"/>
      <c r="AE53" s="606"/>
      <c r="AF53" s="606"/>
      <c r="AG53" s="606"/>
      <c r="AH53" s="606"/>
      <c r="AI53" s="606"/>
      <c r="AJ53" s="606"/>
      <c r="AK53" s="606"/>
      <c r="AL53" s="606"/>
      <c r="AM53" s="606"/>
      <c r="AN53" s="606"/>
      <c r="AO53" s="606"/>
      <c r="AP53" s="606"/>
      <c r="AQ53" s="606"/>
      <c r="AR53" s="606"/>
      <c r="AS53" s="606"/>
      <c r="AT53" s="606"/>
      <c r="AU53" s="610"/>
      <c r="AV53" s="610"/>
      <c r="AW53" s="610"/>
      <c r="AX53" s="610"/>
      <c r="AY53" s="610"/>
      <c r="AZ53" s="610"/>
      <c r="BA53" s="1283" t="s">
        <v>43</v>
      </c>
      <c r="BB53" s="1284">
        <f>B53</f>
        <v>0</v>
      </c>
    </row>
    <row r="54" spans="1:54" ht="15.75" thickBot="1">
      <c r="A54" s="1"/>
      <c r="B54" s="2129"/>
      <c r="C54" s="2129"/>
      <c r="D54" s="2127"/>
      <c r="E54" s="2127"/>
      <c r="F54" s="607" t="s">
        <v>44</v>
      </c>
      <c r="G54" s="608"/>
      <c r="H54" s="609"/>
      <c r="I54" s="611"/>
      <c r="J54" s="611"/>
      <c r="K54" s="611"/>
      <c r="L54" s="611"/>
      <c r="M54" s="611"/>
      <c r="N54" s="611"/>
      <c r="O54" s="611"/>
      <c r="P54" s="611"/>
      <c r="Q54" s="611"/>
      <c r="R54" s="611"/>
      <c r="S54" s="611"/>
      <c r="T54" s="611"/>
      <c r="U54" s="611"/>
      <c r="V54" s="611"/>
      <c r="W54" s="611"/>
      <c r="X54" s="611"/>
      <c r="Y54" s="611"/>
      <c r="Z54" s="611"/>
      <c r="AA54" s="611"/>
      <c r="AB54" s="611"/>
      <c r="AC54" s="611"/>
      <c r="AD54" s="611"/>
      <c r="AE54" s="611"/>
      <c r="AF54" s="611"/>
      <c r="AG54" s="611"/>
      <c r="AH54" s="611"/>
      <c r="AI54" s="611"/>
      <c r="AJ54" s="611"/>
      <c r="AK54" s="611"/>
      <c r="AL54" s="611"/>
      <c r="AM54" s="611"/>
      <c r="AN54" s="611"/>
      <c r="AO54" s="611"/>
      <c r="AP54" s="611"/>
      <c r="AQ54" s="611"/>
      <c r="AR54" s="611"/>
      <c r="AS54" s="611"/>
      <c r="AT54" s="609"/>
      <c r="AU54" s="612"/>
      <c r="AV54" s="612"/>
      <c r="AW54" s="612"/>
      <c r="AX54" s="612"/>
      <c r="AY54" s="612"/>
      <c r="AZ54" s="612"/>
      <c r="BA54" s="1283" t="s">
        <v>44</v>
      </c>
      <c r="BB54" s="1284">
        <f>B53</f>
        <v>0</v>
      </c>
    </row>
    <row r="55" spans="1:5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257"/>
    </row>
  </sheetData>
  <autoFilter ref="B4:AZ54" xr:uid="{A4A0BFDF-091F-498F-86AE-B1CDDD75D59C}"/>
  <mergeCells count="97">
    <mergeCell ref="E53:E54"/>
    <mergeCell ref="E35:E36"/>
    <mergeCell ref="E37:E38"/>
    <mergeCell ref="E39:E40"/>
    <mergeCell ref="E41:E42"/>
    <mergeCell ref="E43:E44"/>
    <mergeCell ref="E45:E46"/>
    <mergeCell ref="E47:E48"/>
    <mergeCell ref="E49:E50"/>
    <mergeCell ref="E51:E52"/>
    <mergeCell ref="E25:E26"/>
    <mergeCell ref="E27:E28"/>
    <mergeCell ref="E29:E30"/>
    <mergeCell ref="E31:E32"/>
    <mergeCell ref="E33:E34"/>
    <mergeCell ref="E15:E16"/>
    <mergeCell ref="E17:E18"/>
    <mergeCell ref="E19:E20"/>
    <mergeCell ref="E21:E22"/>
    <mergeCell ref="E23:E24"/>
    <mergeCell ref="D5:D6"/>
    <mergeCell ref="D7:D8"/>
    <mergeCell ref="D9:D10"/>
    <mergeCell ref="D11:D12"/>
    <mergeCell ref="E5:E6"/>
    <mergeCell ref="E7:E8"/>
    <mergeCell ref="E11:E12"/>
    <mergeCell ref="E9:E10"/>
    <mergeCell ref="B5:B6"/>
    <mergeCell ref="B7:B8"/>
    <mergeCell ref="B9:B10"/>
    <mergeCell ref="B11:B12"/>
    <mergeCell ref="C5:C6"/>
    <mergeCell ref="C7:C8"/>
    <mergeCell ref="C9:C10"/>
    <mergeCell ref="C11:C12"/>
    <mergeCell ref="B53:B54"/>
    <mergeCell ref="B15:B16"/>
    <mergeCell ref="B17:B18"/>
    <mergeCell ref="B19:B20"/>
    <mergeCell ref="B51:B52"/>
    <mergeCell ref="B21:B22"/>
    <mergeCell ref="B23:B24"/>
    <mergeCell ref="B25:B26"/>
    <mergeCell ref="B27:B28"/>
    <mergeCell ref="B29:B30"/>
    <mergeCell ref="B31:B32"/>
    <mergeCell ref="B33:B34"/>
    <mergeCell ref="B35:B36"/>
    <mergeCell ref="B37:B38"/>
    <mergeCell ref="B39:B40"/>
    <mergeCell ref="B41:B42"/>
    <mergeCell ref="B43:B44"/>
    <mergeCell ref="B45:B46"/>
    <mergeCell ref="B47:B48"/>
    <mergeCell ref="B49:B50"/>
    <mergeCell ref="C15:C16"/>
    <mergeCell ref="C17:C18"/>
    <mergeCell ref="C19:C20"/>
    <mergeCell ref="C21:C22"/>
    <mergeCell ref="C23:C24"/>
    <mergeCell ref="C25:C26"/>
    <mergeCell ref="C27:C28"/>
    <mergeCell ref="C29:C30"/>
    <mergeCell ref="C31:C32"/>
    <mergeCell ref="C33:C34"/>
    <mergeCell ref="C35:C36"/>
    <mergeCell ref="C37:C38"/>
    <mergeCell ref="C39:C40"/>
    <mergeCell ref="C41:C42"/>
    <mergeCell ref="C53:C54"/>
    <mergeCell ref="C43:C44"/>
    <mergeCell ref="C45:C46"/>
    <mergeCell ref="C47:C48"/>
    <mergeCell ref="C49:C50"/>
    <mergeCell ref="C51:C52"/>
    <mergeCell ref="D15:D16"/>
    <mergeCell ref="D17:D18"/>
    <mergeCell ref="D19:D20"/>
    <mergeCell ref="D21:D22"/>
    <mergeCell ref="D23:D24"/>
    <mergeCell ref="B13:B14"/>
    <mergeCell ref="D51:D52"/>
    <mergeCell ref="D53:D54"/>
    <mergeCell ref="D37:D38"/>
    <mergeCell ref="D39:D40"/>
    <mergeCell ref="D41:D42"/>
    <mergeCell ref="D43:D44"/>
    <mergeCell ref="D45:D46"/>
    <mergeCell ref="D47:D48"/>
    <mergeCell ref="D49:D50"/>
    <mergeCell ref="D35:D36"/>
    <mergeCell ref="D25:D26"/>
    <mergeCell ref="D27:D28"/>
    <mergeCell ref="D29:D30"/>
    <mergeCell ref="D31:D32"/>
    <mergeCell ref="D33:D34"/>
  </mergeCells>
  <phoneticPr fontId="14" type="noConversion"/>
  <conditionalFormatting sqref="H17:BA54 BA2:BA16 H7:AZ16">
    <cfRule type="cellIs" dxfId="58" priority="1" operator="equal">
      <formula>0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19" fitToHeight="0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4475B-279D-40DC-833E-2C05B709973C}">
  <sheetPr codeName="Planilha6">
    <tabColor rgb="FF00B050"/>
  </sheetPr>
  <dimension ref="A1:I205"/>
  <sheetViews>
    <sheetView showGridLines="0" showRowColHeaders="0" showZeros="0" zoomScaleNormal="100" workbookViewId="0">
      <pane ySplit="5" topLeftCell="A6" activePane="bottomLeft" state="frozen"/>
      <selection activeCell="G2" sqref="G2"/>
      <selection pane="bottomLeft" activeCell="A6" sqref="A6"/>
    </sheetView>
  </sheetViews>
  <sheetFormatPr defaultRowHeight="14.25"/>
  <cols>
    <col min="1" max="1" width="1.875" customWidth="1"/>
    <col min="2" max="2" width="4.125" customWidth="1"/>
    <col min="3" max="3" width="37.125" customWidth="1"/>
    <col min="4" max="4" width="17.125" bestFit="1" customWidth="1"/>
    <col min="5" max="5" width="15.375" customWidth="1"/>
    <col min="6" max="6" width="35.125" customWidth="1"/>
    <col min="7" max="7" width="25.625" customWidth="1"/>
    <col min="8" max="8" width="19" customWidth="1"/>
  </cols>
  <sheetData>
    <row r="1" spans="1:9" ht="17.25" customHeight="1">
      <c r="A1" s="645"/>
      <c r="B1" s="645"/>
      <c r="C1" s="645"/>
      <c r="D1" s="645"/>
      <c r="E1" s="645"/>
      <c r="F1" s="645"/>
      <c r="G1" s="646">
        <f>COUNTIF($D$6:$D$205,"Fornecedor")+COUNTIF($D$6:$D$205,"Cliente &amp; Fornecedor")</f>
        <v>1</v>
      </c>
      <c r="H1" s="645"/>
      <c r="I1" s="645"/>
    </row>
    <row r="2" spans="1:9" ht="9" customHeight="1" thickBot="1">
      <c r="A2" s="645"/>
      <c r="B2" s="645"/>
      <c r="C2" s="645"/>
      <c r="D2" s="645"/>
      <c r="E2" s="645"/>
      <c r="F2" s="645"/>
      <c r="G2" s="646">
        <f>COUNTIF($D$6:$D$205,"Cliente")+COUNTIF($D$6:$D$205,"Cliente &amp; Fornecedor")</f>
        <v>5</v>
      </c>
      <c r="H2" s="645"/>
      <c r="I2" s="645"/>
    </row>
    <row r="3" spans="1:9" ht="23.25" customHeight="1" thickBot="1">
      <c r="A3" s="645"/>
      <c r="B3" s="2136" t="s">
        <v>804</v>
      </c>
      <c r="C3" s="2137"/>
      <c r="D3" s="2137"/>
      <c r="E3" s="2137"/>
      <c r="F3" s="2137"/>
      <c r="G3" s="2137"/>
      <c r="H3" s="2138"/>
      <c r="I3" s="645"/>
    </row>
    <row r="4" spans="1:9" ht="3.75" customHeight="1" thickTop="1">
      <c r="A4" s="645"/>
      <c r="B4" s="645"/>
      <c r="C4" s="645"/>
      <c r="D4" s="645"/>
      <c r="E4" s="645"/>
      <c r="F4" s="645"/>
      <c r="G4" s="645"/>
      <c r="H4" s="645"/>
      <c r="I4" s="645"/>
    </row>
    <row r="5" spans="1:9" ht="30.75" customHeight="1">
      <c r="A5" s="645"/>
      <c r="B5" s="642" t="s">
        <v>68</v>
      </c>
      <c r="C5" s="642" t="s">
        <v>794</v>
      </c>
      <c r="D5" s="642" t="s">
        <v>80</v>
      </c>
      <c r="E5" s="642" t="s">
        <v>795</v>
      </c>
      <c r="F5" s="642" t="s">
        <v>796</v>
      </c>
      <c r="G5" s="642" t="s">
        <v>797</v>
      </c>
      <c r="H5" s="638" t="s">
        <v>798</v>
      </c>
      <c r="I5" s="645"/>
    </row>
    <row r="6" spans="1:9">
      <c r="A6" s="645"/>
      <c r="B6" s="643"/>
      <c r="C6" s="640" t="s">
        <v>801</v>
      </c>
      <c r="D6" s="640" t="s">
        <v>805</v>
      </c>
      <c r="E6" s="647">
        <v>0</v>
      </c>
      <c r="F6" s="647" t="s">
        <v>800</v>
      </c>
      <c r="G6" s="648" t="s">
        <v>802</v>
      </c>
      <c r="H6" s="649"/>
      <c r="I6" s="645"/>
    </row>
    <row r="7" spans="1:9">
      <c r="A7" s="645"/>
      <c r="B7" s="643"/>
      <c r="C7" s="640" t="s">
        <v>809</v>
      </c>
      <c r="D7" s="639" t="s">
        <v>799</v>
      </c>
      <c r="E7" s="647">
        <v>99999536677</v>
      </c>
      <c r="F7" s="647" t="s">
        <v>803</v>
      </c>
      <c r="G7" s="648" t="s">
        <v>802</v>
      </c>
      <c r="H7" s="649"/>
      <c r="I7" s="645"/>
    </row>
    <row r="8" spans="1:9">
      <c r="A8" s="645"/>
      <c r="B8" s="643"/>
      <c r="C8" s="640" t="s">
        <v>806</v>
      </c>
      <c r="D8" s="640" t="s">
        <v>805</v>
      </c>
      <c r="E8" s="647">
        <v>0</v>
      </c>
      <c r="F8" s="647" t="s">
        <v>803</v>
      </c>
      <c r="G8" s="640" t="s">
        <v>802</v>
      </c>
      <c r="H8" s="649"/>
      <c r="I8" s="645"/>
    </row>
    <row r="9" spans="1:9">
      <c r="A9" s="645"/>
      <c r="B9" s="644"/>
      <c r="C9" s="640" t="s">
        <v>807</v>
      </c>
      <c r="D9" s="640" t="s">
        <v>805</v>
      </c>
      <c r="E9" s="650">
        <v>0</v>
      </c>
      <c r="F9" s="650" t="s">
        <v>803</v>
      </c>
      <c r="G9" s="639" t="s">
        <v>802</v>
      </c>
      <c r="H9" s="641"/>
      <c r="I9" s="645"/>
    </row>
    <row r="10" spans="1:9">
      <c r="A10" s="645"/>
      <c r="B10" s="644"/>
      <c r="C10" s="639" t="s">
        <v>808</v>
      </c>
      <c r="D10" s="639" t="s">
        <v>805</v>
      </c>
      <c r="E10" s="650">
        <v>0</v>
      </c>
      <c r="F10" s="650" t="s">
        <v>803</v>
      </c>
      <c r="G10" s="639" t="s">
        <v>802</v>
      </c>
      <c r="H10" s="641"/>
      <c r="I10" s="645"/>
    </row>
    <row r="11" spans="1:9">
      <c r="A11" s="645"/>
      <c r="B11" s="644"/>
      <c r="C11" s="639"/>
      <c r="D11" s="639"/>
      <c r="E11" s="650"/>
      <c r="F11" s="650"/>
      <c r="G11" s="639"/>
      <c r="H11" s="641"/>
      <c r="I11" s="645"/>
    </row>
    <row r="12" spans="1:9">
      <c r="A12" s="645"/>
      <c r="B12" s="644"/>
      <c r="C12" s="639"/>
      <c r="D12" s="639"/>
      <c r="E12" s="650"/>
      <c r="F12" s="650"/>
      <c r="G12" s="639"/>
      <c r="H12" s="641"/>
      <c r="I12" s="645"/>
    </row>
    <row r="13" spans="1:9">
      <c r="A13" s="645"/>
      <c r="B13" s="644"/>
      <c r="C13" s="639"/>
      <c r="D13" s="639"/>
      <c r="E13" s="650"/>
      <c r="F13" s="650"/>
      <c r="G13" s="639"/>
      <c r="H13" s="641"/>
      <c r="I13" s="645"/>
    </row>
    <row r="14" spans="1:9">
      <c r="A14" s="645"/>
      <c r="B14" s="644"/>
      <c r="C14" s="639"/>
      <c r="D14" s="639"/>
      <c r="E14" s="650"/>
      <c r="F14" s="650"/>
      <c r="G14" s="639"/>
      <c r="H14" s="641"/>
      <c r="I14" s="645"/>
    </row>
    <row r="15" spans="1:9">
      <c r="A15" s="645"/>
      <c r="B15" s="644"/>
      <c r="C15" s="639"/>
      <c r="D15" s="639"/>
      <c r="E15" s="650"/>
      <c r="F15" s="650"/>
      <c r="G15" s="639"/>
      <c r="H15" s="641"/>
      <c r="I15" s="645"/>
    </row>
    <row r="16" spans="1:9">
      <c r="A16" s="645"/>
      <c r="B16" s="644"/>
      <c r="C16" s="639"/>
      <c r="D16" s="639"/>
      <c r="E16" s="650"/>
      <c r="F16" s="650"/>
      <c r="G16" s="639"/>
      <c r="H16" s="641"/>
      <c r="I16" s="645"/>
    </row>
    <row r="17" spans="1:9">
      <c r="A17" s="645"/>
      <c r="B17" s="644"/>
      <c r="C17" s="639"/>
      <c r="D17" s="639"/>
      <c r="E17" s="650"/>
      <c r="F17" s="650"/>
      <c r="G17" s="639"/>
      <c r="H17" s="641"/>
      <c r="I17" s="645"/>
    </row>
    <row r="18" spans="1:9">
      <c r="A18" s="645"/>
      <c r="B18" s="644"/>
      <c r="C18" s="639"/>
      <c r="D18" s="639"/>
      <c r="E18" s="650"/>
      <c r="F18" s="650"/>
      <c r="G18" s="639"/>
      <c r="H18" s="641"/>
      <c r="I18" s="645"/>
    </row>
    <row r="19" spans="1:9">
      <c r="A19" s="645"/>
      <c r="B19" s="644"/>
      <c r="C19" s="639"/>
      <c r="D19" s="639"/>
      <c r="E19" s="650"/>
      <c r="F19" s="650"/>
      <c r="G19" s="639"/>
      <c r="H19" s="641"/>
      <c r="I19" s="645"/>
    </row>
    <row r="20" spans="1:9">
      <c r="A20" s="645"/>
      <c r="B20" s="644"/>
      <c r="C20" s="639"/>
      <c r="D20" s="639"/>
      <c r="E20" s="650"/>
      <c r="F20" s="650"/>
      <c r="G20" s="639"/>
      <c r="H20" s="641"/>
      <c r="I20" s="645"/>
    </row>
    <row r="21" spans="1:9">
      <c r="A21" s="645"/>
      <c r="B21" s="644"/>
      <c r="C21" s="639"/>
      <c r="D21" s="639"/>
      <c r="E21" s="650"/>
      <c r="F21" s="650"/>
      <c r="G21" s="639"/>
      <c r="H21" s="641"/>
      <c r="I21" s="645"/>
    </row>
    <row r="22" spans="1:9">
      <c r="A22" s="645"/>
      <c r="B22" s="644"/>
      <c r="C22" s="639"/>
      <c r="D22" s="639"/>
      <c r="E22" s="650"/>
      <c r="F22" s="650"/>
      <c r="G22" s="639"/>
      <c r="H22" s="641"/>
      <c r="I22" s="645"/>
    </row>
    <row r="23" spans="1:9">
      <c r="A23" s="645"/>
      <c r="B23" s="644"/>
      <c r="C23" s="639"/>
      <c r="D23" s="639"/>
      <c r="E23" s="650"/>
      <c r="F23" s="650"/>
      <c r="G23" s="639"/>
      <c r="H23" s="641"/>
      <c r="I23" s="645"/>
    </row>
    <row r="24" spans="1:9">
      <c r="A24" s="645"/>
      <c r="B24" s="644"/>
      <c r="C24" s="639"/>
      <c r="D24" s="639"/>
      <c r="E24" s="650"/>
      <c r="F24" s="650"/>
      <c r="G24" s="639"/>
      <c r="H24" s="641"/>
      <c r="I24" s="645"/>
    </row>
    <row r="25" spans="1:9">
      <c r="A25" s="645"/>
      <c r="B25" s="644"/>
      <c r="C25" s="639"/>
      <c r="D25" s="639"/>
      <c r="E25" s="650"/>
      <c r="F25" s="650"/>
      <c r="G25" s="639"/>
      <c r="H25" s="641"/>
      <c r="I25" s="645"/>
    </row>
    <row r="26" spans="1:9">
      <c r="A26" s="645"/>
      <c r="B26" s="644"/>
      <c r="C26" s="639"/>
      <c r="D26" s="639"/>
      <c r="E26" s="650"/>
      <c r="F26" s="650"/>
      <c r="G26" s="639"/>
      <c r="H26" s="641"/>
      <c r="I26" s="645"/>
    </row>
    <row r="27" spans="1:9">
      <c r="A27" s="645"/>
      <c r="B27" s="644"/>
      <c r="C27" s="639"/>
      <c r="D27" s="639"/>
      <c r="E27" s="650"/>
      <c r="F27" s="650"/>
      <c r="G27" s="639"/>
      <c r="H27" s="641"/>
      <c r="I27" s="645"/>
    </row>
    <row r="28" spans="1:9">
      <c r="A28" s="645"/>
      <c r="B28" s="644"/>
      <c r="C28" s="639"/>
      <c r="D28" s="639"/>
      <c r="E28" s="650"/>
      <c r="F28" s="650"/>
      <c r="G28" s="639"/>
      <c r="H28" s="641"/>
      <c r="I28" s="645"/>
    </row>
    <row r="29" spans="1:9">
      <c r="A29" s="645"/>
      <c r="B29" s="644"/>
      <c r="C29" s="639"/>
      <c r="D29" s="639"/>
      <c r="E29" s="650"/>
      <c r="F29" s="650"/>
      <c r="G29" s="639"/>
      <c r="H29" s="641"/>
      <c r="I29" s="645"/>
    </row>
    <row r="30" spans="1:9">
      <c r="A30" s="645"/>
      <c r="B30" s="644"/>
      <c r="C30" s="639"/>
      <c r="D30" s="639"/>
      <c r="E30" s="650"/>
      <c r="F30" s="650"/>
      <c r="G30" s="639"/>
      <c r="H30" s="641"/>
      <c r="I30" s="645"/>
    </row>
    <row r="31" spans="1:9">
      <c r="A31" s="645"/>
      <c r="B31" s="644"/>
      <c r="C31" s="639"/>
      <c r="D31" s="639"/>
      <c r="E31" s="650"/>
      <c r="F31" s="650"/>
      <c r="G31" s="639"/>
      <c r="H31" s="641"/>
      <c r="I31" s="645"/>
    </row>
    <row r="32" spans="1:9">
      <c r="A32" s="645"/>
      <c r="B32" s="644"/>
      <c r="C32" s="639"/>
      <c r="D32" s="639"/>
      <c r="E32" s="650"/>
      <c r="F32" s="650"/>
      <c r="G32" s="639"/>
      <c r="H32" s="641"/>
      <c r="I32" s="645"/>
    </row>
    <row r="33" spans="1:9">
      <c r="A33" s="645"/>
      <c r="B33" s="644"/>
      <c r="C33" s="639"/>
      <c r="D33" s="639"/>
      <c r="E33" s="650"/>
      <c r="F33" s="650"/>
      <c r="G33" s="639"/>
      <c r="H33" s="641"/>
      <c r="I33" s="645"/>
    </row>
    <row r="34" spans="1:9">
      <c r="A34" s="645"/>
      <c r="B34" s="644"/>
      <c r="C34" s="639"/>
      <c r="D34" s="639"/>
      <c r="E34" s="650"/>
      <c r="F34" s="650"/>
      <c r="G34" s="639"/>
      <c r="H34" s="641"/>
      <c r="I34" s="645"/>
    </row>
    <row r="35" spans="1:9">
      <c r="A35" s="645"/>
      <c r="B35" s="644"/>
      <c r="C35" s="639"/>
      <c r="D35" s="639"/>
      <c r="E35" s="650"/>
      <c r="F35" s="650"/>
      <c r="G35" s="639"/>
      <c r="H35" s="641"/>
      <c r="I35" s="645"/>
    </row>
    <row r="36" spans="1:9">
      <c r="A36" s="645"/>
      <c r="B36" s="644"/>
      <c r="C36" s="639"/>
      <c r="D36" s="639"/>
      <c r="E36" s="650"/>
      <c r="F36" s="650"/>
      <c r="G36" s="639"/>
      <c r="H36" s="641"/>
      <c r="I36" s="645"/>
    </row>
    <row r="37" spans="1:9">
      <c r="A37" s="645"/>
      <c r="B37" s="644"/>
      <c r="C37" s="639"/>
      <c r="D37" s="639"/>
      <c r="E37" s="650"/>
      <c r="F37" s="650"/>
      <c r="G37" s="639"/>
      <c r="H37" s="641"/>
      <c r="I37" s="645"/>
    </row>
    <row r="38" spans="1:9">
      <c r="A38" s="645"/>
      <c r="B38" s="644"/>
      <c r="C38" s="639"/>
      <c r="D38" s="639"/>
      <c r="E38" s="650"/>
      <c r="F38" s="650"/>
      <c r="G38" s="639"/>
      <c r="H38" s="641"/>
      <c r="I38" s="645"/>
    </row>
    <row r="39" spans="1:9">
      <c r="A39" s="645"/>
      <c r="B39" s="644"/>
      <c r="C39" s="639"/>
      <c r="D39" s="639"/>
      <c r="E39" s="650"/>
      <c r="F39" s="650"/>
      <c r="G39" s="639"/>
      <c r="H39" s="641"/>
      <c r="I39" s="645"/>
    </row>
    <row r="40" spans="1:9">
      <c r="A40" s="645"/>
      <c r="B40" s="644"/>
      <c r="C40" s="639"/>
      <c r="D40" s="639"/>
      <c r="E40" s="650"/>
      <c r="F40" s="650"/>
      <c r="G40" s="639"/>
      <c r="H40" s="641"/>
      <c r="I40" s="645"/>
    </row>
    <row r="41" spans="1:9">
      <c r="A41" s="645"/>
      <c r="B41" s="644"/>
      <c r="C41" s="639"/>
      <c r="D41" s="639"/>
      <c r="E41" s="650"/>
      <c r="F41" s="650"/>
      <c r="G41" s="639"/>
      <c r="H41" s="641"/>
      <c r="I41" s="645"/>
    </row>
    <row r="42" spans="1:9">
      <c r="A42" s="645"/>
      <c r="B42" s="644"/>
      <c r="C42" s="639"/>
      <c r="D42" s="639"/>
      <c r="E42" s="650"/>
      <c r="F42" s="650"/>
      <c r="G42" s="639"/>
      <c r="H42" s="641"/>
      <c r="I42" s="645"/>
    </row>
    <row r="43" spans="1:9">
      <c r="A43" s="645"/>
      <c r="B43" s="644"/>
      <c r="C43" s="639"/>
      <c r="D43" s="639"/>
      <c r="E43" s="650"/>
      <c r="F43" s="650"/>
      <c r="G43" s="639"/>
      <c r="H43" s="641"/>
      <c r="I43" s="645"/>
    </row>
    <row r="44" spans="1:9">
      <c r="A44" s="645"/>
      <c r="B44" s="644"/>
      <c r="C44" s="639"/>
      <c r="D44" s="639"/>
      <c r="E44" s="650"/>
      <c r="F44" s="650"/>
      <c r="G44" s="639"/>
      <c r="H44" s="641"/>
      <c r="I44" s="645"/>
    </row>
    <row r="45" spans="1:9">
      <c r="A45" s="645"/>
      <c r="B45" s="644"/>
      <c r="C45" s="639"/>
      <c r="D45" s="639"/>
      <c r="E45" s="650"/>
      <c r="F45" s="650"/>
      <c r="G45" s="639"/>
      <c r="H45" s="641"/>
      <c r="I45" s="645"/>
    </row>
    <row r="46" spans="1:9">
      <c r="A46" s="645"/>
      <c r="B46" s="644"/>
      <c r="C46" s="639"/>
      <c r="D46" s="639"/>
      <c r="E46" s="650"/>
      <c r="F46" s="650"/>
      <c r="G46" s="639"/>
      <c r="H46" s="641"/>
      <c r="I46" s="645"/>
    </row>
    <row r="47" spans="1:9">
      <c r="A47" s="645"/>
      <c r="B47" s="644"/>
      <c r="C47" s="639"/>
      <c r="D47" s="639"/>
      <c r="E47" s="650"/>
      <c r="F47" s="650"/>
      <c r="G47" s="639"/>
      <c r="H47" s="641"/>
      <c r="I47" s="645"/>
    </row>
    <row r="48" spans="1:9">
      <c r="A48" s="645"/>
      <c r="B48" s="644"/>
      <c r="C48" s="639"/>
      <c r="D48" s="639"/>
      <c r="E48" s="650"/>
      <c r="F48" s="650"/>
      <c r="G48" s="639"/>
      <c r="H48" s="641"/>
      <c r="I48" s="645"/>
    </row>
    <row r="49" spans="1:9">
      <c r="A49" s="645"/>
      <c r="B49" s="644"/>
      <c r="C49" s="639"/>
      <c r="D49" s="639"/>
      <c r="E49" s="650"/>
      <c r="F49" s="650"/>
      <c r="G49" s="639"/>
      <c r="H49" s="641"/>
      <c r="I49" s="645"/>
    </row>
    <row r="50" spans="1:9">
      <c r="A50" s="645"/>
      <c r="B50" s="644"/>
      <c r="C50" s="639"/>
      <c r="D50" s="639"/>
      <c r="E50" s="650"/>
      <c r="F50" s="650"/>
      <c r="G50" s="639"/>
      <c r="H50" s="641"/>
      <c r="I50" s="645"/>
    </row>
    <row r="51" spans="1:9">
      <c r="A51" s="645"/>
      <c r="B51" s="644"/>
      <c r="C51" s="639"/>
      <c r="D51" s="639"/>
      <c r="E51" s="650"/>
      <c r="F51" s="650"/>
      <c r="G51" s="639"/>
      <c r="H51" s="641"/>
      <c r="I51" s="645"/>
    </row>
    <row r="52" spans="1:9">
      <c r="A52" s="645"/>
      <c r="B52" s="644"/>
      <c r="C52" s="639"/>
      <c r="D52" s="639"/>
      <c r="E52" s="650"/>
      <c r="F52" s="650"/>
      <c r="G52" s="639"/>
      <c r="H52" s="641"/>
      <c r="I52" s="645"/>
    </row>
    <row r="53" spans="1:9">
      <c r="A53" s="645"/>
      <c r="B53" s="644"/>
      <c r="C53" s="639"/>
      <c r="D53" s="639"/>
      <c r="E53" s="650"/>
      <c r="F53" s="650"/>
      <c r="G53" s="639"/>
      <c r="H53" s="641"/>
      <c r="I53" s="645"/>
    </row>
    <row r="54" spans="1:9">
      <c r="A54" s="645"/>
      <c r="B54" s="644"/>
      <c r="C54" s="639"/>
      <c r="D54" s="639"/>
      <c r="E54" s="650"/>
      <c r="F54" s="650"/>
      <c r="G54" s="639"/>
      <c r="H54" s="641"/>
      <c r="I54" s="645"/>
    </row>
    <row r="55" spans="1:9">
      <c r="A55" s="645"/>
      <c r="B55" s="644"/>
      <c r="C55" s="639"/>
      <c r="D55" s="639"/>
      <c r="E55" s="650"/>
      <c r="F55" s="650"/>
      <c r="G55" s="639"/>
      <c r="H55" s="641"/>
      <c r="I55" s="645"/>
    </row>
    <row r="56" spans="1:9">
      <c r="A56" s="645"/>
      <c r="B56" s="644"/>
      <c r="C56" s="639"/>
      <c r="D56" s="639"/>
      <c r="E56" s="650"/>
      <c r="F56" s="650"/>
      <c r="G56" s="639"/>
      <c r="H56" s="641"/>
      <c r="I56" s="645"/>
    </row>
    <row r="57" spans="1:9">
      <c r="A57" s="645"/>
      <c r="B57" s="644"/>
      <c r="C57" s="639"/>
      <c r="D57" s="639"/>
      <c r="E57" s="650"/>
      <c r="F57" s="650"/>
      <c r="G57" s="639"/>
      <c r="H57" s="641"/>
      <c r="I57" s="645"/>
    </row>
    <row r="58" spans="1:9">
      <c r="A58" s="645"/>
      <c r="B58" s="644"/>
      <c r="C58" s="639"/>
      <c r="D58" s="639"/>
      <c r="E58" s="650"/>
      <c r="F58" s="650"/>
      <c r="G58" s="639"/>
      <c r="H58" s="641"/>
      <c r="I58" s="645"/>
    </row>
    <row r="59" spans="1:9">
      <c r="A59" s="645"/>
      <c r="B59" s="644"/>
      <c r="C59" s="639"/>
      <c r="D59" s="639"/>
      <c r="E59" s="650"/>
      <c r="F59" s="650"/>
      <c r="G59" s="639"/>
      <c r="H59" s="641"/>
      <c r="I59" s="645"/>
    </row>
    <row r="60" spans="1:9">
      <c r="A60" s="645"/>
      <c r="B60" s="644"/>
      <c r="C60" s="639"/>
      <c r="D60" s="639"/>
      <c r="E60" s="650"/>
      <c r="F60" s="650"/>
      <c r="G60" s="639"/>
      <c r="H60" s="641"/>
      <c r="I60" s="645"/>
    </row>
    <row r="61" spans="1:9">
      <c r="A61" s="645"/>
      <c r="B61" s="644"/>
      <c r="C61" s="639"/>
      <c r="D61" s="639"/>
      <c r="E61" s="650"/>
      <c r="F61" s="650"/>
      <c r="G61" s="639"/>
      <c r="H61" s="641"/>
      <c r="I61" s="645"/>
    </row>
    <row r="62" spans="1:9">
      <c r="A62" s="645"/>
      <c r="B62" s="644"/>
      <c r="C62" s="639"/>
      <c r="D62" s="639"/>
      <c r="E62" s="650"/>
      <c r="F62" s="650"/>
      <c r="G62" s="639"/>
      <c r="H62" s="641"/>
      <c r="I62" s="645"/>
    </row>
    <row r="63" spans="1:9">
      <c r="A63" s="645"/>
      <c r="B63" s="644"/>
      <c r="C63" s="639"/>
      <c r="D63" s="639"/>
      <c r="E63" s="650"/>
      <c r="F63" s="650"/>
      <c r="G63" s="639"/>
      <c r="H63" s="641"/>
      <c r="I63" s="645"/>
    </row>
    <row r="64" spans="1:9">
      <c r="A64" s="645"/>
      <c r="B64" s="644"/>
      <c r="C64" s="639"/>
      <c r="D64" s="639"/>
      <c r="E64" s="650"/>
      <c r="F64" s="650"/>
      <c r="G64" s="639"/>
      <c r="H64" s="641"/>
      <c r="I64" s="645"/>
    </row>
    <row r="65" spans="1:9">
      <c r="A65" s="645"/>
      <c r="B65" s="644"/>
      <c r="C65" s="639"/>
      <c r="D65" s="639"/>
      <c r="E65" s="650"/>
      <c r="F65" s="650"/>
      <c r="G65" s="639"/>
      <c r="H65" s="641"/>
      <c r="I65" s="645"/>
    </row>
    <row r="66" spans="1:9">
      <c r="A66" s="645"/>
      <c r="B66" s="644"/>
      <c r="C66" s="639"/>
      <c r="D66" s="639"/>
      <c r="E66" s="650"/>
      <c r="F66" s="650"/>
      <c r="G66" s="639"/>
      <c r="H66" s="641"/>
      <c r="I66" s="645"/>
    </row>
    <row r="67" spans="1:9">
      <c r="A67" s="645"/>
      <c r="B67" s="644"/>
      <c r="C67" s="639"/>
      <c r="D67" s="639"/>
      <c r="E67" s="650"/>
      <c r="F67" s="650"/>
      <c r="G67" s="639"/>
      <c r="H67" s="641"/>
      <c r="I67" s="645"/>
    </row>
    <row r="68" spans="1:9">
      <c r="A68" s="645"/>
      <c r="B68" s="644"/>
      <c r="C68" s="639"/>
      <c r="D68" s="639"/>
      <c r="E68" s="650"/>
      <c r="F68" s="650"/>
      <c r="G68" s="639"/>
      <c r="H68" s="641"/>
      <c r="I68" s="645"/>
    </row>
    <row r="69" spans="1:9">
      <c r="A69" s="645"/>
      <c r="B69" s="644"/>
      <c r="C69" s="639"/>
      <c r="D69" s="639"/>
      <c r="E69" s="650"/>
      <c r="F69" s="650"/>
      <c r="G69" s="639"/>
      <c r="H69" s="641"/>
      <c r="I69" s="645"/>
    </row>
    <row r="70" spans="1:9">
      <c r="A70" s="645"/>
      <c r="B70" s="644"/>
      <c r="C70" s="639"/>
      <c r="D70" s="639"/>
      <c r="E70" s="650"/>
      <c r="F70" s="650"/>
      <c r="G70" s="639"/>
      <c r="H70" s="641"/>
      <c r="I70" s="645"/>
    </row>
    <row r="71" spans="1:9">
      <c r="A71" s="645"/>
      <c r="B71" s="644"/>
      <c r="C71" s="639"/>
      <c r="D71" s="639"/>
      <c r="E71" s="650"/>
      <c r="F71" s="650"/>
      <c r="G71" s="639"/>
      <c r="H71" s="641"/>
      <c r="I71" s="645"/>
    </row>
    <row r="72" spans="1:9">
      <c r="A72" s="645"/>
      <c r="B72" s="644"/>
      <c r="C72" s="639"/>
      <c r="D72" s="639"/>
      <c r="E72" s="650"/>
      <c r="F72" s="650"/>
      <c r="G72" s="639"/>
      <c r="H72" s="641"/>
      <c r="I72" s="645"/>
    </row>
    <row r="73" spans="1:9">
      <c r="A73" s="645"/>
      <c r="B73" s="644"/>
      <c r="C73" s="639"/>
      <c r="D73" s="639"/>
      <c r="E73" s="650"/>
      <c r="F73" s="650"/>
      <c r="G73" s="639"/>
      <c r="H73" s="641"/>
      <c r="I73" s="645"/>
    </row>
    <row r="74" spans="1:9">
      <c r="A74" s="645"/>
      <c r="B74" s="644"/>
      <c r="C74" s="639"/>
      <c r="D74" s="639"/>
      <c r="E74" s="650"/>
      <c r="F74" s="650"/>
      <c r="G74" s="639"/>
      <c r="H74" s="641"/>
      <c r="I74" s="645"/>
    </row>
    <row r="75" spans="1:9">
      <c r="A75" s="645"/>
      <c r="B75" s="644"/>
      <c r="C75" s="639"/>
      <c r="D75" s="639"/>
      <c r="E75" s="650"/>
      <c r="F75" s="650"/>
      <c r="G75" s="639"/>
      <c r="H75" s="641"/>
      <c r="I75" s="645"/>
    </row>
    <row r="76" spans="1:9">
      <c r="A76" s="645"/>
      <c r="B76" s="644"/>
      <c r="C76" s="639"/>
      <c r="D76" s="639"/>
      <c r="E76" s="650"/>
      <c r="F76" s="650"/>
      <c r="G76" s="639"/>
      <c r="H76" s="641"/>
      <c r="I76" s="645"/>
    </row>
    <row r="77" spans="1:9">
      <c r="A77" s="645"/>
      <c r="B77" s="644"/>
      <c r="C77" s="639"/>
      <c r="D77" s="639"/>
      <c r="E77" s="650"/>
      <c r="F77" s="650"/>
      <c r="G77" s="639"/>
      <c r="H77" s="641"/>
      <c r="I77" s="645"/>
    </row>
    <row r="78" spans="1:9">
      <c r="A78" s="645"/>
      <c r="B78" s="644"/>
      <c r="C78" s="639"/>
      <c r="D78" s="639"/>
      <c r="E78" s="650"/>
      <c r="F78" s="650"/>
      <c r="G78" s="639"/>
      <c r="H78" s="641"/>
      <c r="I78" s="645"/>
    </row>
    <row r="79" spans="1:9">
      <c r="A79" s="645"/>
      <c r="B79" s="644"/>
      <c r="C79" s="639"/>
      <c r="D79" s="639"/>
      <c r="E79" s="650"/>
      <c r="F79" s="650"/>
      <c r="G79" s="639"/>
      <c r="H79" s="641"/>
      <c r="I79" s="645"/>
    </row>
    <row r="80" spans="1:9">
      <c r="A80" s="645"/>
      <c r="B80" s="644"/>
      <c r="C80" s="639"/>
      <c r="D80" s="639"/>
      <c r="E80" s="650"/>
      <c r="F80" s="650"/>
      <c r="G80" s="639"/>
      <c r="H80" s="641"/>
      <c r="I80" s="645"/>
    </row>
    <row r="81" spans="1:9">
      <c r="A81" s="645"/>
      <c r="B81" s="644"/>
      <c r="C81" s="639"/>
      <c r="D81" s="639"/>
      <c r="E81" s="650"/>
      <c r="F81" s="650"/>
      <c r="G81" s="639"/>
      <c r="H81" s="641"/>
      <c r="I81" s="645"/>
    </row>
    <row r="82" spans="1:9">
      <c r="A82" s="645"/>
      <c r="B82" s="644"/>
      <c r="C82" s="639"/>
      <c r="D82" s="639"/>
      <c r="E82" s="650"/>
      <c r="F82" s="650"/>
      <c r="G82" s="639"/>
      <c r="H82" s="641"/>
      <c r="I82" s="645"/>
    </row>
    <row r="83" spans="1:9">
      <c r="A83" s="645"/>
      <c r="B83" s="644"/>
      <c r="C83" s="639"/>
      <c r="D83" s="639"/>
      <c r="E83" s="650"/>
      <c r="F83" s="650"/>
      <c r="G83" s="639"/>
      <c r="H83" s="641"/>
      <c r="I83" s="645"/>
    </row>
    <row r="84" spans="1:9">
      <c r="A84" s="645"/>
      <c r="B84" s="644"/>
      <c r="C84" s="639"/>
      <c r="D84" s="639"/>
      <c r="E84" s="650"/>
      <c r="F84" s="650"/>
      <c r="G84" s="639"/>
      <c r="H84" s="641"/>
      <c r="I84" s="645"/>
    </row>
    <row r="85" spans="1:9">
      <c r="A85" s="645"/>
      <c r="B85" s="644"/>
      <c r="C85" s="639"/>
      <c r="D85" s="639"/>
      <c r="E85" s="650"/>
      <c r="F85" s="650"/>
      <c r="G85" s="639"/>
      <c r="H85" s="641"/>
      <c r="I85" s="645"/>
    </row>
    <row r="86" spans="1:9">
      <c r="A86" s="645"/>
      <c r="B86" s="644"/>
      <c r="C86" s="639"/>
      <c r="D86" s="639"/>
      <c r="E86" s="650"/>
      <c r="F86" s="650"/>
      <c r="G86" s="639"/>
      <c r="H86" s="641"/>
      <c r="I86" s="645"/>
    </row>
    <row r="87" spans="1:9">
      <c r="A87" s="645"/>
      <c r="B87" s="644"/>
      <c r="C87" s="639"/>
      <c r="D87" s="639"/>
      <c r="E87" s="650"/>
      <c r="F87" s="650"/>
      <c r="G87" s="639"/>
      <c r="H87" s="641"/>
      <c r="I87" s="645"/>
    </row>
    <row r="88" spans="1:9">
      <c r="A88" s="645"/>
      <c r="B88" s="644"/>
      <c r="C88" s="639"/>
      <c r="D88" s="639"/>
      <c r="E88" s="650"/>
      <c r="F88" s="650"/>
      <c r="G88" s="639"/>
      <c r="H88" s="641"/>
      <c r="I88" s="645"/>
    </row>
    <row r="89" spans="1:9">
      <c r="A89" s="645"/>
      <c r="B89" s="644"/>
      <c r="C89" s="639"/>
      <c r="D89" s="639"/>
      <c r="E89" s="650"/>
      <c r="F89" s="650"/>
      <c r="G89" s="639"/>
      <c r="H89" s="641"/>
      <c r="I89" s="645"/>
    </row>
    <row r="90" spans="1:9">
      <c r="A90" s="645"/>
      <c r="B90" s="644"/>
      <c r="C90" s="639"/>
      <c r="D90" s="639"/>
      <c r="E90" s="650"/>
      <c r="F90" s="650"/>
      <c r="G90" s="639"/>
      <c r="H90" s="641"/>
      <c r="I90" s="645"/>
    </row>
    <row r="91" spans="1:9">
      <c r="A91" s="645"/>
      <c r="B91" s="644"/>
      <c r="C91" s="639"/>
      <c r="D91" s="639"/>
      <c r="E91" s="650"/>
      <c r="F91" s="650"/>
      <c r="G91" s="639"/>
      <c r="H91" s="641"/>
      <c r="I91" s="645"/>
    </row>
    <row r="92" spans="1:9">
      <c r="A92" s="645"/>
      <c r="B92" s="644"/>
      <c r="C92" s="639"/>
      <c r="D92" s="639"/>
      <c r="E92" s="650"/>
      <c r="F92" s="650"/>
      <c r="G92" s="639"/>
      <c r="H92" s="641"/>
      <c r="I92" s="645"/>
    </row>
    <row r="93" spans="1:9">
      <c r="A93" s="645"/>
      <c r="B93" s="644"/>
      <c r="C93" s="639"/>
      <c r="D93" s="639"/>
      <c r="E93" s="650"/>
      <c r="F93" s="650"/>
      <c r="G93" s="639"/>
      <c r="H93" s="641"/>
      <c r="I93" s="645"/>
    </row>
    <row r="94" spans="1:9">
      <c r="A94" s="645"/>
      <c r="B94" s="644"/>
      <c r="C94" s="639"/>
      <c r="D94" s="639"/>
      <c r="E94" s="650"/>
      <c r="F94" s="650"/>
      <c r="G94" s="639"/>
      <c r="H94" s="641"/>
      <c r="I94" s="645"/>
    </row>
    <row r="95" spans="1:9">
      <c r="A95" s="645"/>
      <c r="B95" s="644"/>
      <c r="C95" s="639"/>
      <c r="D95" s="639"/>
      <c r="E95" s="650"/>
      <c r="F95" s="650"/>
      <c r="G95" s="639"/>
      <c r="H95" s="641"/>
      <c r="I95" s="645"/>
    </row>
    <row r="96" spans="1:9">
      <c r="A96" s="645"/>
      <c r="B96" s="644"/>
      <c r="C96" s="639"/>
      <c r="D96" s="639"/>
      <c r="E96" s="650"/>
      <c r="F96" s="650"/>
      <c r="G96" s="639"/>
      <c r="H96" s="641"/>
      <c r="I96" s="645"/>
    </row>
    <row r="97" spans="1:9">
      <c r="A97" s="645"/>
      <c r="B97" s="644"/>
      <c r="C97" s="639"/>
      <c r="D97" s="639"/>
      <c r="E97" s="650"/>
      <c r="F97" s="650"/>
      <c r="G97" s="639"/>
      <c r="H97" s="641"/>
      <c r="I97" s="645"/>
    </row>
    <row r="98" spans="1:9">
      <c r="A98" s="645"/>
      <c r="B98" s="644"/>
      <c r="C98" s="639"/>
      <c r="D98" s="639"/>
      <c r="E98" s="650"/>
      <c r="F98" s="650"/>
      <c r="G98" s="639"/>
      <c r="H98" s="641"/>
      <c r="I98" s="645"/>
    </row>
    <row r="99" spans="1:9">
      <c r="A99" s="645"/>
      <c r="B99" s="644"/>
      <c r="C99" s="639"/>
      <c r="D99" s="639"/>
      <c r="E99" s="650"/>
      <c r="F99" s="650"/>
      <c r="G99" s="639"/>
      <c r="H99" s="641"/>
      <c r="I99" s="645"/>
    </row>
    <row r="100" spans="1:9">
      <c r="A100" s="645"/>
      <c r="B100" s="644"/>
      <c r="C100" s="639"/>
      <c r="D100" s="639"/>
      <c r="E100" s="650"/>
      <c r="F100" s="650"/>
      <c r="G100" s="639"/>
      <c r="H100" s="641"/>
      <c r="I100" s="645"/>
    </row>
    <row r="101" spans="1:9">
      <c r="A101" s="645"/>
      <c r="B101" s="644"/>
      <c r="C101" s="639"/>
      <c r="D101" s="639"/>
      <c r="E101" s="650"/>
      <c r="F101" s="650"/>
      <c r="G101" s="639"/>
      <c r="H101" s="641"/>
      <c r="I101" s="645"/>
    </row>
    <row r="102" spans="1:9">
      <c r="A102" s="645"/>
      <c r="B102" s="644"/>
      <c r="C102" s="639"/>
      <c r="D102" s="639"/>
      <c r="E102" s="650"/>
      <c r="F102" s="650"/>
      <c r="G102" s="639"/>
      <c r="H102" s="641"/>
      <c r="I102" s="645"/>
    </row>
    <row r="103" spans="1:9">
      <c r="A103" s="645"/>
      <c r="B103" s="644"/>
      <c r="C103" s="639"/>
      <c r="D103" s="639"/>
      <c r="E103" s="650"/>
      <c r="F103" s="650"/>
      <c r="G103" s="639"/>
      <c r="H103" s="641"/>
      <c r="I103" s="645"/>
    </row>
    <row r="104" spans="1:9">
      <c r="A104" s="645"/>
      <c r="B104" s="644"/>
      <c r="C104" s="639"/>
      <c r="D104" s="639"/>
      <c r="E104" s="650"/>
      <c r="F104" s="650"/>
      <c r="G104" s="639"/>
      <c r="H104" s="641"/>
      <c r="I104" s="645"/>
    </row>
    <row r="105" spans="1:9">
      <c r="A105" s="645"/>
      <c r="B105" s="644"/>
      <c r="C105" s="639"/>
      <c r="D105" s="639"/>
      <c r="E105" s="650"/>
      <c r="F105" s="650"/>
      <c r="G105" s="639"/>
      <c r="H105" s="641"/>
      <c r="I105" s="645"/>
    </row>
    <row r="106" spans="1:9">
      <c r="A106" s="645"/>
      <c r="B106" s="644"/>
      <c r="C106" s="639"/>
      <c r="D106" s="639"/>
      <c r="E106" s="650"/>
      <c r="F106" s="650"/>
      <c r="G106" s="639"/>
      <c r="H106" s="641"/>
      <c r="I106" s="645"/>
    </row>
    <row r="107" spans="1:9">
      <c r="A107" s="645"/>
      <c r="B107" s="644"/>
      <c r="C107" s="639"/>
      <c r="D107" s="639"/>
      <c r="E107" s="650"/>
      <c r="F107" s="650"/>
      <c r="G107" s="639"/>
      <c r="H107" s="641"/>
      <c r="I107" s="645"/>
    </row>
    <row r="108" spans="1:9">
      <c r="A108" s="645"/>
      <c r="B108" s="644"/>
      <c r="C108" s="639"/>
      <c r="D108" s="639"/>
      <c r="E108" s="650"/>
      <c r="F108" s="650"/>
      <c r="G108" s="639"/>
      <c r="H108" s="641"/>
      <c r="I108" s="645"/>
    </row>
    <row r="109" spans="1:9">
      <c r="A109" s="645"/>
      <c r="B109" s="644"/>
      <c r="C109" s="639"/>
      <c r="D109" s="639"/>
      <c r="E109" s="650"/>
      <c r="F109" s="650"/>
      <c r="G109" s="639"/>
      <c r="H109" s="641"/>
      <c r="I109" s="645"/>
    </row>
    <row r="110" spans="1:9">
      <c r="A110" s="645"/>
      <c r="B110" s="644"/>
      <c r="C110" s="639"/>
      <c r="D110" s="639"/>
      <c r="E110" s="650"/>
      <c r="F110" s="650"/>
      <c r="G110" s="639"/>
      <c r="H110" s="641"/>
      <c r="I110" s="645"/>
    </row>
    <row r="111" spans="1:9">
      <c r="A111" s="645"/>
      <c r="B111" s="644"/>
      <c r="C111" s="639"/>
      <c r="D111" s="639"/>
      <c r="E111" s="650"/>
      <c r="F111" s="650"/>
      <c r="G111" s="639"/>
      <c r="H111" s="641"/>
      <c r="I111" s="645"/>
    </row>
    <row r="112" spans="1:9">
      <c r="A112" s="645"/>
      <c r="B112" s="644"/>
      <c r="C112" s="639"/>
      <c r="D112" s="639"/>
      <c r="E112" s="650"/>
      <c r="F112" s="650"/>
      <c r="G112" s="639"/>
      <c r="H112" s="641"/>
      <c r="I112" s="645"/>
    </row>
    <row r="113" spans="1:9">
      <c r="A113" s="645"/>
      <c r="B113" s="644"/>
      <c r="C113" s="639"/>
      <c r="D113" s="639"/>
      <c r="E113" s="650"/>
      <c r="F113" s="650"/>
      <c r="G113" s="639"/>
      <c r="H113" s="641"/>
      <c r="I113" s="645"/>
    </row>
    <row r="114" spans="1:9">
      <c r="A114" s="645"/>
      <c r="B114" s="644"/>
      <c r="C114" s="639"/>
      <c r="D114" s="639"/>
      <c r="E114" s="650"/>
      <c r="F114" s="650"/>
      <c r="G114" s="639"/>
      <c r="H114" s="641"/>
      <c r="I114" s="645"/>
    </row>
    <row r="115" spans="1:9">
      <c r="A115" s="645"/>
      <c r="B115" s="644"/>
      <c r="C115" s="639"/>
      <c r="D115" s="639"/>
      <c r="E115" s="650"/>
      <c r="F115" s="650"/>
      <c r="G115" s="639"/>
      <c r="H115" s="641"/>
      <c r="I115" s="645"/>
    </row>
    <row r="116" spans="1:9">
      <c r="A116" s="645"/>
      <c r="B116" s="644"/>
      <c r="C116" s="639"/>
      <c r="D116" s="639"/>
      <c r="E116" s="650"/>
      <c r="F116" s="650"/>
      <c r="G116" s="639"/>
      <c r="H116" s="641"/>
      <c r="I116" s="645"/>
    </row>
    <row r="117" spans="1:9">
      <c r="A117" s="645"/>
      <c r="B117" s="644"/>
      <c r="C117" s="639"/>
      <c r="D117" s="639"/>
      <c r="E117" s="650"/>
      <c r="F117" s="650"/>
      <c r="G117" s="639"/>
      <c r="H117" s="641"/>
      <c r="I117" s="645"/>
    </row>
    <row r="118" spans="1:9">
      <c r="A118" s="645"/>
      <c r="B118" s="644"/>
      <c r="C118" s="639"/>
      <c r="D118" s="639"/>
      <c r="E118" s="650"/>
      <c r="F118" s="650"/>
      <c r="G118" s="639"/>
      <c r="H118" s="641"/>
      <c r="I118" s="645"/>
    </row>
    <row r="119" spans="1:9">
      <c r="A119" s="645"/>
      <c r="B119" s="644"/>
      <c r="C119" s="639"/>
      <c r="D119" s="639"/>
      <c r="E119" s="650"/>
      <c r="F119" s="650"/>
      <c r="G119" s="639"/>
      <c r="H119" s="641"/>
      <c r="I119" s="645"/>
    </row>
    <row r="120" spans="1:9">
      <c r="A120" s="645"/>
      <c r="B120" s="644"/>
      <c r="C120" s="639"/>
      <c r="D120" s="639"/>
      <c r="E120" s="650"/>
      <c r="F120" s="650"/>
      <c r="G120" s="639"/>
      <c r="H120" s="641"/>
      <c r="I120" s="645"/>
    </row>
    <row r="121" spans="1:9">
      <c r="A121" s="645"/>
      <c r="B121" s="644"/>
      <c r="C121" s="639"/>
      <c r="D121" s="639"/>
      <c r="E121" s="650"/>
      <c r="F121" s="650"/>
      <c r="G121" s="639"/>
      <c r="H121" s="641"/>
      <c r="I121" s="645"/>
    </row>
    <row r="122" spans="1:9">
      <c r="A122" s="645"/>
      <c r="B122" s="644"/>
      <c r="C122" s="639"/>
      <c r="D122" s="639"/>
      <c r="E122" s="650"/>
      <c r="F122" s="650"/>
      <c r="G122" s="639"/>
      <c r="H122" s="641"/>
      <c r="I122" s="645"/>
    </row>
    <row r="123" spans="1:9">
      <c r="A123" s="645"/>
      <c r="B123" s="644"/>
      <c r="C123" s="639"/>
      <c r="D123" s="639"/>
      <c r="E123" s="650"/>
      <c r="F123" s="650"/>
      <c r="G123" s="639"/>
      <c r="H123" s="641"/>
      <c r="I123" s="645"/>
    </row>
    <row r="124" spans="1:9">
      <c r="A124" s="645"/>
      <c r="B124" s="644"/>
      <c r="C124" s="639"/>
      <c r="D124" s="639"/>
      <c r="E124" s="650"/>
      <c r="F124" s="650"/>
      <c r="G124" s="639"/>
      <c r="H124" s="641"/>
      <c r="I124" s="645"/>
    </row>
    <row r="125" spans="1:9">
      <c r="A125" s="645"/>
      <c r="B125" s="644"/>
      <c r="C125" s="639"/>
      <c r="D125" s="639"/>
      <c r="E125" s="650"/>
      <c r="F125" s="650"/>
      <c r="G125" s="639"/>
      <c r="H125" s="641"/>
      <c r="I125" s="645"/>
    </row>
    <row r="126" spans="1:9">
      <c r="A126" s="645"/>
      <c r="B126" s="644"/>
      <c r="C126" s="639"/>
      <c r="D126" s="639"/>
      <c r="E126" s="650"/>
      <c r="F126" s="650"/>
      <c r="G126" s="639"/>
      <c r="H126" s="641"/>
      <c r="I126" s="645"/>
    </row>
    <row r="127" spans="1:9">
      <c r="A127" s="645"/>
      <c r="B127" s="644"/>
      <c r="C127" s="639"/>
      <c r="D127" s="639"/>
      <c r="E127" s="650"/>
      <c r="F127" s="650"/>
      <c r="G127" s="639"/>
      <c r="H127" s="641"/>
      <c r="I127" s="645"/>
    </row>
    <row r="128" spans="1:9">
      <c r="A128" s="645"/>
      <c r="B128" s="644"/>
      <c r="C128" s="639"/>
      <c r="D128" s="639"/>
      <c r="E128" s="650"/>
      <c r="F128" s="650"/>
      <c r="G128" s="639"/>
      <c r="H128" s="641"/>
      <c r="I128" s="645"/>
    </row>
    <row r="129" spans="1:9">
      <c r="A129" s="645"/>
      <c r="B129" s="644"/>
      <c r="C129" s="639"/>
      <c r="D129" s="639"/>
      <c r="E129" s="650"/>
      <c r="F129" s="650"/>
      <c r="G129" s="639"/>
      <c r="H129" s="641"/>
      <c r="I129" s="645"/>
    </row>
    <row r="130" spans="1:9">
      <c r="A130" s="645"/>
      <c r="B130" s="644"/>
      <c r="C130" s="639"/>
      <c r="D130" s="639"/>
      <c r="E130" s="650"/>
      <c r="F130" s="650"/>
      <c r="G130" s="639"/>
      <c r="H130" s="641"/>
      <c r="I130" s="645"/>
    </row>
    <row r="131" spans="1:9">
      <c r="A131" s="645"/>
      <c r="B131" s="644"/>
      <c r="C131" s="639"/>
      <c r="D131" s="639"/>
      <c r="E131" s="650"/>
      <c r="F131" s="650"/>
      <c r="G131" s="639"/>
      <c r="H131" s="641"/>
      <c r="I131" s="645"/>
    </row>
    <row r="132" spans="1:9">
      <c r="A132" s="645"/>
      <c r="B132" s="644"/>
      <c r="C132" s="639"/>
      <c r="D132" s="639"/>
      <c r="E132" s="650"/>
      <c r="F132" s="650"/>
      <c r="G132" s="639"/>
      <c r="H132" s="641"/>
      <c r="I132" s="645"/>
    </row>
    <row r="133" spans="1:9">
      <c r="A133" s="645"/>
      <c r="B133" s="644"/>
      <c r="C133" s="639"/>
      <c r="D133" s="639"/>
      <c r="E133" s="650"/>
      <c r="F133" s="650"/>
      <c r="G133" s="639"/>
      <c r="H133" s="641"/>
      <c r="I133" s="645"/>
    </row>
    <row r="134" spans="1:9">
      <c r="A134" s="645"/>
      <c r="B134" s="644"/>
      <c r="C134" s="639"/>
      <c r="D134" s="639"/>
      <c r="E134" s="650"/>
      <c r="F134" s="650"/>
      <c r="G134" s="639"/>
      <c r="H134" s="641"/>
      <c r="I134" s="645"/>
    </row>
    <row r="135" spans="1:9">
      <c r="A135" s="645"/>
      <c r="B135" s="644"/>
      <c r="C135" s="639"/>
      <c r="D135" s="639"/>
      <c r="E135" s="650"/>
      <c r="F135" s="650"/>
      <c r="G135" s="639"/>
      <c r="H135" s="641"/>
      <c r="I135" s="645"/>
    </row>
    <row r="136" spans="1:9">
      <c r="A136" s="645"/>
      <c r="B136" s="644"/>
      <c r="C136" s="639"/>
      <c r="D136" s="639"/>
      <c r="E136" s="650"/>
      <c r="F136" s="650"/>
      <c r="G136" s="639"/>
      <c r="H136" s="641"/>
      <c r="I136" s="645"/>
    </row>
    <row r="137" spans="1:9">
      <c r="A137" s="645"/>
      <c r="B137" s="644"/>
      <c r="C137" s="639"/>
      <c r="D137" s="639"/>
      <c r="E137" s="650"/>
      <c r="F137" s="650"/>
      <c r="G137" s="639"/>
      <c r="H137" s="641"/>
      <c r="I137" s="645"/>
    </row>
    <row r="138" spans="1:9">
      <c r="A138" s="645"/>
      <c r="B138" s="644"/>
      <c r="C138" s="639"/>
      <c r="D138" s="639"/>
      <c r="E138" s="650"/>
      <c r="F138" s="650"/>
      <c r="G138" s="639"/>
      <c r="H138" s="641"/>
      <c r="I138" s="645"/>
    </row>
    <row r="139" spans="1:9">
      <c r="A139" s="645"/>
      <c r="B139" s="644"/>
      <c r="C139" s="639"/>
      <c r="D139" s="639"/>
      <c r="E139" s="650"/>
      <c r="F139" s="650"/>
      <c r="G139" s="639"/>
      <c r="H139" s="641"/>
      <c r="I139" s="645"/>
    </row>
    <row r="140" spans="1:9">
      <c r="A140" s="645"/>
      <c r="B140" s="644"/>
      <c r="C140" s="639"/>
      <c r="D140" s="639"/>
      <c r="E140" s="650"/>
      <c r="F140" s="650"/>
      <c r="G140" s="639"/>
      <c r="H140" s="641"/>
      <c r="I140" s="645"/>
    </row>
    <row r="141" spans="1:9">
      <c r="A141" s="645"/>
      <c r="B141" s="644"/>
      <c r="C141" s="639"/>
      <c r="D141" s="639"/>
      <c r="E141" s="650"/>
      <c r="F141" s="650"/>
      <c r="G141" s="639"/>
      <c r="H141" s="641"/>
      <c r="I141" s="645"/>
    </row>
    <row r="142" spans="1:9">
      <c r="A142" s="645"/>
      <c r="B142" s="644"/>
      <c r="C142" s="639"/>
      <c r="D142" s="639"/>
      <c r="E142" s="650"/>
      <c r="F142" s="650"/>
      <c r="G142" s="639"/>
      <c r="H142" s="641"/>
      <c r="I142" s="645"/>
    </row>
    <row r="143" spans="1:9">
      <c r="A143" s="645"/>
      <c r="B143" s="644"/>
      <c r="C143" s="639"/>
      <c r="D143" s="639"/>
      <c r="E143" s="650"/>
      <c r="F143" s="650"/>
      <c r="G143" s="639"/>
      <c r="H143" s="641"/>
      <c r="I143" s="645"/>
    </row>
    <row r="144" spans="1:9">
      <c r="A144" s="645"/>
      <c r="B144" s="644"/>
      <c r="C144" s="639"/>
      <c r="D144" s="639"/>
      <c r="E144" s="650"/>
      <c r="F144" s="650"/>
      <c r="G144" s="639"/>
      <c r="H144" s="641"/>
      <c r="I144" s="645"/>
    </row>
    <row r="145" spans="1:9">
      <c r="A145" s="645"/>
      <c r="B145" s="644"/>
      <c r="C145" s="639"/>
      <c r="D145" s="639"/>
      <c r="E145" s="650"/>
      <c r="F145" s="650"/>
      <c r="G145" s="639"/>
      <c r="H145" s="641"/>
      <c r="I145" s="645"/>
    </row>
    <row r="146" spans="1:9">
      <c r="A146" s="645"/>
      <c r="B146" s="644"/>
      <c r="C146" s="639"/>
      <c r="D146" s="639"/>
      <c r="E146" s="650"/>
      <c r="F146" s="650"/>
      <c r="G146" s="639"/>
      <c r="H146" s="641"/>
      <c r="I146" s="645"/>
    </row>
    <row r="147" spans="1:9">
      <c r="A147" s="645"/>
      <c r="B147" s="644"/>
      <c r="C147" s="639"/>
      <c r="D147" s="639"/>
      <c r="E147" s="650"/>
      <c r="F147" s="650"/>
      <c r="G147" s="639"/>
      <c r="H147" s="641"/>
      <c r="I147" s="645"/>
    </row>
    <row r="148" spans="1:9">
      <c r="A148" s="645"/>
      <c r="B148" s="644"/>
      <c r="C148" s="639"/>
      <c r="D148" s="639"/>
      <c r="E148" s="650"/>
      <c r="F148" s="650"/>
      <c r="G148" s="639"/>
      <c r="H148" s="641"/>
      <c r="I148" s="645"/>
    </row>
    <row r="149" spans="1:9">
      <c r="A149" s="645"/>
      <c r="B149" s="644"/>
      <c r="C149" s="639"/>
      <c r="D149" s="639"/>
      <c r="E149" s="650"/>
      <c r="F149" s="650"/>
      <c r="G149" s="639"/>
      <c r="H149" s="641"/>
      <c r="I149" s="645"/>
    </row>
    <row r="150" spans="1:9">
      <c r="A150" s="645"/>
      <c r="B150" s="644"/>
      <c r="C150" s="639"/>
      <c r="D150" s="639"/>
      <c r="E150" s="650"/>
      <c r="F150" s="650"/>
      <c r="G150" s="639"/>
      <c r="H150" s="641"/>
      <c r="I150" s="645"/>
    </row>
    <row r="151" spans="1:9">
      <c r="A151" s="645"/>
      <c r="B151" s="644"/>
      <c r="C151" s="639"/>
      <c r="D151" s="639"/>
      <c r="E151" s="650"/>
      <c r="F151" s="650"/>
      <c r="G151" s="639"/>
      <c r="H151" s="641"/>
      <c r="I151" s="645"/>
    </row>
    <row r="152" spans="1:9">
      <c r="A152" s="645"/>
      <c r="B152" s="644"/>
      <c r="C152" s="639"/>
      <c r="D152" s="639"/>
      <c r="E152" s="650"/>
      <c r="F152" s="650"/>
      <c r="G152" s="639"/>
      <c r="H152" s="641"/>
      <c r="I152" s="645"/>
    </row>
    <row r="153" spans="1:9">
      <c r="A153" s="645"/>
      <c r="B153" s="644"/>
      <c r="C153" s="639"/>
      <c r="D153" s="639"/>
      <c r="E153" s="650"/>
      <c r="F153" s="650"/>
      <c r="G153" s="639"/>
      <c r="H153" s="641"/>
      <c r="I153" s="645"/>
    </row>
    <row r="154" spans="1:9">
      <c r="A154" s="645"/>
      <c r="B154" s="644"/>
      <c r="C154" s="639"/>
      <c r="D154" s="639"/>
      <c r="E154" s="650"/>
      <c r="F154" s="650"/>
      <c r="G154" s="639"/>
      <c r="H154" s="641"/>
      <c r="I154" s="645"/>
    </row>
    <row r="155" spans="1:9">
      <c r="A155" s="645"/>
      <c r="B155" s="644"/>
      <c r="C155" s="639"/>
      <c r="D155" s="639"/>
      <c r="E155" s="650"/>
      <c r="F155" s="650"/>
      <c r="G155" s="639"/>
      <c r="H155" s="641"/>
      <c r="I155" s="645"/>
    </row>
    <row r="156" spans="1:9">
      <c r="A156" s="645"/>
      <c r="B156" s="644"/>
      <c r="C156" s="639"/>
      <c r="D156" s="639"/>
      <c r="E156" s="650"/>
      <c r="F156" s="650"/>
      <c r="G156" s="639"/>
      <c r="H156" s="641"/>
      <c r="I156" s="645"/>
    </row>
    <row r="157" spans="1:9">
      <c r="A157" s="645"/>
      <c r="B157" s="644"/>
      <c r="C157" s="639"/>
      <c r="D157" s="639"/>
      <c r="E157" s="650"/>
      <c r="F157" s="650"/>
      <c r="G157" s="639"/>
      <c r="H157" s="641"/>
      <c r="I157" s="645"/>
    </row>
    <row r="158" spans="1:9">
      <c r="A158" s="645"/>
      <c r="B158" s="644"/>
      <c r="C158" s="639"/>
      <c r="D158" s="639"/>
      <c r="E158" s="650"/>
      <c r="F158" s="650"/>
      <c r="G158" s="639"/>
      <c r="H158" s="641"/>
      <c r="I158" s="645"/>
    </row>
    <row r="159" spans="1:9">
      <c r="A159" s="645"/>
      <c r="B159" s="644"/>
      <c r="C159" s="639"/>
      <c r="D159" s="639"/>
      <c r="E159" s="650"/>
      <c r="F159" s="650"/>
      <c r="G159" s="639"/>
      <c r="H159" s="641"/>
      <c r="I159" s="645"/>
    </row>
    <row r="160" spans="1:9">
      <c r="A160" s="645"/>
      <c r="B160" s="644"/>
      <c r="C160" s="639"/>
      <c r="D160" s="639"/>
      <c r="E160" s="650"/>
      <c r="F160" s="650"/>
      <c r="G160" s="639"/>
      <c r="H160" s="641"/>
      <c r="I160" s="645"/>
    </row>
    <row r="161" spans="1:9">
      <c r="A161" s="645"/>
      <c r="B161" s="644"/>
      <c r="C161" s="639"/>
      <c r="D161" s="639"/>
      <c r="E161" s="650"/>
      <c r="F161" s="650"/>
      <c r="G161" s="639"/>
      <c r="H161" s="641"/>
      <c r="I161" s="645"/>
    </row>
    <row r="162" spans="1:9">
      <c r="A162" s="645"/>
      <c r="B162" s="644"/>
      <c r="C162" s="639"/>
      <c r="D162" s="639"/>
      <c r="E162" s="650"/>
      <c r="F162" s="650"/>
      <c r="G162" s="639"/>
      <c r="H162" s="641"/>
      <c r="I162" s="645"/>
    </row>
    <row r="163" spans="1:9">
      <c r="A163" s="645"/>
      <c r="B163" s="644"/>
      <c r="C163" s="639"/>
      <c r="D163" s="639"/>
      <c r="E163" s="650"/>
      <c r="F163" s="650"/>
      <c r="G163" s="639"/>
      <c r="H163" s="641"/>
      <c r="I163" s="645"/>
    </row>
    <row r="164" spans="1:9">
      <c r="A164" s="645"/>
      <c r="B164" s="644"/>
      <c r="C164" s="639"/>
      <c r="D164" s="639"/>
      <c r="E164" s="650"/>
      <c r="F164" s="650"/>
      <c r="G164" s="639"/>
      <c r="H164" s="641"/>
      <c r="I164" s="645"/>
    </row>
    <row r="165" spans="1:9">
      <c r="A165" s="645"/>
      <c r="B165" s="644"/>
      <c r="C165" s="639"/>
      <c r="D165" s="639"/>
      <c r="E165" s="650"/>
      <c r="F165" s="650"/>
      <c r="G165" s="639"/>
      <c r="H165" s="641"/>
      <c r="I165" s="645"/>
    </row>
    <row r="166" spans="1:9">
      <c r="A166" s="645"/>
      <c r="B166" s="644"/>
      <c r="C166" s="639"/>
      <c r="D166" s="639"/>
      <c r="E166" s="650"/>
      <c r="F166" s="650"/>
      <c r="G166" s="639"/>
      <c r="H166" s="641"/>
      <c r="I166" s="645"/>
    </row>
    <row r="167" spans="1:9">
      <c r="A167" s="645"/>
      <c r="B167" s="644"/>
      <c r="C167" s="639"/>
      <c r="D167" s="639"/>
      <c r="E167" s="650"/>
      <c r="F167" s="650"/>
      <c r="G167" s="639"/>
      <c r="H167" s="641"/>
      <c r="I167" s="645"/>
    </row>
    <row r="168" spans="1:9">
      <c r="A168" s="645"/>
      <c r="B168" s="644"/>
      <c r="C168" s="639"/>
      <c r="D168" s="639"/>
      <c r="E168" s="650"/>
      <c r="F168" s="650"/>
      <c r="G168" s="639"/>
      <c r="H168" s="641"/>
      <c r="I168" s="645"/>
    </row>
    <row r="169" spans="1:9">
      <c r="A169" s="645"/>
      <c r="B169" s="644"/>
      <c r="C169" s="639"/>
      <c r="D169" s="639"/>
      <c r="E169" s="650"/>
      <c r="F169" s="650"/>
      <c r="G169" s="639"/>
      <c r="H169" s="641"/>
      <c r="I169" s="645"/>
    </row>
    <row r="170" spans="1:9">
      <c r="A170" s="645"/>
      <c r="B170" s="644"/>
      <c r="C170" s="639"/>
      <c r="D170" s="639"/>
      <c r="E170" s="650"/>
      <c r="F170" s="650"/>
      <c r="G170" s="639"/>
      <c r="H170" s="641"/>
      <c r="I170" s="645"/>
    </row>
    <row r="171" spans="1:9">
      <c r="A171" s="645"/>
      <c r="B171" s="644"/>
      <c r="C171" s="639"/>
      <c r="D171" s="639"/>
      <c r="E171" s="650"/>
      <c r="F171" s="650"/>
      <c r="G171" s="639"/>
      <c r="H171" s="641"/>
      <c r="I171" s="645"/>
    </row>
    <row r="172" spans="1:9">
      <c r="A172" s="645"/>
      <c r="B172" s="644"/>
      <c r="C172" s="639"/>
      <c r="D172" s="639"/>
      <c r="E172" s="650"/>
      <c r="F172" s="650"/>
      <c r="G172" s="639"/>
      <c r="H172" s="641"/>
      <c r="I172" s="645"/>
    </row>
    <row r="173" spans="1:9">
      <c r="A173" s="645"/>
      <c r="B173" s="644"/>
      <c r="C173" s="639"/>
      <c r="D173" s="639"/>
      <c r="E173" s="650"/>
      <c r="F173" s="650"/>
      <c r="G173" s="639"/>
      <c r="H173" s="641"/>
      <c r="I173" s="645"/>
    </row>
    <row r="174" spans="1:9">
      <c r="A174" s="645"/>
      <c r="B174" s="644"/>
      <c r="C174" s="639"/>
      <c r="D174" s="639"/>
      <c r="E174" s="650"/>
      <c r="F174" s="650"/>
      <c r="G174" s="639"/>
      <c r="H174" s="641"/>
      <c r="I174" s="645"/>
    </row>
    <row r="175" spans="1:9">
      <c r="A175" s="645"/>
      <c r="B175" s="644"/>
      <c r="C175" s="639"/>
      <c r="D175" s="639"/>
      <c r="E175" s="650"/>
      <c r="F175" s="650"/>
      <c r="G175" s="639"/>
      <c r="H175" s="641"/>
      <c r="I175" s="645"/>
    </row>
    <row r="176" spans="1:9">
      <c r="A176" s="645"/>
      <c r="B176" s="644"/>
      <c r="C176" s="639"/>
      <c r="D176" s="639"/>
      <c r="E176" s="650"/>
      <c r="F176" s="650"/>
      <c r="G176" s="639"/>
      <c r="H176" s="641"/>
      <c r="I176" s="645"/>
    </row>
    <row r="177" spans="1:9">
      <c r="A177" s="645"/>
      <c r="B177" s="644"/>
      <c r="C177" s="639"/>
      <c r="D177" s="639"/>
      <c r="E177" s="650"/>
      <c r="F177" s="650"/>
      <c r="G177" s="639"/>
      <c r="H177" s="641"/>
      <c r="I177" s="645"/>
    </row>
    <row r="178" spans="1:9">
      <c r="A178" s="645"/>
      <c r="B178" s="644"/>
      <c r="C178" s="639"/>
      <c r="D178" s="639"/>
      <c r="E178" s="650"/>
      <c r="F178" s="650"/>
      <c r="G178" s="639"/>
      <c r="H178" s="641"/>
      <c r="I178" s="645"/>
    </row>
    <row r="179" spans="1:9">
      <c r="A179" s="645"/>
      <c r="B179" s="644"/>
      <c r="C179" s="639"/>
      <c r="D179" s="639"/>
      <c r="E179" s="650"/>
      <c r="F179" s="650"/>
      <c r="G179" s="639"/>
      <c r="H179" s="641"/>
      <c r="I179" s="645"/>
    </row>
    <row r="180" spans="1:9">
      <c r="A180" s="645"/>
      <c r="B180" s="644"/>
      <c r="C180" s="639"/>
      <c r="D180" s="639"/>
      <c r="E180" s="650"/>
      <c r="F180" s="650"/>
      <c r="G180" s="639"/>
      <c r="H180" s="641"/>
      <c r="I180" s="645"/>
    </row>
    <row r="181" spans="1:9">
      <c r="A181" s="645"/>
      <c r="B181" s="644"/>
      <c r="C181" s="639"/>
      <c r="D181" s="639"/>
      <c r="E181" s="650"/>
      <c r="F181" s="650"/>
      <c r="G181" s="639"/>
      <c r="H181" s="641"/>
      <c r="I181" s="645"/>
    </row>
    <row r="182" spans="1:9">
      <c r="A182" s="645"/>
      <c r="B182" s="644"/>
      <c r="C182" s="639"/>
      <c r="D182" s="639"/>
      <c r="E182" s="650"/>
      <c r="F182" s="650"/>
      <c r="G182" s="639"/>
      <c r="H182" s="641"/>
      <c r="I182" s="645"/>
    </row>
    <row r="183" spans="1:9">
      <c r="A183" s="645"/>
      <c r="B183" s="644"/>
      <c r="C183" s="639"/>
      <c r="D183" s="639"/>
      <c r="E183" s="650"/>
      <c r="F183" s="650"/>
      <c r="G183" s="639"/>
      <c r="H183" s="641"/>
      <c r="I183" s="645"/>
    </row>
    <row r="184" spans="1:9">
      <c r="A184" s="645"/>
      <c r="B184" s="644"/>
      <c r="C184" s="639"/>
      <c r="D184" s="639"/>
      <c r="E184" s="650"/>
      <c r="F184" s="650"/>
      <c r="G184" s="639"/>
      <c r="H184" s="641"/>
      <c r="I184" s="645"/>
    </row>
    <row r="185" spans="1:9">
      <c r="A185" s="645"/>
      <c r="B185" s="644"/>
      <c r="C185" s="639"/>
      <c r="D185" s="639"/>
      <c r="E185" s="650"/>
      <c r="F185" s="650"/>
      <c r="G185" s="639"/>
      <c r="H185" s="641"/>
      <c r="I185" s="645"/>
    </row>
    <row r="186" spans="1:9">
      <c r="A186" s="645"/>
      <c r="B186" s="644"/>
      <c r="C186" s="639"/>
      <c r="D186" s="639"/>
      <c r="E186" s="650"/>
      <c r="F186" s="650"/>
      <c r="G186" s="639"/>
      <c r="H186" s="641"/>
      <c r="I186" s="645"/>
    </row>
    <row r="187" spans="1:9">
      <c r="A187" s="645"/>
      <c r="B187" s="644"/>
      <c r="C187" s="639"/>
      <c r="D187" s="639"/>
      <c r="E187" s="650"/>
      <c r="F187" s="650"/>
      <c r="G187" s="639"/>
      <c r="H187" s="641"/>
      <c r="I187" s="645"/>
    </row>
    <row r="188" spans="1:9">
      <c r="A188" s="645"/>
      <c r="B188" s="644"/>
      <c r="C188" s="639"/>
      <c r="D188" s="639"/>
      <c r="E188" s="650"/>
      <c r="F188" s="650"/>
      <c r="G188" s="639"/>
      <c r="H188" s="641"/>
      <c r="I188" s="645"/>
    </row>
    <row r="189" spans="1:9">
      <c r="A189" s="645"/>
      <c r="B189" s="644"/>
      <c r="C189" s="639"/>
      <c r="D189" s="639"/>
      <c r="E189" s="650"/>
      <c r="F189" s="650"/>
      <c r="G189" s="639"/>
      <c r="H189" s="641"/>
      <c r="I189" s="645"/>
    </row>
    <row r="190" spans="1:9">
      <c r="A190" s="645"/>
      <c r="B190" s="644"/>
      <c r="C190" s="639"/>
      <c r="D190" s="639"/>
      <c r="E190" s="650"/>
      <c r="F190" s="650"/>
      <c r="G190" s="639"/>
      <c r="H190" s="641"/>
      <c r="I190" s="645"/>
    </row>
    <row r="191" spans="1:9">
      <c r="A191" s="645"/>
      <c r="B191" s="644"/>
      <c r="C191" s="639"/>
      <c r="D191" s="639"/>
      <c r="E191" s="650"/>
      <c r="F191" s="650"/>
      <c r="G191" s="639"/>
      <c r="H191" s="641"/>
      <c r="I191" s="645"/>
    </row>
    <row r="192" spans="1:9">
      <c r="A192" s="645"/>
      <c r="B192" s="644"/>
      <c r="C192" s="639"/>
      <c r="D192" s="639"/>
      <c r="E192" s="650"/>
      <c r="F192" s="650"/>
      <c r="G192" s="639"/>
      <c r="H192" s="641"/>
      <c r="I192" s="645"/>
    </row>
    <row r="193" spans="1:9">
      <c r="A193" s="645"/>
      <c r="B193" s="644"/>
      <c r="C193" s="639"/>
      <c r="D193" s="639"/>
      <c r="E193" s="650"/>
      <c r="F193" s="650"/>
      <c r="G193" s="639"/>
      <c r="H193" s="641"/>
      <c r="I193" s="645"/>
    </row>
    <row r="194" spans="1:9">
      <c r="A194" s="645"/>
      <c r="B194" s="644"/>
      <c r="C194" s="639"/>
      <c r="D194" s="639"/>
      <c r="E194" s="650"/>
      <c r="F194" s="650"/>
      <c r="G194" s="639"/>
      <c r="H194" s="641"/>
      <c r="I194" s="645"/>
    </row>
    <row r="195" spans="1:9">
      <c r="A195" s="645"/>
      <c r="B195" s="644"/>
      <c r="C195" s="639"/>
      <c r="D195" s="639"/>
      <c r="E195" s="650"/>
      <c r="F195" s="650"/>
      <c r="G195" s="639"/>
      <c r="H195" s="641"/>
      <c r="I195" s="645"/>
    </row>
    <row r="196" spans="1:9">
      <c r="A196" s="645"/>
      <c r="B196" s="644"/>
      <c r="C196" s="639"/>
      <c r="D196" s="639"/>
      <c r="E196" s="650"/>
      <c r="F196" s="650"/>
      <c r="G196" s="639"/>
      <c r="H196" s="641"/>
      <c r="I196" s="645"/>
    </row>
    <row r="197" spans="1:9">
      <c r="A197" s="645"/>
      <c r="B197" s="644"/>
      <c r="C197" s="639"/>
      <c r="D197" s="639"/>
      <c r="E197" s="650"/>
      <c r="F197" s="650"/>
      <c r="G197" s="639"/>
      <c r="H197" s="641"/>
      <c r="I197" s="645"/>
    </row>
    <row r="198" spans="1:9">
      <c r="A198" s="645"/>
      <c r="B198" s="644"/>
      <c r="C198" s="639"/>
      <c r="D198" s="639"/>
      <c r="E198" s="650"/>
      <c r="F198" s="650"/>
      <c r="G198" s="639"/>
      <c r="H198" s="641"/>
      <c r="I198" s="645"/>
    </row>
    <row r="199" spans="1:9">
      <c r="A199" s="645"/>
      <c r="B199" s="644"/>
      <c r="C199" s="639"/>
      <c r="D199" s="639"/>
      <c r="E199" s="650"/>
      <c r="F199" s="650"/>
      <c r="G199" s="639"/>
      <c r="H199" s="641"/>
      <c r="I199" s="645"/>
    </row>
    <row r="200" spans="1:9">
      <c r="A200" s="645"/>
      <c r="B200" s="644"/>
      <c r="C200" s="639"/>
      <c r="D200" s="639"/>
      <c r="E200" s="650"/>
      <c r="F200" s="650"/>
      <c r="G200" s="639"/>
      <c r="H200" s="641"/>
      <c r="I200" s="645"/>
    </row>
    <row r="201" spans="1:9">
      <c r="A201" s="645"/>
      <c r="B201" s="644"/>
      <c r="C201" s="639"/>
      <c r="D201" s="639"/>
      <c r="E201" s="650"/>
      <c r="F201" s="650"/>
      <c r="G201" s="639"/>
      <c r="H201" s="641"/>
      <c r="I201" s="645"/>
    </row>
    <row r="202" spans="1:9">
      <c r="A202" s="645"/>
      <c r="B202" s="644"/>
      <c r="C202" s="639"/>
      <c r="D202" s="639"/>
      <c r="E202" s="650"/>
      <c r="F202" s="650"/>
      <c r="G202" s="639"/>
      <c r="H202" s="641"/>
      <c r="I202" s="645"/>
    </row>
    <row r="203" spans="1:9">
      <c r="A203" s="645"/>
      <c r="B203" s="644"/>
      <c r="C203" s="639"/>
      <c r="D203" s="639"/>
      <c r="E203" s="650"/>
      <c r="F203" s="650"/>
      <c r="G203" s="639"/>
      <c r="H203" s="641"/>
      <c r="I203" s="645"/>
    </row>
    <row r="204" spans="1:9">
      <c r="A204" s="645"/>
      <c r="B204" s="644"/>
      <c r="C204" s="639"/>
      <c r="D204" s="639"/>
      <c r="E204" s="650"/>
      <c r="F204" s="650"/>
      <c r="G204" s="639"/>
      <c r="H204" s="641"/>
      <c r="I204" s="645"/>
    </row>
    <row r="205" spans="1:9">
      <c r="A205" s="645"/>
      <c r="B205" s="644"/>
      <c r="C205" s="639"/>
      <c r="D205" s="639"/>
      <c r="E205" s="650"/>
      <c r="F205" s="650"/>
      <c r="G205" s="639"/>
      <c r="H205" s="641"/>
      <c r="I205" s="645"/>
    </row>
  </sheetData>
  <mergeCells count="1">
    <mergeCell ref="B3:H3"/>
  </mergeCells>
  <dataValidations count="1">
    <dataValidation type="list" allowBlank="1" showInputMessage="1" showErrorMessage="1" sqref="D6:D205" xr:uid="{45513375-587C-4309-9D73-A1EEE8F2AAEC}">
      <formula1>"Cliente,Fornecedor,Cliente &amp; Fornecedor"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3A51-4B2C-49B9-8278-C0A70A9BF926}">
  <sheetPr codeName="Planilha22">
    <tabColor rgb="FF00B050"/>
  </sheetPr>
  <dimension ref="A1:I999"/>
  <sheetViews>
    <sheetView showGridLines="0" showRowColHeaders="0" zoomScaleNormal="100" workbookViewId="0">
      <pane ySplit="5" topLeftCell="A6" activePane="bottomLeft" state="frozen"/>
      <selection activeCell="C5" sqref="C5"/>
      <selection pane="bottomLeft" activeCell="A6" sqref="A6"/>
    </sheetView>
  </sheetViews>
  <sheetFormatPr defaultColWidth="0" defaultRowHeight="14.25"/>
  <cols>
    <col min="1" max="1" width="1.75" customWidth="1"/>
    <col min="2" max="2" width="4.125" customWidth="1"/>
    <col min="3" max="3" width="37.125" customWidth="1"/>
    <col min="4" max="4" width="19.25" customWidth="1"/>
    <col min="5" max="5" width="11.25" customWidth="1"/>
    <col min="6" max="6" width="10.875" customWidth="1"/>
    <col min="7" max="7" width="16.625" customWidth="1"/>
    <col min="8" max="8" width="58.5" customWidth="1"/>
    <col min="9" max="9" width="11.375" customWidth="1"/>
    <col min="10" max="16384" width="9" hidden="1"/>
  </cols>
  <sheetData>
    <row r="1" spans="1:9" ht="12" customHeight="1">
      <c r="A1" s="645"/>
      <c r="B1" s="645"/>
      <c r="C1" s="645"/>
      <c r="D1" s="645"/>
      <c r="E1" s="645"/>
      <c r="F1" s="645"/>
      <c r="G1" s="646">
        <f>COUNTIF($D$6:$D$205,"Fornecedor")+COUNTIF($D$6:$D$205,"Cliente &amp; Fornecedor")</f>
        <v>0</v>
      </c>
      <c r="H1" s="645"/>
      <c r="I1" s="645"/>
    </row>
    <row r="2" spans="1:9" ht="14.25" customHeight="1" thickBot="1">
      <c r="A2" s="645"/>
      <c r="B2" s="645"/>
      <c r="C2" s="645"/>
      <c r="D2" s="645"/>
      <c r="E2" s="645"/>
      <c r="F2" s="645"/>
      <c r="G2" s="646">
        <f>COUNTIF($D$6:$D$205,"Cliente")+COUNTIF($D$6:$D$205,"Cliente &amp; Fornecedor")</f>
        <v>0</v>
      </c>
      <c r="H2" s="645"/>
      <c r="I2" s="645"/>
    </row>
    <row r="3" spans="1:9" ht="23.25" customHeight="1" thickBot="1">
      <c r="A3" s="645"/>
      <c r="B3" s="2136" t="s">
        <v>850</v>
      </c>
      <c r="C3" s="2137"/>
      <c r="D3" s="2137"/>
      <c r="E3" s="2137"/>
      <c r="F3" s="2137"/>
      <c r="G3" s="2137"/>
      <c r="H3" s="2138"/>
      <c r="I3" s="645"/>
    </row>
    <row r="4" spans="1:9" ht="3.75" customHeight="1" thickTop="1">
      <c r="A4" s="645"/>
      <c r="B4" s="645"/>
      <c r="C4" s="645"/>
      <c r="D4" s="645"/>
      <c r="E4" s="645"/>
      <c r="F4" s="645"/>
      <c r="G4" s="645"/>
      <c r="H4" s="645"/>
      <c r="I4" s="645"/>
    </row>
    <row r="5" spans="1:9" ht="33" customHeight="1">
      <c r="A5" s="645"/>
      <c r="B5" s="662" t="s">
        <v>68</v>
      </c>
      <c r="C5" s="662" t="s">
        <v>805</v>
      </c>
      <c r="D5" s="662" t="s">
        <v>811</v>
      </c>
      <c r="E5" s="663" t="s">
        <v>813</v>
      </c>
      <c r="F5" s="663" t="s">
        <v>812</v>
      </c>
      <c r="G5" s="662" t="str">
        <f>"Valor "&amp;TEXT(SUBTOTAL(9,G6:G1000),"R$ #.##0")</f>
        <v>Valor R$ 101</v>
      </c>
      <c r="H5" s="664" t="s">
        <v>798</v>
      </c>
      <c r="I5" s="645"/>
    </row>
    <row r="6" spans="1:9">
      <c r="A6" s="645"/>
      <c r="B6" s="643"/>
      <c r="C6" s="640" t="s">
        <v>801</v>
      </c>
      <c r="D6" s="640" t="s">
        <v>815</v>
      </c>
      <c r="E6" s="655">
        <v>45047</v>
      </c>
      <c r="F6" s="655">
        <v>44927</v>
      </c>
      <c r="G6" s="654">
        <v>100</v>
      </c>
      <c r="H6" s="649"/>
      <c r="I6" s="645"/>
    </row>
    <row r="7" spans="1:9">
      <c r="A7" s="645"/>
      <c r="B7" s="643"/>
      <c r="C7" s="640" t="s">
        <v>806</v>
      </c>
      <c r="D7" s="639" t="s">
        <v>815</v>
      </c>
      <c r="E7" s="655">
        <v>45238</v>
      </c>
      <c r="F7" s="655">
        <v>45238</v>
      </c>
      <c r="G7" s="654">
        <v>0</v>
      </c>
      <c r="H7" s="649"/>
      <c r="I7" s="645"/>
    </row>
    <row r="8" spans="1:9">
      <c r="A8" s="645"/>
      <c r="B8" s="643"/>
      <c r="C8" s="640" t="s">
        <v>807</v>
      </c>
      <c r="D8" s="639" t="s">
        <v>814</v>
      </c>
      <c r="E8" s="655">
        <v>45238</v>
      </c>
      <c r="F8" s="655">
        <v>45238</v>
      </c>
      <c r="G8" s="654">
        <v>0</v>
      </c>
      <c r="H8" s="649"/>
      <c r="I8" s="645"/>
    </row>
    <row r="9" spans="1:9">
      <c r="A9" s="645"/>
      <c r="B9" s="644"/>
      <c r="C9" s="640" t="s">
        <v>808</v>
      </c>
      <c r="D9" s="640" t="s">
        <v>814</v>
      </c>
      <c r="E9" s="655">
        <v>45238</v>
      </c>
      <c r="F9" s="655">
        <v>45238</v>
      </c>
      <c r="G9" s="654">
        <v>0</v>
      </c>
      <c r="H9" s="641"/>
      <c r="I9" s="645"/>
    </row>
    <row r="10" spans="1:9">
      <c r="A10" s="645"/>
      <c r="B10" s="644"/>
      <c r="C10" s="640" t="s">
        <v>808</v>
      </c>
      <c r="D10" s="639" t="s">
        <v>814</v>
      </c>
      <c r="E10" s="655">
        <v>45238</v>
      </c>
      <c r="F10" s="655">
        <v>45238</v>
      </c>
      <c r="G10" s="654">
        <v>0</v>
      </c>
      <c r="H10" s="641"/>
      <c r="I10" s="645"/>
    </row>
    <row r="11" spans="1:9">
      <c r="A11" s="645"/>
      <c r="B11" s="644"/>
      <c r="C11" s="639" t="s">
        <v>809</v>
      </c>
      <c r="D11" s="639" t="s">
        <v>815</v>
      </c>
      <c r="E11" s="655">
        <v>45238</v>
      </c>
      <c r="F11" s="655">
        <v>45238</v>
      </c>
      <c r="G11" s="654">
        <v>1</v>
      </c>
      <c r="H11" s="641"/>
      <c r="I11" s="645"/>
    </row>
    <row r="12" spans="1:9">
      <c r="A12" s="645"/>
      <c r="B12" s="644"/>
      <c r="C12" s="640"/>
      <c r="D12" s="640"/>
      <c r="E12" s="655"/>
      <c r="F12" s="655"/>
      <c r="G12" s="654"/>
      <c r="H12" s="641"/>
      <c r="I12" s="645"/>
    </row>
    <row r="13" spans="1:9">
      <c r="A13" s="645"/>
      <c r="B13" s="644"/>
      <c r="C13" s="639"/>
      <c r="D13" s="639"/>
      <c r="E13" s="655"/>
      <c r="F13" s="655"/>
      <c r="G13" s="654"/>
      <c r="H13" s="641"/>
      <c r="I13" s="645"/>
    </row>
    <row r="14" spans="1:9">
      <c r="A14" s="645"/>
      <c r="B14" s="644"/>
      <c r="C14" s="639"/>
      <c r="D14" s="639"/>
      <c r="E14" s="655"/>
      <c r="F14" s="655"/>
      <c r="G14" s="654"/>
      <c r="H14" s="641"/>
      <c r="I14" s="645"/>
    </row>
    <row r="15" spans="1:9">
      <c r="A15" s="645"/>
      <c r="B15" s="644"/>
      <c r="C15" s="639"/>
      <c r="D15" s="639"/>
      <c r="E15" s="655"/>
      <c r="F15" s="655"/>
      <c r="G15" s="654"/>
      <c r="H15" s="641"/>
      <c r="I15" s="645"/>
    </row>
    <row r="16" spans="1:9">
      <c r="A16" s="645"/>
      <c r="B16" s="644"/>
      <c r="C16" s="639"/>
      <c r="D16" s="639"/>
      <c r="E16" s="655"/>
      <c r="F16" s="655"/>
      <c r="G16" s="654"/>
      <c r="H16" s="641"/>
      <c r="I16" s="645"/>
    </row>
    <row r="17" spans="1:9">
      <c r="A17" s="645"/>
      <c r="B17" s="644"/>
      <c r="C17" s="639"/>
      <c r="D17" s="639"/>
      <c r="E17" s="655"/>
      <c r="F17" s="655"/>
      <c r="G17" s="654"/>
      <c r="H17" s="641"/>
      <c r="I17" s="645"/>
    </row>
    <row r="18" spans="1:9">
      <c r="A18" s="645"/>
      <c r="B18" s="644"/>
      <c r="C18" s="639"/>
      <c r="D18" s="639"/>
      <c r="E18" s="655"/>
      <c r="F18" s="655"/>
      <c r="G18" s="654"/>
      <c r="H18" s="641"/>
      <c r="I18" s="645"/>
    </row>
    <row r="19" spans="1:9">
      <c r="A19" s="645"/>
      <c r="B19" s="644"/>
      <c r="C19" s="639"/>
      <c r="D19" s="639"/>
      <c r="E19" s="655"/>
      <c r="F19" s="655"/>
      <c r="G19" s="654"/>
      <c r="H19" s="641"/>
      <c r="I19" s="645"/>
    </row>
    <row r="20" spans="1:9">
      <c r="A20" s="645"/>
      <c r="B20" s="644"/>
      <c r="C20" s="639"/>
      <c r="D20" s="639"/>
      <c r="E20" s="655"/>
      <c r="F20" s="655"/>
      <c r="G20" s="654"/>
      <c r="H20" s="641"/>
      <c r="I20" s="645"/>
    </row>
    <row r="21" spans="1:9">
      <c r="A21" s="645"/>
      <c r="B21" s="644"/>
      <c r="C21" s="639"/>
      <c r="D21" s="639"/>
      <c r="E21" s="655"/>
      <c r="F21" s="655"/>
      <c r="G21" s="654"/>
      <c r="H21" s="641"/>
      <c r="I21" s="645"/>
    </row>
    <row r="22" spans="1:9">
      <c r="A22" s="645"/>
      <c r="B22" s="644"/>
      <c r="C22" s="639"/>
      <c r="D22" s="639"/>
      <c r="E22" s="655"/>
      <c r="F22" s="655"/>
      <c r="G22" s="654"/>
      <c r="H22" s="641"/>
      <c r="I22" s="645"/>
    </row>
    <row r="23" spans="1:9">
      <c r="A23" s="645"/>
      <c r="B23" s="644"/>
      <c r="C23" s="639"/>
      <c r="D23" s="639"/>
      <c r="E23" s="655"/>
      <c r="F23" s="655"/>
      <c r="G23" s="654"/>
      <c r="H23" s="641"/>
      <c r="I23" s="645"/>
    </row>
    <row r="24" spans="1:9">
      <c r="A24" s="645"/>
      <c r="B24" s="644"/>
      <c r="C24" s="639"/>
      <c r="D24" s="639"/>
      <c r="E24" s="655"/>
      <c r="F24" s="655"/>
      <c r="G24" s="654"/>
      <c r="H24" s="641"/>
      <c r="I24" s="645"/>
    </row>
    <row r="25" spans="1:9">
      <c r="A25" s="645"/>
      <c r="B25" s="644"/>
      <c r="C25" s="639"/>
      <c r="D25" s="639"/>
      <c r="E25" s="655"/>
      <c r="F25" s="655"/>
      <c r="G25" s="654"/>
      <c r="H25" s="641"/>
      <c r="I25" s="645"/>
    </row>
    <row r="26" spans="1:9">
      <c r="A26" s="645"/>
      <c r="B26" s="644"/>
      <c r="C26" s="639"/>
      <c r="D26" s="639"/>
      <c r="E26" s="655"/>
      <c r="F26" s="655"/>
      <c r="G26" s="654"/>
      <c r="H26" s="641"/>
      <c r="I26" s="645"/>
    </row>
    <row r="27" spans="1:9">
      <c r="A27" s="645"/>
      <c r="B27" s="644"/>
      <c r="C27" s="639"/>
      <c r="D27" s="639"/>
      <c r="E27" s="655"/>
      <c r="F27" s="655"/>
      <c r="G27" s="654"/>
      <c r="H27" s="641"/>
      <c r="I27" s="645"/>
    </row>
    <row r="28" spans="1:9">
      <c r="A28" s="645"/>
      <c r="B28" s="644"/>
      <c r="C28" s="639"/>
      <c r="D28" s="639"/>
      <c r="E28" s="655"/>
      <c r="F28" s="655"/>
      <c r="G28" s="654"/>
      <c r="H28" s="641"/>
      <c r="I28" s="645"/>
    </row>
    <row r="29" spans="1:9">
      <c r="A29" s="645"/>
      <c r="B29" s="644"/>
      <c r="C29" s="639"/>
      <c r="D29" s="639"/>
      <c r="E29" s="655"/>
      <c r="F29" s="655"/>
      <c r="G29" s="654"/>
      <c r="H29" s="641"/>
      <c r="I29" s="645"/>
    </row>
    <row r="30" spans="1:9">
      <c r="A30" s="645"/>
      <c r="B30" s="644"/>
      <c r="C30" s="639"/>
      <c r="D30" s="639"/>
      <c r="E30" s="655"/>
      <c r="F30" s="655"/>
      <c r="G30" s="654"/>
      <c r="H30" s="641"/>
      <c r="I30" s="645"/>
    </row>
    <row r="31" spans="1:9">
      <c r="A31" s="645"/>
      <c r="B31" s="644"/>
      <c r="C31" s="639"/>
      <c r="D31" s="639"/>
      <c r="E31" s="655"/>
      <c r="F31" s="655"/>
      <c r="G31" s="654"/>
      <c r="H31" s="641"/>
      <c r="I31" s="645"/>
    </row>
    <row r="32" spans="1:9">
      <c r="A32" s="645"/>
      <c r="B32" s="644"/>
      <c r="C32" s="639"/>
      <c r="D32" s="639"/>
      <c r="E32" s="655"/>
      <c r="F32" s="655"/>
      <c r="G32" s="654"/>
      <c r="H32" s="641"/>
      <c r="I32" s="645"/>
    </row>
    <row r="33" spans="1:9">
      <c r="A33" s="645"/>
      <c r="B33" s="644"/>
      <c r="C33" s="639"/>
      <c r="D33" s="639"/>
      <c r="E33" s="655"/>
      <c r="F33" s="655"/>
      <c r="G33" s="654"/>
      <c r="H33" s="641"/>
      <c r="I33" s="645"/>
    </row>
    <row r="34" spans="1:9">
      <c r="A34" s="645"/>
      <c r="B34" s="644"/>
      <c r="C34" s="639"/>
      <c r="D34" s="639"/>
      <c r="E34" s="655"/>
      <c r="F34" s="655"/>
      <c r="G34" s="654"/>
      <c r="H34" s="641"/>
      <c r="I34" s="645"/>
    </row>
    <row r="35" spans="1:9">
      <c r="A35" s="645"/>
      <c r="B35" s="644"/>
      <c r="C35" s="639"/>
      <c r="D35" s="639"/>
      <c r="E35" s="655"/>
      <c r="F35" s="655"/>
      <c r="G35" s="654"/>
      <c r="H35" s="641"/>
      <c r="I35" s="645"/>
    </row>
    <row r="36" spans="1:9">
      <c r="A36" s="645"/>
      <c r="B36" s="644"/>
      <c r="C36" s="639"/>
      <c r="D36" s="639"/>
      <c r="E36" s="655"/>
      <c r="F36" s="655"/>
      <c r="G36" s="654"/>
      <c r="H36" s="641"/>
      <c r="I36" s="645"/>
    </row>
    <row r="37" spans="1:9">
      <c r="A37" s="645"/>
      <c r="B37" s="644"/>
      <c r="C37" s="639"/>
      <c r="D37" s="639"/>
      <c r="E37" s="655"/>
      <c r="F37" s="655"/>
      <c r="G37" s="654"/>
      <c r="H37" s="641"/>
      <c r="I37" s="645"/>
    </row>
    <row r="38" spans="1:9">
      <c r="A38" s="645"/>
      <c r="B38" s="644"/>
      <c r="C38" s="639"/>
      <c r="D38" s="639"/>
      <c r="E38" s="655"/>
      <c r="F38" s="655"/>
      <c r="G38" s="654"/>
      <c r="H38" s="641"/>
      <c r="I38" s="645"/>
    </row>
    <row r="39" spans="1:9">
      <c r="A39" s="645"/>
      <c r="B39" s="644"/>
      <c r="C39" s="639"/>
      <c r="D39" s="639"/>
      <c r="E39" s="655"/>
      <c r="F39" s="655"/>
      <c r="G39" s="654"/>
      <c r="H39" s="641"/>
      <c r="I39" s="645"/>
    </row>
    <row r="40" spans="1:9">
      <c r="A40" s="645"/>
      <c r="B40" s="644"/>
      <c r="C40" s="639"/>
      <c r="D40" s="639"/>
      <c r="E40" s="655"/>
      <c r="F40" s="655"/>
      <c r="G40" s="654"/>
      <c r="H40" s="641"/>
      <c r="I40" s="645"/>
    </row>
    <row r="41" spans="1:9">
      <c r="A41" s="645"/>
      <c r="B41" s="644"/>
      <c r="C41" s="639"/>
      <c r="D41" s="639"/>
      <c r="E41" s="655"/>
      <c r="F41" s="655"/>
      <c r="G41" s="654"/>
      <c r="H41" s="641"/>
      <c r="I41" s="645"/>
    </row>
    <row r="42" spans="1:9">
      <c r="A42" s="645"/>
      <c r="B42" s="644"/>
      <c r="C42" s="639"/>
      <c r="D42" s="639"/>
      <c r="E42" s="655"/>
      <c r="F42" s="655"/>
      <c r="G42" s="654"/>
      <c r="H42" s="641"/>
      <c r="I42" s="645"/>
    </row>
    <row r="43" spans="1:9">
      <c r="A43" s="645"/>
      <c r="B43" s="644"/>
      <c r="C43" s="639"/>
      <c r="D43" s="639"/>
      <c r="E43" s="655"/>
      <c r="F43" s="655"/>
      <c r="G43" s="654"/>
      <c r="H43" s="641"/>
      <c r="I43" s="645"/>
    </row>
    <row r="44" spans="1:9">
      <c r="A44" s="645"/>
      <c r="B44" s="644"/>
      <c r="C44" s="639"/>
      <c r="D44" s="639"/>
      <c r="E44" s="655"/>
      <c r="F44" s="655"/>
      <c r="G44" s="654"/>
      <c r="H44" s="641"/>
      <c r="I44" s="645"/>
    </row>
    <row r="45" spans="1:9">
      <c r="A45" s="645"/>
      <c r="B45" s="644"/>
      <c r="C45" s="639"/>
      <c r="D45" s="639"/>
      <c r="E45" s="655"/>
      <c r="F45" s="655"/>
      <c r="G45" s="654"/>
      <c r="H45" s="641"/>
      <c r="I45" s="645"/>
    </row>
    <row r="46" spans="1:9">
      <c r="A46" s="645"/>
      <c r="B46" s="644"/>
      <c r="C46" s="639"/>
      <c r="D46" s="639"/>
      <c r="E46" s="655"/>
      <c r="F46" s="655"/>
      <c r="G46" s="654"/>
      <c r="H46" s="641"/>
      <c r="I46" s="645"/>
    </row>
    <row r="47" spans="1:9">
      <c r="A47" s="645"/>
      <c r="B47" s="644"/>
      <c r="C47" s="639"/>
      <c r="D47" s="639"/>
      <c r="E47" s="655"/>
      <c r="F47" s="655"/>
      <c r="G47" s="654"/>
      <c r="H47" s="641"/>
      <c r="I47" s="645"/>
    </row>
    <row r="48" spans="1:9">
      <c r="A48" s="645"/>
      <c r="B48" s="644"/>
      <c r="C48" s="639"/>
      <c r="D48" s="639"/>
      <c r="E48" s="655"/>
      <c r="F48" s="655"/>
      <c r="G48" s="654"/>
      <c r="H48" s="641"/>
      <c r="I48" s="645"/>
    </row>
    <row r="49" spans="1:9">
      <c r="A49" s="645"/>
      <c r="B49" s="644"/>
      <c r="C49" s="639"/>
      <c r="D49" s="639"/>
      <c r="E49" s="655"/>
      <c r="F49" s="655"/>
      <c r="G49" s="654"/>
      <c r="H49" s="641"/>
      <c r="I49" s="645"/>
    </row>
    <row r="50" spans="1:9">
      <c r="A50" s="645"/>
      <c r="B50" s="644"/>
      <c r="C50" s="639"/>
      <c r="D50" s="639"/>
      <c r="E50" s="655"/>
      <c r="F50" s="655"/>
      <c r="G50" s="654"/>
      <c r="H50" s="641"/>
      <c r="I50" s="645"/>
    </row>
    <row r="51" spans="1:9">
      <c r="A51" s="645"/>
      <c r="B51" s="644"/>
      <c r="C51" s="639"/>
      <c r="D51" s="639"/>
      <c r="E51" s="655"/>
      <c r="F51" s="655"/>
      <c r="G51" s="654"/>
      <c r="H51" s="641"/>
      <c r="I51" s="645"/>
    </row>
    <row r="52" spans="1:9">
      <c r="A52" s="645"/>
      <c r="B52" s="644"/>
      <c r="C52" s="639"/>
      <c r="D52" s="639"/>
      <c r="E52" s="655"/>
      <c r="F52" s="655"/>
      <c r="G52" s="654"/>
      <c r="H52" s="641"/>
      <c r="I52" s="645"/>
    </row>
    <row r="53" spans="1:9">
      <c r="A53" s="645"/>
      <c r="B53" s="644"/>
      <c r="C53" s="639"/>
      <c r="D53" s="639"/>
      <c r="E53" s="655"/>
      <c r="F53" s="655"/>
      <c r="G53" s="654"/>
      <c r="H53" s="641"/>
      <c r="I53" s="645"/>
    </row>
    <row r="54" spans="1:9">
      <c r="A54" s="645"/>
      <c r="B54" s="644"/>
      <c r="C54" s="639"/>
      <c r="D54" s="639"/>
      <c r="E54" s="655"/>
      <c r="F54" s="655"/>
      <c r="G54" s="654"/>
      <c r="H54" s="641"/>
      <c r="I54" s="645"/>
    </row>
    <row r="55" spans="1:9">
      <c r="A55" s="645"/>
      <c r="B55" s="644"/>
      <c r="C55" s="639"/>
      <c r="D55" s="639"/>
      <c r="E55" s="655"/>
      <c r="F55" s="655"/>
      <c r="G55" s="654"/>
      <c r="H55" s="641"/>
      <c r="I55" s="645"/>
    </row>
    <row r="56" spans="1:9">
      <c r="A56" s="645"/>
      <c r="B56" s="644"/>
      <c r="C56" s="639"/>
      <c r="D56" s="639"/>
      <c r="E56" s="655"/>
      <c r="F56" s="655"/>
      <c r="G56" s="654"/>
      <c r="H56" s="641"/>
      <c r="I56" s="645"/>
    </row>
    <row r="57" spans="1:9">
      <c r="A57" s="645"/>
      <c r="B57" s="644"/>
      <c r="C57" s="639"/>
      <c r="D57" s="639"/>
      <c r="E57" s="655"/>
      <c r="F57" s="655"/>
      <c r="G57" s="654"/>
      <c r="H57" s="641"/>
      <c r="I57" s="645"/>
    </row>
    <row r="58" spans="1:9">
      <c r="A58" s="645"/>
      <c r="B58" s="644"/>
      <c r="C58" s="639"/>
      <c r="D58" s="639"/>
      <c r="E58" s="655"/>
      <c r="F58" s="655"/>
      <c r="G58" s="654"/>
      <c r="H58" s="641"/>
      <c r="I58" s="645"/>
    </row>
    <row r="59" spans="1:9">
      <c r="A59" s="645"/>
      <c r="B59" s="644"/>
      <c r="C59" s="639"/>
      <c r="D59" s="639"/>
      <c r="E59" s="655"/>
      <c r="F59" s="655"/>
      <c r="G59" s="654"/>
      <c r="H59" s="641"/>
      <c r="I59" s="645"/>
    </row>
    <row r="60" spans="1:9">
      <c r="A60" s="645"/>
      <c r="B60" s="644"/>
      <c r="C60" s="639"/>
      <c r="D60" s="639"/>
      <c r="E60" s="655"/>
      <c r="F60" s="655"/>
      <c r="G60" s="654"/>
      <c r="H60" s="641"/>
      <c r="I60" s="645"/>
    </row>
    <row r="61" spans="1:9">
      <c r="A61" s="645"/>
      <c r="B61" s="644"/>
      <c r="C61" s="639"/>
      <c r="D61" s="639"/>
      <c r="E61" s="655"/>
      <c r="F61" s="655"/>
      <c r="G61" s="654"/>
      <c r="H61" s="641"/>
      <c r="I61" s="645"/>
    </row>
    <row r="62" spans="1:9">
      <c r="A62" s="645"/>
      <c r="B62" s="644"/>
      <c r="C62" s="639"/>
      <c r="D62" s="639"/>
      <c r="E62" s="655"/>
      <c r="F62" s="655"/>
      <c r="G62" s="654"/>
      <c r="H62" s="641"/>
      <c r="I62" s="645"/>
    </row>
    <row r="63" spans="1:9">
      <c r="A63" s="645"/>
      <c r="B63" s="644"/>
      <c r="C63" s="639"/>
      <c r="D63" s="639"/>
      <c r="E63" s="655"/>
      <c r="F63" s="655"/>
      <c r="G63" s="654"/>
      <c r="H63" s="641"/>
      <c r="I63" s="645"/>
    </row>
    <row r="64" spans="1:9">
      <c r="A64" s="645"/>
      <c r="B64" s="644"/>
      <c r="C64" s="639"/>
      <c r="D64" s="639"/>
      <c r="E64" s="655"/>
      <c r="F64" s="655"/>
      <c r="G64" s="654"/>
      <c r="H64" s="641"/>
      <c r="I64" s="645"/>
    </row>
    <row r="65" spans="1:9">
      <c r="A65" s="645"/>
      <c r="B65" s="644"/>
      <c r="C65" s="639"/>
      <c r="D65" s="639"/>
      <c r="E65" s="655"/>
      <c r="F65" s="655"/>
      <c r="G65" s="654"/>
      <c r="H65" s="641"/>
      <c r="I65" s="645"/>
    </row>
    <row r="66" spans="1:9">
      <c r="A66" s="645"/>
      <c r="B66" s="644"/>
      <c r="C66" s="639"/>
      <c r="D66" s="639"/>
      <c r="E66" s="655"/>
      <c r="F66" s="655"/>
      <c r="G66" s="654"/>
      <c r="H66" s="641"/>
      <c r="I66" s="645"/>
    </row>
    <row r="67" spans="1:9">
      <c r="A67" s="645"/>
      <c r="B67" s="644"/>
      <c r="C67" s="639"/>
      <c r="D67" s="639"/>
      <c r="E67" s="655"/>
      <c r="F67" s="655"/>
      <c r="G67" s="654"/>
      <c r="H67" s="641"/>
      <c r="I67" s="645"/>
    </row>
    <row r="68" spans="1:9">
      <c r="A68" s="645"/>
      <c r="B68" s="644"/>
      <c r="C68" s="639"/>
      <c r="D68" s="639"/>
      <c r="E68" s="655"/>
      <c r="F68" s="655"/>
      <c r="G68" s="654"/>
      <c r="H68" s="641"/>
      <c r="I68" s="645"/>
    </row>
    <row r="69" spans="1:9">
      <c r="A69" s="645"/>
      <c r="B69" s="644"/>
      <c r="C69" s="639"/>
      <c r="D69" s="639"/>
      <c r="E69" s="655"/>
      <c r="F69" s="655"/>
      <c r="G69" s="654"/>
      <c r="H69" s="641"/>
      <c r="I69" s="645"/>
    </row>
    <row r="70" spans="1:9">
      <c r="A70" s="645"/>
      <c r="B70" s="644"/>
      <c r="C70" s="639"/>
      <c r="D70" s="639"/>
      <c r="E70" s="655"/>
      <c r="F70" s="655"/>
      <c r="G70" s="654"/>
      <c r="H70" s="641"/>
      <c r="I70" s="645"/>
    </row>
    <row r="71" spans="1:9">
      <c r="A71" s="645"/>
      <c r="B71" s="644"/>
      <c r="C71" s="639"/>
      <c r="D71" s="639"/>
      <c r="E71" s="655"/>
      <c r="F71" s="655"/>
      <c r="G71" s="654"/>
      <c r="H71" s="641"/>
      <c r="I71" s="645"/>
    </row>
    <row r="72" spans="1:9">
      <c r="A72" s="645"/>
      <c r="B72" s="644"/>
      <c r="C72" s="639"/>
      <c r="D72" s="639"/>
      <c r="E72" s="655"/>
      <c r="F72" s="655"/>
      <c r="G72" s="654"/>
      <c r="H72" s="641"/>
      <c r="I72" s="645"/>
    </row>
    <row r="73" spans="1:9">
      <c r="A73" s="645"/>
      <c r="B73" s="644"/>
      <c r="C73" s="639"/>
      <c r="D73" s="639"/>
      <c r="E73" s="655"/>
      <c r="F73" s="655"/>
      <c r="G73" s="654"/>
      <c r="H73" s="641"/>
      <c r="I73" s="645"/>
    </row>
    <row r="74" spans="1:9">
      <c r="A74" s="645"/>
      <c r="B74" s="644"/>
      <c r="C74" s="639"/>
      <c r="D74" s="639"/>
      <c r="E74" s="655"/>
      <c r="F74" s="655"/>
      <c r="G74" s="654"/>
      <c r="H74" s="641"/>
      <c r="I74" s="645"/>
    </row>
    <row r="75" spans="1:9">
      <c r="A75" s="645"/>
      <c r="B75" s="644"/>
      <c r="C75" s="639"/>
      <c r="D75" s="639"/>
      <c r="E75" s="655"/>
      <c r="F75" s="655"/>
      <c r="G75" s="654"/>
      <c r="H75" s="641"/>
      <c r="I75" s="645"/>
    </row>
    <row r="76" spans="1:9">
      <c r="A76" s="645"/>
      <c r="B76" s="644"/>
      <c r="C76" s="639"/>
      <c r="D76" s="639"/>
      <c r="E76" s="655"/>
      <c r="F76" s="655"/>
      <c r="G76" s="654"/>
      <c r="H76" s="641"/>
      <c r="I76" s="645"/>
    </row>
    <row r="77" spans="1:9">
      <c r="A77" s="645"/>
      <c r="B77" s="644"/>
      <c r="C77" s="639"/>
      <c r="D77" s="639"/>
      <c r="E77" s="655"/>
      <c r="F77" s="655"/>
      <c r="G77" s="654"/>
      <c r="H77" s="641"/>
      <c r="I77" s="645"/>
    </row>
    <row r="78" spans="1:9">
      <c r="A78" s="645"/>
      <c r="B78" s="644"/>
      <c r="C78" s="639"/>
      <c r="D78" s="639"/>
      <c r="E78" s="655"/>
      <c r="F78" s="655"/>
      <c r="G78" s="654"/>
      <c r="H78" s="641"/>
      <c r="I78" s="645"/>
    </row>
    <row r="79" spans="1:9">
      <c r="A79" s="645"/>
      <c r="B79" s="644"/>
      <c r="C79" s="639"/>
      <c r="D79" s="639"/>
      <c r="E79" s="655"/>
      <c r="F79" s="655"/>
      <c r="G79" s="654"/>
      <c r="H79" s="641"/>
      <c r="I79" s="645"/>
    </row>
    <row r="80" spans="1:9">
      <c r="A80" s="645"/>
      <c r="B80" s="644"/>
      <c r="C80" s="639"/>
      <c r="D80" s="639"/>
      <c r="E80" s="655"/>
      <c r="F80" s="655"/>
      <c r="G80" s="654"/>
      <c r="H80" s="641"/>
      <c r="I80" s="645"/>
    </row>
    <row r="81" spans="1:9">
      <c r="A81" s="645"/>
      <c r="B81" s="644"/>
      <c r="C81" s="639"/>
      <c r="D81" s="639"/>
      <c r="E81" s="655"/>
      <c r="F81" s="655"/>
      <c r="G81" s="654"/>
      <c r="H81" s="641"/>
      <c r="I81" s="645"/>
    </row>
    <row r="82" spans="1:9">
      <c r="A82" s="645"/>
      <c r="B82" s="644"/>
      <c r="C82" s="639"/>
      <c r="D82" s="639"/>
      <c r="E82" s="655"/>
      <c r="F82" s="655"/>
      <c r="G82" s="654"/>
      <c r="H82" s="641"/>
      <c r="I82" s="645"/>
    </row>
    <row r="83" spans="1:9">
      <c r="A83" s="645"/>
      <c r="B83" s="644"/>
      <c r="C83" s="639"/>
      <c r="D83" s="639"/>
      <c r="E83" s="655"/>
      <c r="F83" s="655"/>
      <c r="G83" s="654"/>
      <c r="H83" s="641"/>
      <c r="I83" s="645"/>
    </row>
    <row r="84" spans="1:9">
      <c r="A84" s="645"/>
      <c r="B84" s="644"/>
      <c r="C84" s="639"/>
      <c r="D84" s="639"/>
      <c r="E84" s="655"/>
      <c r="F84" s="655"/>
      <c r="G84" s="654"/>
      <c r="H84" s="641"/>
      <c r="I84" s="645"/>
    </row>
    <row r="85" spans="1:9">
      <c r="A85" s="645"/>
      <c r="B85" s="644"/>
      <c r="C85" s="639"/>
      <c r="D85" s="639"/>
      <c r="E85" s="655"/>
      <c r="F85" s="655"/>
      <c r="G85" s="654"/>
      <c r="H85" s="641"/>
      <c r="I85" s="645"/>
    </row>
    <row r="86" spans="1:9">
      <c r="A86" s="645"/>
      <c r="B86" s="644"/>
      <c r="C86" s="639"/>
      <c r="D86" s="639"/>
      <c r="E86" s="655"/>
      <c r="F86" s="655"/>
      <c r="G86" s="654"/>
      <c r="H86" s="641"/>
      <c r="I86" s="645"/>
    </row>
    <row r="87" spans="1:9">
      <c r="A87" s="645"/>
      <c r="B87" s="644"/>
      <c r="C87" s="639"/>
      <c r="D87" s="639"/>
      <c r="E87" s="655"/>
      <c r="F87" s="655"/>
      <c r="G87" s="654"/>
      <c r="H87" s="641"/>
      <c r="I87" s="645"/>
    </row>
    <row r="88" spans="1:9">
      <c r="A88" s="645"/>
      <c r="B88" s="644"/>
      <c r="C88" s="639"/>
      <c r="D88" s="639"/>
      <c r="E88" s="655"/>
      <c r="F88" s="655"/>
      <c r="G88" s="654"/>
      <c r="H88" s="641"/>
      <c r="I88" s="645"/>
    </row>
    <row r="89" spans="1:9">
      <c r="A89" s="645"/>
      <c r="B89" s="644"/>
      <c r="C89" s="639"/>
      <c r="D89" s="639"/>
      <c r="E89" s="655"/>
      <c r="F89" s="655"/>
      <c r="G89" s="654"/>
      <c r="H89" s="641"/>
      <c r="I89" s="645"/>
    </row>
    <row r="90" spans="1:9">
      <c r="A90" s="645"/>
      <c r="B90" s="644"/>
      <c r="C90" s="639"/>
      <c r="D90" s="639"/>
      <c r="E90" s="655"/>
      <c r="F90" s="655"/>
      <c r="G90" s="654"/>
      <c r="H90" s="641"/>
      <c r="I90" s="645"/>
    </row>
    <row r="91" spans="1:9">
      <c r="A91" s="645"/>
      <c r="B91" s="644"/>
      <c r="C91" s="639"/>
      <c r="D91" s="639"/>
      <c r="E91" s="655"/>
      <c r="F91" s="655"/>
      <c r="G91" s="654"/>
      <c r="H91" s="641"/>
      <c r="I91" s="645"/>
    </row>
    <row r="92" spans="1:9">
      <c r="A92" s="645"/>
      <c r="B92" s="644"/>
      <c r="C92" s="639"/>
      <c r="D92" s="639"/>
      <c r="E92" s="655"/>
      <c r="F92" s="655"/>
      <c r="G92" s="654"/>
      <c r="H92" s="641"/>
      <c r="I92" s="645"/>
    </row>
    <row r="93" spans="1:9">
      <c r="A93" s="645"/>
      <c r="B93" s="644"/>
      <c r="C93" s="639"/>
      <c r="D93" s="639"/>
      <c r="E93" s="655"/>
      <c r="F93" s="655"/>
      <c r="G93" s="654"/>
      <c r="H93" s="641"/>
      <c r="I93" s="645"/>
    </row>
    <row r="94" spans="1:9">
      <c r="A94" s="645"/>
      <c r="B94" s="644"/>
      <c r="C94" s="639"/>
      <c r="D94" s="639"/>
      <c r="E94" s="655"/>
      <c r="F94" s="655"/>
      <c r="G94" s="654"/>
      <c r="H94" s="641"/>
      <c r="I94" s="645"/>
    </row>
    <row r="95" spans="1:9">
      <c r="A95" s="645"/>
      <c r="B95" s="644"/>
      <c r="C95" s="639"/>
      <c r="D95" s="639"/>
      <c r="E95" s="655"/>
      <c r="F95" s="655"/>
      <c r="G95" s="654"/>
      <c r="H95" s="641"/>
      <c r="I95" s="645"/>
    </row>
    <row r="96" spans="1:9">
      <c r="A96" s="645"/>
      <c r="B96" s="644"/>
      <c r="C96" s="639"/>
      <c r="D96" s="639"/>
      <c r="E96" s="655"/>
      <c r="F96" s="655"/>
      <c r="G96" s="654"/>
      <c r="H96" s="641"/>
      <c r="I96" s="645"/>
    </row>
    <row r="97" spans="1:9">
      <c r="A97" s="645"/>
      <c r="B97" s="644"/>
      <c r="C97" s="639"/>
      <c r="D97" s="639"/>
      <c r="E97" s="655"/>
      <c r="F97" s="655"/>
      <c r="G97" s="654"/>
      <c r="H97" s="641"/>
      <c r="I97" s="645"/>
    </row>
    <row r="98" spans="1:9">
      <c r="A98" s="645"/>
      <c r="B98" s="644"/>
      <c r="C98" s="639"/>
      <c r="D98" s="639"/>
      <c r="E98" s="655"/>
      <c r="F98" s="655"/>
      <c r="G98" s="654"/>
      <c r="H98" s="641"/>
      <c r="I98" s="645"/>
    </row>
    <row r="99" spans="1:9">
      <c r="A99" s="645"/>
      <c r="B99" s="644"/>
      <c r="C99" s="639"/>
      <c r="D99" s="639"/>
      <c r="E99" s="655"/>
      <c r="F99" s="655"/>
      <c r="G99" s="654"/>
      <c r="H99" s="641"/>
      <c r="I99" s="645"/>
    </row>
    <row r="100" spans="1:9">
      <c r="A100" s="645"/>
      <c r="B100" s="644"/>
      <c r="C100" s="639"/>
      <c r="D100" s="639"/>
      <c r="E100" s="655"/>
      <c r="F100" s="655"/>
      <c r="G100" s="654"/>
      <c r="H100" s="641"/>
      <c r="I100" s="645"/>
    </row>
    <row r="101" spans="1:9">
      <c r="A101" s="645"/>
      <c r="B101" s="644"/>
      <c r="C101" s="639"/>
      <c r="D101" s="639"/>
      <c r="E101" s="655"/>
      <c r="F101" s="655"/>
      <c r="G101" s="654"/>
      <c r="H101" s="641"/>
      <c r="I101" s="645"/>
    </row>
    <row r="102" spans="1:9">
      <c r="A102" s="645"/>
      <c r="B102" s="644"/>
      <c r="C102" s="639"/>
      <c r="D102" s="639"/>
      <c r="E102" s="655"/>
      <c r="F102" s="655"/>
      <c r="G102" s="654"/>
      <c r="H102" s="641"/>
      <c r="I102" s="645"/>
    </row>
    <row r="103" spans="1:9">
      <c r="A103" s="645"/>
      <c r="B103" s="644"/>
      <c r="C103" s="639"/>
      <c r="D103" s="639"/>
      <c r="E103" s="655"/>
      <c r="F103" s="655"/>
      <c r="G103" s="654"/>
      <c r="H103" s="641"/>
      <c r="I103" s="645"/>
    </row>
    <row r="104" spans="1:9">
      <c r="A104" s="645"/>
      <c r="B104" s="644"/>
      <c r="C104" s="639"/>
      <c r="D104" s="639"/>
      <c r="E104" s="655"/>
      <c r="F104" s="655"/>
      <c r="G104" s="654"/>
      <c r="H104" s="641"/>
      <c r="I104" s="645"/>
    </row>
    <row r="105" spans="1:9">
      <c r="A105" s="645"/>
      <c r="B105" s="644"/>
      <c r="C105" s="639"/>
      <c r="D105" s="639"/>
      <c r="E105" s="655"/>
      <c r="F105" s="655"/>
      <c r="G105" s="654"/>
      <c r="H105" s="641"/>
      <c r="I105" s="645"/>
    </row>
    <row r="106" spans="1:9">
      <c r="A106" s="645"/>
      <c r="B106" s="644"/>
      <c r="C106" s="639"/>
      <c r="D106" s="639"/>
      <c r="E106" s="655"/>
      <c r="F106" s="655"/>
      <c r="G106" s="654"/>
      <c r="H106" s="641"/>
      <c r="I106" s="645"/>
    </row>
    <row r="107" spans="1:9">
      <c r="A107" s="645"/>
      <c r="B107" s="644"/>
      <c r="C107" s="639"/>
      <c r="D107" s="639"/>
      <c r="E107" s="655"/>
      <c r="F107" s="655"/>
      <c r="G107" s="654"/>
      <c r="H107" s="641"/>
      <c r="I107" s="645"/>
    </row>
    <row r="108" spans="1:9">
      <c r="A108" s="645"/>
      <c r="B108" s="644"/>
      <c r="C108" s="639"/>
      <c r="D108" s="639"/>
      <c r="E108" s="655"/>
      <c r="F108" s="655"/>
      <c r="G108" s="654"/>
      <c r="H108" s="641"/>
      <c r="I108" s="645"/>
    </row>
    <row r="109" spans="1:9">
      <c r="A109" s="645"/>
      <c r="B109" s="644"/>
      <c r="C109" s="639"/>
      <c r="D109" s="639"/>
      <c r="E109" s="655"/>
      <c r="F109" s="655"/>
      <c r="G109" s="654"/>
      <c r="H109" s="641"/>
      <c r="I109" s="645"/>
    </row>
    <row r="110" spans="1:9">
      <c r="A110" s="645"/>
      <c r="B110" s="644"/>
      <c r="C110" s="639"/>
      <c r="D110" s="639"/>
      <c r="E110" s="655"/>
      <c r="F110" s="655"/>
      <c r="G110" s="654"/>
      <c r="H110" s="641"/>
      <c r="I110" s="645"/>
    </row>
    <row r="111" spans="1:9">
      <c r="A111" s="645"/>
      <c r="B111" s="644"/>
      <c r="C111" s="639"/>
      <c r="D111" s="639"/>
      <c r="E111" s="655"/>
      <c r="F111" s="655"/>
      <c r="G111" s="654"/>
      <c r="H111" s="641"/>
      <c r="I111" s="645"/>
    </row>
    <row r="112" spans="1:9">
      <c r="A112" s="645"/>
      <c r="B112" s="644"/>
      <c r="C112" s="639"/>
      <c r="D112" s="639"/>
      <c r="E112" s="655"/>
      <c r="F112" s="655"/>
      <c r="G112" s="654"/>
      <c r="H112" s="641"/>
      <c r="I112" s="645"/>
    </row>
    <row r="113" spans="1:9">
      <c r="A113" s="645"/>
      <c r="B113" s="644"/>
      <c r="C113" s="639"/>
      <c r="D113" s="639"/>
      <c r="E113" s="655"/>
      <c r="F113" s="655"/>
      <c r="G113" s="654"/>
      <c r="H113" s="641"/>
      <c r="I113" s="645"/>
    </row>
    <row r="114" spans="1:9">
      <c r="A114" s="645"/>
      <c r="B114" s="644"/>
      <c r="C114" s="639"/>
      <c r="D114" s="639"/>
      <c r="E114" s="655"/>
      <c r="F114" s="655"/>
      <c r="G114" s="654"/>
      <c r="H114" s="641"/>
      <c r="I114" s="645"/>
    </row>
    <row r="115" spans="1:9">
      <c r="A115" s="645"/>
      <c r="B115" s="644"/>
      <c r="C115" s="639"/>
      <c r="D115" s="639"/>
      <c r="E115" s="655"/>
      <c r="F115" s="655"/>
      <c r="G115" s="654"/>
      <c r="H115" s="641"/>
      <c r="I115" s="645"/>
    </row>
    <row r="116" spans="1:9">
      <c r="A116" s="645"/>
      <c r="B116" s="644"/>
      <c r="C116" s="639"/>
      <c r="D116" s="639"/>
      <c r="E116" s="655"/>
      <c r="F116" s="655"/>
      <c r="G116" s="654"/>
      <c r="H116" s="641"/>
      <c r="I116" s="645"/>
    </row>
    <row r="117" spans="1:9">
      <c r="A117" s="645"/>
      <c r="B117" s="644"/>
      <c r="C117" s="639"/>
      <c r="D117" s="639"/>
      <c r="E117" s="655"/>
      <c r="F117" s="655"/>
      <c r="G117" s="654"/>
      <c r="H117" s="641"/>
      <c r="I117" s="645"/>
    </row>
    <row r="118" spans="1:9">
      <c r="A118" s="645"/>
      <c r="B118" s="644"/>
      <c r="C118" s="639"/>
      <c r="D118" s="639"/>
      <c r="E118" s="655"/>
      <c r="F118" s="655"/>
      <c r="G118" s="654"/>
      <c r="H118" s="641"/>
      <c r="I118" s="645"/>
    </row>
    <row r="119" spans="1:9">
      <c r="A119" s="645"/>
      <c r="B119" s="644"/>
      <c r="C119" s="639"/>
      <c r="D119" s="639"/>
      <c r="E119" s="655"/>
      <c r="F119" s="655"/>
      <c r="G119" s="654"/>
      <c r="H119" s="641"/>
      <c r="I119" s="645"/>
    </row>
    <row r="120" spans="1:9">
      <c r="A120" s="645"/>
      <c r="B120" s="644"/>
      <c r="C120" s="639"/>
      <c r="D120" s="639"/>
      <c r="E120" s="655"/>
      <c r="F120" s="655"/>
      <c r="G120" s="654"/>
      <c r="H120" s="641"/>
      <c r="I120" s="645"/>
    </row>
    <row r="121" spans="1:9">
      <c r="A121" s="645"/>
      <c r="B121" s="644"/>
      <c r="C121" s="639"/>
      <c r="D121" s="639"/>
      <c r="E121" s="655"/>
      <c r="F121" s="655"/>
      <c r="G121" s="654"/>
      <c r="H121" s="641"/>
      <c r="I121" s="645"/>
    </row>
    <row r="122" spans="1:9">
      <c r="A122" s="645"/>
      <c r="B122" s="644"/>
      <c r="C122" s="639"/>
      <c r="D122" s="639"/>
      <c r="E122" s="655"/>
      <c r="F122" s="655"/>
      <c r="G122" s="654"/>
      <c r="H122" s="641"/>
      <c r="I122" s="645"/>
    </row>
    <row r="123" spans="1:9">
      <c r="A123" s="645"/>
      <c r="B123" s="644"/>
      <c r="C123" s="639"/>
      <c r="D123" s="639"/>
      <c r="E123" s="655"/>
      <c r="F123" s="655"/>
      <c r="G123" s="654"/>
      <c r="H123" s="641"/>
      <c r="I123" s="645"/>
    </row>
    <row r="124" spans="1:9">
      <c r="A124" s="645"/>
      <c r="B124" s="644"/>
      <c r="C124" s="639"/>
      <c r="D124" s="639"/>
      <c r="E124" s="655"/>
      <c r="F124" s="655"/>
      <c r="G124" s="654"/>
      <c r="H124" s="641"/>
      <c r="I124" s="645"/>
    </row>
    <row r="125" spans="1:9">
      <c r="A125" s="645"/>
      <c r="B125" s="644"/>
      <c r="C125" s="639"/>
      <c r="D125" s="639"/>
      <c r="E125" s="655"/>
      <c r="F125" s="655"/>
      <c r="G125" s="654"/>
      <c r="H125" s="641"/>
      <c r="I125" s="645"/>
    </row>
    <row r="126" spans="1:9">
      <c r="A126" s="645"/>
      <c r="B126" s="644"/>
      <c r="C126" s="639"/>
      <c r="D126" s="639"/>
      <c r="E126" s="655"/>
      <c r="F126" s="655"/>
      <c r="G126" s="654"/>
      <c r="H126" s="641"/>
      <c r="I126" s="645"/>
    </row>
    <row r="127" spans="1:9">
      <c r="A127" s="645"/>
      <c r="B127" s="644"/>
      <c r="C127" s="639"/>
      <c r="D127" s="639"/>
      <c r="E127" s="655"/>
      <c r="F127" s="655"/>
      <c r="G127" s="654"/>
      <c r="H127" s="641"/>
      <c r="I127" s="645"/>
    </row>
    <row r="128" spans="1:9">
      <c r="A128" s="645"/>
      <c r="B128" s="644"/>
      <c r="C128" s="639"/>
      <c r="D128" s="639"/>
      <c r="E128" s="655"/>
      <c r="F128" s="655"/>
      <c r="G128" s="654"/>
      <c r="H128" s="641"/>
      <c r="I128" s="645"/>
    </row>
    <row r="129" spans="1:9">
      <c r="A129" s="645"/>
      <c r="B129" s="644"/>
      <c r="C129" s="639"/>
      <c r="D129" s="639"/>
      <c r="E129" s="655"/>
      <c r="F129" s="655"/>
      <c r="G129" s="654"/>
      <c r="H129" s="641"/>
      <c r="I129" s="645"/>
    </row>
    <row r="130" spans="1:9">
      <c r="A130" s="645"/>
      <c r="B130" s="644"/>
      <c r="C130" s="639"/>
      <c r="D130" s="639"/>
      <c r="E130" s="655"/>
      <c r="F130" s="655"/>
      <c r="G130" s="654"/>
      <c r="H130" s="641"/>
      <c r="I130" s="645"/>
    </row>
    <row r="131" spans="1:9">
      <c r="A131" s="645"/>
      <c r="B131" s="644"/>
      <c r="C131" s="639"/>
      <c r="D131" s="639"/>
      <c r="E131" s="655"/>
      <c r="F131" s="655"/>
      <c r="G131" s="654"/>
      <c r="H131" s="641"/>
      <c r="I131" s="645"/>
    </row>
    <row r="132" spans="1:9">
      <c r="A132" s="645"/>
      <c r="B132" s="644"/>
      <c r="C132" s="639"/>
      <c r="D132" s="639"/>
      <c r="E132" s="655"/>
      <c r="F132" s="655"/>
      <c r="G132" s="654"/>
      <c r="H132" s="641"/>
      <c r="I132" s="645"/>
    </row>
    <row r="133" spans="1:9">
      <c r="A133" s="645"/>
      <c r="B133" s="644"/>
      <c r="C133" s="639"/>
      <c r="D133" s="639"/>
      <c r="E133" s="655"/>
      <c r="F133" s="655"/>
      <c r="G133" s="654"/>
      <c r="H133" s="641"/>
      <c r="I133" s="645"/>
    </row>
    <row r="134" spans="1:9">
      <c r="A134" s="645"/>
      <c r="B134" s="644"/>
      <c r="C134" s="639"/>
      <c r="D134" s="639"/>
      <c r="E134" s="655"/>
      <c r="F134" s="655"/>
      <c r="G134" s="654"/>
      <c r="H134" s="641"/>
      <c r="I134" s="645"/>
    </row>
    <row r="135" spans="1:9">
      <c r="A135" s="645"/>
      <c r="B135" s="644"/>
      <c r="C135" s="639"/>
      <c r="D135" s="639"/>
      <c r="E135" s="655"/>
      <c r="F135" s="655"/>
      <c r="G135" s="654"/>
      <c r="H135" s="641"/>
      <c r="I135" s="645"/>
    </row>
    <row r="136" spans="1:9">
      <c r="A136" s="645"/>
      <c r="B136" s="644"/>
      <c r="C136" s="639"/>
      <c r="D136" s="639"/>
      <c r="E136" s="655"/>
      <c r="F136" s="655"/>
      <c r="G136" s="654"/>
      <c r="H136" s="641"/>
      <c r="I136" s="645"/>
    </row>
    <row r="137" spans="1:9">
      <c r="A137" s="645"/>
      <c r="B137" s="644"/>
      <c r="C137" s="639"/>
      <c r="D137" s="639"/>
      <c r="E137" s="655"/>
      <c r="F137" s="655"/>
      <c r="G137" s="654"/>
      <c r="H137" s="641"/>
      <c r="I137" s="645"/>
    </row>
    <row r="138" spans="1:9">
      <c r="A138" s="645"/>
      <c r="B138" s="644"/>
      <c r="C138" s="639"/>
      <c r="D138" s="639"/>
      <c r="E138" s="655"/>
      <c r="F138" s="655"/>
      <c r="G138" s="654"/>
      <c r="H138" s="641"/>
      <c r="I138" s="645"/>
    </row>
    <row r="139" spans="1:9">
      <c r="A139" s="645"/>
      <c r="B139" s="644"/>
      <c r="C139" s="639"/>
      <c r="D139" s="639"/>
      <c r="E139" s="655"/>
      <c r="F139" s="655"/>
      <c r="G139" s="654"/>
      <c r="H139" s="641"/>
      <c r="I139" s="645"/>
    </row>
    <row r="140" spans="1:9">
      <c r="A140" s="645"/>
      <c r="B140" s="644"/>
      <c r="C140" s="639"/>
      <c r="D140" s="639"/>
      <c r="E140" s="655"/>
      <c r="F140" s="655"/>
      <c r="G140" s="654"/>
      <c r="H140" s="641"/>
      <c r="I140" s="645"/>
    </row>
    <row r="141" spans="1:9">
      <c r="A141" s="645"/>
      <c r="B141" s="644"/>
      <c r="C141" s="639"/>
      <c r="D141" s="639"/>
      <c r="E141" s="655"/>
      <c r="F141" s="655"/>
      <c r="G141" s="654"/>
      <c r="H141" s="641"/>
      <c r="I141" s="645"/>
    </row>
    <row r="142" spans="1:9">
      <c r="A142" s="645"/>
      <c r="B142" s="644"/>
      <c r="C142" s="639"/>
      <c r="D142" s="639"/>
      <c r="E142" s="655"/>
      <c r="F142" s="655"/>
      <c r="G142" s="654"/>
      <c r="H142" s="641"/>
      <c r="I142" s="645"/>
    </row>
    <row r="143" spans="1:9">
      <c r="A143" s="645"/>
      <c r="B143" s="644"/>
      <c r="C143" s="639"/>
      <c r="D143" s="639"/>
      <c r="E143" s="655"/>
      <c r="F143" s="655"/>
      <c r="G143" s="654"/>
      <c r="H143" s="641"/>
      <c r="I143" s="645"/>
    </row>
    <row r="144" spans="1:9">
      <c r="A144" s="645"/>
      <c r="B144" s="644"/>
      <c r="C144" s="639"/>
      <c r="D144" s="639"/>
      <c r="E144" s="655"/>
      <c r="F144" s="655"/>
      <c r="G144" s="654"/>
      <c r="H144" s="641"/>
      <c r="I144" s="645"/>
    </row>
    <row r="145" spans="1:9">
      <c r="A145" s="645"/>
      <c r="B145" s="644"/>
      <c r="C145" s="639"/>
      <c r="D145" s="639"/>
      <c r="E145" s="655"/>
      <c r="F145" s="655"/>
      <c r="G145" s="654"/>
      <c r="H145" s="641"/>
      <c r="I145" s="645"/>
    </row>
    <row r="146" spans="1:9">
      <c r="A146" s="645"/>
      <c r="B146" s="644"/>
      <c r="C146" s="639"/>
      <c r="D146" s="639"/>
      <c r="E146" s="655"/>
      <c r="F146" s="655"/>
      <c r="G146" s="654"/>
      <c r="H146" s="641"/>
      <c r="I146" s="645"/>
    </row>
    <row r="147" spans="1:9">
      <c r="A147" s="645"/>
      <c r="B147" s="644"/>
      <c r="C147" s="639"/>
      <c r="D147" s="639"/>
      <c r="E147" s="655"/>
      <c r="F147" s="655"/>
      <c r="G147" s="654"/>
      <c r="H147" s="641"/>
      <c r="I147" s="645"/>
    </row>
    <row r="148" spans="1:9">
      <c r="A148" s="645"/>
      <c r="B148" s="644"/>
      <c r="C148" s="639"/>
      <c r="D148" s="639"/>
      <c r="E148" s="655"/>
      <c r="F148" s="655"/>
      <c r="G148" s="654"/>
      <c r="H148" s="641"/>
      <c r="I148" s="645"/>
    </row>
    <row r="149" spans="1:9">
      <c r="A149" s="645"/>
      <c r="B149" s="644"/>
      <c r="C149" s="639"/>
      <c r="D149" s="639"/>
      <c r="E149" s="655"/>
      <c r="F149" s="655"/>
      <c r="G149" s="654"/>
      <c r="H149" s="641"/>
      <c r="I149" s="645"/>
    </row>
    <row r="150" spans="1:9">
      <c r="A150" s="645"/>
      <c r="B150" s="644"/>
      <c r="C150" s="639"/>
      <c r="D150" s="639"/>
      <c r="E150" s="655"/>
      <c r="F150" s="655"/>
      <c r="G150" s="654"/>
      <c r="H150" s="641"/>
      <c r="I150" s="645"/>
    </row>
    <row r="151" spans="1:9">
      <c r="A151" s="645"/>
      <c r="B151" s="644"/>
      <c r="C151" s="639"/>
      <c r="D151" s="639"/>
      <c r="E151" s="655"/>
      <c r="F151" s="655"/>
      <c r="G151" s="654"/>
      <c r="H151" s="641"/>
      <c r="I151" s="645"/>
    </row>
    <row r="152" spans="1:9">
      <c r="A152" s="645"/>
      <c r="B152" s="644"/>
      <c r="C152" s="639"/>
      <c r="D152" s="639"/>
      <c r="E152" s="655"/>
      <c r="F152" s="655"/>
      <c r="G152" s="654"/>
      <c r="H152" s="641"/>
      <c r="I152" s="645"/>
    </row>
    <row r="153" spans="1:9">
      <c r="A153" s="645"/>
      <c r="B153" s="644"/>
      <c r="C153" s="639"/>
      <c r="D153" s="639"/>
      <c r="E153" s="655"/>
      <c r="F153" s="655"/>
      <c r="G153" s="654"/>
      <c r="H153" s="641"/>
      <c r="I153" s="645"/>
    </row>
    <row r="154" spans="1:9">
      <c r="A154" s="645"/>
      <c r="B154" s="644"/>
      <c r="C154" s="639"/>
      <c r="D154" s="639"/>
      <c r="E154" s="655"/>
      <c r="F154" s="655"/>
      <c r="G154" s="654"/>
      <c r="H154" s="641"/>
      <c r="I154" s="645"/>
    </row>
    <row r="155" spans="1:9">
      <c r="A155" s="645"/>
      <c r="B155" s="644"/>
      <c r="C155" s="639"/>
      <c r="D155" s="639"/>
      <c r="E155" s="655"/>
      <c r="F155" s="655"/>
      <c r="G155" s="654"/>
      <c r="H155" s="641"/>
      <c r="I155" s="645"/>
    </row>
    <row r="156" spans="1:9">
      <c r="A156" s="645"/>
      <c r="B156" s="644"/>
      <c r="C156" s="639"/>
      <c r="D156" s="639"/>
      <c r="E156" s="655"/>
      <c r="F156" s="655"/>
      <c r="G156" s="654"/>
      <c r="H156" s="641"/>
      <c r="I156" s="645"/>
    </row>
    <row r="157" spans="1:9">
      <c r="A157" s="645"/>
      <c r="B157" s="644"/>
      <c r="C157" s="639"/>
      <c r="D157" s="639"/>
      <c r="E157" s="655"/>
      <c r="F157" s="655"/>
      <c r="G157" s="654"/>
      <c r="H157" s="641"/>
      <c r="I157" s="645"/>
    </row>
    <row r="158" spans="1:9">
      <c r="A158" s="645"/>
      <c r="B158" s="644"/>
      <c r="C158" s="639"/>
      <c r="D158" s="639"/>
      <c r="E158" s="655"/>
      <c r="F158" s="655"/>
      <c r="G158" s="654"/>
      <c r="H158" s="641"/>
      <c r="I158" s="645"/>
    </row>
    <row r="159" spans="1:9">
      <c r="A159" s="645"/>
      <c r="B159" s="644"/>
      <c r="C159" s="639"/>
      <c r="D159" s="639"/>
      <c r="E159" s="655"/>
      <c r="F159" s="655"/>
      <c r="G159" s="654"/>
      <c r="H159" s="641"/>
      <c r="I159" s="645"/>
    </row>
    <row r="160" spans="1:9">
      <c r="A160" s="645"/>
      <c r="B160" s="644"/>
      <c r="C160" s="639"/>
      <c r="D160" s="639"/>
      <c r="E160" s="655"/>
      <c r="F160" s="655"/>
      <c r="G160" s="654"/>
      <c r="H160" s="641"/>
      <c r="I160" s="645"/>
    </row>
    <row r="161" spans="1:9">
      <c r="A161" s="645"/>
      <c r="B161" s="644"/>
      <c r="C161" s="639"/>
      <c r="D161" s="639"/>
      <c r="E161" s="655"/>
      <c r="F161" s="655"/>
      <c r="G161" s="654"/>
      <c r="H161" s="641"/>
      <c r="I161" s="645"/>
    </row>
    <row r="162" spans="1:9">
      <c r="A162" s="645"/>
      <c r="B162" s="644"/>
      <c r="C162" s="639"/>
      <c r="D162" s="639"/>
      <c r="E162" s="655"/>
      <c r="F162" s="655"/>
      <c r="G162" s="654"/>
      <c r="H162" s="641"/>
      <c r="I162" s="645"/>
    </row>
    <row r="163" spans="1:9">
      <c r="A163" s="645"/>
      <c r="B163" s="644"/>
      <c r="C163" s="639"/>
      <c r="D163" s="639"/>
      <c r="E163" s="655"/>
      <c r="F163" s="655"/>
      <c r="G163" s="654"/>
      <c r="H163" s="641"/>
      <c r="I163" s="645"/>
    </row>
    <row r="164" spans="1:9">
      <c r="A164" s="645"/>
      <c r="B164" s="644"/>
      <c r="C164" s="639"/>
      <c r="D164" s="639"/>
      <c r="E164" s="655"/>
      <c r="F164" s="655"/>
      <c r="G164" s="654"/>
      <c r="H164" s="641"/>
      <c r="I164" s="645"/>
    </row>
    <row r="165" spans="1:9">
      <c r="A165" s="645"/>
      <c r="B165" s="644"/>
      <c r="C165" s="639"/>
      <c r="D165" s="639"/>
      <c r="E165" s="655"/>
      <c r="F165" s="655"/>
      <c r="G165" s="654"/>
      <c r="H165" s="641"/>
      <c r="I165" s="645"/>
    </row>
    <row r="166" spans="1:9">
      <c r="A166" s="645"/>
      <c r="B166" s="644"/>
      <c r="C166" s="639"/>
      <c r="D166" s="639"/>
      <c r="E166" s="655"/>
      <c r="F166" s="655"/>
      <c r="G166" s="654"/>
      <c r="H166" s="641"/>
      <c r="I166" s="645"/>
    </row>
    <row r="167" spans="1:9">
      <c r="A167" s="645"/>
      <c r="B167" s="644"/>
      <c r="C167" s="639"/>
      <c r="D167" s="639"/>
      <c r="E167" s="655"/>
      <c r="F167" s="655"/>
      <c r="G167" s="654"/>
      <c r="H167" s="641"/>
      <c r="I167" s="645"/>
    </row>
    <row r="168" spans="1:9">
      <c r="A168" s="645"/>
      <c r="B168" s="644"/>
      <c r="C168" s="639"/>
      <c r="D168" s="639"/>
      <c r="E168" s="655"/>
      <c r="F168" s="655"/>
      <c r="G168" s="654"/>
      <c r="H168" s="641"/>
      <c r="I168" s="645"/>
    </row>
    <row r="169" spans="1:9">
      <c r="A169" s="645"/>
      <c r="B169" s="644"/>
      <c r="C169" s="639"/>
      <c r="D169" s="639"/>
      <c r="E169" s="655"/>
      <c r="F169" s="655"/>
      <c r="G169" s="654"/>
      <c r="H169" s="641"/>
      <c r="I169" s="645"/>
    </row>
    <row r="170" spans="1:9">
      <c r="A170" s="645"/>
      <c r="B170" s="644"/>
      <c r="C170" s="639"/>
      <c r="D170" s="639"/>
      <c r="E170" s="655"/>
      <c r="F170" s="655"/>
      <c r="G170" s="654"/>
      <c r="H170" s="641"/>
      <c r="I170" s="645"/>
    </row>
    <row r="171" spans="1:9">
      <c r="A171" s="645"/>
      <c r="B171" s="644"/>
      <c r="C171" s="639"/>
      <c r="D171" s="639"/>
      <c r="E171" s="655"/>
      <c r="F171" s="655"/>
      <c r="G171" s="654"/>
      <c r="H171" s="641"/>
      <c r="I171" s="645"/>
    </row>
    <row r="172" spans="1:9">
      <c r="A172" s="645"/>
      <c r="B172" s="644"/>
      <c r="C172" s="639"/>
      <c r="D172" s="639"/>
      <c r="E172" s="655"/>
      <c r="F172" s="655"/>
      <c r="G172" s="654"/>
      <c r="H172" s="641"/>
      <c r="I172" s="645"/>
    </row>
    <row r="173" spans="1:9">
      <c r="A173" s="645"/>
      <c r="B173" s="644"/>
      <c r="C173" s="639"/>
      <c r="D173" s="639"/>
      <c r="E173" s="655"/>
      <c r="F173" s="655"/>
      <c r="G173" s="654"/>
      <c r="H173" s="641"/>
      <c r="I173" s="645"/>
    </row>
    <row r="174" spans="1:9">
      <c r="A174" s="645"/>
      <c r="B174" s="644"/>
      <c r="C174" s="639"/>
      <c r="D174" s="639"/>
      <c r="E174" s="655"/>
      <c r="F174" s="655"/>
      <c r="G174" s="654"/>
      <c r="H174" s="641"/>
      <c r="I174" s="645"/>
    </row>
    <row r="175" spans="1:9">
      <c r="A175" s="645"/>
      <c r="B175" s="644"/>
      <c r="C175" s="639"/>
      <c r="D175" s="639"/>
      <c r="E175" s="655"/>
      <c r="F175" s="655"/>
      <c r="G175" s="654"/>
      <c r="H175" s="641"/>
      <c r="I175" s="645"/>
    </row>
    <row r="176" spans="1:9">
      <c r="A176" s="645"/>
      <c r="B176" s="644"/>
      <c r="C176" s="639"/>
      <c r="D176" s="639"/>
      <c r="E176" s="655"/>
      <c r="F176" s="655"/>
      <c r="G176" s="654"/>
      <c r="H176" s="641"/>
      <c r="I176" s="645"/>
    </row>
    <row r="177" spans="1:9">
      <c r="A177" s="645"/>
      <c r="B177" s="644"/>
      <c r="C177" s="639"/>
      <c r="D177" s="639"/>
      <c r="E177" s="655"/>
      <c r="F177" s="655"/>
      <c r="G177" s="654"/>
      <c r="H177" s="641"/>
      <c r="I177" s="645"/>
    </row>
    <row r="178" spans="1:9">
      <c r="A178" s="645"/>
      <c r="B178" s="644"/>
      <c r="C178" s="639"/>
      <c r="D178" s="639"/>
      <c r="E178" s="655"/>
      <c r="F178" s="655"/>
      <c r="G178" s="654"/>
      <c r="H178" s="641"/>
      <c r="I178" s="645"/>
    </row>
    <row r="179" spans="1:9">
      <c r="A179" s="645"/>
      <c r="B179" s="644"/>
      <c r="C179" s="639"/>
      <c r="D179" s="639"/>
      <c r="E179" s="655"/>
      <c r="F179" s="655"/>
      <c r="G179" s="654"/>
      <c r="H179" s="641"/>
      <c r="I179" s="645"/>
    </row>
    <row r="180" spans="1:9">
      <c r="A180" s="645"/>
      <c r="B180" s="644"/>
      <c r="C180" s="639"/>
      <c r="D180" s="639"/>
      <c r="E180" s="655"/>
      <c r="F180" s="655"/>
      <c r="G180" s="654"/>
      <c r="H180" s="641"/>
      <c r="I180" s="645"/>
    </row>
    <row r="181" spans="1:9">
      <c r="A181" s="645"/>
      <c r="B181" s="644"/>
      <c r="C181" s="639"/>
      <c r="D181" s="639"/>
      <c r="E181" s="655"/>
      <c r="F181" s="655"/>
      <c r="G181" s="654"/>
      <c r="H181" s="641"/>
      <c r="I181" s="645"/>
    </row>
    <row r="182" spans="1:9">
      <c r="A182" s="645"/>
      <c r="B182" s="644"/>
      <c r="C182" s="639"/>
      <c r="D182" s="639"/>
      <c r="E182" s="655"/>
      <c r="F182" s="655"/>
      <c r="G182" s="654"/>
      <c r="H182" s="641"/>
      <c r="I182" s="645"/>
    </row>
    <row r="183" spans="1:9">
      <c r="A183" s="645"/>
      <c r="B183" s="644"/>
      <c r="C183" s="639"/>
      <c r="D183" s="639"/>
      <c r="E183" s="655"/>
      <c r="F183" s="655"/>
      <c r="G183" s="654"/>
      <c r="H183" s="641"/>
      <c r="I183" s="645"/>
    </row>
    <row r="184" spans="1:9">
      <c r="A184" s="645"/>
      <c r="B184" s="644"/>
      <c r="C184" s="639"/>
      <c r="D184" s="639"/>
      <c r="E184" s="655"/>
      <c r="F184" s="655"/>
      <c r="G184" s="654"/>
      <c r="H184" s="641"/>
      <c r="I184" s="645"/>
    </row>
    <row r="185" spans="1:9">
      <c r="A185" s="645"/>
      <c r="B185" s="644"/>
      <c r="C185" s="639"/>
      <c r="D185" s="639"/>
      <c r="E185" s="655"/>
      <c r="F185" s="655"/>
      <c r="G185" s="654"/>
      <c r="H185" s="641"/>
      <c r="I185" s="645"/>
    </row>
    <row r="186" spans="1:9">
      <c r="A186" s="645"/>
      <c r="B186" s="644"/>
      <c r="C186" s="639"/>
      <c r="D186" s="639"/>
      <c r="E186" s="655"/>
      <c r="F186" s="655"/>
      <c r="G186" s="654"/>
      <c r="H186" s="641"/>
      <c r="I186" s="645"/>
    </row>
    <row r="187" spans="1:9">
      <c r="A187" s="645"/>
      <c r="B187" s="644"/>
      <c r="C187" s="639"/>
      <c r="D187" s="639"/>
      <c r="E187" s="655"/>
      <c r="F187" s="655"/>
      <c r="G187" s="654"/>
      <c r="H187" s="641"/>
      <c r="I187" s="645"/>
    </row>
    <row r="188" spans="1:9">
      <c r="A188" s="645"/>
      <c r="B188" s="644"/>
      <c r="C188" s="639"/>
      <c r="D188" s="639"/>
      <c r="E188" s="655"/>
      <c r="F188" s="655"/>
      <c r="G188" s="654"/>
      <c r="H188" s="641"/>
      <c r="I188" s="645"/>
    </row>
    <row r="189" spans="1:9">
      <c r="A189" s="645"/>
      <c r="B189" s="644"/>
      <c r="C189" s="639"/>
      <c r="D189" s="639"/>
      <c r="E189" s="655"/>
      <c r="F189" s="655"/>
      <c r="G189" s="654"/>
      <c r="H189" s="641"/>
      <c r="I189" s="645"/>
    </row>
    <row r="190" spans="1:9">
      <c r="A190" s="645"/>
      <c r="B190" s="644"/>
      <c r="C190" s="639"/>
      <c r="D190" s="639"/>
      <c r="E190" s="655"/>
      <c r="F190" s="655"/>
      <c r="G190" s="654"/>
      <c r="H190" s="641"/>
      <c r="I190" s="645"/>
    </row>
    <row r="191" spans="1:9">
      <c r="A191" s="645"/>
      <c r="B191" s="644"/>
      <c r="C191" s="639"/>
      <c r="D191" s="639"/>
      <c r="E191" s="655"/>
      <c r="F191" s="655"/>
      <c r="G191" s="654"/>
      <c r="H191" s="641"/>
      <c r="I191" s="645"/>
    </row>
    <row r="192" spans="1:9">
      <c r="A192" s="645"/>
      <c r="B192" s="644"/>
      <c r="C192" s="639"/>
      <c r="D192" s="639"/>
      <c r="E192" s="655"/>
      <c r="F192" s="655"/>
      <c r="G192" s="654"/>
      <c r="H192" s="641"/>
      <c r="I192" s="645"/>
    </row>
    <row r="193" spans="1:9">
      <c r="A193" s="645"/>
      <c r="B193" s="644"/>
      <c r="C193" s="639"/>
      <c r="D193" s="639"/>
      <c r="E193" s="655"/>
      <c r="F193" s="655"/>
      <c r="G193" s="654"/>
      <c r="H193" s="641"/>
      <c r="I193" s="645"/>
    </row>
    <row r="194" spans="1:9">
      <c r="A194" s="645"/>
      <c r="B194" s="644"/>
      <c r="C194" s="639"/>
      <c r="D194" s="639"/>
      <c r="E194" s="655"/>
      <c r="F194" s="655"/>
      <c r="G194" s="654"/>
      <c r="H194" s="641"/>
      <c r="I194" s="645"/>
    </row>
    <row r="195" spans="1:9">
      <c r="A195" s="645"/>
      <c r="B195" s="644"/>
      <c r="C195" s="639"/>
      <c r="D195" s="639"/>
      <c r="E195" s="655"/>
      <c r="F195" s="655"/>
      <c r="G195" s="654"/>
      <c r="H195" s="641"/>
      <c r="I195" s="645"/>
    </row>
    <row r="196" spans="1:9">
      <c r="A196" s="645"/>
      <c r="B196" s="644"/>
      <c r="C196" s="639"/>
      <c r="D196" s="639"/>
      <c r="E196" s="655"/>
      <c r="F196" s="655"/>
      <c r="G196" s="654"/>
      <c r="H196" s="641"/>
      <c r="I196" s="645"/>
    </row>
    <row r="197" spans="1:9">
      <c r="A197" s="645"/>
      <c r="B197" s="644"/>
      <c r="C197" s="639"/>
      <c r="D197" s="639"/>
      <c r="E197" s="655"/>
      <c r="F197" s="655"/>
      <c r="G197" s="654"/>
      <c r="H197" s="641"/>
      <c r="I197" s="645"/>
    </row>
    <row r="198" spans="1:9">
      <c r="A198" s="645"/>
      <c r="B198" s="644"/>
      <c r="C198" s="639"/>
      <c r="D198" s="639"/>
      <c r="E198" s="655"/>
      <c r="F198" s="655"/>
      <c r="G198" s="654"/>
      <c r="H198" s="641"/>
      <c r="I198" s="645"/>
    </row>
    <row r="199" spans="1:9">
      <c r="A199" s="645"/>
      <c r="B199" s="644"/>
      <c r="C199" s="639"/>
      <c r="D199" s="639"/>
      <c r="E199" s="655"/>
      <c r="F199" s="655"/>
      <c r="G199" s="654"/>
      <c r="H199" s="641"/>
      <c r="I199" s="645"/>
    </row>
    <row r="200" spans="1:9">
      <c r="A200" s="645"/>
      <c r="B200" s="644"/>
      <c r="C200" s="639"/>
      <c r="D200" s="639"/>
      <c r="E200" s="655"/>
      <c r="F200" s="655"/>
      <c r="G200" s="654"/>
      <c r="H200" s="641"/>
      <c r="I200" s="645"/>
    </row>
    <row r="201" spans="1:9">
      <c r="A201" s="645"/>
      <c r="B201" s="644"/>
      <c r="C201" s="639"/>
      <c r="D201" s="639"/>
      <c r="E201" s="655"/>
      <c r="F201" s="655"/>
      <c r="G201" s="654"/>
      <c r="H201" s="641"/>
      <c r="I201" s="645"/>
    </row>
    <row r="202" spans="1:9">
      <c r="A202" s="645"/>
      <c r="B202" s="644"/>
      <c r="C202" s="639"/>
      <c r="D202" s="639"/>
      <c r="E202" s="655"/>
      <c r="F202" s="655"/>
      <c r="G202" s="654"/>
      <c r="H202" s="641"/>
      <c r="I202" s="645"/>
    </row>
    <row r="203" spans="1:9">
      <c r="A203" s="645"/>
      <c r="B203" s="644"/>
      <c r="C203" s="639"/>
      <c r="D203" s="639"/>
      <c r="E203" s="655"/>
      <c r="F203" s="655"/>
      <c r="G203" s="654"/>
      <c r="H203" s="641"/>
      <c r="I203" s="645"/>
    </row>
    <row r="204" spans="1:9">
      <c r="A204" s="645"/>
      <c r="B204" s="644"/>
      <c r="C204" s="639"/>
      <c r="D204" s="639"/>
      <c r="E204" s="655"/>
      <c r="F204" s="655"/>
      <c r="G204" s="654"/>
      <c r="H204" s="641"/>
      <c r="I204" s="645"/>
    </row>
    <row r="205" spans="1:9">
      <c r="A205" s="645"/>
      <c r="B205" s="644"/>
      <c r="C205" s="639"/>
      <c r="D205" s="639"/>
      <c r="E205" s="655"/>
      <c r="F205" s="655"/>
      <c r="G205" s="654"/>
      <c r="H205" s="641"/>
      <c r="I205" s="645"/>
    </row>
    <row r="206" spans="1:9">
      <c r="A206" s="629"/>
      <c r="B206" s="629"/>
      <c r="C206" s="629"/>
      <c r="D206" s="629"/>
      <c r="E206" s="629"/>
      <c r="F206" s="629"/>
      <c r="G206" s="629"/>
      <c r="H206" s="629"/>
      <c r="I206" s="629"/>
    </row>
    <row r="207" spans="1:9">
      <c r="A207" s="629"/>
      <c r="B207" s="629"/>
      <c r="C207" s="629"/>
      <c r="D207" s="629"/>
      <c r="E207" s="629"/>
      <c r="F207" s="629"/>
      <c r="G207" s="629"/>
      <c r="H207" s="629"/>
      <c r="I207" s="629"/>
    </row>
    <row r="208" spans="1:9">
      <c r="A208" s="629"/>
      <c r="B208" s="629"/>
      <c r="C208" s="629"/>
      <c r="D208" s="629"/>
      <c r="E208" s="629"/>
      <c r="F208" s="629"/>
      <c r="G208" s="629"/>
      <c r="H208" s="629"/>
      <c r="I208" s="629"/>
    </row>
    <row r="209" spans="1:9">
      <c r="A209" s="629"/>
      <c r="B209" s="629"/>
      <c r="C209" s="629"/>
      <c r="D209" s="629"/>
      <c r="E209" s="629"/>
      <c r="F209" s="629"/>
      <c r="G209" s="629"/>
      <c r="H209" s="629"/>
      <c r="I209" s="629"/>
    </row>
    <row r="210" spans="1:9">
      <c r="A210" s="629"/>
      <c r="B210" s="629"/>
      <c r="C210" s="629"/>
      <c r="D210" s="629"/>
      <c r="E210" s="629"/>
      <c r="F210" s="629"/>
      <c r="G210" s="629"/>
      <c r="H210" s="629"/>
      <c r="I210" s="629"/>
    </row>
    <row r="211" spans="1:9">
      <c r="A211" s="629"/>
      <c r="B211" s="629"/>
      <c r="C211" s="629"/>
      <c r="D211" s="629"/>
      <c r="E211" s="629"/>
      <c r="F211" s="629"/>
      <c r="G211" s="629"/>
      <c r="H211" s="629"/>
      <c r="I211" s="629"/>
    </row>
    <row r="212" spans="1:9">
      <c r="A212" s="629"/>
      <c r="B212" s="629"/>
      <c r="C212" s="629"/>
      <c r="D212" s="629"/>
      <c r="E212" s="629"/>
      <c r="F212" s="629"/>
      <c r="G212" s="629"/>
      <c r="H212" s="629"/>
      <c r="I212" s="629"/>
    </row>
    <row r="213" spans="1:9">
      <c r="A213" s="629"/>
      <c r="B213" s="629"/>
      <c r="C213" s="629"/>
      <c r="D213" s="629"/>
      <c r="E213" s="629"/>
      <c r="F213" s="629"/>
      <c r="G213" s="629"/>
      <c r="H213" s="629"/>
      <c r="I213" s="629"/>
    </row>
    <row r="214" spans="1:9">
      <c r="A214" s="629"/>
      <c r="B214" s="629"/>
      <c r="C214" s="629"/>
      <c r="D214" s="629"/>
      <c r="E214" s="629"/>
      <c r="F214" s="629"/>
      <c r="G214" s="629"/>
      <c r="H214" s="629"/>
      <c r="I214" s="629"/>
    </row>
    <row r="215" spans="1:9">
      <c r="A215" s="629"/>
      <c r="B215" s="629"/>
      <c r="C215" s="629"/>
      <c r="D215" s="629"/>
      <c r="E215" s="629"/>
      <c r="F215" s="629"/>
      <c r="G215" s="629"/>
      <c r="H215" s="629"/>
      <c r="I215" s="629"/>
    </row>
    <row r="216" spans="1:9">
      <c r="A216" s="629"/>
      <c r="B216" s="629"/>
      <c r="C216" s="629"/>
      <c r="D216" s="629"/>
      <c r="E216" s="629"/>
      <c r="F216" s="629"/>
      <c r="G216" s="629"/>
      <c r="H216" s="629"/>
      <c r="I216" s="629"/>
    </row>
    <row r="217" spans="1:9">
      <c r="A217" s="629"/>
      <c r="B217" s="629"/>
      <c r="C217" s="629"/>
      <c r="D217" s="629"/>
      <c r="E217" s="629"/>
      <c r="F217" s="629"/>
      <c r="G217" s="629"/>
      <c r="H217" s="629"/>
      <c r="I217" s="629"/>
    </row>
    <row r="218" spans="1:9">
      <c r="A218" s="629"/>
      <c r="B218" s="629"/>
      <c r="C218" s="629"/>
      <c r="D218" s="629"/>
      <c r="E218" s="629"/>
      <c r="F218" s="629"/>
      <c r="G218" s="629"/>
      <c r="H218" s="629"/>
      <c r="I218" s="629"/>
    </row>
    <row r="219" spans="1:9">
      <c r="A219" s="629"/>
      <c r="B219" s="629"/>
      <c r="C219" s="629"/>
      <c r="D219" s="629"/>
      <c r="E219" s="629"/>
      <c r="F219" s="629"/>
      <c r="G219" s="629"/>
      <c r="H219" s="629"/>
      <c r="I219" s="629"/>
    </row>
    <row r="220" spans="1:9">
      <c r="A220" s="629"/>
      <c r="B220" s="629"/>
      <c r="C220" s="629"/>
      <c r="D220" s="629"/>
      <c r="E220" s="629"/>
      <c r="F220" s="629"/>
      <c r="G220" s="629"/>
      <c r="H220" s="629"/>
      <c r="I220" s="629"/>
    </row>
    <row r="221" spans="1:9">
      <c r="A221" s="629"/>
      <c r="B221" s="629"/>
      <c r="C221" s="629"/>
      <c r="D221" s="629"/>
      <c r="E221" s="629"/>
      <c r="F221" s="629"/>
      <c r="G221" s="629"/>
      <c r="H221" s="629"/>
      <c r="I221" s="629"/>
    </row>
    <row r="222" spans="1:9">
      <c r="A222" s="629"/>
      <c r="B222" s="629"/>
      <c r="C222" s="629"/>
      <c r="D222" s="629"/>
      <c r="E222" s="629"/>
      <c r="F222" s="629"/>
      <c r="G222" s="629"/>
      <c r="H222" s="629"/>
      <c r="I222" s="629"/>
    </row>
    <row r="223" spans="1:9">
      <c r="A223" s="629"/>
      <c r="B223" s="629"/>
      <c r="C223" s="629"/>
      <c r="D223" s="629"/>
      <c r="E223" s="629"/>
      <c r="F223" s="629"/>
      <c r="G223" s="629"/>
      <c r="H223" s="629"/>
      <c r="I223" s="629"/>
    </row>
    <row r="224" spans="1:9">
      <c r="A224" s="629"/>
      <c r="B224" s="629"/>
      <c r="C224" s="629"/>
      <c r="D224" s="629"/>
      <c r="E224" s="629"/>
      <c r="F224" s="629"/>
      <c r="G224" s="629"/>
      <c r="H224" s="629"/>
      <c r="I224" s="629"/>
    </row>
    <row r="225" spans="1:9">
      <c r="A225" s="629"/>
      <c r="B225" s="629"/>
      <c r="C225" s="629"/>
      <c r="D225" s="629"/>
      <c r="E225" s="629"/>
      <c r="F225" s="629"/>
      <c r="G225" s="629"/>
      <c r="H225" s="629"/>
      <c r="I225" s="629"/>
    </row>
    <row r="226" spans="1:9">
      <c r="A226" s="629"/>
      <c r="B226" s="629"/>
      <c r="C226" s="629"/>
      <c r="D226" s="629"/>
      <c r="E226" s="629"/>
      <c r="F226" s="629"/>
      <c r="G226" s="629"/>
      <c r="H226" s="629"/>
      <c r="I226" s="629"/>
    </row>
    <row r="227" spans="1:9">
      <c r="A227" s="629"/>
      <c r="B227" s="629"/>
      <c r="C227" s="629"/>
      <c r="D227" s="629"/>
      <c r="E227" s="629"/>
      <c r="F227" s="629"/>
      <c r="G227" s="629"/>
      <c r="H227" s="629"/>
      <c r="I227" s="629"/>
    </row>
    <row r="228" spans="1:9">
      <c r="A228" s="629"/>
      <c r="B228" s="629"/>
      <c r="C228" s="629"/>
      <c r="D228" s="629"/>
      <c r="E228" s="629"/>
      <c r="F228" s="629"/>
      <c r="G228" s="629"/>
      <c r="H228" s="629"/>
      <c r="I228" s="629"/>
    </row>
    <row r="229" spans="1:9">
      <c r="A229" s="629"/>
      <c r="B229" s="629"/>
      <c r="C229" s="629"/>
      <c r="D229" s="629"/>
      <c r="E229" s="629"/>
      <c r="F229" s="629"/>
      <c r="G229" s="629"/>
      <c r="H229" s="629"/>
      <c r="I229" s="629"/>
    </row>
    <row r="230" spans="1:9">
      <c r="A230" s="629"/>
      <c r="B230" s="629"/>
      <c r="C230" s="629"/>
      <c r="D230" s="629"/>
      <c r="E230" s="629"/>
      <c r="F230" s="629"/>
      <c r="G230" s="629"/>
      <c r="H230" s="629"/>
      <c r="I230" s="629"/>
    </row>
    <row r="231" spans="1:9">
      <c r="A231" s="629"/>
      <c r="B231" s="629"/>
      <c r="C231" s="629"/>
      <c r="D231" s="629"/>
      <c r="E231" s="629"/>
      <c r="F231" s="629"/>
      <c r="G231" s="629"/>
      <c r="H231" s="629"/>
      <c r="I231" s="629"/>
    </row>
    <row r="232" spans="1:9">
      <c r="A232" s="629"/>
      <c r="B232" s="629"/>
      <c r="C232" s="629"/>
      <c r="D232" s="629"/>
      <c r="E232" s="629"/>
      <c r="F232" s="629"/>
      <c r="G232" s="629"/>
      <c r="H232" s="629"/>
      <c r="I232" s="629"/>
    </row>
    <row r="233" spans="1:9">
      <c r="A233" s="629"/>
      <c r="B233" s="629"/>
      <c r="C233" s="629"/>
      <c r="D233" s="629"/>
      <c r="E233" s="629"/>
      <c r="F233" s="629"/>
      <c r="G233" s="629"/>
      <c r="H233" s="629"/>
      <c r="I233" s="629"/>
    </row>
    <row r="234" spans="1:9">
      <c r="A234" s="629"/>
      <c r="B234" s="629"/>
      <c r="C234" s="629"/>
      <c r="D234" s="629"/>
      <c r="E234" s="629"/>
      <c r="F234" s="629"/>
      <c r="G234" s="629"/>
      <c r="H234" s="629"/>
      <c r="I234" s="629"/>
    </row>
    <row r="235" spans="1:9">
      <c r="A235" s="629"/>
      <c r="B235" s="629"/>
      <c r="C235" s="629"/>
      <c r="D235" s="629"/>
      <c r="E235" s="629"/>
      <c r="F235" s="629"/>
      <c r="G235" s="629"/>
      <c r="H235" s="629"/>
      <c r="I235" s="629"/>
    </row>
    <row r="236" spans="1:9">
      <c r="A236" s="629"/>
      <c r="B236" s="629"/>
      <c r="C236" s="629"/>
      <c r="D236" s="629"/>
      <c r="E236" s="629"/>
      <c r="F236" s="629"/>
      <c r="G236" s="629"/>
      <c r="H236" s="629"/>
      <c r="I236" s="629"/>
    </row>
    <row r="237" spans="1:9">
      <c r="A237" s="629"/>
      <c r="B237" s="629"/>
      <c r="C237" s="629"/>
      <c r="D237" s="629"/>
      <c r="E237" s="629"/>
      <c r="F237" s="629"/>
      <c r="G237" s="629"/>
      <c r="H237" s="629"/>
      <c r="I237" s="629"/>
    </row>
    <row r="238" spans="1:9">
      <c r="A238" s="629"/>
      <c r="B238" s="629"/>
      <c r="C238" s="629"/>
      <c r="D238" s="629"/>
      <c r="E238" s="629"/>
      <c r="F238" s="629"/>
      <c r="G238" s="629"/>
      <c r="H238" s="629"/>
      <c r="I238" s="629"/>
    </row>
    <row r="239" spans="1:9">
      <c r="A239" s="629"/>
      <c r="B239" s="629"/>
      <c r="C239" s="629"/>
      <c r="D239" s="629"/>
      <c r="E239" s="629"/>
      <c r="F239" s="629"/>
      <c r="G239" s="629"/>
      <c r="H239" s="629"/>
      <c r="I239" s="629"/>
    </row>
    <row r="240" spans="1:9">
      <c r="A240" s="629"/>
      <c r="B240" s="629"/>
      <c r="C240" s="629"/>
      <c r="D240" s="629"/>
      <c r="E240" s="629"/>
      <c r="F240" s="629"/>
      <c r="G240" s="629"/>
      <c r="H240" s="629"/>
      <c r="I240" s="629"/>
    </row>
    <row r="241" spans="1:9">
      <c r="A241" s="629"/>
      <c r="B241" s="629"/>
      <c r="C241" s="629"/>
      <c r="D241" s="629"/>
      <c r="E241" s="629"/>
      <c r="F241" s="629"/>
      <c r="G241" s="629"/>
      <c r="H241" s="629"/>
      <c r="I241" s="629"/>
    </row>
    <row r="242" spans="1:9">
      <c r="A242" s="629"/>
      <c r="B242" s="629"/>
      <c r="C242" s="629"/>
      <c r="D242" s="629"/>
      <c r="E242" s="629"/>
      <c r="F242" s="629"/>
      <c r="G242" s="629"/>
      <c r="H242" s="629"/>
      <c r="I242" s="629"/>
    </row>
    <row r="243" spans="1:9">
      <c r="A243" s="629"/>
      <c r="B243" s="629"/>
      <c r="C243" s="629"/>
      <c r="D243" s="629"/>
      <c r="E243" s="629"/>
      <c r="F243" s="629"/>
      <c r="G243" s="629"/>
      <c r="H243" s="629"/>
      <c r="I243" s="629"/>
    </row>
    <row r="244" spans="1:9">
      <c r="A244" s="629"/>
      <c r="B244" s="629"/>
      <c r="C244" s="629"/>
      <c r="D244" s="629"/>
      <c r="E244" s="629"/>
      <c r="F244" s="629"/>
      <c r="G244" s="629"/>
      <c r="H244" s="629"/>
      <c r="I244" s="629"/>
    </row>
    <row r="245" spans="1:9">
      <c r="A245" s="629"/>
      <c r="B245" s="629"/>
      <c r="C245" s="629"/>
      <c r="D245" s="629"/>
      <c r="E245" s="629"/>
      <c r="F245" s="629"/>
      <c r="G245" s="629"/>
      <c r="H245" s="629"/>
      <c r="I245" s="629"/>
    </row>
    <row r="246" spans="1:9">
      <c r="A246" s="629"/>
      <c r="B246" s="629"/>
      <c r="C246" s="629"/>
      <c r="D246" s="629"/>
      <c r="E246" s="629"/>
      <c r="F246" s="629"/>
      <c r="G246" s="629"/>
      <c r="H246" s="629"/>
      <c r="I246" s="629"/>
    </row>
    <row r="247" spans="1:9">
      <c r="A247" s="629"/>
      <c r="B247" s="629"/>
      <c r="C247" s="629"/>
      <c r="D247" s="629"/>
      <c r="E247" s="629"/>
      <c r="F247" s="629"/>
      <c r="G247" s="629"/>
      <c r="H247" s="629"/>
      <c r="I247" s="629"/>
    </row>
    <row r="248" spans="1:9">
      <c r="A248" s="629"/>
      <c r="B248" s="629"/>
      <c r="C248" s="629"/>
      <c r="D248" s="629"/>
      <c r="E248" s="629"/>
      <c r="F248" s="629"/>
      <c r="G248" s="629"/>
      <c r="H248" s="629"/>
      <c r="I248" s="629"/>
    </row>
    <row r="249" spans="1:9">
      <c r="A249" s="629"/>
      <c r="B249" s="629"/>
      <c r="C249" s="629"/>
      <c r="D249" s="629"/>
      <c r="E249" s="629"/>
      <c r="F249" s="629"/>
      <c r="G249" s="629"/>
      <c r="H249" s="629"/>
      <c r="I249" s="629"/>
    </row>
    <row r="250" spans="1:9">
      <c r="A250" s="629"/>
      <c r="B250" s="629"/>
      <c r="C250" s="629"/>
      <c r="D250" s="629"/>
      <c r="E250" s="629"/>
      <c r="F250" s="629"/>
      <c r="G250" s="629"/>
      <c r="H250" s="629"/>
      <c r="I250" s="629"/>
    </row>
    <row r="251" spans="1:9">
      <c r="A251" s="629"/>
      <c r="B251" s="629"/>
      <c r="C251" s="629"/>
      <c r="D251" s="629"/>
      <c r="E251" s="629"/>
      <c r="F251" s="629"/>
      <c r="G251" s="629"/>
      <c r="H251" s="629"/>
      <c r="I251" s="629"/>
    </row>
    <row r="252" spans="1:9">
      <c r="A252" s="629"/>
      <c r="B252" s="629"/>
      <c r="C252" s="629"/>
      <c r="D252" s="629"/>
      <c r="E252" s="629"/>
      <c r="F252" s="629"/>
      <c r="G252" s="629"/>
      <c r="H252" s="629"/>
      <c r="I252" s="629"/>
    </row>
    <row r="253" spans="1:9">
      <c r="A253" s="629"/>
      <c r="B253" s="629"/>
      <c r="C253" s="629"/>
      <c r="D253" s="629"/>
      <c r="E253" s="629"/>
      <c r="F253" s="629"/>
      <c r="G253" s="629"/>
      <c r="H253" s="629"/>
      <c r="I253" s="629"/>
    </row>
    <row r="254" spans="1:9">
      <c r="A254" s="629"/>
      <c r="B254" s="629"/>
      <c r="C254" s="629"/>
      <c r="D254" s="629"/>
      <c r="E254" s="629"/>
      <c r="F254" s="629"/>
      <c r="G254" s="629"/>
      <c r="H254" s="629"/>
      <c r="I254" s="629"/>
    </row>
    <row r="255" spans="1:9">
      <c r="A255" s="629"/>
      <c r="B255" s="629"/>
      <c r="C255" s="629"/>
      <c r="D255" s="629"/>
      <c r="E255" s="629"/>
      <c r="F255" s="629"/>
      <c r="G255" s="629"/>
      <c r="H255" s="629"/>
      <c r="I255" s="629"/>
    </row>
    <row r="256" spans="1:9">
      <c r="A256" s="629"/>
      <c r="B256" s="629"/>
      <c r="C256" s="629"/>
      <c r="D256" s="629"/>
      <c r="E256" s="629"/>
      <c r="F256" s="629"/>
      <c r="G256" s="629"/>
      <c r="H256" s="629"/>
      <c r="I256" s="629"/>
    </row>
    <row r="257" spans="1:9">
      <c r="A257" s="629"/>
      <c r="B257" s="629"/>
      <c r="C257" s="629"/>
      <c r="D257" s="629"/>
      <c r="E257" s="629"/>
      <c r="F257" s="629"/>
      <c r="G257" s="629"/>
      <c r="H257" s="629"/>
      <c r="I257" s="629"/>
    </row>
    <row r="258" spans="1:9">
      <c r="A258" s="629"/>
      <c r="B258" s="629"/>
      <c r="C258" s="629"/>
      <c r="D258" s="629"/>
      <c r="E258" s="629"/>
      <c r="F258" s="629"/>
      <c r="G258" s="629"/>
      <c r="H258" s="629"/>
      <c r="I258" s="629"/>
    </row>
    <row r="259" spans="1:9">
      <c r="A259" s="629"/>
      <c r="B259" s="629"/>
      <c r="C259" s="629"/>
      <c r="D259" s="629"/>
      <c r="E259" s="629"/>
      <c r="F259" s="629"/>
      <c r="G259" s="629"/>
      <c r="H259" s="629"/>
      <c r="I259" s="629"/>
    </row>
    <row r="260" spans="1:9">
      <c r="A260" s="629"/>
      <c r="B260" s="629"/>
      <c r="C260" s="629"/>
      <c r="D260" s="629"/>
      <c r="E260" s="629"/>
      <c r="F260" s="629"/>
      <c r="G260" s="629"/>
      <c r="H260" s="629"/>
      <c r="I260" s="629"/>
    </row>
    <row r="261" spans="1:9">
      <c r="A261" s="629"/>
      <c r="B261" s="629"/>
      <c r="C261" s="629"/>
      <c r="D261" s="629"/>
      <c r="E261" s="629"/>
      <c r="F261" s="629"/>
      <c r="G261" s="629"/>
      <c r="H261" s="629"/>
      <c r="I261" s="629"/>
    </row>
    <row r="262" spans="1:9">
      <c r="A262" s="629"/>
      <c r="B262" s="629"/>
      <c r="C262" s="629"/>
      <c r="D262" s="629"/>
      <c r="E262" s="629"/>
      <c r="F262" s="629"/>
      <c r="G262" s="629"/>
      <c r="H262" s="629"/>
      <c r="I262" s="629"/>
    </row>
    <row r="263" spans="1:9">
      <c r="A263" s="629"/>
      <c r="B263" s="629"/>
      <c r="C263" s="629"/>
      <c r="D263" s="629"/>
      <c r="E263" s="629"/>
      <c r="F263" s="629"/>
      <c r="G263" s="629"/>
      <c r="H263" s="629"/>
      <c r="I263" s="629"/>
    </row>
    <row r="264" spans="1:9">
      <c r="A264" s="629"/>
      <c r="B264" s="629"/>
      <c r="C264" s="629"/>
      <c r="D264" s="629"/>
      <c r="E264" s="629"/>
      <c r="F264" s="629"/>
      <c r="G264" s="629"/>
      <c r="H264" s="629"/>
      <c r="I264" s="629"/>
    </row>
    <row r="265" spans="1:9">
      <c r="A265" s="629"/>
      <c r="B265" s="629"/>
      <c r="C265" s="629"/>
      <c r="D265" s="629"/>
      <c r="E265" s="629"/>
      <c r="F265" s="629"/>
      <c r="G265" s="629"/>
      <c r="H265" s="629"/>
      <c r="I265" s="629"/>
    </row>
    <row r="266" spans="1:9">
      <c r="A266" s="629"/>
      <c r="B266" s="629"/>
      <c r="C266" s="629"/>
      <c r="D266" s="629"/>
      <c r="E266" s="629"/>
      <c r="F266" s="629"/>
      <c r="G266" s="629"/>
      <c r="H266" s="629"/>
      <c r="I266" s="629"/>
    </row>
    <row r="267" spans="1:9">
      <c r="A267" s="629"/>
      <c r="B267" s="629"/>
      <c r="C267" s="629"/>
      <c r="D267" s="629"/>
      <c r="E267" s="629"/>
      <c r="F267" s="629"/>
      <c r="G267" s="629"/>
      <c r="H267" s="629"/>
      <c r="I267" s="629"/>
    </row>
    <row r="268" spans="1:9">
      <c r="A268" s="629"/>
      <c r="B268" s="629"/>
      <c r="C268" s="629"/>
      <c r="D268" s="629"/>
      <c r="E268" s="629"/>
      <c r="F268" s="629"/>
      <c r="G268" s="629"/>
      <c r="H268" s="629"/>
      <c r="I268" s="629"/>
    </row>
    <row r="269" spans="1:9">
      <c r="A269" s="629"/>
      <c r="B269" s="629"/>
      <c r="C269" s="629"/>
      <c r="D269" s="629"/>
      <c r="E269" s="629"/>
      <c r="F269" s="629"/>
      <c r="G269" s="629"/>
      <c r="H269" s="629"/>
      <c r="I269" s="629"/>
    </row>
    <row r="270" spans="1:9">
      <c r="A270" s="629"/>
      <c r="B270" s="629"/>
      <c r="C270" s="629"/>
      <c r="D270" s="629"/>
      <c r="E270" s="629"/>
      <c r="F270" s="629"/>
      <c r="G270" s="629"/>
      <c r="H270" s="629"/>
      <c r="I270" s="629"/>
    </row>
    <row r="271" spans="1:9">
      <c r="A271" s="629"/>
      <c r="B271" s="629"/>
      <c r="C271" s="629"/>
      <c r="D271" s="629"/>
      <c r="E271" s="629"/>
      <c r="F271" s="629"/>
      <c r="G271" s="629"/>
      <c r="H271" s="629"/>
      <c r="I271" s="629"/>
    </row>
    <row r="272" spans="1:9">
      <c r="A272" s="629"/>
      <c r="B272" s="629"/>
      <c r="C272" s="629"/>
      <c r="D272" s="629"/>
      <c r="E272" s="629"/>
      <c r="F272" s="629"/>
      <c r="G272" s="629"/>
      <c r="H272" s="629"/>
      <c r="I272" s="629"/>
    </row>
    <row r="273" spans="1:9">
      <c r="A273" s="629"/>
      <c r="B273" s="629"/>
      <c r="C273" s="629"/>
      <c r="D273" s="629"/>
      <c r="E273" s="629"/>
      <c r="F273" s="629"/>
      <c r="G273" s="629"/>
      <c r="H273" s="629"/>
      <c r="I273" s="629"/>
    </row>
    <row r="274" spans="1:9">
      <c r="A274" s="629"/>
      <c r="B274" s="629"/>
      <c r="C274" s="629"/>
      <c r="D274" s="629"/>
      <c r="E274" s="629"/>
      <c r="F274" s="629"/>
      <c r="G274" s="629"/>
      <c r="H274" s="629"/>
      <c r="I274" s="629"/>
    </row>
    <row r="275" spans="1:9">
      <c r="A275" s="629"/>
      <c r="B275" s="629"/>
      <c r="C275" s="629"/>
      <c r="D275" s="629"/>
      <c r="E275" s="629"/>
      <c r="F275" s="629"/>
      <c r="G275" s="629"/>
      <c r="H275" s="629"/>
      <c r="I275" s="629"/>
    </row>
    <row r="276" spans="1:9">
      <c r="A276" s="629"/>
      <c r="B276" s="629"/>
      <c r="C276" s="629"/>
      <c r="D276" s="629"/>
      <c r="E276" s="629"/>
      <c r="F276" s="629"/>
      <c r="G276" s="629"/>
      <c r="H276" s="629"/>
      <c r="I276" s="629"/>
    </row>
    <row r="277" spans="1:9">
      <c r="A277" s="629"/>
      <c r="B277" s="629"/>
      <c r="C277" s="629"/>
      <c r="D277" s="629"/>
      <c r="E277" s="629"/>
      <c r="F277" s="629"/>
      <c r="G277" s="629"/>
      <c r="H277" s="629"/>
      <c r="I277" s="629"/>
    </row>
    <row r="278" spans="1:9">
      <c r="A278" s="629"/>
      <c r="B278" s="629"/>
      <c r="C278" s="629"/>
      <c r="D278" s="629"/>
      <c r="E278" s="629"/>
      <c r="F278" s="629"/>
      <c r="G278" s="629"/>
      <c r="H278" s="629"/>
      <c r="I278" s="629"/>
    </row>
    <row r="279" spans="1:9">
      <c r="A279" s="629"/>
      <c r="B279" s="629"/>
      <c r="C279" s="629"/>
      <c r="D279" s="629"/>
      <c r="E279" s="629"/>
      <c r="F279" s="629"/>
      <c r="G279" s="629"/>
      <c r="H279" s="629"/>
      <c r="I279" s="629"/>
    </row>
    <row r="280" spans="1:9">
      <c r="A280" s="629"/>
      <c r="B280" s="629"/>
      <c r="C280" s="629"/>
      <c r="D280" s="629"/>
      <c r="E280" s="629"/>
      <c r="F280" s="629"/>
      <c r="G280" s="629"/>
      <c r="H280" s="629"/>
      <c r="I280" s="629"/>
    </row>
    <row r="281" spans="1:9">
      <c r="A281" s="629"/>
      <c r="B281" s="629"/>
      <c r="C281" s="629"/>
      <c r="D281" s="629"/>
      <c r="E281" s="629"/>
      <c r="F281" s="629"/>
      <c r="G281" s="629"/>
      <c r="H281" s="629"/>
      <c r="I281" s="629"/>
    </row>
    <row r="282" spans="1:9">
      <c r="A282" s="629"/>
      <c r="B282" s="629"/>
      <c r="C282" s="629"/>
      <c r="D282" s="629"/>
      <c r="E282" s="629"/>
      <c r="F282" s="629"/>
      <c r="G282" s="629"/>
      <c r="H282" s="629"/>
      <c r="I282" s="629"/>
    </row>
    <row r="283" spans="1:9">
      <c r="A283" s="629"/>
      <c r="B283" s="629"/>
      <c r="C283" s="629"/>
      <c r="D283" s="629"/>
      <c r="E283" s="629"/>
      <c r="F283" s="629"/>
      <c r="G283" s="629"/>
      <c r="H283" s="629"/>
      <c r="I283" s="629"/>
    </row>
    <row r="284" spans="1:9">
      <c r="A284" s="629"/>
      <c r="B284" s="629"/>
      <c r="C284" s="629"/>
      <c r="D284" s="629"/>
      <c r="E284" s="629"/>
      <c r="F284" s="629"/>
      <c r="G284" s="629"/>
      <c r="H284" s="629"/>
      <c r="I284" s="629"/>
    </row>
    <row r="285" spans="1:9">
      <c r="A285" s="629"/>
      <c r="B285" s="629"/>
      <c r="C285" s="629"/>
      <c r="D285" s="629"/>
      <c r="E285" s="629"/>
      <c r="F285" s="629"/>
      <c r="G285" s="629"/>
      <c r="H285" s="629"/>
      <c r="I285" s="629"/>
    </row>
    <row r="286" spans="1:9">
      <c r="A286" s="629"/>
      <c r="B286" s="629"/>
      <c r="C286" s="629"/>
      <c r="D286" s="629"/>
      <c r="E286" s="629"/>
      <c r="F286" s="629"/>
      <c r="G286" s="629"/>
      <c r="H286" s="629"/>
      <c r="I286" s="629"/>
    </row>
    <row r="287" spans="1:9">
      <c r="A287" s="629"/>
      <c r="B287" s="629"/>
      <c r="C287" s="629"/>
      <c r="D287" s="629"/>
      <c r="E287" s="629"/>
      <c r="F287" s="629"/>
      <c r="G287" s="629"/>
      <c r="H287" s="629"/>
      <c r="I287" s="629"/>
    </row>
    <row r="288" spans="1:9">
      <c r="A288" s="629"/>
      <c r="B288" s="629"/>
      <c r="C288" s="629"/>
      <c r="D288" s="629"/>
      <c r="E288" s="629"/>
      <c r="F288" s="629"/>
      <c r="G288" s="629"/>
      <c r="H288" s="629"/>
      <c r="I288" s="629"/>
    </row>
    <row r="289" spans="1:9">
      <c r="A289" s="629"/>
      <c r="B289" s="629"/>
      <c r="C289" s="629"/>
      <c r="D289" s="629"/>
      <c r="E289" s="629"/>
      <c r="F289" s="629"/>
      <c r="G289" s="629"/>
      <c r="H289" s="629"/>
      <c r="I289" s="629"/>
    </row>
    <row r="290" spans="1:9">
      <c r="A290" s="629"/>
      <c r="B290" s="629"/>
      <c r="C290" s="629"/>
      <c r="D290" s="629"/>
      <c r="E290" s="629"/>
      <c r="F290" s="629"/>
      <c r="G290" s="629"/>
      <c r="H290" s="629"/>
      <c r="I290" s="629"/>
    </row>
    <row r="291" spans="1:9">
      <c r="A291" s="629"/>
      <c r="B291" s="629"/>
      <c r="C291" s="629"/>
      <c r="D291" s="629"/>
      <c r="E291" s="629"/>
      <c r="F291" s="629"/>
      <c r="G291" s="629"/>
      <c r="H291" s="629"/>
      <c r="I291" s="629"/>
    </row>
    <row r="292" spans="1:9">
      <c r="A292" s="629"/>
      <c r="B292" s="629"/>
      <c r="C292" s="629"/>
      <c r="D292" s="629"/>
      <c r="E292" s="629"/>
      <c r="F292" s="629"/>
      <c r="G292" s="629"/>
      <c r="H292" s="629"/>
      <c r="I292" s="629"/>
    </row>
    <row r="293" spans="1:9">
      <c r="A293" s="629"/>
      <c r="B293" s="629"/>
      <c r="C293" s="629"/>
      <c r="D293" s="629"/>
      <c r="E293" s="629"/>
      <c r="F293" s="629"/>
      <c r="G293" s="629"/>
      <c r="H293" s="629"/>
      <c r="I293" s="629"/>
    </row>
    <row r="294" spans="1:9">
      <c r="A294" s="629"/>
      <c r="B294" s="629"/>
      <c r="C294" s="629"/>
      <c r="D294" s="629"/>
      <c r="E294" s="629"/>
      <c r="F294" s="629"/>
      <c r="G294" s="629"/>
      <c r="H294" s="629"/>
      <c r="I294" s="629"/>
    </row>
    <row r="295" spans="1:9">
      <c r="A295" s="629"/>
      <c r="B295" s="629"/>
      <c r="C295" s="629"/>
      <c r="D295" s="629"/>
      <c r="E295" s="629"/>
      <c r="F295" s="629"/>
      <c r="G295" s="629"/>
      <c r="H295" s="629"/>
      <c r="I295" s="629"/>
    </row>
    <row r="296" spans="1:9">
      <c r="A296" s="629"/>
      <c r="B296" s="629"/>
      <c r="C296" s="629"/>
      <c r="D296" s="629"/>
      <c r="E296" s="629"/>
      <c r="F296" s="629"/>
      <c r="G296" s="629"/>
      <c r="H296" s="629"/>
      <c r="I296" s="629"/>
    </row>
    <row r="297" spans="1:9">
      <c r="A297" s="629"/>
      <c r="B297" s="629"/>
      <c r="C297" s="629"/>
      <c r="D297" s="629"/>
      <c r="E297" s="629"/>
      <c r="F297" s="629"/>
      <c r="G297" s="629"/>
      <c r="H297" s="629"/>
      <c r="I297" s="629"/>
    </row>
    <row r="298" spans="1:9">
      <c r="A298" s="629"/>
      <c r="B298" s="629"/>
      <c r="C298" s="629"/>
      <c r="D298" s="629"/>
      <c r="E298" s="629"/>
      <c r="F298" s="629"/>
      <c r="G298" s="629"/>
      <c r="H298" s="629"/>
      <c r="I298" s="629"/>
    </row>
    <row r="299" spans="1:9">
      <c r="A299" s="629"/>
      <c r="B299" s="629"/>
      <c r="C299" s="629"/>
      <c r="D299" s="629"/>
      <c r="E299" s="629"/>
      <c r="F299" s="629"/>
      <c r="G299" s="629"/>
      <c r="H299" s="629"/>
      <c r="I299" s="629"/>
    </row>
    <row r="300" spans="1:9">
      <c r="A300" s="629"/>
      <c r="B300" s="629"/>
      <c r="C300" s="629"/>
      <c r="D300" s="629"/>
      <c r="E300" s="629"/>
      <c r="F300" s="629"/>
      <c r="G300" s="629"/>
      <c r="H300" s="629"/>
      <c r="I300" s="629"/>
    </row>
    <row r="301" spans="1:9">
      <c r="A301" s="629"/>
      <c r="B301" s="629"/>
      <c r="C301" s="629"/>
      <c r="D301" s="629"/>
      <c r="E301" s="629"/>
      <c r="F301" s="629"/>
      <c r="G301" s="629"/>
      <c r="H301" s="629"/>
      <c r="I301" s="629"/>
    </row>
    <row r="302" spans="1:9">
      <c r="A302" s="629"/>
      <c r="B302" s="629"/>
      <c r="C302" s="629"/>
      <c r="D302" s="629"/>
      <c r="E302" s="629"/>
      <c r="F302" s="629"/>
      <c r="G302" s="629"/>
      <c r="H302" s="629"/>
      <c r="I302" s="629"/>
    </row>
    <row r="303" spans="1:9">
      <c r="A303" s="629"/>
      <c r="B303" s="629"/>
      <c r="C303" s="629"/>
      <c r="D303" s="629"/>
      <c r="E303" s="629"/>
      <c r="F303" s="629"/>
      <c r="G303" s="629"/>
      <c r="H303" s="629"/>
      <c r="I303" s="629"/>
    </row>
    <row r="304" spans="1:9">
      <c r="A304" s="629"/>
      <c r="B304" s="629"/>
      <c r="C304" s="629"/>
      <c r="D304" s="629"/>
      <c r="E304" s="629"/>
      <c r="F304" s="629"/>
      <c r="G304" s="629"/>
      <c r="H304" s="629"/>
      <c r="I304" s="629"/>
    </row>
    <row r="305" spans="1:9">
      <c r="A305" s="629"/>
      <c r="B305" s="629"/>
      <c r="C305" s="629"/>
      <c r="D305" s="629"/>
      <c r="E305" s="629"/>
      <c r="F305" s="629"/>
      <c r="G305" s="629"/>
      <c r="H305" s="629"/>
      <c r="I305" s="629"/>
    </row>
    <row r="306" spans="1:9">
      <c r="A306" s="629"/>
      <c r="B306" s="629"/>
      <c r="C306" s="629"/>
      <c r="D306" s="629"/>
      <c r="E306" s="629"/>
      <c r="F306" s="629"/>
      <c r="G306" s="629"/>
      <c r="H306" s="629"/>
      <c r="I306" s="629"/>
    </row>
    <row r="307" spans="1:9">
      <c r="A307" s="629"/>
      <c r="B307" s="629"/>
      <c r="C307" s="629"/>
      <c r="D307" s="629"/>
      <c r="E307" s="629"/>
      <c r="F307" s="629"/>
      <c r="G307" s="629"/>
      <c r="H307" s="629"/>
      <c r="I307" s="629"/>
    </row>
    <row r="308" spans="1:9">
      <c r="A308" s="629"/>
      <c r="B308" s="629"/>
      <c r="C308" s="629"/>
      <c r="D308" s="629"/>
      <c r="E308" s="629"/>
      <c r="F308" s="629"/>
      <c r="G308" s="629"/>
      <c r="H308" s="629"/>
      <c r="I308" s="629"/>
    </row>
    <row r="309" spans="1:9">
      <c r="A309" s="629"/>
      <c r="B309" s="629"/>
      <c r="C309" s="629"/>
      <c r="D309" s="629"/>
      <c r="E309" s="629"/>
      <c r="F309" s="629"/>
      <c r="G309" s="629"/>
      <c r="H309" s="629"/>
      <c r="I309" s="629"/>
    </row>
    <row r="310" spans="1:9">
      <c r="A310" s="629"/>
      <c r="B310" s="629"/>
      <c r="C310" s="629"/>
      <c r="D310" s="629"/>
      <c r="E310" s="629"/>
      <c r="F310" s="629"/>
      <c r="G310" s="629"/>
      <c r="H310" s="629"/>
      <c r="I310" s="629"/>
    </row>
    <row r="311" spans="1:9">
      <c r="A311" s="629"/>
      <c r="B311" s="629"/>
      <c r="C311" s="629"/>
      <c r="D311" s="629"/>
      <c r="E311" s="629"/>
      <c r="F311" s="629"/>
      <c r="G311" s="629"/>
      <c r="H311" s="629"/>
      <c r="I311" s="629"/>
    </row>
    <row r="312" spans="1:9">
      <c r="A312" s="629"/>
      <c r="B312" s="629"/>
      <c r="C312" s="629"/>
      <c r="D312" s="629"/>
      <c r="E312" s="629"/>
      <c r="F312" s="629"/>
      <c r="G312" s="629"/>
      <c r="H312" s="629"/>
      <c r="I312" s="629"/>
    </row>
    <row r="313" spans="1:9">
      <c r="A313" s="629"/>
      <c r="B313" s="629"/>
      <c r="C313" s="629"/>
      <c r="D313" s="629"/>
      <c r="E313" s="629"/>
      <c r="F313" s="629"/>
      <c r="G313" s="629"/>
      <c r="H313" s="629"/>
      <c r="I313" s="629"/>
    </row>
    <row r="314" spans="1:9">
      <c r="A314" s="629"/>
      <c r="B314" s="629"/>
      <c r="C314" s="629"/>
      <c r="D314" s="629"/>
      <c r="E314" s="629"/>
      <c r="F314" s="629"/>
      <c r="G314" s="629"/>
      <c r="H314" s="629"/>
      <c r="I314" s="629"/>
    </row>
    <row r="315" spans="1:9">
      <c r="A315" s="629"/>
      <c r="B315" s="629"/>
      <c r="C315" s="629"/>
      <c r="D315" s="629"/>
      <c r="E315" s="629"/>
      <c r="F315" s="629"/>
      <c r="G315" s="629"/>
      <c r="H315" s="629"/>
      <c r="I315" s="629"/>
    </row>
    <row r="316" spans="1:9">
      <c r="A316" s="629"/>
      <c r="B316" s="629"/>
      <c r="C316" s="629"/>
      <c r="D316" s="629"/>
      <c r="E316" s="629"/>
      <c r="F316" s="629"/>
      <c r="G316" s="629"/>
      <c r="H316" s="629"/>
      <c r="I316" s="629"/>
    </row>
    <row r="317" spans="1:9">
      <c r="A317" s="629"/>
      <c r="B317" s="629"/>
      <c r="C317" s="629"/>
      <c r="D317" s="629"/>
      <c r="E317" s="629"/>
      <c r="F317" s="629"/>
      <c r="G317" s="629"/>
      <c r="H317" s="629"/>
      <c r="I317" s="629"/>
    </row>
    <row r="318" spans="1:9">
      <c r="A318" s="629"/>
      <c r="B318" s="629"/>
      <c r="C318" s="629"/>
      <c r="D318" s="629"/>
      <c r="E318" s="629"/>
      <c r="F318" s="629"/>
      <c r="G318" s="629"/>
      <c r="H318" s="629"/>
      <c r="I318" s="629"/>
    </row>
    <row r="319" spans="1:9">
      <c r="A319" s="629"/>
      <c r="B319" s="629"/>
      <c r="C319" s="629"/>
      <c r="D319" s="629"/>
      <c r="E319" s="629"/>
      <c r="F319" s="629"/>
      <c r="G319" s="629"/>
      <c r="H319" s="629"/>
      <c r="I319" s="629"/>
    </row>
    <row r="320" spans="1:9">
      <c r="A320" s="629"/>
      <c r="B320" s="629"/>
      <c r="C320" s="629"/>
      <c r="D320" s="629"/>
      <c r="E320" s="629"/>
      <c r="F320" s="629"/>
      <c r="G320" s="629"/>
      <c r="H320" s="629"/>
      <c r="I320" s="629"/>
    </row>
    <row r="321" spans="1:9">
      <c r="A321" s="629"/>
      <c r="B321" s="629"/>
      <c r="C321" s="629"/>
      <c r="D321" s="629"/>
      <c r="E321" s="629"/>
      <c r="F321" s="629"/>
      <c r="G321" s="629"/>
      <c r="H321" s="629"/>
      <c r="I321" s="629"/>
    </row>
    <row r="322" spans="1:9">
      <c r="A322" s="629"/>
      <c r="B322" s="629"/>
      <c r="C322" s="629"/>
      <c r="D322" s="629"/>
      <c r="E322" s="629"/>
      <c r="F322" s="629"/>
      <c r="G322" s="629"/>
      <c r="H322" s="629"/>
      <c r="I322" s="629"/>
    </row>
    <row r="323" spans="1:9">
      <c r="A323" s="629"/>
      <c r="B323" s="629"/>
      <c r="C323" s="629"/>
      <c r="D323" s="629"/>
      <c r="E323" s="629"/>
      <c r="F323" s="629"/>
      <c r="G323" s="629"/>
      <c r="H323" s="629"/>
      <c r="I323" s="629"/>
    </row>
    <row r="324" spans="1:9">
      <c r="A324" s="629"/>
      <c r="B324" s="629"/>
      <c r="C324" s="629"/>
      <c r="D324" s="629"/>
      <c r="E324" s="629"/>
      <c r="F324" s="629"/>
      <c r="G324" s="629"/>
      <c r="H324" s="629"/>
      <c r="I324" s="629"/>
    </row>
    <row r="325" spans="1:9">
      <c r="A325" s="629"/>
      <c r="B325" s="629"/>
      <c r="C325" s="629"/>
      <c r="D325" s="629"/>
      <c r="E325" s="629"/>
      <c r="F325" s="629"/>
      <c r="G325" s="629"/>
      <c r="H325" s="629"/>
      <c r="I325" s="629"/>
    </row>
    <row r="326" spans="1:9">
      <c r="A326" s="629"/>
      <c r="B326" s="629"/>
      <c r="C326" s="629"/>
      <c r="D326" s="629"/>
      <c r="E326" s="629"/>
      <c r="F326" s="629"/>
      <c r="G326" s="629"/>
      <c r="H326" s="629"/>
      <c r="I326" s="629"/>
    </row>
    <row r="327" spans="1:9">
      <c r="A327" s="629"/>
      <c r="B327" s="629"/>
      <c r="C327" s="629"/>
      <c r="D327" s="629"/>
      <c r="E327" s="629"/>
      <c r="F327" s="629"/>
      <c r="G327" s="629"/>
      <c r="H327" s="629"/>
      <c r="I327" s="629"/>
    </row>
    <row r="328" spans="1:9">
      <c r="A328" s="629"/>
      <c r="B328" s="629"/>
      <c r="C328" s="629"/>
      <c r="D328" s="629"/>
      <c r="E328" s="629"/>
      <c r="F328" s="629"/>
      <c r="G328" s="629"/>
      <c r="H328" s="629"/>
      <c r="I328" s="629"/>
    </row>
    <row r="329" spans="1:9">
      <c r="A329" s="629"/>
      <c r="B329" s="629"/>
      <c r="C329" s="629"/>
      <c r="D329" s="629"/>
      <c r="E329" s="629"/>
      <c r="F329" s="629"/>
      <c r="G329" s="629"/>
      <c r="H329" s="629"/>
      <c r="I329" s="629"/>
    </row>
    <row r="330" spans="1:9">
      <c r="A330" s="629"/>
      <c r="B330" s="629"/>
      <c r="C330" s="629"/>
      <c r="D330" s="629"/>
      <c r="E330" s="629"/>
      <c r="F330" s="629"/>
      <c r="G330" s="629"/>
      <c r="H330" s="629"/>
      <c r="I330" s="629"/>
    </row>
    <row r="331" spans="1:9">
      <c r="A331" s="629"/>
      <c r="B331" s="629"/>
      <c r="C331" s="629"/>
      <c r="D331" s="629"/>
      <c r="E331" s="629"/>
      <c r="F331" s="629"/>
      <c r="G331" s="629"/>
      <c r="H331" s="629"/>
      <c r="I331" s="629"/>
    </row>
    <row r="332" spans="1:9">
      <c r="A332" s="629"/>
      <c r="B332" s="629"/>
      <c r="C332" s="629"/>
      <c r="D332" s="629"/>
      <c r="E332" s="629"/>
      <c r="F332" s="629"/>
      <c r="G332" s="629"/>
      <c r="H332" s="629"/>
      <c r="I332" s="629"/>
    </row>
    <row r="333" spans="1:9">
      <c r="A333" s="629"/>
      <c r="B333" s="629"/>
      <c r="C333" s="629"/>
      <c r="D333" s="629"/>
      <c r="E333" s="629"/>
      <c r="F333" s="629"/>
      <c r="G333" s="629"/>
      <c r="H333" s="629"/>
      <c r="I333" s="629"/>
    </row>
    <row r="334" spans="1:9">
      <c r="A334" s="629"/>
      <c r="B334" s="629"/>
      <c r="C334" s="629"/>
      <c r="D334" s="629"/>
      <c r="E334" s="629"/>
      <c r="F334" s="629"/>
      <c r="G334" s="629"/>
      <c r="H334" s="629"/>
      <c r="I334" s="629"/>
    </row>
    <row r="335" spans="1:9">
      <c r="A335" s="629"/>
      <c r="B335" s="629"/>
      <c r="C335" s="629"/>
      <c r="D335" s="629"/>
      <c r="E335" s="629"/>
      <c r="F335" s="629"/>
      <c r="G335" s="629"/>
      <c r="H335" s="629"/>
      <c r="I335" s="629"/>
    </row>
    <row r="336" spans="1:9">
      <c r="A336" s="629"/>
      <c r="B336" s="629"/>
      <c r="C336" s="629"/>
      <c r="D336" s="629"/>
      <c r="E336" s="629"/>
      <c r="F336" s="629"/>
      <c r="G336" s="629"/>
      <c r="H336" s="629"/>
      <c r="I336" s="629"/>
    </row>
    <row r="337" spans="1:9">
      <c r="A337" s="629"/>
      <c r="B337" s="629"/>
      <c r="C337" s="629"/>
      <c r="D337" s="629"/>
      <c r="E337" s="629"/>
      <c r="F337" s="629"/>
      <c r="G337" s="629"/>
      <c r="H337" s="629"/>
      <c r="I337" s="629"/>
    </row>
    <row r="338" spans="1:9">
      <c r="A338" s="629"/>
      <c r="B338" s="629"/>
      <c r="C338" s="629"/>
      <c r="D338" s="629"/>
      <c r="E338" s="629"/>
      <c r="F338" s="629"/>
      <c r="G338" s="629"/>
      <c r="H338" s="629"/>
      <c r="I338" s="629"/>
    </row>
    <row r="339" spans="1:9">
      <c r="A339" s="629"/>
      <c r="B339" s="629"/>
      <c r="C339" s="629"/>
      <c r="D339" s="629"/>
      <c r="E339" s="629"/>
      <c r="F339" s="629"/>
      <c r="G339" s="629"/>
      <c r="H339" s="629"/>
      <c r="I339" s="629"/>
    </row>
    <row r="340" spans="1:9">
      <c r="A340" s="629"/>
      <c r="B340" s="629"/>
      <c r="C340" s="629"/>
      <c r="D340" s="629"/>
      <c r="E340" s="629"/>
      <c r="F340" s="629"/>
      <c r="G340" s="629"/>
      <c r="H340" s="629"/>
      <c r="I340" s="629"/>
    </row>
    <row r="341" spans="1:9">
      <c r="A341" s="629"/>
      <c r="B341" s="629"/>
      <c r="C341" s="629"/>
      <c r="D341" s="629"/>
      <c r="E341" s="629"/>
      <c r="F341" s="629"/>
      <c r="G341" s="629"/>
      <c r="H341" s="629"/>
      <c r="I341" s="629"/>
    </row>
    <row r="342" spans="1:9">
      <c r="A342" s="629"/>
      <c r="B342" s="629"/>
      <c r="C342" s="629"/>
      <c r="D342" s="629"/>
      <c r="E342" s="629"/>
      <c r="F342" s="629"/>
      <c r="G342" s="629"/>
      <c r="H342" s="629"/>
      <c r="I342" s="629"/>
    </row>
    <row r="343" spans="1:9">
      <c r="A343" s="629"/>
      <c r="B343" s="629"/>
      <c r="C343" s="629"/>
      <c r="D343" s="629"/>
      <c r="E343" s="629"/>
      <c r="F343" s="629"/>
      <c r="G343" s="629"/>
      <c r="H343" s="629"/>
      <c r="I343" s="629"/>
    </row>
    <row r="344" spans="1:9">
      <c r="A344" s="629"/>
      <c r="B344" s="629"/>
      <c r="C344" s="629"/>
      <c r="D344" s="629"/>
      <c r="E344" s="629"/>
      <c r="F344" s="629"/>
      <c r="G344" s="629"/>
      <c r="H344" s="629"/>
      <c r="I344" s="629"/>
    </row>
    <row r="345" spans="1:9">
      <c r="A345" s="629"/>
      <c r="B345" s="629"/>
      <c r="C345" s="629"/>
      <c r="D345" s="629"/>
      <c r="E345" s="629"/>
      <c r="F345" s="629"/>
      <c r="G345" s="629"/>
      <c r="H345" s="629"/>
      <c r="I345" s="629"/>
    </row>
    <row r="346" spans="1:9">
      <c r="A346" s="629"/>
      <c r="B346" s="629"/>
      <c r="C346" s="629"/>
      <c r="D346" s="629"/>
      <c r="E346" s="629"/>
      <c r="F346" s="629"/>
      <c r="G346" s="629"/>
      <c r="H346" s="629"/>
      <c r="I346" s="629"/>
    </row>
    <row r="347" spans="1:9">
      <c r="A347" s="629"/>
      <c r="B347" s="629"/>
      <c r="C347" s="629"/>
      <c r="D347" s="629"/>
      <c r="E347" s="629"/>
      <c r="F347" s="629"/>
      <c r="G347" s="629"/>
      <c r="H347" s="629"/>
      <c r="I347" s="629"/>
    </row>
    <row r="348" spans="1:9">
      <c r="A348" s="629"/>
      <c r="B348" s="629"/>
      <c r="C348" s="629"/>
      <c r="D348" s="629"/>
      <c r="E348" s="629"/>
      <c r="F348" s="629"/>
      <c r="G348" s="629"/>
      <c r="H348" s="629"/>
      <c r="I348" s="629"/>
    </row>
    <row r="349" spans="1:9">
      <c r="A349" s="629"/>
      <c r="B349" s="629"/>
      <c r="C349" s="629"/>
      <c r="D349" s="629"/>
      <c r="E349" s="629"/>
      <c r="F349" s="629"/>
      <c r="G349" s="629"/>
      <c r="H349" s="629"/>
      <c r="I349" s="629"/>
    </row>
    <row r="350" spans="1:9">
      <c r="A350" s="629"/>
      <c r="B350" s="629"/>
      <c r="C350" s="629"/>
      <c r="D350" s="629"/>
      <c r="E350" s="629"/>
      <c r="F350" s="629"/>
      <c r="G350" s="629"/>
      <c r="H350" s="629"/>
      <c r="I350" s="629"/>
    </row>
    <row r="351" spans="1:9">
      <c r="A351" s="629"/>
      <c r="B351" s="629"/>
      <c r="C351" s="629"/>
      <c r="D351" s="629"/>
      <c r="E351" s="629"/>
      <c r="F351" s="629"/>
      <c r="G351" s="629"/>
      <c r="H351" s="629"/>
      <c r="I351" s="629"/>
    </row>
    <row r="352" spans="1:9">
      <c r="A352" s="629"/>
      <c r="B352" s="629"/>
      <c r="C352" s="629"/>
      <c r="D352" s="629"/>
      <c r="E352" s="629"/>
      <c r="F352" s="629"/>
      <c r="G352" s="629"/>
      <c r="H352" s="629"/>
      <c r="I352" s="629"/>
    </row>
    <row r="353" spans="1:9">
      <c r="A353" s="629"/>
      <c r="B353" s="629"/>
      <c r="C353" s="629"/>
      <c r="D353" s="629"/>
      <c r="E353" s="629"/>
      <c r="F353" s="629"/>
      <c r="G353" s="629"/>
      <c r="H353" s="629"/>
      <c r="I353" s="629"/>
    </row>
    <row r="354" spans="1:9">
      <c r="A354" s="629"/>
      <c r="B354" s="629"/>
      <c r="C354" s="629"/>
      <c r="D354" s="629"/>
      <c r="E354" s="629"/>
      <c r="F354" s="629"/>
      <c r="G354" s="629"/>
      <c r="H354" s="629"/>
      <c r="I354" s="629"/>
    </row>
    <row r="355" spans="1:9">
      <c r="A355" s="629"/>
      <c r="B355" s="629"/>
      <c r="C355" s="629"/>
      <c r="D355" s="629"/>
      <c r="E355" s="629"/>
      <c r="F355" s="629"/>
      <c r="G355" s="629"/>
      <c r="H355" s="629"/>
      <c r="I355" s="629"/>
    </row>
    <row r="356" spans="1:9">
      <c r="A356" s="629"/>
      <c r="B356" s="629"/>
      <c r="C356" s="629"/>
      <c r="D356" s="629"/>
      <c r="E356" s="629"/>
      <c r="F356" s="629"/>
      <c r="G356" s="629"/>
      <c r="H356" s="629"/>
      <c r="I356" s="629"/>
    </row>
    <row r="357" spans="1:9">
      <c r="A357" s="629"/>
      <c r="B357" s="629"/>
      <c r="C357" s="629"/>
      <c r="D357" s="629"/>
      <c r="E357" s="629"/>
      <c r="F357" s="629"/>
      <c r="G357" s="629"/>
      <c r="H357" s="629"/>
      <c r="I357" s="629"/>
    </row>
    <row r="358" spans="1:9">
      <c r="A358" s="629"/>
      <c r="B358" s="629"/>
      <c r="C358" s="629"/>
      <c r="D358" s="629"/>
      <c r="E358" s="629"/>
      <c r="F358" s="629"/>
      <c r="G358" s="629"/>
      <c r="H358" s="629"/>
      <c r="I358" s="629"/>
    </row>
    <row r="359" spans="1:9">
      <c r="A359" s="629"/>
      <c r="B359" s="629"/>
      <c r="C359" s="629"/>
      <c r="D359" s="629"/>
      <c r="E359" s="629"/>
      <c r="F359" s="629"/>
      <c r="G359" s="629"/>
      <c r="H359" s="629"/>
      <c r="I359" s="629"/>
    </row>
    <row r="360" spans="1:9">
      <c r="A360" s="629"/>
      <c r="B360" s="629"/>
      <c r="C360" s="629"/>
      <c r="D360" s="629"/>
      <c r="E360" s="629"/>
      <c r="F360" s="629"/>
      <c r="G360" s="629"/>
      <c r="H360" s="629"/>
      <c r="I360" s="629"/>
    </row>
    <row r="361" spans="1:9">
      <c r="A361" s="629"/>
      <c r="B361" s="629"/>
      <c r="C361" s="629"/>
      <c r="D361" s="629"/>
      <c r="E361" s="629"/>
      <c r="F361" s="629"/>
      <c r="G361" s="629"/>
      <c r="H361" s="629"/>
      <c r="I361" s="629"/>
    </row>
    <row r="362" spans="1:9">
      <c r="A362" s="629"/>
      <c r="B362" s="629"/>
      <c r="C362" s="629"/>
      <c r="D362" s="629"/>
      <c r="E362" s="629"/>
      <c r="F362" s="629"/>
      <c r="G362" s="629"/>
      <c r="H362" s="629"/>
      <c r="I362" s="629"/>
    </row>
    <row r="363" spans="1:9">
      <c r="A363" s="629"/>
      <c r="B363" s="629"/>
      <c r="C363" s="629"/>
      <c r="D363" s="629"/>
      <c r="E363" s="629"/>
      <c r="F363" s="629"/>
      <c r="G363" s="629"/>
      <c r="H363" s="629"/>
      <c r="I363" s="629"/>
    </row>
    <row r="364" spans="1:9">
      <c r="A364" s="629"/>
      <c r="B364" s="629"/>
      <c r="C364" s="629"/>
      <c r="D364" s="629"/>
      <c r="E364" s="629"/>
      <c r="F364" s="629"/>
      <c r="G364" s="629"/>
      <c r="H364" s="629"/>
      <c r="I364" s="629"/>
    </row>
    <row r="365" spans="1:9">
      <c r="A365" s="629"/>
      <c r="B365" s="629"/>
      <c r="C365" s="629"/>
      <c r="D365" s="629"/>
      <c r="E365" s="629"/>
      <c r="F365" s="629"/>
      <c r="G365" s="629"/>
      <c r="H365" s="629"/>
      <c r="I365" s="629"/>
    </row>
    <row r="366" spans="1:9">
      <c r="A366" s="629"/>
      <c r="B366" s="629"/>
      <c r="C366" s="629"/>
      <c r="D366" s="629"/>
      <c r="E366" s="629"/>
      <c r="F366" s="629"/>
      <c r="G366" s="629"/>
      <c r="H366" s="629"/>
      <c r="I366" s="629"/>
    </row>
    <row r="367" spans="1:9">
      <c r="A367" s="629"/>
      <c r="B367" s="629"/>
      <c r="C367" s="629"/>
      <c r="D367" s="629"/>
      <c r="E367" s="629"/>
      <c r="F367" s="629"/>
      <c r="G367" s="629"/>
      <c r="H367" s="629"/>
      <c r="I367" s="629"/>
    </row>
    <row r="368" spans="1:9">
      <c r="A368" s="629"/>
      <c r="B368" s="629"/>
      <c r="C368" s="629"/>
      <c r="D368" s="629"/>
      <c r="E368" s="629"/>
      <c r="F368" s="629"/>
      <c r="G368" s="629"/>
      <c r="H368" s="629"/>
      <c r="I368" s="629"/>
    </row>
    <row r="369" spans="1:9">
      <c r="A369" s="629"/>
      <c r="B369" s="629"/>
      <c r="C369" s="629"/>
      <c r="D369" s="629"/>
      <c r="E369" s="629"/>
      <c r="F369" s="629"/>
      <c r="G369" s="629"/>
      <c r="H369" s="629"/>
      <c r="I369" s="629"/>
    </row>
    <row r="370" spans="1:9">
      <c r="A370" s="629"/>
      <c r="B370" s="629"/>
      <c r="C370" s="629"/>
      <c r="D370" s="629"/>
      <c r="E370" s="629"/>
      <c r="F370" s="629"/>
      <c r="G370" s="629"/>
      <c r="H370" s="629"/>
      <c r="I370" s="629"/>
    </row>
    <row r="371" spans="1:9">
      <c r="A371" s="629"/>
      <c r="B371" s="629"/>
      <c r="C371" s="629"/>
      <c r="D371" s="629"/>
      <c r="E371" s="629"/>
      <c r="F371" s="629"/>
      <c r="G371" s="629"/>
      <c r="H371" s="629"/>
      <c r="I371" s="629"/>
    </row>
    <row r="372" spans="1:9">
      <c r="A372" s="629"/>
      <c r="B372" s="629"/>
      <c r="C372" s="629"/>
      <c r="D372" s="629"/>
      <c r="E372" s="629"/>
      <c r="F372" s="629"/>
      <c r="G372" s="629"/>
      <c r="H372" s="629"/>
      <c r="I372" s="629"/>
    </row>
    <row r="373" spans="1:9">
      <c r="A373" s="629"/>
      <c r="B373" s="629"/>
      <c r="C373" s="629"/>
      <c r="D373" s="629"/>
      <c r="E373" s="629"/>
      <c r="F373" s="629"/>
      <c r="G373" s="629"/>
      <c r="H373" s="629"/>
      <c r="I373" s="629"/>
    </row>
    <row r="374" spans="1:9">
      <c r="A374" s="629"/>
      <c r="B374" s="629"/>
      <c r="C374" s="629"/>
      <c r="D374" s="629"/>
      <c r="E374" s="629"/>
      <c r="F374" s="629"/>
      <c r="G374" s="629"/>
      <c r="H374" s="629"/>
      <c r="I374" s="629"/>
    </row>
    <row r="375" spans="1:9">
      <c r="A375" s="629"/>
      <c r="B375" s="629"/>
      <c r="C375" s="629"/>
      <c r="D375" s="629"/>
      <c r="E375" s="629"/>
      <c r="F375" s="629"/>
      <c r="G375" s="629"/>
      <c r="H375" s="629"/>
      <c r="I375" s="629"/>
    </row>
    <row r="376" spans="1:9">
      <c r="A376" s="629"/>
      <c r="B376" s="629"/>
      <c r="C376" s="629"/>
      <c r="D376" s="629"/>
      <c r="E376" s="629"/>
      <c r="F376" s="629"/>
      <c r="G376" s="629"/>
      <c r="H376" s="629"/>
      <c r="I376" s="629"/>
    </row>
    <row r="377" spans="1:9">
      <c r="A377" s="629"/>
      <c r="B377" s="629"/>
      <c r="C377" s="629"/>
      <c r="D377" s="629"/>
      <c r="E377" s="629"/>
      <c r="F377" s="629"/>
      <c r="G377" s="629"/>
      <c r="H377" s="629"/>
      <c r="I377" s="629"/>
    </row>
    <row r="378" spans="1:9">
      <c r="A378" s="629"/>
      <c r="B378" s="629"/>
      <c r="C378" s="629"/>
      <c r="D378" s="629"/>
      <c r="E378" s="629"/>
      <c r="F378" s="629"/>
      <c r="G378" s="629"/>
      <c r="H378" s="629"/>
      <c r="I378" s="629"/>
    </row>
    <row r="379" spans="1:9">
      <c r="A379" s="629"/>
      <c r="B379" s="629"/>
      <c r="C379" s="629"/>
      <c r="D379" s="629"/>
      <c r="E379" s="629"/>
      <c r="F379" s="629"/>
      <c r="G379" s="629"/>
      <c r="H379" s="629"/>
      <c r="I379" s="629"/>
    </row>
    <row r="380" spans="1:9">
      <c r="A380" s="629"/>
      <c r="B380" s="629"/>
      <c r="C380" s="629"/>
      <c r="D380" s="629"/>
      <c r="E380" s="629"/>
      <c r="F380" s="629"/>
      <c r="G380" s="629"/>
      <c r="H380" s="629"/>
      <c r="I380" s="629"/>
    </row>
    <row r="381" spans="1:9">
      <c r="A381" s="629"/>
      <c r="B381" s="629"/>
      <c r="C381" s="629"/>
      <c r="D381" s="629"/>
      <c r="E381" s="629"/>
      <c r="F381" s="629"/>
      <c r="G381" s="629"/>
      <c r="H381" s="629"/>
      <c r="I381" s="629"/>
    </row>
    <row r="382" spans="1:9">
      <c r="A382" s="629"/>
      <c r="B382" s="629"/>
      <c r="C382" s="629"/>
      <c r="D382" s="629"/>
      <c r="E382" s="629"/>
      <c r="F382" s="629"/>
      <c r="G382" s="629"/>
      <c r="H382" s="629"/>
      <c r="I382" s="629"/>
    </row>
    <row r="383" spans="1:9">
      <c r="A383" s="629"/>
      <c r="B383" s="629"/>
      <c r="C383" s="629"/>
      <c r="D383" s="629"/>
      <c r="E383" s="629"/>
      <c r="F383" s="629"/>
      <c r="G383" s="629"/>
      <c r="H383" s="629"/>
      <c r="I383" s="629"/>
    </row>
    <row r="384" spans="1:9">
      <c r="A384" s="629"/>
      <c r="B384" s="629"/>
      <c r="C384" s="629"/>
      <c r="D384" s="629"/>
      <c r="E384" s="629"/>
      <c r="F384" s="629"/>
      <c r="G384" s="629"/>
      <c r="H384" s="629"/>
      <c r="I384" s="629"/>
    </row>
    <row r="385" spans="1:9">
      <c r="A385" s="629"/>
      <c r="B385" s="629"/>
      <c r="C385" s="629"/>
      <c r="D385" s="629"/>
      <c r="E385" s="629"/>
      <c r="F385" s="629"/>
      <c r="G385" s="629"/>
      <c r="H385" s="629"/>
      <c r="I385" s="629"/>
    </row>
    <row r="386" spans="1:9">
      <c r="A386" s="629"/>
      <c r="B386" s="629"/>
      <c r="C386" s="629"/>
      <c r="D386" s="629"/>
      <c r="E386" s="629"/>
      <c r="F386" s="629"/>
      <c r="G386" s="629"/>
      <c r="H386" s="629"/>
      <c r="I386" s="629"/>
    </row>
    <row r="387" spans="1:9">
      <c r="A387" s="629"/>
      <c r="B387" s="629"/>
      <c r="C387" s="629"/>
      <c r="D387" s="629"/>
      <c r="E387" s="629"/>
      <c r="F387" s="629"/>
      <c r="G387" s="629"/>
      <c r="H387" s="629"/>
      <c r="I387" s="629"/>
    </row>
    <row r="388" spans="1:9">
      <c r="A388" s="629"/>
      <c r="B388" s="629"/>
      <c r="C388" s="629"/>
      <c r="D388" s="629"/>
      <c r="E388" s="629"/>
      <c r="F388" s="629"/>
      <c r="G388" s="629"/>
      <c r="H388" s="629"/>
      <c r="I388" s="629"/>
    </row>
    <row r="389" spans="1:9">
      <c r="A389" s="629"/>
      <c r="B389" s="629"/>
      <c r="C389" s="629"/>
      <c r="D389" s="629"/>
      <c r="E389" s="629"/>
      <c r="F389" s="629"/>
      <c r="G389" s="629"/>
      <c r="H389" s="629"/>
      <c r="I389" s="629"/>
    </row>
    <row r="390" spans="1:9">
      <c r="A390" s="629"/>
      <c r="B390" s="629"/>
      <c r="C390" s="629"/>
      <c r="D390" s="629"/>
      <c r="E390" s="629"/>
      <c r="F390" s="629"/>
      <c r="G390" s="629"/>
      <c r="H390" s="629"/>
      <c r="I390" s="629"/>
    </row>
    <row r="391" spans="1:9">
      <c r="A391" s="629"/>
      <c r="B391" s="629"/>
      <c r="C391" s="629"/>
      <c r="D391" s="629"/>
      <c r="E391" s="629"/>
      <c r="F391" s="629"/>
      <c r="G391" s="629"/>
      <c r="H391" s="629"/>
      <c r="I391" s="629"/>
    </row>
    <row r="392" spans="1:9">
      <c r="A392" s="629"/>
      <c r="B392" s="629"/>
      <c r="C392" s="629"/>
      <c r="D392" s="629"/>
      <c r="E392" s="629"/>
      <c r="F392" s="629"/>
      <c r="G392" s="629"/>
      <c r="H392" s="629"/>
      <c r="I392" s="629"/>
    </row>
    <row r="393" spans="1:9">
      <c r="A393" s="629"/>
      <c r="B393" s="629"/>
      <c r="C393" s="629"/>
      <c r="D393" s="629"/>
      <c r="E393" s="629"/>
      <c r="F393" s="629"/>
      <c r="G393" s="629"/>
      <c r="H393" s="629"/>
      <c r="I393" s="629"/>
    </row>
    <row r="394" spans="1:9">
      <c r="A394" s="629"/>
      <c r="B394" s="629"/>
      <c r="C394" s="629"/>
      <c r="D394" s="629"/>
      <c r="E394" s="629"/>
      <c r="F394" s="629"/>
      <c r="G394" s="629"/>
      <c r="H394" s="629"/>
      <c r="I394" s="629"/>
    </row>
    <row r="395" spans="1:9">
      <c r="A395" s="629"/>
      <c r="B395" s="629"/>
      <c r="C395" s="629"/>
      <c r="D395" s="629"/>
      <c r="E395" s="629"/>
      <c r="F395" s="629"/>
      <c r="G395" s="629"/>
      <c r="H395" s="629"/>
      <c r="I395" s="629"/>
    </row>
    <row r="396" spans="1:9">
      <c r="A396" s="629"/>
      <c r="B396" s="629"/>
      <c r="C396" s="629"/>
      <c r="D396" s="629"/>
      <c r="E396" s="629"/>
      <c r="F396" s="629"/>
      <c r="G396" s="629"/>
      <c r="H396" s="629"/>
      <c r="I396" s="629"/>
    </row>
    <row r="397" spans="1:9">
      <c r="A397" s="629"/>
      <c r="B397" s="629"/>
      <c r="C397" s="629"/>
      <c r="D397" s="629"/>
      <c r="E397" s="629"/>
      <c r="F397" s="629"/>
      <c r="G397" s="629"/>
      <c r="H397" s="629"/>
      <c r="I397" s="629"/>
    </row>
    <row r="398" spans="1:9">
      <c r="A398" s="629"/>
      <c r="B398" s="629"/>
      <c r="C398" s="629"/>
      <c r="D398" s="629"/>
      <c r="E398" s="629"/>
      <c r="F398" s="629"/>
      <c r="G398" s="629"/>
      <c r="H398" s="629"/>
      <c r="I398" s="629"/>
    </row>
    <row r="399" spans="1:9">
      <c r="A399" s="629"/>
      <c r="B399" s="629"/>
      <c r="C399" s="629"/>
      <c r="D399" s="629"/>
      <c r="E399" s="629"/>
      <c r="F399" s="629"/>
      <c r="G399" s="629"/>
      <c r="H399" s="629"/>
      <c r="I399" s="629"/>
    </row>
    <row r="400" spans="1:9">
      <c r="A400" s="629"/>
      <c r="B400" s="629"/>
      <c r="C400" s="629"/>
      <c r="D400" s="629"/>
      <c r="E400" s="629"/>
      <c r="F400" s="629"/>
      <c r="G400" s="629"/>
      <c r="H400" s="629"/>
      <c r="I400" s="629"/>
    </row>
    <row r="401" spans="1:9">
      <c r="A401" s="629"/>
      <c r="B401" s="629"/>
      <c r="C401" s="629"/>
      <c r="D401" s="629"/>
      <c r="E401" s="629"/>
      <c r="F401" s="629"/>
      <c r="G401" s="629"/>
      <c r="H401" s="629"/>
      <c r="I401" s="629"/>
    </row>
    <row r="402" spans="1:9">
      <c r="A402" s="629"/>
      <c r="B402" s="629"/>
      <c r="C402" s="629"/>
      <c r="D402" s="629"/>
      <c r="E402" s="629"/>
      <c r="F402" s="629"/>
      <c r="G402" s="629"/>
      <c r="H402" s="629"/>
      <c r="I402" s="629"/>
    </row>
    <row r="403" spans="1:9">
      <c r="A403" s="629"/>
      <c r="B403" s="629"/>
      <c r="C403" s="629"/>
      <c r="D403" s="629"/>
      <c r="E403" s="629"/>
      <c r="F403" s="629"/>
      <c r="G403" s="629"/>
      <c r="H403" s="629"/>
      <c r="I403" s="629"/>
    </row>
    <row r="404" spans="1:9">
      <c r="A404" s="629"/>
      <c r="B404" s="629"/>
      <c r="C404" s="629"/>
      <c r="D404" s="629"/>
      <c r="E404" s="629"/>
      <c r="F404" s="629"/>
      <c r="G404" s="629"/>
      <c r="H404" s="629"/>
      <c r="I404" s="629"/>
    </row>
    <row r="405" spans="1:9">
      <c r="A405" s="629"/>
      <c r="B405" s="629"/>
      <c r="C405" s="629"/>
      <c r="D405" s="629"/>
      <c r="E405" s="629"/>
      <c r="F405" s="629"/>
      <c r="G405" s="629"/>
      <c r="H405" s="629"/>
      <c r="I405" s="629"/>
    </row>
    <row r="406" spans="1:9">
      <c r="A406" s="629"/>
      <c r="B406" s="629"/>
      <c r="C406" s="629"/>
      <c r="D406" s="629"/>
      <c r="E406" s="629"/>
      <c r="F406" s="629"/>
      <c r="G406" s="629"/>
      <c r="H406" s="629"/>
      <c r="I406" s="629"/>
    </row>
    <row r="407" spans="1:9">
      <c r="A407" s="629"/>
      <c r="B407" s="629"/>
      <c r="C407" s="629"/>
      <c r="D407" s="629"/>
      <c r="E407" s="629"/>
      <c r="F407" s="629"/>
      <c r="G407" s="629"/>
      <c r="H407" s="629"/>
      <c r="I407" s="629"/>
    </row>
    <row r="408" spans="1:9">
      <c r="A408" s="629"/>
      <c r="B408" s="629"/>
      <c r="C408" s="629"/>
      <c r="D408" s="629"/>
      <c r="E408" s="629"/>
      <c r="F408" s="629"/>
      <c r="G408" s="629"/>
      <c r="H408" s="629"/>
      <c r="I408" s="629"/>
    </row>
    <row r="409" spans="1:9">
      <c r="A409" s="629"/>
      <c r="B409" s="629"/>
      <c r="C409" s="629"/>
      <c r="D409" s="629"/>
      <c r="E409" s="629"/>
      <c r="F409" s="629"/>
      <c r="G409" s="629"/>
      <c r="H409" s="629"/>
      <c r="I409" s="629"/>
    </row>
    <row r="410" spans="1:9">
      <c r="A410" s="629"/>
      <c r="B410" s="629"/>
      <c r="C410" s="629"/>
      <c r="D410" s="629"/>
      <c r="E410" s="629"/>
      <c r="F410" s="629"/>
      <c r="G410" s="629"/>
      <c r="H410" s="629"/>
      <c r="I410" s="629"/>
    </row>
    <row r="411" spans="1:9">
      <c r="A411" s="629"/>
      <c r="B411" s="629"/>
      <c r="C411" s="629"/>
      <c r="D411" s="629"/>
      <c r="E411" s="629"/>
      <c r="F411" s="629"/>
      <c r="G411" s="629"/>
      <c r="H411" s="629"/>
      <c r="I411" s="629"/>
    </row>
    <row r="412" spans="1:9">
      <c r="A412" s="629"/>
      <c r="B412" s="629"/>
      <c r="C412" s="629"/>
      <c r="D412" s="629"/>
      <c r="E412" s="629"/>
      <c r="F412" s="629"/>
      <c r="G412" s="629"/>
      <c r="H412" s="629"/>
      <c r="I412" s="629"/>
    </row>
    <row r="413" spans="1:9">
      <c r="A413" s="629"/>
      <c r="B413" s="629"/>
      <c r="C413" s="629"/>
      <c r="D413" s="629"/>
      <c r="E413" s="629"/>
      <c r="F413" s="629"/>
      <c r="G413" s="629"/>
      <c r="H413" s="629"/>
      <c r="I413" s="629"/>
    </row>
    <row r="414" spans="1:9">
      <c r="A414" s="629"/>
      <c r="B414" s="629"/>
      <c r="C414" s="629"/>
      <c r="D414" s="629"/>
      <c r="E414" s="629"/>
      <c r="F414" s="629"/>
      <c r="G414" s="629"/>
      <c r="H414" s="629"/>
      <c r="I414" s="629"/>
    </row>
    <row r="415" spans="1:9">
      <c r="A415" s="629"/>
      <c r="B415" s="629"/>
      <c r="C415" s="629"/>
      <c r="D415" s="629"/>
      <c r="E415" s="629"/>
      <c r="F415" s="629"/>
      <c r="G415" s="629"/>
      <c r="H415" s="629"/>
      <c r="I415" s="629"/>
    </row>
    <row r="416" spans="1:9">
      <c r="A416" s="629"/>
      <c r="B416" s="629"/>
      <c r="C416" s="629"/>
      <c r="D416" s="629"/>
      <c r="E416" s="629"/>
      <c r="F416" s="629"/>
      <c r="G416" s="629"/>
      <c r="H416" s="629"/>
      <c r="I416" s="629"/>
    </row>
    <row r="417" spans="1:9">
      <c r="A417" s="629"/>
      <c r="B417" s="629"/>
      <c r="C417" s="629"/>
      <c r="D417" s="629"/>
      <c r="E417" s="629"/>
      <c r="F417" s="629"/>
      <c r="G417" s="629"/>
      <c r="H417" s="629"/>
      <c r="I417" s="629"/>
    </row>
    <row r="418" spans="1:9">
      <c r="A418" s="629"/>
      <c r="B418" s="629"/>
      <c r="C418" s="629"/>
      <c r="D418" s="629"/>
      <c r="E418" s="629"/>
      <c r="F418" s="629"/>
      <c r="G418" s="629"/>
      <c r="H418" s="629"/>
      <c r="I418" s="629"/>
    </row>
    <row r="419" spans="1:9">
      <c r="A419" s="629"/>
      <c r="B419" s="629"/>
      <c r="C419" s="629"/>
      <c r="D419" s="629"/>
      <c r="E419" s="629"/>
      <c r="F419" s="629"/>
      <c r="G419" s="629"/>
      <c r="H419" s="629"/>
      <c r="I419" s="629"/>
    </row>
    <row r="420" spans="1:9">
      <c r="A420" s="629"/>
      <c r="B420" s="629"/>
      <c r="C420" s="629"/>
      <c r="D420" s="629"/>
      <c r="E420" s="629"/>
      <c r="F420" s="629"/>
      <c r="G420" s="629"/>
      <c r="H420" s="629"/>
      <c r="I420" s="629"/>
    </row>
    <row r="421" spans="1:9">
      <c r="A421" s="629"/>
      <c r="B421" s="629"/>
      <c r="C421" s="629"/>
      <c r="D421" s="629"/>
      <c r="E421" s="629"/>
      <c r="F421" s="629"/>
      <c r="G421" s="629"/>
      <c r="H421" s="629"/>
      <c r="I421" s="629"/>
    </row>
    <row r="422" spans="1:9">
      <c r="A422" s="629"/>
      <c r="B422" s="629"/>
      <c r="C422" s="629"/>
      <c r="D422" s="629"/>
      <c r="E422" s="629"/>
      <c r="F422" s="629"/>
      <c r="G422" s="629"/>
      <c r="H422" s="629"/>
      <c r="I422" s="629"/>
    </row>
    <row r="423" spans="1:9">
      <c r="A423" s="629"/>
      <c r="B423" s="629"/>
      <c r="C423" s="629"/>
      <c r="D423" s="629"/>
      <c r="E423" s="629"/>
      <c r="F423" s="629"/>
      <c r="G423" s="629"/>
      <c r="H423" s="629"/>
      <c r="I423" s="629"/>
    </row>
    <row r="424" spans="1:9">
      <c r="A424" s="629"/>
      <c r="B424" s="629"/>
      <c r="C424" s="629"/>
      <c r="D424" s="629"/>
      <c r="E424" s="629"/>
      <c r="F424" s="629"/>
      <c r="G424" s="629"/>
      <c r="H424" s="629"/>
      <c r="I424" s="629"/>
    </row>
    <row r="425" spans="1:9">
      <c r="A425" s="629"/>
      <c r="B425" s="629"/>
      <c r="C425" s="629"/>
      <c r="D425" s="629"/>
      <c r="E425" s="629"/>
      <c r="F425" s="629"/>
      <c r="G425" s="629"/>
      <c r="H425" s="629"/>
      <c r="I425" s="629"/>
    </row>
    <row r="426" spans="1:9">
      <c r="A426" s="629"/>
      <c r="B426" s="629"/>
      <c r="C426" s="629"/>
      <c r="D426" s="629"/>
      <c r="E426" s="629"/>
      <c r="F426" s="629"/>
      <c r="G426" s="629"/>
      <c r="H426" s="629"/>
      <c r="I426" s="629"/>
    </row>
    <row r="427" spans="1:9">
      <c r="A427" s="629"/>
      <c r="B427" s="629"/>
      <c r="C427" s="629"/>
      <c r="D427" s="629"/>
      <c r="E427" s="629"/>
      <c r="F427" s="629"/>
      <c r="G427" s="629"/>
      <c r="H427" s="629"/>
      <c r="I427" s="629"/>
    </row>
    <row r="428" spans="1:9">
      <c r="A428" s="629"/>
      <c r="B428" s="629"/>
      <c r="C428" s="629"/>
      <c r="D428" s="629"/>
      <c r="E428" s="629"/>
      <c r="F428" s="629"/>
      <c r="G428" s="629"/>
      <c r="H428" s="629"/>
      <c r="I428" s="629"/>
    </row>
    <row r="429" spans="1:9">
      <c r="A429" s="629"/>
      <c r="B429" s="629"/>
      <c r="C429" s="629"/>
      <c r="D429" s="629"/>
      <c r="E429" s="629"/>
      <c r="F429" s="629"/>
      <c r="G429" s="629"/>
      <c r="H429" s="629"/>
      <c r="I429" s="629"/>
    </row>
    <row r="430" spans="1:9">
      <c r="A430" s="629"/>
      <c r="B430" s="629"/>
      <c r="C430" s="629"/>
      <c r="D430" s="629"/>
      <c r="E430" s="629"/>
      <c r="F430" s="629"/>
      <c r="G430" s="629"/>
      <c r="H430" s="629"/>
      <c r="I430" s="629"/>
    </row>
    <row r="431" spans="1:9">
      <c r="A431" s="629"/>
      <c r="B431" s="629"/>
      <c r="C431" s="629"/>
      <c r="D431" s="629"/>
      <c r="E431" s="629"/>
      <c r="F431" s="629"/>
      <c r="G431" s="629"/>
      <c r="H431" s="629"/>
      <c r="I431" s="629"/>
    </row>
    <row r="432" spans="1:9">
      <c r="A432" s="629"/>
      <c r="B432" s="629"/>
      <c r="C432" s="629"/>
      <c r="D432" s="629"/>
      <c r="E432" s="629"/>
      <c r="F432" s="629"/>
      <c r="G432" s="629"/>
      <c r="H432" s="629"/>
      <c r="I432" s="629"/>
    </row>
    <row r="433" spans="1:9">
      <c r="A433" s="629"/>
      <c r="B433" s="629"/>
      <c r="C433" s="629"/>
      <c r="D433" s="629"/>
      <c r="E433" s="629"/>
      <c r="F433" s="629"/>
      <c r="G433" s="629"/>
      <c r="H433" s="629"/>
      <c r="I433" s="629"/>
    </row>
    <row r="434" spans="1:9">
      <c r="A434" s="629"/>
      <c r="B434" s="629"/>
      <c r="C434" s="629"/>
      <c r="D434" s="629"/>
      <c r="E434" s="629"/>
      <c r="F434" s="629"/>
      <c r="G434" s="629"/>
      <c r="H434" s="629"/>
      <c r="I434" s="629"/>
    </row>
    <row r="435" spans="1:9">
      <c r="A435" s="629"/>
      <c r="B435" s="629"/>
      <c r="C435" s="629"/>
      <c r="D435" s="629"/>
      <c r="E435" s="629"/>
      <c r="F435" s="629"/>
      <c r="G435" s="629"/>
      <c r="H435" s="629"/>
      <c r="I435" s="629"/>
    </row>
    <row r="436" spans="1:9">
      <c r="A436" s="629"/>
      <c r="B436" s="629"/>
      <c r="C436" s="629"/>
      <c r="D436" s="629"/>
      <c r="E436" s="629"/>
      <c r="F436" s="629"/>
      <c r="G436" s="629"/>
      <c r="H436" s="629"/>
      <c r="I436" s="629"/>
    </row>
    <row r="437" spans="1:9">
      <c r="A437" s="629"/>
      <c r="B437" s="629"/>
      <c r="C437" s="629"/>
      <c r="D437" s="629"/>
      <c r="E437" s="629"/>
      <c r="F437" s="629"/>
      <c r="G437" s="629"/>
      <c r="H437" s="629"/>
      <c r="I437" s="629"/>
    </row>
    <row r="438" spans="1:9">
      <c r="A438" s="629"/>
      <c r="B438" s="629"/>
      <c r="C438" s="629"/>
      <c r="D438" s="629"/>
      <c r="E438" s="629"/>
      <c r="F438" s="629"/>
      <c r="G438" s="629"/>
      <c r="H438" s="629"/>
      <c r="I438" s="629"/>
    </row>
    <row r="439" spans="1:9">
      <c r="A439" s="629"/>
      <c r="B439" s="629"/>
      <c r="C439" s="629"/>
      <c r="D439" s="629"/>
      <c r="E439" s="629"/>
      <c r="F439" s="629"/>
      <c r="G439" s="629"/>
      <c r="H439" s="629"/>
      <c r="I439" s="629"/>
    </row>
    <row r="440" spans="1:9">
      <c r="A440" s="629"/>
      <c r="B440" s="629"/>
      <c r="C440" s="629"/>
      <c r="D440" s="629"/>
      <c r="E440" s="629"/>
      <c r="F440" s="629"/>
      <c r="G440" s="629"/>
      <c r="H440" s="629"/>
      <c r="I440" s="629"/>
    </row>
    <row r="441" spans="1:9">
      <c r="A441" s="629"/>
      <c r="B441" s="629"/>
      <c r="C441" s="629"/>
      <c r="D441" s="629"/>
      <c r="E441" s="629"/>
      <c r="F441" s="629"/>
      <c r="G441" s="629"/>
      <c r="H441" s="629"/>
      <c r="I441" s="629"/>
    </row>
    <row r="442" spans="1:9">
      <c r="A442" s="629"/>
      <c r="B442" s="629"/>
      <c r="C442" s="629"/>
      <c r="D442" s="629"/>
      <c r="E442" s="629"/>
      <c r="F442" s="629"/>
      <c r="G442" s="629"/>
      <c r="H442" s="629"/>
      <c r="I442" s="629"/>
    </row>
    <row r="443" spans="1:9">
      <c r="A443" s="629"/>
      <c r="B443" s="629"/>
      <c r="C443" s="629"/>
      <c r="D443" s="629"/>
      <c r="E443" s="629"/>
      <c r="F443" s="629"/>
      <c r="G443" s="629"/>
      <c r="H443" s="629"/>
      <c r="I443" s="629"/>
    </row>
    <row r="444" spans="1:9">
      <c r="A444" s="629"/>
      <c r="B444" s="629"/>
      <c r="C444" s="629"/>
      <c r="D444" s="629"/>
      <c r="E444" s="629"/>
      <c r="F444" s="629"/>
      <c r="G444" s="629"/>
      <c r="H444" s="629"/>
      <c r="I444" s="629"/>
    </row>
    <row r="445" spans="1:9">
      <c r="A445" s="629"/>
      <c r="B445" s="629"/>
      <c r="C445" s="629"/>
      <c r="D445" s="629"/>
      <c r="E445" s="629"/>
      <c r="F445" s="629"/>
      <c r="G445" s="629"/>
      <c r="H445" s="629"/>
      <c r="I445" s="629"/>
    </row>
    <row r="446" spans="1:9">
      <c r="A446" s="629"/>
      <c r="B446" s="629"/>
      <c r="C446" s="629"/>
      <c r="D446" s="629"/>
      <c r="E446" s="629"/>
      <c r="F446" s="629"/>
      <c r="G446" s="629"/>
      <c r="H446" s="629"/>
      <c r="I446" s="629"/>
    </row>
    <row r="447" spans="1:9">
      <c r="A447" s="629"/>
      <c r="B447" s="629"/>
      <c r="C447" s="629"/>
      <c r="D447" s="629"/>
      <c r="E447" s="629"/>
      <c r="F447" s="629"/>
      <c r="G447" s="629"/>
      <c r="H447" s="629"/>
      <c r="I447" s="629"/>
    </row>
    <row r="448" spans="1:9">
      <c r="A448" s="629"/>
      <c r="B448" s="629"/>
      <c r="C448" s="629"/>
      <c r="D448" s="629"/>
      <c r="E448" s="629"/>
      <c r="F448" s="629"/>
      <c r="G448" s="629"/>
      <c r="H448" s="629"/>
      <c r="I448" s="629"/>
    </row>
    <row r="449" spans="1:9">
      <c r="A449" s="629"/>
      <c r="B449" s="629"/>
      <c r="C449" s="629"/>
      <c r="D449" s="629"/>
      <c r="E449" s="629"/>
      <c r="F449" s="629"/>
      <c r="G449" s="629"/>
      <c r="H449" s="629"/>
      <c r="I449" s="629"/>
    </row>
    <row r="450" spans="1:9">
      <c r="A450" s="629"/>
      <c r="B450" s="629"/>
      <c r="C450" s="629"/>
      <c r="D450" s="629"/>
      <c r="E450" s="629"/>
      <c r="F450" s="629"/>
      <c r="G450" s="629"/>
      <c r="H450" s="629"/>
      <c r="I450" s="629"/>
    </row>
    <row r="451" spans="1:9">
      <c r="A451" s="629"/>
      <c r="B451" s="629"/>
      <c r="C451" s="629"/>
      <c r="D451" s="629"/>
      <c r="E451" s="629"/>
      <c r="F451" s="629"/>
      <c r="G451" s="629"/>
      <c r="H451" s="629"/>
      <c r="I451" s="629"/>
    </row>
    <row r="452" spans="1:9">
      <c r="A452" s="629"/>
      <c r="B452" s="629"/>
      <c r="C452" s="629"/>
      <c r="D452" s="629"/>
      <c r="E452" s="629"/>
      <c r="F452" s="629"/>
      <c r="G452" s="629"/>
      <c r="H452" s="629"/>
      <c r="I452" s="629"/>
    </row>
    <row r="453" spans="1:9">
      <c r="A453" s="629"/>
      <c r="B453" s="629"/>
      <c r="C453" s="629"/>
      <c r="D453" s="629"/>
      <c r="E453" s="629"/>
      <c r="F453" s="629"/>
      <c r="G453" s="629"/>
      <c r="H453" s="629"/>
      <c r="I453" s="629"/>
    </row>
    <row r="454" spans="1:9">
      <c r="A454" s="629"/>
      <c r="B454" s="629"/>
      <c r="C454" s="629"/>
      <c r="D454" s="629"/>
      <c r="E454" s="629"/>
      <c r="F454" s="629"/>
      <c r="G454" s="629"/>
      <c r="H454" s="629"/>
      <c r="I454" s="629"/>
    </row>
    <row r="455" spans="1:9">
      <c r="A455" s="629"/>
      <c r="B455" s="629"/>
      <c r="C455" s="629"/>
      <c r="D455" s="629"/>
      <c r="E455" s="629"/>
      <c r="F455" s="629"/>
      <c r="G455" s="629"/>
      <c r="H455" s="629"/>
      <c r="I455" s="629"/>
    </row>
    <row r="456" spans="1:9">
      <c r="A456" s="629"/>
      <c r="B456" s="629"/>
      <c r="C456" s="629"/>
      <c r="D456" s="629"/>
      <c r="E456" s="629"/>
      <c r="F456" s="629"/>
      <c r="G456" s="629"/>
      <c r="H456" s="629"/>
      <c r="I456" s="629"/>
    </row>
    <row r="457" spans="1:9">
      <c r="A457" s="629"/>
      <c r="B457" s="629"/>
      <c r="C457" s="629"/>
      <c r="D457" s="629"/>
      <c r="E457" s="629"/>
      <c r="F457" s="629"/>
      <c r="G457" s="629"/>
      <c r="H457" s="629"/>
      <c r="I457" s="629"/>
    </row>
    <row r="458" spans="1:9">
      <c r="A458" s="629"/>
      <c r="B458" s="629"/>
      <c r="C458" s="629"/>
      <c r="D458" s="629"/>
      <c r="E458" s="629"/>
      <c r="F458" s="629"/>
      <c r="G458" s="629"/>
      <c r="H458" s="629"/>
      <c r="I458" s="629"/>
    </row>
    <row r="459" spans="1:9">
      <c r="A459" s="629"/>
      <c r="B459" s="629"/>
      <c r="C459" s="629"/>
      <c r="D459" s="629"/>
      <c r="E459" s="629"/>
      <c r="F459" s="629"/>
      <c r="G459" s="629"/>
      <c r="H459" s="629"/>
      <c r="I459" s="629"/>
    </row>
    <row r="460" spans="1:9">
      <c r="A460" s="629"/>
      <c r="B460" s="629"/>
      <c r="C460" s="629"/>
      <c r="D460" s="629"/>
      <c r="E460" s="629"/>
      <c r="F460" s="629"/>
      <c r="G460" s="629"/>
      <c r="H460" s="629"/>
      <c r="I460" s="629"/>
    </row>
    <row r="461" spans="1:9">
      <c r="A461" s="629"/>
      <c r="B461" s="629"/>
      <c r="C461" s="629"/>
      <c r="D461" s="629"/>
      <c r="E461" s="629"/>
      <c r="F461" s="629"/>
      <c r="G461" s="629"/>
      <c r="H461" s="629"/>
      <c r="I461" s="629"/>
    </row>
    <row r="462" spans="1:9">
      <c r="A462" s="629"/>
      <c r="B462" s="629"/>
      <c r="C462" s="629"/>
      <c r="D462" s="629"/>
      <c r="E462" s="629"/>
      <c r="F462" s="629"/>
      <c r="G462" s="629"/>
      <c r="H462" s="629"/>
      <c r="I462" s="629"/>
    </row>
    <row r="463" spans="1:9">
      <c r="A463" s="629"/>
      <c r="B463" s="629"/>
      <c r="C463" s="629"/>
      <c r="D463" s="629"/>
      <c r="E463" s="629"/>
      <c r="F463" s="629"/>
      <c r="G463" s="629"/>
      <c r="H463" s="629"/>
      <c r="I463" s="629"/>
    </row>
    <row r="464" spans="1:9">
      <c r="A464" s="629"/>
      <c r="B464" s="629"/>
      <c r="C464" s="629"/>
      <c r="D464" s="629"/>
      <c r="E464" s="629"/>
      <c r="F464" s="629"/>
      <c r="G464" s="629"/>
      <c r="H464" s="629"/>
      <c r="I464" s="629"/>
    </row>
    <row r="465" spans="1:9">
      <c r="A465" s="629"/>
      <c r="B465" s="629"/>
      <c r="C465" s="629"/>
      <c r="D465" s="629"/>
      <c r="E465" s="629"/>
      <c r="F465" s="629"/>
      <c r="G465" s="629"/>
      <c r="H465" s="629"/>
      <c r="I465" s="629"/>
    </row>
    <row r="466" spans="1:9">
      <c r="A466" s="629"/>
      <c r="B466" s="629"/>
      <c r="C466" s="629"/>
      <c r="D466" s="629"/>
      <c r="E466" s="629"/>
      <c r="F466" s="629"/>
      <c r="G466" s="629"/>
      <c r="H466" s="629"/>
      <c r="I466" s="629"/>
    </row>
    <row r="467" spans="1:9">
      <c r="A467" s="629"/>
      <c r="B467" s="629"/>
      <c r="C467" s="629"/>
      <c r="D467" s="629"/>
      <c r="E467" s="629"/>
      <c r="F467" s="629"/>
      <c r="G467" s="629"/>
      <c r="H467" s="629"/>
      <c r="I467" s="629"/>
    </row>
    <row r="468" spans="1:9">
      <c r="A468" s="629"/>
      <c r="B468" s="629"/>
      <c r="C468" s="629"/>
      <c r="D468" s="629"/>
      <c r="E468" s="629"/>
      <c r="F468" s="629"/>
      <c r="G468" s="629"/>
      <c r="H468" s="629"/>
      <c r="I468" s="629"/>
    </row>
    <row r="469" spans="1:9">
      <c r="A469" s="629"/>
      <c r="B469" s="629"/>
      <c r="C469" s="629"/>
      <c r="D469" s="629"/>
      <c r="E469" s="629"/>
      <c r="F469" s="629"/>
      <c r="G469" s="629"/>
      <c r="H469" s="629"/>
      <c r="I469" s="629"/>
    </row>
    <row r="470" spans="1:9">
      <c r="A470" s="629"/>
      <c r="B470" s="629"/>
      <c r="C470" s="629"/>
      <c r="D470" s="629"/>
      <c r="E470" s="629"/>
      <c r="F470" s="629"/>
      <c r="G470" s="629"/>
      <c r="H470" s="629"/>
      <c r="I470" s="629"/>
    </row>
    <row r="471" spans="1:9">
      <c r="A471" s="629"/>
      <c r="B471" s="629"/>
      <c r="C471" s="629"/>
      <c r="D471" s="629"/>
      <c r="E471" s="629"/>
      <c r="F471" s="629"/>
      <c r="G471" s="629"/>
      <c r="H471" s="629"/>
      <c r="I471" s="629"/>
    </row>
    <row r="472" spans="1:9">
      <c r="A472" s="629"/>
      <c r="B472" s="629"/>
      <c r="C472" s="629"/>
      <c r="D472" s="629"/>
      <c r="E472" s="629"/>
      <c r="F472" s="629"/>
      <c r="G472" s="629"/>
      <c r="H472" s="629"/>
      <c r="I472" s="629"/>
    </row>
    <row r="473" spans="1:9">
      <c r="A473" s="629"/>
      <c r="B473" s="629"/>
      <c r="C473" s="629"/>
      <c r="D473" s="629"/>
      <c r="E473" s="629"/>
      <c r="F473" s="629"/>
      <c r="G473" s="629"/>
      <c r="H473" s="629"/>
      <c r="I473" s="629"/>
    </row>
    <row r="474" spans="1:9">
      <c r="A474" s="629"/>
      <c r="B474" s="629"/>
      <c r="C474" s="629"/>
      <c r="D474" s="629"/>
      <c r="E474" s="629"/>
      <c r="F474" s="629"/>
      <c r="G474" s="629"/>
      <c r="H474" s="629"/>
      <c r="I474" s="629"/>
    </row>
    <row r="475" spans="1:9">
      <c r="A475" s="629"/>
      <c r="B475" s="629"/>
      <c r="C475" s="629"/>
      <c r="D475" s="629"/>
      <c r="E475" s="629"/>
      <c r="F475" s="629"/>
      <c r="G475" s="629"/>
      <c r="H475" s="629"/>
      <c r="I475" s="629"/>
    </row>
    <row r="476" spans="1:9">
      <c r="A476" s="629"/>
      <c r="B476" s="629"/>
      <c r="C476" s="629"/>
      <c r="D476" s="629"/>
      <c r="E476" s="629"/>
      <c r="F476" s="629"/>
      <c r="G476" s="629"/>
      <c r="H476" s="629"/>
      <c r="I476" s="629"/>
    </row>
    <row r="477" spans="1:9">
      <c r="A477" s="629"/>
      <c r="B477" s="629"/>
      <c r="C477" s="629"/>
      <c r="D477" s="629"/>
      <c r="E477" s="629"/>
      <c r="F477" s="629"/>
      <c r="G477" s="629"/>
      <c r="H477" s="629"/>
      <c r="I477" s="629"/>
    </row>
    <row r="478" spans="1:9">
      <c r="A478" s="629"/>
      <c r="B478" s="629"/>
      <c r="C478" s="629"/>
      <c r="D478" s="629"/>
      <c r="E478" s="629"/>
      <c r="F478" s="629"/>
      <c r="G478" s="629"/>
      <c r="H478" s="629"/>
      <c r="I478" s="629"/>
    </row>
    <row r="479" spans="1:9">
      <c r="A479" s="629"/>
      <c r="B479" s="629"/>
      <c r="C479" s="629"/>
      <c r="D479" s="629"/>
      <c r="E479" s="629"/>
      <c r="F479" s="629"/>
      <c r="G479" s="629"/>
      <c r="H479" s="629"/>
      <c r="I479" s="629"/>
    </row>
    <row r="480" spans="1:9">
      <c r="A480" s="629"/>
      <c r="B480" s="629"/>
      <c r="C480" s="629"/>
      <c r="D480" s="629"/>
      <c r="E480" s="629"/>
      <c r="F480" s="629"/>
      <c r="G480" s="629"/>
      <c r="H480" s="629"/>
      <c r="I480" s="629"/>
    </row>
    <row r="481" spans="1:9">
      <c r="A481" s="629"/>
      <c r="B481" s="629"/>
      <c r="C481" s="629"/>
      <c r="D481" s="629"/>
      <c r="E481" s="629"/>
      <c r="F481" s="629"/>
      <c r="G481" s="629"/>
      <c r="H481" s="629"/>
      <c r="I481" s="629"/>
    </row>
    <row r="482" spans="1:9">
      <c r="A482" s="629"/>
      <c r="B482" s="629"/>
      <c r="C482" s="629"/>
      <c r="D482" s="629"/>
      <c r="E482" s="629"/>
      <c r="F482" s="629"/>
      <c r="G482" s="629"/>
      <c r="H482" s="629"/>
      <c r="I482" s="629"/>
    </row>
    <row r="483" spans="1:9">
      <c r="A483" s="629"/>
      <c r="B483" s="629"/>
      <c r="C483" s="629"/>
      <c r="D483" s="629"/>
      <c r="E483" s="629"/>
      <c r="F483" s="629"/>
      <c r="G483" s="629"/>
      <c r="H483" s="629"/>
      <c r="I483" s="629"/>
    </row>
    <row r="484" spans="1:9">
      <c r="A484" s="629"/>
      <c r="B484" s="629"/>
      <c r="C484" s="629"/>
      <c r="D484" s="629"/>
      <c r="E484" s="629"/>
      <c r="F484" s="629"/>
      <c r="G484" s="629"/>
      <c r="H484" s="629"/>
      <c r="I484" s="629"/>
    </row>
    <row r="485" spans="1:9">
      <c r="A485" s="629"/>
      <c r="B485" s="629"/>
      <c r="C485" s="629"/>
      <c r="D485" s="629"/>
      <c r="E485" s="629"/>
      <c r="F485" s="629"/>
      <c r="G485" s="629"/>
      <c r="H485" s="629"/>
      <c r="I485" s="629"/>
    </row>
    <row r="486" spans="1:9">
      <c r="A486" s="629"/>
      <c r="B486" s="629"/>
      <c r="C486" s="629"/>
      <c r="D486" s="629"/>
      <c r="E486" s="629"/>
      <c r="F486" s="629"/>
      <c r="G486" s="629"/>
      <c r="H486" s="629"/>
      <c r="I486" s="629"/>
    </row>
    <row r="487" spans="1:9">
      <c r="A487" s="629"/>
      <c r="B487" s="629"/>
      <c r="C487" s="629"/>
      <c r="D487" s="629"/>
      <c r="E487" s="629"/>
      <c r="F487" s="629"/>
      <c r="G487" s="629"/>
      <c r="H487" s="629"/>
      <c r="I487" s="629"/>
    </row>
    <row r="488" spans="1:9">
      <c r="A488" s="629"/>
      <c r="B488" s="629"/>
      <c r="C488" s="629"/>
      <c r="D488" s="629"/>
      <c r="E488" s="629"/>
      <c r="F488" s="629"/>
      <c r="G488" s="629"/>
      <c r="H488" s="629"/>
      <c r="I488" s="629"/>
    </row>
    <row r="489" spans="1:9">
      <c r="A489" s="629"/>
      <c r="B489" s="629"/>
      <c r="C489" s="629"/>
      <c r="D489" s="629"/>
      <c r="E489" s="629"/>
      <c r="F489" s="629"/>
      <c r="G489" s="629"/>
      <c r="H489" s="629"/>
      <c r="I489" s="629"/>
    </row>
    <row r="490" spans="1:9">
      <c r="A490" s="629"/>
      <c r="B490" s="629"/>
      <c r="C490" s="629"/>
      <c r="D490" s="629"/>
      <c r="E490" s="629"/>
      <c r="F490" s="629"/>
      <c r="G490" s="629"/>
      <c r="H490" s="629"/>
      <c r="I490" s="629"/>
    </row>
    <row r="491" spans="1:9">
      <c r="A491" s="629"/>
      <c r="B491" s="629"/>
      <c r="C491" s="629"/>
      <c r="D491" s="629"/>
      <c r="E491" s="629"/>
      <c r="F491" s="629"/>
      <c r="G491" s="629"/>
      <c r="H491" s="629"/>
      <c r="I491" s="629"/>
    </row>
    <row r="492" spans="1:9">
      <c r="A492" s="629"/>
      <c r="B492" s="629"/>
      <c r="C492" s="629"/>
      <c r="D492" s="629"/>
      <c r="E492" s="629"/>
      <c r="F492" s="629"/>
      <c r="G492" s="629"/>
      <c r="H492" s="629"/>
      <c r="I492" s="629"/>
    </row>
    <row r="493" spans="1:9">
      <c r="A493" s="629"/>
      <c r="B493" s="629"/>
      <c r="C493" s="629"/>
      <c r="D493" s="629"/>
      <c r="E493" s="629"/>
      <c r="F493" s="629"/>
      <c r="G493" s="629"/>
      <c r="H493" s="629"/>
      <c r="I493" s="629"/>
    </row>
    <row r="494" spans="1:9">
      <c r="A494" s="629"/>
      <c r="B494" s="629"/>
      <c r="C494" s="629"/>
      <c r="D494" s="629"/>
      <c r="E494" s="629"/>
      <c r="F494" s="629"/>
      <c r="G494" s="629"/>
      <c r="H494" s="629"/>
      <c r="I494" s="629"/>
    </row>
    <row r="495" spans="1:9">
      <c r="A495" s="629"/>
      <c r="B495" s="629"/>
      <c r="C495" s="629"/>
      <c r="D495" s="629"/>
      <c r="E495" s="629"/>
      <c r="F495" s="629"/>
      <c r="G495" s="629"/>
      <c r="H495" s="629"/>
      <c r="I495" s="629"/>
    </row>
    <row r="496" spans="1:9">
      <c r="A496" s="629"/>
      <c r="B496" s="629"/>
      <c r="C496" s="629"/>
      <c r="D496" s="629"/>
      <c r="E496" s="629"/>
      <c r="F496" s="629"/>
      <c r="G496" s="629"/>
      <c r="H496" s="629"/>
      <c r="I496" s="629"/>
    </row>
    <row r="497" spans="1:9">
      <c r="A497" s="629"/>
      <c r="B497" s="629"/>
      <c r="C497" s="629"/>
      <c r="D497" s="629"/>
      <c r="E497" s="629"/>
      <c r="F497" s="629"/>
      <c r="G497" s="629"/>
      <c r="H497" s="629"/>
      <c r="I497" s="629"/>
    </row>
    <row r="498" spans="1:9">
      <c r="A498" s="629"/>
      <c r="B498" s="629"/>
      <c r="C498" s="629"/>
      <c r="D498" s="629"/>
      <c r="E498" s="629"/>
      <c r="F498" s="629"/>
      <c r="G498" s="629"/>
      <c r="H498" s="629"/>
      <c r="I498" s="629"/>
    </row>
    <row r="499" spans="1:9">
      <c r="A499" s="629"/>
      <c r="B499" s="629"/>
      <c r="C499" s="629"/>
      <c r="D499" s="629"/>
      <c r="E499" s="629"/>
      <c r="F499" s="629"/>
      <c r="G499" s="629"/>
      <c r="H499" s="629"/>
      <c r="I499" s="629"/>
    </row>
    <row r="500" spans="1:9">
      <c r="A500" s="629"/>
      <c r="B500" s="629"/>
      <c r="C500" s="629"/>
      <c r="D500" s="629"/>
      <c r="E500" s="629"/>
      <c r="F500" s="629"/>
      <c r="G500" s="629"/>
      <c r="H500" s="629"/>
      <c r="I500" s="629"/>
    </row>
    <row r="501" spans="1:9">
      <c r="A501" s="629"/>
      <c r="B501" s="629"/>
      <c r="C501" s="629"/>
      <c r="D501" s="629"/>
      <c r="E501" s="629"/>
      <c r="F501" s="629"/>
      <c r="G501" s="629"/>
      <c r="H501" s="629"/>
      <c r="I501" s="629"/>
    </row>
    <row r="502" spans="1:9">
      <c r="A502" s="629"/>
      <c r="B502" s="629"/>
      <c r="C502" s="629"/>
      <c r="D502" s="629"/>
      <c r="E502" s="629"/>
      <c r="F502" s="629"/>
      <c r="G502" s="629"/>
      <c r="H502" s="629"/>
      <c r="I502" s="629"/>
    </row>
    <row r="503" spans="1:9">
      <c r="A503" s="629"/>
      <c r="B503" s="629"/>
      <c r="C503" s="629"/>
      <c r="D503" s="629"/>
      <c r="E503" s="629"/>
      <c r="F503" s="629"/>
      <c r="G503" s="629"/>
      <c r="H503" s="629"/>
      <c r="I503" s="629"/>
    </row>
    <row r="504" spans="1:9">
      <c r="A504" s="629"/>
      <c r="B504" s="629"/>
      <c r="C504" s="629"/>
      <c r="D504" s="629"/>
      <c r="E504" s="629"/>
      <c r="F504" s="629"/>
      <c r="G504" s="629"/>
      <c r="H504" s="629"/>
      <c r="I504" s="629"/>
    </row>
    <row r="505" spans="1:9">
      <c r="A505" s="629"/>
      <c r="B505" s="629"/>
      <c r="C505" s="629"/>
      <c r="D505" s="629"/>
      <c r="E505" s="629"/>
      <c r="F505" s="629"/>
      <c r="G505" s="629"/>
      <c r="H505" s="629"/>
      <c r="I505" s="629"/>
    </row>
    <row r="506" spans="1:9">
      <c r="A506" s="629"/>
      <c r="B506" s="629"/>
      <c r="C506" s="629"/>
      <c r="D506" s="629"/>
      <c r="E506" s="629"/>
      <c r="F506" s="629"/>
      <c r="G506" s="629"/>
      <c r="H506" s="629"/>
      <c r="I506" s="629"/>
    </row>
    <row r="507" spans="1:9">
      <c r="A507" s="629"/>
      <c r="B507" s="629"/>
      <c r="C507" s="629"/>
      <c r="D507" s="629"/>
      <c r="E507" s="629"/>
      <c r="F507" s="629"/>
      <c r="G507" s="629"/>
      <c r="H507" s="629"/>
      <c r="I507" s="629"/>
    </row>
    <row r="508" spans="1:9">
      <c r="A508" s="629"/>
      <c r="B508" s="629"/>
      <c r="C508" s="629"/>
      <c r="D508" s="629"/>
      <c r="E508" s="629"/>
      <c r="F508" s="629"/>
      <c r="G508" s="629"/>
      <c r="H508" s="629"/>
      <c r="I508" s="629"/>
    </row>
    <row r="509" spans="1:9">
      <c r="A509" s="629"/>
      <c r="B509" s="629"/>
      <c r="C509" s="629"/>
      <c r="D509" s="629"/>
      <c r="E509" s="629"/>
      <c r="F509" s="629"/>
      <c r="G509" s="629"/>
      <c r="H509" s="629"/>
      <c r="I509" s="629"/>
    </row>
    <row r="510" spans="1:9">
      <c r="A510" s="629"/>
      <c r="B510" s="629"/>
      <c r="C510" s="629"/>
      <c r="D510" s="629"/>
      <c r="E510" s="629"/>
      <c r="F510" s="629"/>
      <c r="G510" s="629"/>
      <c r="H510" s="629"/>
      <c r="I510" s="629"/>
    </row>
    <row r="511" spans="1:9">
      <c r="A511" s="629"/>
      <c r="B511" s="629"/>
      <c r="C511" s="629"/>
      <c r="D511" s="629"/>
      <c r="E511" s="629"/>
      <c r="F511" s="629"/>
      <c r="G511" s="629"/>
      <c r="H511" s="629"/>
      <c r="I511" s="629"/>
    </row>
    <row r="512" spans="1:9">
      <c r="A512" s="629"/>
      <c r="B512" s="629"/>
      <c r="C512" s="629"/>
      <c r="D512" s="629"/>
      <c r="E512" s="629"/>
      <c r="F512" s="629"/>
      <c r="G512" s="629"/>
      <c r="H512" s="629"/>
      <c r="I512" s="629"/>
    </row>
    <row r="513" spans="1:9">
      <c r="A513" s="629"/>
      <c r="B513" s="629"/>
      <c r="C513" s="629"/>
      <c r="D513" s="629"/>
      <c r="E513" s="629"/>
      <c r="F513" s="629"/>
      <c r="G513" s="629"/>
      <c r="H513" s="629"/>
      <c r="I513" s="629"/>
    </row>
    <row r="514" spans="1:9">
      <c r="A514" s="629"/>
      <c r="B514" s="629"/>
      <c r="C514" s="629"/>
      <c r="D514" s="629"/>
      <c r="E514" s="629"/>
      <c r="F514" s="629"/>
      <c r="G514" s="629"/>
      <c r="H514" s="629"/>
      <c r="I514" s="629"/>
    </row>
    <row r="515" spans="1:9">
      <c r="A515" s="629"/>
      <c r="B515" s="629"/>
      <c r="C515" s="629"/>
      <c r="D515" s="629"/>
      <c r="E515" s="629"/>
      <c r="F515" s="629"/>
      <c r="G515" s="629"/>
      <c r="H515" s="629"/>
      <c r="I515" s="629"/>
    </row>
    <row r="516" spans="1:9">
      <c r="A516" s="629"/>
      <c r="B516" s="629"/>
      <c r="C516" s="629"/>
      <c r="D516" s="629"/>
      <c r="E516" s="629"/>
      <c r="F516" s="629"/>
      <c r="G516" s="629"/>
      <c r="H516" s="629"/>
      <c r="I516" s="629"/>
    </row>
    <row r="517" spans="1:9">
      <c r="A517" s="629"/>
      <c r="B517" s="629"/>
      <c r="C517" s="629"/>
      <c r="D517" s="629"/>
      <c r="E517" s="629"/>
      <c r="F517" s="629"/>
      <c r="G517" s="629"/>
      <c r="H517" s="629"/>
      <c r="I517" s="629"/>
    </row>
    <row r="518" spans="1:9">
      <c r="A518" s="629"/>
      <c r="B518" s="629"/>
      <c r="C518" s="629"/>
      <c r="D518" s="629"/>
      <c r="E518" s="629"/>
      <c r="F518" s="629"/>
      <c r="G518" s="629"/>
      <c r="H518" s="629"/>
      <c r="I518" s="629"/>
    </row>
    <row r="519" spans="1:9">
      <c r="A519" s="629"/>
      <c r="B519" s="629"/>
      <c r="C519" s="629"/>
      <c r="D519" s="629"/>
      <c r="E519" s="629"/>
      <c r="F519" s="629"/>
      <c r="G519" s="629"/>
      <c r="H519" s="629"/>
      <c r="I519" s="629"/>
    </row>
    <row r="520" spans="1:9">
      <c r="A520" s="629"/>
      <c r="B520" s="629"/>
      <c r="C520" s="629"/>
      <c r="D520" s="629"/>
      <c r="E520" s="629"/>
      <c r="F520" s="629"/>
      <c r="G520" s="629"/>
      <c r="H520" s="629"/>
      <c r="I520" s="629"/>
    </row>
    <row r="521" spans="1:9">
      <c r="A521" s="629"/>
      <c r="B521" s="629"/>
      <c r="C521" s="629"/>
      <c r="D521" s="629"/>
      <c r="E521" s="629"/>
      <c r="F521" s="629"/>
      <c r="G521" s="629"/>
      <c r="H521" s="629"/>
      <c r="I521" s="629"/>
    </row>
    <row r="522" spans="1:9">
      <c r="A522" s="629"/>
      <c r="B522" s="629"/>
      <c r="C522" s="629"/>
      <c r="D522" s="629"/>
      <c r="E522" s="629"/>
      <c r="F522" s="629"/>
      <c r="G522" s="629"/>
      <c r="H522" s="629"/>
      <c r="I522" s="629"/>
    </row>
    <row r="523" spans="1:9">
      <c r="A523" s="629"/>
      <c r="B523" s="629"/>
      <c r="C523" s="629"/>
      <c r="D523" s="629"/>
      <c r="E523" s="629"/>
      <c r="F523" s="629"/>
      <c r="G523" s="629"/>
      <c r="H523" s="629"/>
      <c r="I523" s="629"/>
    </row>
    <row r="524" spans="1:9">
      <c r="A524" s="629"/>
      <c r="B524" s="629"/>
      <c r="C524" s="629"/>
      <c r="D524" s="629"/>
      <c r="E524" s="629"/>
      <c r="F524" s="629"/>
      <c r="G524" s="629"/>
      <c r="H524" s="629"/>
      <c r="I524" s="629"/>
    </row>
    <row r="525" spans="1:9">
      <c r="A525" s="629"/>
      <c r="B525" s="629"/>
      <c r="C525" s="629"/>
      <c r="D525" s="629"/>
      <c r="E525" s="629"/>
      <c r="F525" s="629"/>
      <c r="G525" s="629"/>
      <c r="H525" s="629"/>
      <c r="I525" s="629"/>
    </row>
    <row r="526" spans="1:9">
      <c r="A526" s="629"/>
      <c r="B526" s="629"/>
      <c r="C526" s="629"/>
      <c r="D526" s="629"/>
      <c r="E526" s="629"/>
      <c r="F526" s="629"/>
      <c r="G526" s="629"/>
      <c r="H526" s="629"/>
      <c r="I526" s="629"/>
    </row>
    <row r="527" spans="1:9">
      <c r="A527" s="629"/>
      <c r="B527" s="629"/>
      <c r="C527" s="629"/>
      <c r="D527" s="629"/>
      <c r="E527" s="629"/>
      <c r="F527" s="629"/>
      <c r="G527" s="629"/>
      <c r="H527" s="629"/>
      <c r="I527" s="629"/>
    </row>
    <row r="528" spans="1:9">
      <c r="A528" s="629"/>
      <c r="B528" s="629"/>
      <c r="C528" s="629"/>
      <c r="D528" s="629"/>
      <c r="E528" s="629"/>
      <c r="F528" s="629"/>
      <c r="G528" s="629"/>
      <c r="H528" s="629"/>
      <c r="I528" s="629"/>
    </row>
    <row r="529" spans="1:9">
      <c r="A529" s="629"/>
      <c r="B529" s="629"/>
      <c r="C529" s="629"/>
      <c r="D529" s="629"/>
      <c r="E529" s="629"/>
      <c r="F529" s="629"/>
      <c r="G529" s="629"/>
      <c r="H529" s="629"/>
      <c r="I529" s="629"/>
    </row>
    <row r="530" spans="1:9">
      <c r="A530" s="629"/>
      <c r="B530" s="629"/>
      <c r="C530" s="629"/>
      <c r="D530" s="629"/>
      <c r="E530" s="629"/>
      <c r="F530" s="629"/>
      <c r="G530" s="629"/>
      <c r="H530" s="629"/>
      <c r="I530" s="629"/>
    </row>
    <row r="531" spans="1:9">
      <c r="A531" s="629"/>
      <c r="B531" s="629"/>
      <c r="C531" s="629"/>
      <c r="D531" s="629"/>
      <c r="E531" s="629"/>
      <c r="F531" s="629"/>
      <c r="G531" s="629"/>
      <c r="H531" s="629"/>
      <c r="I531" s="629"/>
    </row>
    <row r="532" spans="1:9">
      <c r="A532" s="629"/>
      <c r="B532" s="629"/>
      <c r="C532" s="629"/>
      <c r="D532" s="629"/>
      <c r="E532" s="629"/>
      <c r="F532" s="629"/>
      <c r="G532" s="629"/>
      <c r="H532" s="629"/>
      <c r="I532" s="629"/>
    </row>
    <row r="533" spans="1:9">
      <c r="A533" s="629"/>
      <c r="B533" s="629"/>
      <c r="C533" s="629"/>
      <c r="D533" s="629"/>
      <c r="E533" s="629"/>
      <c r="F533" s="629"/>
      <c r="G533" s="629"/>
      <c r="H533" s="629"/>
      <c r="I533" s="629"/>
    </row>
    <row r="534" spans="1:9">
      <c r="A534" s="629"/>
      <c r="B534" s="629"/>
      <c r="C534" s="629"/>
      <c r="D534" s="629"/>
      <c r="E534" s="629"/>
      <c r="F534" s="629"/>
      <c r="G534" s="629"/>
      <c r="H534" s="629"/>
      <c r="I534" s="629"/>
    </row>
    <row r="535" spans="1:9">
      <c r="A535" s="629"/>
      <c r="B535" s="629"/>
      <c r="C535" s="629"/>
      <c r="D535" s="629"/>
      <c r="E535" s="629"/>
      <c r="F535" s="629"/>
      <c r="G535" s="629"/>
      <c r="H535" s="629"/>
      <c r="I535" s="629"/>
    </row>
    <row r="536" spans="1:9">
      <c r="A536" s="629"/>
      <c r="B536" s="629"/>
      <c r="C536" s="629"/>
      <c r="D536" s="629"/>
      <c r="E536" s="629"/>
      <c r="F536" s="629"/>
      <c r="G536" s="629"/>
      <c r="H536" s="629"/>
      <c r="I536" s="629"/>
    </row>
    <row r="537" spans="1:9">
      <c r="A537" s="629"/>
      <c r="B537" s="629"/>
      <c r="C537" s="629"/>
      <c r="D537" s="629"/>
      <c r="E537" s="629"/>
      <c r="F537" s="629"/>
      <c r="G537" s="629"/>
      <c r="H537" s="629"/>
      <c r="I537" s="629"/>
    </row>
    <row r="538" spans="1:9">
      <c r="A538" s="629"/>
      <c r="B538" s="629"/>
      <c r="C538" s="629"/>
      <c r="D538" s="629"/>
      <c r="E538" s="629"/>
      <c r="F538" s="629"/>
      <c r="G538" s="629"/>
      <c r="H538" s="629"/>
      <c r="I538" s="629"/>
    </row>
    <row r="539" spans="1:9">
      <c r="A539" s="629"/>
      <c r="B539" s="629"/>
      <c r="C539" s="629"/>
      <c r="D539" s="629"/>
      <c r="E539" s="629"/>
      <c r="F539" s="629"/>
      <c r="G539" s="629"/>
      <c r="H539" s="629"/>
      <c r="I539" s="629"/>
    </row>
    <row r="540" spans="1:9">
      <c r="A540" s="629"/>
      <c r="B540" s="629"/>
      <c r="C540" s="629"/>
      <c r="D540" s="629"/>
      <c r="E540" s="629"/>
      <c r="F540" s="629"/>
      <c r="G540" s="629"/>
      <c r="H540" s="629"/>
      <c r="I540" s="629"/>
    </row>
    <row r="541" spans="1:9">
      <c r="A541" s="629"/>
      <c r="B541" s="629"/>
      <c r="C541" s="629"/>
      <c r="D541" s="629"/>
      <c r="E541" s="629"/>
      <c r="F541" s="629"/>
      <c r="G541" s="629"/>
      <c r="H541" s="629"/>
      <c r="I541" s="629"/>
    </row>
    <row r="542" spans="1:9">
      <c r="A542" s="629"/>
      <c r="B542" s="629"/>
      <c r="C542" s="629"/>
      <c r="D542" s="629"/>
      <c r="E542" s="629"/>
      <c r="F542" s="629"/>
      <c r="G542" s="629"/>
      <c r="H542" s="629"/>
      <c r="I542" s="629"/>
    </row>
    <row r="543" spans="1:9">
      <c r="A543" s="629"/>
      <c r="B543" s="629"/>
      <c r="C543" s="629"/>
      <c r="D543" s="629"/>
      <c r="E543" s="629"/>
      <c r="F543" s="629"/>
      <c r="G543" s="629"/>
      <c r="H543" s="629"/>
      <c r="I543" s="629"/>
    </row>
    <row r="544" spans="1:9">
      <c r="A544" s="629"/>
      <c r="B544" s="629"/>
      <c r="C544" s="629"/>
      <c r="D544" s="629"/>
      <c r="E544" s="629"/>
      <c r="F544" s="629"/>
      <c r="G544" s="629"/>
      <c r="H544" s="629"/>
      <c r="I544" s="629"/>
    </row>
    <row r="545" spans="1:9">
      <c r="A545" s="629"/>
      <c r="B545" s="629"/>
      <c r="C545" s="629"/>
      <c r="D545" s="629"/>
      <c r="E545" s="629"/>
      <c r="F545" s="629"/>
      <c r="G545" s="629"/>
      <c r="H545" s="629"/>
      <c r="I545" s="629"/>
    </row>
    <row r="546" spans="1:9">
      <c r="A546" s="629"/>
      <c r="B546" s="629"/>
      <c r="C546" s="629"/>
      <c r="D546" s="629"/>
      <c r="E546" s="629"/>
      <c r="F546" s="629"/>
      <c r="G546" s="629"/>
      <c r="H546" s="629"/>
      <c r="I546" s="629"/>
    </row>
    <row r="547" spans="1:9">
      <c r="A547" s="629"/>
      <c r="B547" s="629"/>
      <c r="C547" s="629"/>
      <c r="D547" s="629"/>
      <c r="E547" s="629"/>
      <c r="F547" s="629"/>
      <c r="G547" s="629"/>
      <c r="H547" s="629"/>
      <c r="I547" s="629"/>
    </row>
    <row r="548" spans="1:9">
      <c r="A548" s="629"/>
      <c r="B548" s="629"/>
      <c r="C548" s="629"/>
      <c r="D548" s="629"/>
      <c r="E548" s="629"/>
      <c r="F548" s="629"/>
      <c r="G548" s="629"/>
      <c r="H548" s="629"/>
      <c r="I548" s="629"/>
    </row>
    <row r="549" spans="1:9">
      <c r="A549" s="629"/>
      <c r="B549" s="629"/>
      <c r="C549" s="629"/>
      <c r="D549" s="629"/>
      <c r="E549" s="629"/>
      <c r="F549" s="629"/>
      <c r="G549" s="629"/>
      <c r="H549" s="629"/>
      <c r="I549" s="629"/>
    </row>
    <row r="550" spans="1:9">
      <c r="A550" s="629"/>
      <c r="B550" s="629"/>
      <c r="C550" s="629"/>
      <c r="D550" s="629"/>
      <c r="E550" s="629"/>
      <c r="F550" s="629"/>
      <c r="G550" s="629"/>
      <c r="H550" s="629"/>
      <c r="I550" s="629"/>
    </row>
    <row r="551" spans="1:9">
      <c r="A551" s="629"/>
      <c r="B551" s="629"/>
      <c r="C551" s="629"/>
      <c r="D551" s="629"/>
      <c r="E551" s="629"/>
      <c r="F551" s="629"/>
      <c r="G551" s="629"/>
      <c r="H551" s="629"/>
      <c r="I551" s="629"/>
    </row>
    <row r="552" spans="1:9">
      <c r="A552" s="629"/>
      <c r="B552" s="629"/>
      <c r="C552" s="629"/>
      <c r="D552" s="629"/>
      <c r="E552" s="629"/>
      <c r="F552" s="629"/>
      <c r="G552" s="629"/>
      <c r="H552" s="629"/>
      <c r="I552" s="629"/>
    </row>
    <row r="553" spans="1:9">
      <c r="A553" s="629"/>
      <c r="B553" s="629"/>
      <c r="C553" s="629"/>
      <c r="D553" s="629"/>
      <c r="E553" s="629"/>
      <c r="F553" s="629"/>
      <c r="G553" s="629"/>
      <c r="H553" s="629"/>
      <c r="I553" s="629"/>
    </row>
    <row r="554" spans="1:9">
      <c r="A554" s="629"/>
      <c r="B554" s="629"/>
      <c r="C554" s="629"/>
      <c r="D554" s="629"/>
      <c r="E554" s="629"/>
      <c r="F554" s="629"/>
      <c r="G554" s="629"/>
      <c r="H554" s="629"/>
      <c r="I554" s="629"/>
    </row>
    <row r="555" spans="1:9">
      <c r="A555" s="629"/>
      <c r="B555" s="629"/>
      <c r="C555" s="629"/>
      <c r="D555" s="629"/>
      <c r="E555" s="629"/>
      <c r="F555" s="629"/>
      <c r="G555" s="629"/>
      <c r="H555" s="629"/>
      <c r="I555" s="629"/>
    </row>
    <row r="556" spans="1:9">
      <c r="A556" s="629"/>
      <c r="B556" s="629"/>
      <c r="C556" s="629"/>
      <c r="D556" s="629"/>
      <c r="E556" s="629"/>
      <c r="F556" s="629"/>
      <c r="G556" s="629"/>
      <c r="H556" s="629"/>
      <c r="I556" s="629"/>
    </row>
    <row r="557" spans="1:9">
      <c r="A557" s="629"/>
      <c r="B557" s="629"/>
      <c r="C557" s="629"/>
      <c r="D557" s="629"/>
      <c r="E557" s="629"/>
      <c r="F557" s="629"/>
      <c r="G557" s="629"/>
      <c r="H557" s="629"/>
      <c r="I557" s="629"/>
    </row>
    <row r="558" spans="1:9">
      <c r="A558" s="629"/>
      <c r="B558" s="629"/>
      <c r="C558" s="629"/>
      <c r="D558" s="629"/>
      <c r="E558" s="629"/>
      <c r="F558" s="629"/>
      <c r="G558" s="629"/>
      <c r="H558" s="629"/>
      <c r="I558" s="629"/>
    </row>
    <row r="559" spans="1:9">
      <c r="A559" s="629"/>
      <c r="B559" s="629"/>
      <c r="C559" s="629"/>
      <c r="D559" s="629"/>
      <c r="E559" s="629"/>
      <c r="F559" s="629"/>
      <c r="G559" s="629"/>
      <c r="H559" s="629"/>
      <c r="I559" s="629"/>
    </row>
    <row r="560" spans="1:9">
      <c r="A560" s="629"/>
      <c r="B560" s="629"/>
      <c r="C560" s="629"/>
      <c r="D560" s="629"/>
      <c r="E560" s="629"/>
      <c r="F560" s="629"/>
      <c r="G560" s="629"/>
      <c r="H560" s="629"/>
      <c r="I560" s="629"/>
    </row>
    <row r="561" spans="1:9">
      <c r="A561" s="629"/>
      <c r="B561" s="629"/>
      <c r="C561" s="629"/>
      <c r="D561" s="629"/>
      <c r="E561" s="629"/>
      <c r="F561" s="629"/>
      <c r="G561" s="629"/>
      <c r="H561" s="629"/>
      <c r="I561" s="629"/>
    </row>
    <row r="562" spans="1:9">
      <c r="A562" s="629"/>
      <c r="B562" s="629"/>
      <c r="C562" s="629"/>
      <c r="D562" s="629"/>
      <c r="E562" s="629"/>
      <c r="F562" s="629"/>
      <c r="G562" s="629"/>
      <c r="H562" s="629"/>
      <c r="I562" s="629"/>
    </row>
    <row r="563" spans="1:9">
      <c r="A563" s="629"/>
      <c r="B563" s="629"/>
      <c r="C563" s="629"/>
      <c r="D563" s="629"/>
      <c r="E563" s="629"/>
      <c r="F563" s="629"/>
      <c r="G563" s="629"/>
      <c r="H563" s="629"/>
      <c r="I563" s="629"/>
    </row>
    <row r="564" spans="1:9">
      <c r="A564" s="629"/>
      <c r="B564" s="629"/>
      <c r="C564" s="629"/>
      <c r="D564" s="629"/>
      <c r="E564" s="629"/>
      <c r="F564" s="629"/>
      <c r="G564" s="629"/>
      <c r="H564" s="629"/>
      <c r="I564" s="629"/>
    </row>
    <row r="565" spans="1:9">
      <c r="A565" s="629"/>
      <c r="B565" s="629"/>
      <c r="C565" s="629"/>
      <c r="D565" s="629"/>
      <c r="E565" s="629"/>
      <c r="F565" s="629"/>
      <c r="G565" s="629"/>
      <c r="H565" s="629"/>
      <c r="I565" s="629"/>
    </row>
    <row r="566" spans="1:9">
      <c r="A566" s="629"/>
      <c r="B566" s="629"/>
      <c r="C566" s="629"/>
      <c r="D566" s="629"/>
      <c r="E566" s="629"/>
      <c r="F566" s="629"/>
      <c r="G566" s="629"/>
      <c r="H566" s="629"/>
      <c r="I566" s="629"/>
    </row>
    <row r="567" spans="1:9">
      <c r="A567" s="629"/>
      <c r="B567" s="629"/>
      <c r="C567" s="629"/>
      <c r="D567" s="629"/>
      <c r="E567" s="629"/>
      <c r="F567" s="629"/>
      <c r="G567" s="629"/>
      <c r="H567" s="629"/>
      <c r="I567" s="629"/>
    </row>
    <row r="568" spans="1:9">
      <c r="A568" s="629"/>
      <c r="B568" s="629"/>
      <c r="C568" s="629"/>
      <c r="D568" s="629"/>
      <c r="E568" s="629"/>
      <c r="F568" s="629"/>
      <c r="G568" s="629"/>
      <c r="H568" s="629"/>
      <c r="I568" s="629"/>
    </row>
    <row r="569" spans="1:9">
      <c r="A569" s="629"/>
      <c r="B569" s="629"/>
      <c r="C569" s="629"/>
      <c r="D569" s="629"/>
      <c r="E569" s="629"/>
      <c r="F569" s="629"/>
      <c r="G569" s="629"/>
      <c r="H569" s="629"/>
      <c r="I569" s="629"/>
    </row>
    <row r="570" spans="1:9">
      <c r="A570" s="629"/>
      <c r="B570" s="629"/>
      <c r="C570" s="629"/>
      <c r="D570" s="629"/>
      <c r="E570" s="629"/>
      <c r="F570" s="629"/>
      <c r="G570" s="629"/>
      <c r="H570" s="629"/>
      <c r="I570" s="629"/>
    </row>
    <row r="571" spans="1:9">
      <c r="A571" s="629"/>
      <c r="B571" s="629"/>
      <c r="C571" s="629"/>
      <c r="D571" s="629"/>
      <c r="E571" s="629"/>
      <c r="F571" s="629"/>
      <c r="G571" s="629"/>
      <c r="H571" s="629"/>
      <c r="I571" s="629"/>
    </row>
    <row r="572" spans="1:9">
      <c r="A572" s="629"/>
      <c r="B572" s="629"/>
      <c r="C572" s="629"/>
      <c r="D572" s="629"/>
      <c r="E572" s="629"/>
      <c r="F572" s="629"/>
      <c r="G572" s="629"/>
      <c r="H572" s="629"/>
      <c r="I572" s="629"/>
    </row>
    <row r="573" spans="1:9">
      <c r="A573" s="629"/>
      <c r="B573" s="629"/>
      <c r="C573" s="629"/>
      <c r="D573" s="629"/>
      <c r="E573" s="629"/>
      <c r="F573" s="629"/>
      <c r="G573" s="629"/>
      <c r="H573" s="629"/>
      <c r="I573" s="629"/>
    </row>
    <row r="574" spans="1:9">
      <c r="A574" s="629"/>
      <c r="B574" s="629"/>
      <c r="C574" s="629"/>
      <c r="D574" s="629"/>
      <c r="E574" s="629"/>
      <c r="F574" s="629"/>
      <c r="G574" s="629"/>
      <c r="H574" s="629"/>
      <c r="I574" s="629"/>
    </row>
    <row r="575" spans="1:9">
      <c r="A575" s="629"/>
      <c r="B575" s="629"/>
      <c r="C575" s="629"/>
      <c r="D575" s="629"/>
      <c r="E575" s="629"/>
      <c r="F575" s="629"/>
      <c r="G575" s="629"/>
      <c r="H575" s="629"/>
      <c r="I575" s="629"/>
    </row>
    <row r="576" spans="1:9">
      <c r="A576" s="629"/>
      <c r="B576" s="629"/>
      <c r="C576" s="629"/>
      <c r="D576" s="629"/>
      <c r="E576" s="629"/>
      <c r="F576" s="629"/>
      <c r="G576" s="629"/>
      <c r="H576" s="629"/>
      <c r="I576" s="629"/>
    </row>
    <row r="577" spans="1:9">
      <c r="A577" s="629"/>
      <c r="B577" s="629"/>
      <c r="C577" s="629"/>
      <c r="D577" s="629"/>
      <c r="E577" s="629"/>
      <c r="F577" s="629"/>
      <c r="G577" s="629"/>
      <c r="H577" s="629"/>
      <c r="I577" s="629"/>
    </row>
    <row r="578" spans="1:9">
      <c r="A578" s="629"/>
      <c r="B578" s="629"/>
      <c r="C578" s="629"/>
      <c r="D578" s="629"/>
      <c r="E578" s="629"/>
      <c r="F578" s="629"/>
      <c r="G578" s="629"/>
      <c r="H578" s="629"/>
      <c r="I578" s="629"/>
    </row>
    <row r="579" spans="1:9">
      <c r="A579" s="629"/>
      <c r="B579" s="629"/>
      <c r="C579" s="629"/>
      <c r="D579" s="629"/>
      <c r="E579" s="629"/>
      <c r="F579" s="629"/>
      <c r="G579" s="629"/>
      <c r="H579" s="629"/>
      <c r="I579" s="629"/>
    </row>
    <row r="580" spans="1:9">
      <c r="A580" s="629"/>
      <c r="B580" s="629"/>
      <c r="C580" s="629"/>
      <c r="D580" s="629"/>
      <c r="E580" s="629"/>
      <c r="F580" s="629"/>
      <c r="G580" s="629"/>
      <c r="H580" s="629"/>
      <c r="I580" s="629"/>
    </row>
    <row r="581" spans="1:9">
      <c r="A581" s="629"/>
      <c r="B581" s="629"/>
      <c r="C581" s="629"/>
      <c r="D581" s="629"/>
      <c r="E581" s="629"/>
      <c r="F581" s="629"/>
      <c r="G581" s="629"/>
      <c r="H581" s="629"/>
      <c r="I581" s="629"/>
    </row>
    <row r="582" spans="1:9">
      <c r="A582" s="629"/>
      <c r="B582" s="629"/>
      <c r="C582" s="629"/>
      <c r="D582" s="629"/>
      <c r="E582" s="629"/>
      <c r="F582" s="629"/>
      <c r="G582" s="629"/>
      <c r="H582" s="629"/>
      <c r="I582" s="629"/>
    </row>
    <row r="583" spans="1:9">
      <c r="A583" s="629"/>
      <c r="B583" s="629"/>
      <c r="C583" s="629"/>
      <c r="D583" s="629"/>
      <c r="E583" s="629"/>
      <c r="F583" s="629"/>
      <c r="G583" s="629"/>
      <c r="H583" s="629"/>
      <c r="I583" s="629"/>
    </row>
    <row r="584" spans="1:9">
      <c r="A584" s="629"/>
      <c r="B584" s="629"/>
      <c r="C584" s="629"/>
      <c r="D584" s="629"/>
      <c r="E584" s="629"/>
      <c r="F584" s="629"/>
      <c r="G584" s="629"/>
      <c r="H584" s="629"/>
      <c r="I584" s="629"/>
    </row>
    <row r="585" spans="1:9">
      <c r="A585" s="629"/>
      <c r="B585" s="629"/>
      <c r="C585" s="629"/>
      <c r="D585" s="629"/>
      <c r="E585" s="629"/>
      <c r="F585" s="629"/>
      <c r="G585" s="629"/>
      <c r="H585" s="629"/>
      <c r="I585" s="629"/>
    </row>
    <row r="586" spans="1:9">
      <c r="A586" s="629"/>
      <c r="B586" s="629"/>
      <c r="C586" s="629"/>
      <c r="D586" s="629"/>
      <c r="E586" s="629"/>
      <c r="F586" s="629"/>
      <c r="G586" s="629"/>
      <c r="H586" s="629"/>
      <c r="I586" s="629"/>
    </row>
    <row r="587" spans="1:9">
      <c r="A587" s="629"/>
      <c r="B587" s="629"/>
      <c r="C587" s="629"/>
      <c r="D587" s="629"/>
      <c r="E587" s="629"/>
      <c r="F587" s="629"/>
      <c r="G587" s="629"/>
      <c r="H587" s="629"/>
      <c r="I587" s="629"/>
    </row>
    <row r="588" spans="1:9">
      <c r="A588" s="629"/>
      <c r="B588" s="629"/>
      <c r="C588" s="629"/>
      <c r="D588" s="629"/>
      <c r="E588" s="629"/>
      <c r="F588" s="629"/>
      <c r="G588" s="629"/>
      <c r="H588" s="629"/>
      <c r="I588" s="629"/>
    </row>
    <row r="589" spans="1:9">
      <c r="A589" s="629"/>
      <c r="B589" s="629"/>
      <c r="C589" s="629"/>
      <c r="D589" s="629"/>
      <c r="E589" s="629"/>
      <c r="F589" s="629"/>
      <c r="G589" s="629"/>
      <c r="H589" s="629"/>
      <c r="I589" s="629"/>
    </row>
    <row r="590" spans="1:9">
      <c r="A590" s="629"/>
      <c r="B590" s="629"/>
      <c r="C590" s="629"/>
      <c r="D590" s="629"/>
      <c r="E590" s="629"/>
      <c r="F590" s="629"/>
      <c r="G590" s="629"/>
      <c r="H590" s="629"/>
      <c r="I590" s="629"/>
    </row>
    <row r="591" spans="1:9">
      <c r="A591" s="629"/>
      <c r="B591" s="629"/>
      <c r="C591" s="629"/>
      <c r="D591" s="629"/>
      <c r="E591" s="629"/>
      <c r="F591" s="629"/>
      <c r="G591" s="629"/>
      <c r="H591" s="629"/>
      <c r="I591" s="629"/>
    </row>
    <row r="592" spans="1:9">
      <c r="A592" s="629"/>
      <c r="B592" s="629"/>
      <c r="C592" s="629"/>
      <c r="D592" s="629"/>
      <c r="E592" s="629"/>
      <c r="F592" s="629"/>
      <c r="G592" s="629"/>
      <c r="H592" s="629"/>
      <c r="I592" s="629"/>
    </row>
    <row r="593" spans="1:9">
      <c r="A593" s="629"/>
      <c r="B593" s="629"/>
      <c r="C593" s="629"/>
      <c r="D593" s="629"/>
      <c r="E593" s="629"/>
      <c r="F593" s="629"/>
      <c r="G593" s="629"/>
      <c r="H593" s="629"/>
      <c r="I593" s="629"/>
    </row>
    <row r="594" spans="1:9">
      <c r="A594" s="629"/>
      <c r="B594" s="629"/>
      <c r="C594" s="629"/>
      <c r="D594" s="629"/>
      <c r="E594" s="629"/>
      <c r="F594" s="629"/>
      <c r="G594" s="629"/>
      <c r="H594" s="629"/>
      <c r="I594" s="629"/>
    </row>
    <row r="595" spans="1:9">
      <c r="A595" s="629"/>
      <c r="B595" s="629"/>
      <c r="C595" s="629"/>
      <c r="D595" s="629"/>
      <c r="E595" s="629"/>
      <c r="F595" s="629"/>
      <c r="G595" s="629"/>
      <c r="H595" s="629"/>
      <c r="I595" s="629"/>
    </row>
    <row r="596" spans="1:9">
      <c r="A596" s="629"/>
      <c r="B596" s="629"/>
      <c r="C596" s="629"/>
      <c r="D596" s="629"/>
      <c r="E596" s="629"/>
      <c r="F596" s="629"/>
      <c r="G596" s="629"/>
      <c r="H596" s="629"/>
      <c r="I596" s="629"/>
    </row>
    <row r="597" spans="1:9">
      <c r="A597" s="629"/>
      <c r="B597" s="629"/>
      <c r="C597" s="629"/>
      <c r="D597" s="629"/>
      <c r="E597" s="629"/>
      <c r="F597" s="629"/>
      <c r="G597" s="629"/>
      <c r="H597" s="629"/>
      <c r="I597" s="629"/>
    </row>
    <row r="598" spans="1:9">
      <c r="A598" s="629"/>
      <c r="B598" s="629"/>
      <c r="C598" s="629"/>
      <c r="D598" s="629"/>
      <c r="E598" s="629"/>
      <c r="F598" s="629"/>
      <c r="G598" s="629"/>
      <c r="H598" s="629"/>
      <c r="I598" s="629"/>
    </row>
    <row r="599" spans="1:9">
      <c r="A599" s="629"/>
      <c r="B599" s="629"/>
      <c r="C599" s="629"/>
      <c r="D599" s="629"/>
      <c r="E599" s="629"/>
      <c r="F599" s="629"/>
      <c r="G599" s="629"/>
      <c r="H599" s="629"/>
      <c r="I599" s="629"/>
    </row>
    <row r="600" spans="1:9">
      <c r="A600" s="629"/>
      <c r="B600" s="629"/>
      <c r="C600" s="629"/>
      <c r="D600" s="629"/>
      <c r="E600" s="629"/>
      <c r="F600" s="629"/>
      <c r="G600" s="629"/>
      <c r="H600" s="629"/>
      <c r="I600" s="629"/>
    </row>
    <row r="601" spans="1:9">
      <c r="A601" s="629"/>
      <c r="B601" s="629"/>
      <c r="C601" s="629"/>
      <c r="D601" s="629"/>
      <c r="E601" s="629"/>
      <c r="F601" s="629"/>
      <c r="G601" s="629"/>
      <c r="H601" s="629"/>
      <c r="I601" s="629"/>
    </row>
    <row r="602" spans="1:9">
      <c r="A602" s="629"/>
      <c r="B602" s="629"/>
      <c r="C602" s="629"/>
      <c r="D602" s="629"/>
      <c r="E602" s="629"/>
      <c r="F602" s="629"/>
      <c r="G602" s="629"/>
      <c r="H602" s="629"/>
      <c r="I602" s="629"/>
    </row>
    <row r="603" spans="1:9">
      <c r="A603" s="629"/>
      <c r="B603" s="629"/>
      <c r="C603" s="629"/>
      <c r="D603" s="629"/>
      <c r="E603" s="629"/>
      <c r="F603" s="629"/>
      <c r="G603" s="629"/>
      <c r="H603" s="629"/>
      <c r="I603" s="629"/>
    </row>
    <row r="604" spans="1:9">
      <c r="A604" s="629"/>
      <c r="B604" s="629"/>
      <c r="C604" s="629"/>
      <c r="D604" s="629"/>
      <c r="E604" s="629"/>
      <c r="F604" s="629"/>
      <c r="G604" s="629"/>
      <c r="H604" s="629"/>
      <c r="I604" s="629"/>
    </row>
    <row r="605" spans="1:9">
      <c r="A605" s="629"/>
      <c r="B605" s="629"/>
      <c r="C605" s="629"/>
      <c r="D605" s="629"/>
      <c r="E605" s="629"/>
      <c r="F605" s="629"/>
      <c r="G605" s="629"/>
      <c r="H605" s="629"/>
      <c r="I605" s="629"/>
    </row>
    <row r="606" spans="1:9">
      <c r="A606" s="629"/>
      <c r="B606" s="629"/>
      <c r="C606" s="629"/>
      <c r="D606" s="629"/>
      <c r="E606" s="629"/>
      <c r="F606" s="629"/>
      <c r="G606" s="629"/>
      <c r="H606" s="629"/>
      <c r="I606" s="629"/>
    </row>
    <row r="607" spans="1:9">
      <c r="A607" s="629"/>
      <c r="B607" s="629"/>
      <c r="C607" s="629"/>
      <c r="D607" s="629"/>
      <c r="E607" s="629"/>
      <c r="F607" s="629"/>
      <c r="G607" s="629"/>
      <c r="H607" s="629"/>
      <c r="I607" s="629"/>
    </row>
    <row r="608" spans="1:9">
      <c r="A608" s="629"/>
      <c r="B608" s="629"/>
      <c r="C608" s="629"/>
      <c r="D608" s="629"/>
      <c r="E608" s="629"/>
      <c r="F608" s="629"/>
      <c r="G608" s="629"/>
      <c r="H608" s="629"/>
      <c r="I608" s="629"/>
    </row>
    <row r="609" spans="1:9">
      <c r="A609" s="629"/>
      <c r="B609" s="629"/>
      <c r="C609" s="629"/>
      <c r="D609" s="629"/>
      <c r="E609" s="629"/>
      <c r="F609" s="629"/>
      <c r="G609" s="629"/>
      <c r="H609" s="629"/>
      <c r="I609" s="629"/>
    </row>
    <row r="610" spans="1:9">
      <c r="A610" s="629"/>
      <c r="B610" s="629"/>
      <c r="C610" s="629"/>
      <c r="D610" s="629"/>
      <c r="E610" s="629"/>
      <c r="F610" s="629"/>
      <c r="G610" s="629"/>
      <c r="H610" s="629"/>
      <c r="I610" s="629"/>
    </row>
    <row r="611" spans="1:9">
      <c r="A611" s="629"/>
      <c r="B611" s="629"/>
      <c r="C611" s="629"/>
      <c r="D611" s="629"/>
      <c r="E611" s="629"/>
      <c r="F611" s="629"/>
      <c r="G611" s="629"/>
      <c r="H611" s="629"/>
      <c r="I611" s="629"/>
    </row>
    <row r="612" spans="1:9">
      <c r="A612" s="629"/>
      <c r="B612" s="629"/>
      <c r="C612" s="629"/>
      <c r="D612" s="629"/>
      <c r="E612" s="629"/>
      <c r="F612" s="629"/>
      <c r="G612" s="629"/>
      <c r="H612" s="629"/>
      <c r="I612" s="629"/>
    </row>
    <row r="613" spans="1:9">
      <c r="A613" s="629"/>
      <c r="B613" s="629"/>
      <c r="C613" s="629"/>
      <c r="D613" s="629"/>
      <c r="E613" s="629"/>
      <c r="F613" s="629"/>
      <c r="G613" s="629"/>
      <c r="H613" s="629"/>
      <c r="I613" s="629"/>
    </row>
    <row r="614" spans="1:9">
      <c r="A614" s="629"/>
      <c r="B614" s="629"/>
      <c r="C614" s="629"/>
      <c r="D614" s="629"/>
      <c r="E614" s="629"/>
      <c r="F614" s="629"/>
      <c r="G614" s="629"/>
      <c r="H614" s="629"/>
      <c r="I614" s="629"/>
    </row>
    <row r="615" spans="1:9">
      <c r="A615" s="629"/>
      <c r="B615" s="629"/>
      <c r="C615" s="629"/>
      <c r="D615" s="629"/>
      <c r="E615" s="629"/>
      <c r="F615" s="629"/>
      <c r="G615" s="629"/>
      <c r="H615" s="629"/>
      <c r="I615" s="629"/>
    </row>
    <row r="616" spans="1:9">
      <c r="A616" s="629"/>
      <c r="B616" s="629"/>
      <c r="C616" s="629"/>
      <c r="D616" s="629"/>
      <c r="E616" s="629"/>
      <c r="F616" s="629"/>
      <c r="G616" s="629"/>
      <c r="H616" s="629"/>
      <c r="I616" s="629"/>
    </row>
    <row r="617" spans="1:9">
      <c r="A617" s="629"/>
      <c r="B617" s="629"/>
      <c r="C617" s="629"/>
      <c r="D617" s="629"/>
      <c r="E617" s="629"/>
      <c r="F617" s="629"/>
      <c r="G617" s="629"/>
      <c r="H617" s="629"/>
      <c r="I617" s="629"/>
    </row>
    <row r="618" spans="1:9">
      <c r="A618" s="629"/>
      <c r="B618" s="629"/>
      <c r="C618" s="629"/>
      <c r="D618" s="629"/>
      <c r="E618" s="629"/>
      <c r="F618" s="629"/>
      <c r="G618" s="629"/>
      <c r="H618" s="629"/>
      <c r="I618" s="629"/>
    </row>
    <row r="619" spans="1:9">
      <c r="A619" s="629"/>
      <c r="B619" s="629"/>
      <c r="C619" s="629"/>
      <c r="D619" s="629"/>
      <c r="E619" s="629"/>
      <c r="F619" s="629"/>
      <c r="G619" s="629"/>
      <c r="H619" s="629"/>
      <c r="I619" s="629"/>
    </row>
    <row r="620" spans="1:9">
      <c r="A620" s="629"/>
      <c r="B620" s="629"/>
      <c r="C620" s="629"/>
      <c r="D620" s="629"/>
      <c r="E620" s="629"/>
      <c r="F620" s="629"/>
      <c r="G620" s="629"/>
      <c r="H620" s="629"/>
      <c r="I620" s="629"/>
    </row>
    <row r="621" spans="1:9">
      <c r="A621" s="629"/>
      <c r="B621" s="629"/>
      <c r="C621" s="629"/>
      <c r="D621" s="629"/>
      <c r="E621" s="629"/>
      <c r="F621" s="629"/>
      <c r="G621" s="629"/>
      <c r="H621" s="629"/>
      <c r="I621" s="629"/>
    </row>
    <row r="622" spans="1:9">
      <c r="A622" s="629"/>
      <c r="B622" s="629"/>
      <c r="C622" s="629"/>
      <c r="D622" s="629"/>
      <c r="E622" s="629"/>
      <c r="F622" s="629"/>
      <c r="G622" s="629"/>
      <c r="H622" s="629"/>
      <c r="I622" s="629"/>
    </row>
    <row r="623" spans="1:9">
      <c r="A623" s="629"/>
      <c r="B623" s="629"/>
      <c r="C623" s="629"/>
      <c r="D623" s="629"/>
      <c r="E623" s="629"/>
      <c r="F623" s="629"/>
      <c r="G623" s="629"/>
      <c r="H623" s="629"/>
      <c r="I623" s="629"/>
    </row>
    <row r="624" spans="1:9">
      <c r="A624" s="629"/>
      <c r="B624" s="629"/>
      <c r="C624" s="629"/>
      <c r="D624" s="629"/>
      <c r="E624" s="629"/>
      <c r="F624" s="629"/>
      <c r="G624" s="629"/>
      <c r="H624" s="629"/>
      <c r="I624" s="629"/>
    </row>
    <row r="625" spans="1:9">
      <c r="A625" s="629"/>
      <c r="B625" s="629"/>
      <c r="C625" s="629"/>
      <c r="D625" s="629"/>
      <c r="E625" s="629"/>
      <c r="F625" s="629"/>
      <c r="G625" s="629"/>
      <c r="H625" s="629"/>
      <c r="I625" s="629"/>
    </row>
    <row r="626" spans="1:9">
      <c r="A626" s="629"/>
      <c r="B626" s="629"/>
      <c r="C626" s="629"/>
      <c r="D626" s="629"/>
      <c r="E626" s="629"/>
      <c r="F626" s="629"/>
      <c r="G626" s="629"/>
      <c r="H626" s="629"/>
      <c r="I626" s="629"/>
    </row>
    <row r="627" spans="1:9">
      <c r="A627" s="629"/>
      <c r="B627" s="629"/>
      <c r="C627" s="629"/>
      <c r="D627" s="629"/>
      <c r="E627" s="629"/>
      <c r="F627" s="629"/>
      <c r="G627" s="629"/>
      <c r="H627" s="629"/>
      <c r="I627" s="629"/>
    </row>
    <row r="628" spans="1:9">
      <c r="A628" s="629"/>
      <c r="B628" s="629"/>
      <c r="C628" s="629"/>
      <c r="D628" s="629"/>
      <c r="E628" s="629"/>
      <c r="F628" s="629"/>
      <c r="G628" s="629"/>
      <c r="H628" s="629"/>
      <c r="I628" s="629"/>
    </row>
    <row r="629" spans="1:9">
      <c r="A629" s="629"/>
      <c r="B629" s="629"/>
      <c r="C629" s="629"/>
      <c r="D629" s="629"/>
      <c r="E629" s="629"/>
      <c r="F629" s="629"/>
      <c r="G629" s="629"/>
      <c r="H629" s="629"/>
      <c r="I629" s="629"/>
    </row>
    <row r="630" spans="1:9">
      <c r="A630" s="629"/>
      <c r="B630" s="629"/>
      <c r="C630" s="629"/>
      <c r="D630" s="629"/>
      <c r="E630" s="629"/>
      <c r="F630" s="629"/>
      <c r="G630" s="629"/>
      <c r="H630" s="629"/>
      <c r="I630" s="629"/>
    </row>
    <row r="631" spans="1:9">
      <c r="A631" s="629"/>
      <c r="B631" s="629"/>
      <c r="C631" s="629"/>
      <c r="D631" s="629"/>
      <c r="E631" s="629"/>
      <c r="F631" s="629"/>
      <c r="G631" s="629"/>
      <c r="H631" s="629"/>
      <c r="I631" s="629"/>
    </row>
    <row r="632" spans="1:9">
      <c r="A632" s="629"/>
      <c r="B632" s="629"/>
      <c r="C632" s="629"/>
      <c r="D632" s="629"/>
      <c r="E632" s="629"/>
      <c r="F632" s="629"/>
      <c r="G632" s="629"/>
      <c r="H632" s="629"/>
      <c r="I632" s="629"/>
    </row>
    <row r="633" spans="1:9">
      <c r="A633" s="629"/>
      <c r="B633" s="629"/>
      <c r="C633" s="629"/>
      <c r="D633" s="629"/>
      <c r="E633" s="629"/>
      <c r="F633" s="629"/>
      <c r="G633" s="629"/>
      <c r="H633" s="629"/>
      <c r="I633" s="629"/>
    </row>
    <row r="634" spans="1:9">
      <c r="A634" s="629"/>
      <c r="B634" s="629"/>
      <c r="C634" s="629"/>
      <c r="D634" s="629"/>
      <c r="E634" s="629"/>
      <c r="F634" s="629"/>
      <c r="G634" s="629"/>
      <c r="H634" s="629"/>
      <c r="I634" s="629"/>
    </row>
    <row r="635" spans="1:9">
      <c r="A635" s="629"/>
      <c r="B635" s="629"/>
      <c r="C635" s="629"/>
      <c r="D635" s="629"/>
      <c r="E635" s="629"/>
      <c r="F635" s="629"/>
      <c r="G635" s="629"/>
      <c r="H635" s="629"/>
      <c r="I635" s="629"/>
    </row>
    <row r="636" spans="1:9">
      <c r="A636" s="629"/>
      <c r="B636" s="629"/>
      <c r="C636" s="629"/>
      <c r="D636" s="629"/>
      <c r="E636" s="629"/>
      <c r="F636" s="629"/>
      <c r="G636" s="629"/>
      <c r="H636" s="629"/>
      <c r="I636" s="629"/>
    </row>
    <row r="637" spans="1:9">
      <c r="A637" s="629"/>
      <c r="B637" s="629"/>
      <c r="C637" s="629"/>
      <c r="D637" s="629"/>
      <c r="E637" s="629"/>
      <c r="F637" s="629"/>
      <c r="G637" s="629"/>
      <c r="H637" s="629"/>
      <c r="I637" s="629"/>
    </row>
    <row r="638" spans="1:9">
      <c r="A638" s="629"/>
      <c r="B638" s="629"/>
      <c r="C638" s="629"/>
      <c r="D638" s="629"/>
      <c r="E638" s="629"/>
      <c r="F638" s="629"/>
      <c r="G638" s="629"/>
      <c r="H638" s="629"/>
      <c r="I638" s="629"/>
    </row>
    <row r="639" spans="1:9">
      <c r="A639" s="629"/>
      <c r="B639" s="629"/>
      <c r="C639" s="629"/>
      <c r="D639" s="629"/>
      <c r="E639" s="629"/>
      <c r="F639" s="629"/>
      <c r="G639" s="629"/>
      <c r="H639" s="629"/>
      <c r="I639" s="629"/>
    </row>
    <row r="640" spans="1:9">
      <c r="A640" s="629"/>
      <c r="B640" s="629"/>
      <c r="C640" s="629"/>
      <c r="D640" s="629"/>
      <c r="E640" s="629"/>
      <c r="F640" s="629"/>
      <c r="G640" s="629"/>
      <c r="H640" s="629"/>
      <c r="I640" s="629"/>
    </row>
    <row r="641" spans="1:9">
      <c r="A641" s="629"/>
      <c r="B641" s="629"/>
      <c r="C641" s="629"/>
      <c r="D641" s="629"/>
      <c r="E641" s="629"/>
      <c r="F641" s="629"/>
      <c r="G641" s="629"/>
      <c r="H641" s="629"/>
      <c r="I641" s="629"/>
    </row>
    <row r="642" spans="1:9">
      <c r="A642" s="629"/>
      <c r="B642" s="629"/>
      <c r="C642" s="629"/>
      <c r="D642" s="629"/>
      <c r="E642" s="629"/>
      <c r="F642" s="629"/>
      <c r="G642" s="629"/>
      <c r="H642" s="629"/>
      <c r="I642" s="629"/>
    </row>
    <row r="643" spans="1:9">
      <c r="A643" s="629"/>
      <c r="B643" s="629"/>
      <c r="C643" s="629"/>
      <c r="D643" s="629"/>
      <c r="E643" s="629"/>
      <c r="F643" s="629"/>
      <c r="G643" s="629"/>
      <c r="H643" s="629"/>
      <c r="I643" s="629"/>
    </row>
    <row r="644" spans="1:9">
      <c r="A644" s="629"/>
      <c r="B644" s="629"/>
      <c r="C644" s="629"/>
      <c r="D644" s="629"/>
      <c r="E644" s="629"/>
      <c r="F644" s="629"/>
      <c r="G644" s="629"/>
      <c r="H644" s="629"/>
      <c r="I644" s="629"/>
    </row>
    <row r="645" spans="1:9">
      <c r="A645" s="629"/>
      <c r="B645" s="629"/>
      <c r="C645" s="629"/>
      <c r="D645" s="629"/>
      <c r="E645" s="629"/>
      <c r="F645" s="629"/>
      <c r="G645" s="629"/>
      <c r="H645" s="629"/>
      <c r="I645" s="629"/>
    </row>
    <row r="646" spans="1:9">
      <c r="A646" s="629"/>
      <c r="B646" s="629"/>
      <c r="C646" s="629"/>
      <c r="D646" s="629"/>
      <c r="E646" s="629"/>
      <c r="F646" s="629"/>
      <c r="G646" s="629"/>
      <c r="H646" s="629"/>
      <c r="I646" s="629"/>
    </row>
    <row r="647" spans="1:9">
      <c r="A647" s="629"/>
      <c r="B647" s="629"/>
      <c r="C647" s="629"/>
      <c r="D647" s="629"/>
      <c r="E647" s="629"/>
      <c r="F647" s="629"/>
      <c r="G647" s="629"/>
      <c r="H647" s="629"/>
      <c r="I647" s="629"/>
    </row>
    <row r="648" spans="1:9">
      <c r="A648" s="629"/>
      <c r="B648" s="629"/>
      <c r="C648" s="629"/>
      <c r="D648" s="629"/>
      <c r="E648" s="629"/>
      <c r="F648" s="629"/>
      <c r="G648" s="629"/>
      <c r="H648" s="629"/>
      <c r="I648" s="629"/>
    </row>
    <row r="649" spans="1:9">
      <c r="A649" s="629"/>
      <c r="B649" s="629"/>
      <c r="C649" s="629"/>
      <c r="D649" s="629"/>
      <c r="E649" s="629"/>
      <c r="F649" s="629"/>
      <c r="G649" s="629"/>
      <c r="H649" s="629"/>
      <c r="I649" s="629"/>
    </row>
    <row r="650" spans="1:9">
      <c r="A650" s="629"/>
      <c r="B650" s="629"/>
      <c r="C650" s="629"/>
      <c r="D650" s="629"/>
      <c r="E650" s="629"/>
      <c r="F650" s="629"/>
      <c r="G650" s="629"/>
      <c r="H650" s="629"/>
      <c r="I650" s="629"/>
    </row>
    <row r="651" spans="1:9">
      <c r="A651" s="629"/>
      <c r="B651" s="629"/>
      <c r="C651" s="629"/>
      <c r="D651" s="629"/>
      <c r="E651" s="629"/>
      <c r="F651" s="629"/>
      <c r="G651" s="629"/>
      <c r="H651" s="629"/>
      <c r="I651" s="629"/>
    </row>
    <row r="652" spans="1:9">
      <c r="A652" s="629"/>
      <c r="B652" s="629"/>
      <c r="C652" s="629"/>
      <c r="D652" s="629"/>
      <c r="E652" s="629"/>
      <c r="F652" s="629"/>
      <c r="G652" s="629"/>
      <c r="H652" s="629"/>
      <c r="I652" s="629"/>
    </row>
    <row r="653" spans="1:9">
      <c r="A653" s="629"/>
      <c r="B653" s="629"/>
      <c r="C653" s="629"/>
      <c r="D653" s="629"/>
      <c r="E653" s="629"/>
      <c r="F653" s="629"/>
      <c r="G653" s="629"/>
      <c r="H653" s="629"/>
      <c r="I653" s="629"/>
    </row>
    <row r="654" spans="1:9">
      <c r="A654" s="629"/>
      <c r="B654" s="629"/>
      <c r="C654" s="629"/>
      <c r="D654" s="629"/>
      <c r="E654" s="629"/>
      <c r="F654" s="629"/>
      <c r="G654" s="629"/>
      <c r="H654" s="629"/>
      <c r="I654" s="629"/>
    </row>
    <row r="655" spans="1:9">
      <c r="A655" s="629"/>
      <c r="B655" s="629"/>
      <c r="C655" s="629"/>
      <c r="D655" s="629"/>
      <c r="E655" s="629"/>
      <c r="F655" s="629"/>
      <c r="G655" s="629"/>
      <c r="H655" s="629"/>
      <c r="I655" s="629"/>
    </row>
    <row r="656" spans="1:9">
      <c r="A656" s="629"/>
      <c r="B656" s="629"/>
      <c r="C656" s="629"/>
      <c r="D656" s="629"/>
      <c r="E656" s="629"/>
      <c r="F656" s="629"/>
      <c r="G656" s="629"/>
      <c r="H656" s="629"/>
      <c r="I656" s="629"/>
    </row>
    <row r="657" spans="1:9">
      <c r="A657" s="629"/>
      <c r="B657" s="629"/>
      <c r="C657" s="629"/>
      <c r="D657" s="629"/>
      <c r="E657" s="629"/>
      <c r="F657" s="629"/>
      <c r="G657" s="629"/>
      <c r="H657" s="629"/>
      <c r="I657" s="629"/>
    </row>
    <row r="658" spans="1:9">
      <c r="A658" s="629"/>
      <c r="B658" s="629"/>
      <c r="C658" s="629"/>
      <c r="D658" s="629"/>
      <c r="E658" s="629"/>
      <c r="F658" s="629"/>
      <c r="G658" s="629"/>
      <c r="H658" s="629"/>
      <c r="I658" s="629"/>
    </row>
    <row r="659" spans="1:9">
      <c r="A659" s="629"/>
      <c r="B659" s="629"/>
      <c r="C659" s="629"/>
      <c r="D659" s="629"/>
      <c r="E659" s="629"/>
      <c r="F659" s="629"/>
      <c r="G659" s="629"/>
      <c r="H659" s="629"/>
      <c r="I659" s="629"/>
    </row>
    <row r="660" spans="1:9">
      <c r="A660" s="629"/>
      <c r="B660" s="629"/>
      <c r="C660" s="629"/>
      <c r="D660" s="629"/>
      <c r="E660" s="629"/>
      <c r="F660" s="629"/>
      <c r="G660" s="629"/>
      <c r="H660" s="629"/>
      <c r="I660" s="629"/>
    </row>
    <row r="661" spans="1:9">
      <c r="A661" s="629"/>
      <c r="B661" s="629"/>
      <c r="C661" s="629"/>
      <c r="D661" s="629"/>
      <c r="E661" s="629"/>
      <c r="F661" s="629"/>
      <c r="G661" s="629"/>
      <c r="H661" s="629"/>
      <c r="I661" s="629"/>
    </row>
    <row r="662" spans="1:9">
      <c r="A662" s="629"/>
      <c r="B662" s="629"/>
      <c r="C662" s="629"/>
      <c r="D662" s="629"/>
      <c r="E662" s="629"/>
      <c r="F662" s="629"/>
      <c r="G662" s="629"/>
      <c r="H662" s="629"/>
      <c r="I662" s="629"/>
    </row>
    <row r="663" spans="1:9">
      <c r="A663" s="629"/>
      <c r="B663" s="629"/>
      <c r="C663" s="629"/>
      <c r="D663" s="629"/>
      <c r="E663" s="629"/>
      <c r="F663" s="629"/>
      <c r="G663" s="629"/>
      <c r="H663" s="629"/>
      <c r="I663" s="629"/>
    </row>
    <row r="664" spans="1:9">
      <c r="A664" s="629"/>
      <c r="B664" s="629"/>
      <c r="C664" s="629"/>
      <c r="D664" s="629"/>
      <c r="E664" s="629"/>
      <c r="F664" s="629"/>
      <c r="G664" s="629"/>
      <c r="H664" s="629"/>
      <c r="I664" s="629"/>
    </row>
    <row r="665" spans="1:9">
      <c r="A665" s="629"/>
      <c r="B665" s="629"/>
      <c r="C665" s="629"/>
      <c r="D665" s="629"/>
      <c r="E665" s="629"/>
      <c r="F665" s="629"/>
      <c r="G665" s="629"/>
      <c r="H665" s="629"/>
      <c r="I665" s="629"/>
    </row>
    <row r="666" spans="1:9">
      <c r="A666" s="629"/>
      <c r="B666" s="629"/>
      <c r="C666" s="629"/>
      <c r="D666" s="629"/>
      <c r="E666" s="629"/>
      <c r="F666" s="629"/>
      <c r="G666" s="629"/>
      <c r="H666" s="629"/>
      <c r="I666" s="629"/>
    </row>
    <row r="667" spans="1:9">
      <c r="A667" s="629"/>
      <c r="B667" s="629"/>
      <c r="C667" s="629"/>
      <c r="D667" s="629"/>
      <c r="E667" s="629"/>
      <c r="F667" s="629"/>
      <c r="G667" s="629"/>
      <c r="H667" s="629"/>
      <c r="I667" s="629"/>
    </row>
    <row r="668" spans="1:9">
      <c r="A668" s="629"/>
      <c r="B668" s="629"/>
      <c r="C668" s="629"/>
      <c r="D668" s="629"/>
      <c r="E668" s="629"/>
      <c r="F668" s="629"/>
      <c r="G668" s="629"/>
      <c r="H668" s="629"/>
      <c r="I668" s="629"/>
    </row>
    <row r="669" spans="1:9">
      <c r="A669" s="629"/>
      <c r="B669" s="629"/>
      <c r="C669" s="629"/>
      <c r="D669" s="629"/>
      <c r="E669" s="629"/>
      <c r="F669" s="629"/>
      <c r="G669" s="629"/>
      <c r="H669" s="629"/>
      <c r="I669" s="629"/>
    </row>
    <row r="670" spans="1:9">
      <c r="A670" s="629"/>
      <c r="B670" s="629"/>
      <c r="C670" s="629"/>
      <c r="D670" s="629"/>
      <c r="E670" s="629"/>
      <c r="F670" s="629"/>
      <c r="G670" s="629"/>
      <c r="H670" s="629"/>
      <c r="I670" s="629"/>
    </row>
    <row r="671" spans="1:9">
      <c r="A671" s="629"/>
      <c r="B671" s="629"/>
      <c r="C671" s="629"/>
      <c r="D671" s="629"/>
      <c r="E671" s="629"/>
      <c r="F671" s="629"/>
      <c r="G671" s="629"/>
      <c r="H671" s="629"/>
      <c r="I671" s="629"/>
    </row>
    <row r="672" spans="1:9">
      <c r="A672" s="629"/>
      <c r="B672" s="629"/>
      <c r="C672" s="629"/>
      <c r="D672" s="629"/>
      <c r="E672" s="629"/>
      <c r="F672" s="629"/>
      <c r="G672" s="629"/>
      <c r="H672" s="629"/>
      <c r="I672" s="629"/>
    </row>
    <row r="673" spans="1:9">
      <c r="A673" s="629"/>
      <c r="B673" s="629"/>
      <c r="C673" s="629"/>
      <c r="D673" s="629"/>
      <c r="E673" s="629"/>
      <c r="F673" s="629"/>
      <c r="G673" s="629"/>
      <c r="H673" s="629"/>
      <c r="I673" s="629"/>
    </row>
    <row r="674" spans="1:9">
      <c r="A674" s="629"/>
      <c r="B674" s="629"/>
      <c r="C674" s="629"/>
      <c r="D674" s="629"/>
      <c r="E674" s="629"/>
      <c r="F674" s="629"/>
      <c r="G674" s="629"/>
      <c r="H674" s="629"/>
      <c r="I674" s="629"/>
    </row>
    <row r="675" spans="1:9">
      <c r="A675" s="629"/>
      <c r="B675" s="629"/>
      <c r="C675" s="629"/>
      <c r="D675" s="629"/>
      <c r="E675" s="629"/>
      <c r="F675" s="629"/>
      <c r="G675" s="629"/>
      <c r="H675" s="629"/>
      <c r="I675" s="629"/>
    </row>
    <row r="676" spans="1:9">
      <c r="A676" s="629"/>
      <c r="B676" s="629"/>
      <c r="C676" s="629"/>
      <c r="D676" s="629"/>
      <c r="E676" s="629"/>
      <c r="F676" s="629"/>
      <c r="G676" s="629"/>
      <c r="H676" s="629"/>
      <c r="I676" s="629"/>
    </row>
    <row r="677" spans="1:9">
      <c r="A677" s="629"/>
      <c r="B677" s="629"/>
      <c r="C677" s="629"/>
      <c r="D677" s="629"/>
      <c r="E677" s="629"/>
      <c r="F677" s="629"/>
      <c r="G677" s="629"/>
      <c r="H677" s="629"/>
      <c r="I677" s="629"/>
    </row>
    <row r="678" spans="1:9">
      <c r="A678" s="629"/>
      <c r="B678" s="629"/>
      <c r="C678" s="629"/>
      <c r="D678" s="629"/>
      <c r="E678" s="629"/>
      <c r="F678" s="629"/>
      <c r="G678" s="629"/>
      <c r="H678" s="629"/>
      <c r="I678" s="629"/>
    </row>
    <row r="679" spans="1:9">
      <c r="A679" s="629"/>
      <c r="B679" s="629"/>
      <c r="C679" s="629"/>
      <c r="D679" s="629"/>
      <c r="E679" s="629"/>
      <c r="F679" s="629"/>
      <c r="G679" s="629"/>
      <c r="H679" s="629"/>
      <c r="I679" s="629"/>
    </row>
    <row r="680" spans="1:9">
      <c r="A680" s="629"/>
      <c r="B680" s="629"/>
      <c r="C680" s="629"/>
      <c r="D680" s="629"/>
      <c r="E680" s="629"/>
      <c r="F680" s="629"/>
      <c r="G680" s="629"/>
      <c r="H680" s="629"/>
      <c r="I680" s="629"/>
    </row>
    <row r="681" spans="1:9">
      <c r="A681" s="629"/>
      <c r="B681" s="629"/>
      <c r="C681" s="629"/>
      <c r="D681" s="629"/>
      <c r="E681" s="629"/>
      <c r="F681" s="629"/>
      <c r="G681" s="629"/>
      <c r="H681" s="629"/>
      <c r="I681" s="629"/>
    </row>
    <row r="682" spans="1:9">
      <c r="A682" s="629"/>
      <c r="B682" s="629"/>
      <c r="C682" s="629"/>
      <c r="D682" s="629"/>
      <c r="E682" s="629"/>
      <c r="F682" s="629"/>
      <c r="G682" s="629"/>
      <c r="H682" s="629"/>
      <c r="I682" s="629"/>
    </row>
    <row r="683" spans="1:9">
      <c r="A683" s="629"/>
      <c r="B683" s="629"/>
      <c r="C683" s="629"/>
      <c r="D683" s="629"/>
      <c r="E683" s="629"/>
      <c r="F683" s="629"/>
      <c r="G683" s="629"/>
      <c r="H683" s="629"/>
      <c r="I683" s="629"/>
    </row>
    <row r="684" spans="1:9">
      <c r="A684" s="629"/>
      <c r="B684" s="629"/>
      <c r="C684" s="629"/>
      <c r="D684" s="629"/>
      <c r="E684" s="629"/>
      <c r="F684" s="629"/>
      <c r="G684" s="629"/>
      <c r="H684" s="629"/>
      <c r="I684" s="629"/>
    </row>
    <row r="685" spans="1:9">
      <c r="A685" s="629"/>
      <c r="B685" s="629"/>
      <c r="C685" s="629"/>
      <c r="D685" s="629"/>
      <c r="E685" s="629"/>
      <c r="F685" s="629"/>
      <c r="G685" s="629"/>
      <c r="H685" s="629"/>
      <c r="I685" s="629"/>
    </row>
    <row r="686" spans="1:9">
      <c r="A686" s="629"/>
      <c r="B686" s="629"/>
      <c r="C686" s="629"/>
      <c r="D686" s="629"/>
      <c r="E686" s="629"/>
      <c r="F686" s="629"/>
      <c r="G686" s="629"/>
      <c r="H686" s="629"/>
      <c r="I686" s="629"/>
    </row>
    <row r="687" spans="1:9">
      <c r="A687" s="629"/>
      <c r="B687" s="629"/>
      <c r="C687" s="629"/>
      <c r="D687" s="629"/>
      <c r="E687" s="629"/>
      <c r="F687" s="629"/>
      <c r="G687" s="629"/>
      <c r="H687" s="629"/>
      <c r="I687" s="629"/>
    </row>
    <row r="688" spans="1:9">
      <c r="A688" s="629"/>
      <c r="B688" s="629"/>
      <c r="C688" s="629"/>
      <c r="D688" s="629"/>
      <c r="E688" s="629"/>
      <c r="F688" s="629"/>
      <c r="G688" s="629"/>
      <c r="H688" s="629"/>
      <c r="I688" s="629"/>
    </row>
    <row r="689" spans="1:9">
      <c r="A689" s="629"/>
      <c r="B689" s="629"/>
      <c r="C689" s="629"/>
      <c r="D689" s="629"/>
      <c r="E689" s="629"/>
      <c r="F689" s="629"/>
      <c r="G689" s="629"/>
      <c r="H689" s="629"/>
      <c r="I689" s="629"/>
    </row>
    <row r="690" spans="1:9">
      <c r="A690" s="629"/>
      <c r="B690" s="629"/>
      <c r="C690" s="629"/>
      <c r="D690" s="629"/>
      <c r="E690" s="629"/>
      <c r="F690" s="629"/>
      <c r="G690" s="629"/>
      <c r="H690" s="629"/>
      <c r="I690" s="629"/>
    </row>
    <row r="691" spans="1:9">
      <c r="A691" s="629"/>
      <c r="B691" s="629"/>
      <c r="C691" s="629"/>
      <c r="D691" s="629"/>
      <c r="E691" s="629"/>
      <c r="F691" s="629"/>
      <c r="G691" s="629"/>
      <c r="H691" s="629"/>
      <c r="I691" s="629"/>
    </row>
    <row r="692" spans="1:9">
      <c r="A692" s="629"/>
      <c r="B692" s="629"/>
      <c r="C692" s="629"/>
      <c r="D692" s="629"/>
      <c r="E692" s="629"/>
      <c r="F692" s="629"/>
      <c r="G692" s="629"/>
      <c r="H692" s="629"/>
      <c r="I692" s="629"/>
    </row>
    <row r="693" spans="1:9">
      <c r="A693" s="629"/>
      <c r="B693" s="629"/>
      <c r="C693" s="629"/>
      <c r="D693" s="629"/>
      <c r="E693" s="629"/>
      <c r="F693" s="629"/>
      <c r="G693" s="629"/>
      <c r="H693" s="629"/>
      <c r="I693" s="629"/>
    </row>
    <row r="694" spans="1:9">
      <c r="A694" s="629"/>
      <c r="B694" s="629"/>
      <c r="C694" s="629"/>
      <c r="D694" s="629"/>
      <c r="E694" s="629"/>
      <c r="F694" s="629"/>
      <c r="G694" s="629"/>
      <c r="H694" s="629"/>
      <c r="I694" s="629"/>
    </row>
    <row r="695" spans="1:9">
      <c r="A695" s="629"/>
      <c r="B695" s="629"/>
      <c r="C695" s="629"/>
      <c r="D695" s="629"/>
      <c r="E695" s="629"/>
      <c r="F695" s="629"/>
      <c r="G695" s="629"/>
      <c r="H695" s="629"/>
      <c r="I695" s="629"/>
    </row>
    <row r="696" spans="1:9">
      <c r="A696" s="629"/>
      <c r="B696" s="629"/>
      <c r="C696" s="629"/>
      <c r="D696" s="629"/>
      <c r="E696" s="629"/>
      <c r="F696" s="629"/>
      <c r="G696" s="629"/>
      <c r="H696" s="629"/>
      <c r="I696" s="629"/>
    </row>
    <row r="697" spans="1:9">
      <c r="A697" s="629"/>
      <c r="B697" s="629"/>
      <c r="C697" s="629"/>
      <c r="D697" s="629"/>
      <c r="E697" s="629"/>
      <c r="F697" s="629"/>
      <c r="G697" s="629"/>
      <c r="H697" s="629"/>
      <c r="I697" s="629"/>
    </row>
    <row r="698" spans="1:9">
      <c r="A698" s="629"/>
      <c r="B698" s="629"/>
      <c r="C698" s="629"/>
      <c r="D698" s="629"/>
      <c r="E698" s="629"/>
      <c r="F698" s="629"/>
      <c r="G698" s="629"/>
      <c r="H698" s="629"/>
      <c r="I698" s="629"/>
    </row>
    <row r="699" spans="1:9">
      <c r="A699" s="629"/>
      <c r="B699" s="629"/>
      <c r="C699" s="629"/>
      <c r="D699" s="629"/>
      <c r="E699" s="629"/>
      <c r="F699" s="629"/>
      <c r="G699" s="629"/>
      <c r="H699" s="629"/>
      <c r="I699" s="629"/>
    </row>
    <row r="700" spans="1:9">
      <c r="A700" s="629"/>
      <c r="B700" s="629"/>
      <c r="C700" s="629"/>
      <c r="D700" s="629"/>
      <c r="E700" s="629"/>
      <c r="F700" s="629"/>
      <c r="G700" s="629"/>
      <c r="H700" s="629"/>
      <c r="I700" s="629"/>
    </row>
    <row r="701" spans="1:9">
      <c r="A701" s="629"/>
      <c r="B701" s="629"/>
      <c r="C701" s="629"/>
      <c r="D701" s="629"/>
      <c r="E701" s="629"/>
      <c r="F701" s="629"/>
      <c r="G701" s="629"/>
      <c r="H701" s="629"/>
      <c r="I701" s="629"/>
    </row>
    <row r="702" spans="1:9">
      <c r="A702" s="629"/>
      <c r="B702" s="629"/>
      <c r="C702" s="629"/>
      <c r="D702" s="629"/>
      <c r="E702" s="629"/>
      <c r="F702" s="629"/>
      <c r="G702" s="629"/>
      <c r="H702" s="629"/>
      <c r="I702" s="629"/>
    </row>
    <row r="703" spans="1:9">
      <c r="A703" s="629"/>
      <c r="B703" s="629"/>
      <c r="C703" s="629"/>
      <c r="D703" s="629"/>
      <c r="E703" s="629"/>
      <c r="F703" s="629"/>
      <c r="G703" s="629"/>
      <c r="H703" s="629"/>
      <c r="I703" s="629"/>
    </row>
    <row r="704" spans="1:9">
      <c r="A704" s="629"/>
      <c r="B704" s="629"/>
      <c r="C704" s="629"/>
      <c r="D704" s="629"/>
      <c r="E704" s="629"/>
      <c r="F704" s="629"/>
      <c r="G704" s="629"/>
      <c r="H704" s="629"/>
      <c r="I704" s="629"/>
    </row>
    <row r="705" spans="1:9">
      <c r="A705" s="629"/>
      <c r="B705" s="629"/>
      <c r="C705" s="629"/>
      <c r="D705" s="629"/>
      <c r="E705" s="629"/>
      <c r="F705" s="629"/>
      <c r="G705" s="629"/>
      <c r="H705" s="629"/>
      <c r="I705" s="629"/>
    </row>
    <row r="706" spans="1:9">
      <c r="A706" s="629"/>
      <c r="B706" s="629"/>
      <c r="C706" s="629"/>
      <c r="D706" s="629"/>
      <c r="E706" s="629"/>
      <c r="F706" s="629"/>
      <c r="G706" s="629"/>
      <c r="H706" s="629"/>
      <c r="I706" s="629"/>
    </row>
    <row r="707" spans="1:9">
      <c r="A707" s="629"/>
      <c r="B707" s="629"/>
      <c r="C707" s="629"/>
      <c r="D707" s="629"/>
      <c r="E707" s="629"/>
      <c r="F707" s="629"/>
      <c r="G707" s="629"/>
      <c r="H707" s="629"/>
      <c r="I707" s="629"/>
    </row>
    <row r="708" spans="1:9">
      <c r="A708" s="629"/>
      <c r="B708" s="629"/>
      <c r="C708" s="629"/>
      <c r="D708" s="629"/>
      <c r="E708" s="629"/>
      <c r="F708" s="629"/>
      <c r="G708" s="629"/>
      <c r="H708" s="629"/>
      <c r="I708" s="629"/>
    </row>
    <row r="709" spans="1:9">
      <c r="A709" s="629"/>
      <c r="B709" s="629"/>
      <c r="C709" s="629"/>
      <c r="D709" s="629"/>
      <c r="E709" s="629"/>
      <c r="F709" s="629"/>
      <c r="G709" s="629"/>
      <c r="H709" s="629"/>
      <c r="I709" s="629"/>
    </row>
    <row r="710" spans="1:9">
      <c r="A710" s="629"/>
      <c r="B710" s="629"/>
      <c r="C710" s="629"/>
      <c r="D710" s="629"/>
      <c r="E710" s="629"/>
      <c r="F710" s="629"/>
      <c r="G710" s="629"/>
      <c r="H710" s="629"/>
      <c r="I710" s="629"/>
    </row>
    <row r="711" spans="1:9">
      <c r="A711" s="629"/>
      <c r="B711" s="629"/>
      <c r="C711" s="629"/>
      <c r="D711" s="629"/>
      <c r="E711" s="629"/>
      <c r="F711" s="629"/>
      <c r="G711" s="629"/>
      <c r="H711" s="629"/>
      <c r="I711" s="629"/>
    </row>
    <row r="712" spans="1:9">
      <c r="A712" s="629"/>
      <c r="B712" s="629"/>
      <c r="C712" s="629"/>
      <c r="D712" s="629"/>
      <c r="E712" s="629"/>
      <c r="F712" s="629"/>
      <c r="G712" s="629"/>
      <c r="H712" s="629"/>
      <c r="I712" s="629"/>
    </row>
    <row r="713" spans="1:9">
      <c r="A713" s="629"/>
      <c r="B713" s="629"/>
      <c r="C713" s="629"/>
      <c r="D713" s="629"/>
      <c r="E713" s="629"/>
      <c r="F713" s="629"/>
      <c r="G713" s="629"/>
      <c r="H713" s="629"/>
      <c r="I713" s="629"/>
    </row>
    <row r="714" spans="1:9">
      <c r="A714" s="629"/>
      <c r="B714" s="629"/>
      <c r="C714" s="629"/>
      <c r="D714" s="629"/>
      <c r="E714" s="629"/>
      <c r="F714" s="629"/>
      <c r="G714" s="629"/>
      <c r="H714" s="629"/>
      <c r="I714" s="629"/>
    </row>
    <row r="715" spans="1:9">
      <c r="A715" s="629"/>
      <c r="B715" s="629"/>
      <c r="C715" s="629"/>
      <c r="D715" s="629"/>
      <c r="E715" s="629"/>
      <c r="F715" s="629"/>
      <c r="G715" s="629"/>
      <c r="H715" s="629"/>
      <c r="I715" s="629"/>
    </row>
    <row r="716" spans="1:9">
      <c r="A716" s="629"/>
      <c r="B716" s="629"/>
      <c r="C716" s="629"/>
      <c r="D716" s="629"/>
      <c r="E716" s="629"/>
      <c r="F716" s="629"/>
      <c r="G716" s="629"/>
      <c r="H716" s="629"/>
      <c r="I716" s="629"/>
    </row>
    <row r="717" spans="1:9">
      <c r="A717" s="629"/>
      <c r="B717" s="629"/>
      <c r="C717" s="629"/>
      <c r="D717" s="629"/>
      <c r="E717" s="629"/>
      <c r="F717" s="629"/>
      <c r="G717" s="629"/>
      <c r="H717" s="629"/>
      <c r="I717" s="629"/>
    </row>
    <row r="718" spans="1:9">
      <c r="A718" s="629"/>
      <c r="B718" s="629"/>
      <c r="C718" s="629"/>
      <c r="D718" s="629"/>
      <c r="E718" s="629"/>
      <c r="F718" s="629"/>
      <c r="G718" s="629"/>
      <c r="H718" s="629"/>
      <c r="I718" s="629"/>
    </row>
    <row r="719" spans="1:9">
      <c r="A719" s="629"/>
      <c r="B719" s="629"/>
      <c r="C719" s="629"/>
      <c r="D719" s="629"/>
      <c r="E719" s="629"/>
      <c r="F719" s="629"/>
      <c r="G719" s="629"/>
      <c r="H719" s="629"/>
      <c r="I719" s="629"/>
    </row>
    <row r="720" spans="1:9">
      <c r="A720" s="629"/>
      <c r="B720" s="629"/>
      <c r="C720" s="629"/>
      <c r="D720" s="629"/>
      <c r="E720" s="629"/>
      <c r="F720" s="629"/>
      <c r="G720" s="629"/>
      <c r="H720" s="629"/>
      <c r="I720" s="629"/>
    </row>
    <row r="721" spans="1:9">
      <c r="A721" s="629"/>
      <c r="B721" s="629"/>
      <c r="C721" s="629"/>
      <c r="D721" s="629"/>
      <c r="E721" s="629"/>
      <c r="F721" s="629"/>
      <c r="G721" s="629"/>
      <c r="H721" s="629"/>
      <c r="I721" s="629"/>
    </row>
    <row r="722" spans="1:9">
      <c r="A722" s="629"/>
      <c r="B722" s="629"/>
      <c r="C722" s="629"/>
      <c r="D722" s="629"/>
      <c r="E722" s="629"/>
      <c r="F722" s="629"/>
      <c r="G722" s="629"/>
      <c r="H722" s="629"/>
      <c r="I722" s="629"/>
    </row>
    <row r="723" spans="1:9">
      <c r="A723" s="629"/>
      <c r="B723" s="629"/>
      <c r="C723" s="629"/>
      <c r="D723" s="629"/>
      <c r="E723" s="629"/>
      <c r="F723" s="629"/>
      <c r="G723" s="629"/>
      <c r="H723" s="629"/>
      <c r="I723" s="629"/>
    </row>
    <row r="724" spans="1:9">
      <c r="A724" s="629"/>
      <c r="B724" s="629"/>
      <c r="C724" s="629"/>
      <c r="D724" s="629"/>
      <c r="E724" s="629"/>
      <c r="F724" s="629"/>
      <c r="G724" s="629"/>
      <c r="H724" s="629"/>
      <c r="I724" s="629"/>
    </row>
    <row r="725" spans="1:9">
      <c r="A725" s="629"/>
      <c r="B725" s="629"/>
      <c r="C725" s="629"/>
      <c r="D725" s="629"/>
      <c r="E725" s="629"/>
      <c r="F725" s="629"/>
      <c r="G725" s="629"/>
      <c r="H725" s="629"/>
      <c r="I725" s="629"/>
    </row>
    <row r="726" spans="1:9">
      <c r="A726" s="629"/>
      <c r="B726" s="629"/>
      <c r="C726" s="629"/>
      <c r="D726" s="629"/>
      <c r="E726" s="629"/>
      <c r="F726" s="629"/>
      <c r="G726" s="629"/>
      <c r="H726" s="629"/>
      <c r="I726" s="629"/>
    </row>
    <row r="727" spans="1:9">
      <c r="A727" s="629"/>
      <c r="B727" s="629"/>
      <c r="C727" s="629"/>
      <c r="D727" s="629"/>
      <c r="E727" s="629"/>
      <c r="F727" s="629"/>
      <c r="G727" s="629"/>
      <c r="H727" s="629"/>
      <c r="I727" s="629"/>
    </row>
    <row r="728" spans="1:9">
      <c r="A728" s="629"/>
      <c r="B728" s="629"/>
      <c r="C728" s="629"/>
      <c r="D728" s="629"/>
      <c r="E728" s="629"/>
      <c r="F728" s="629"/>
      <c r="G728" s="629"/>
      <c r="H728" s="629"/>
      <c r="I728" s="629"/>
    </row>
    <row r="729" spans="1:9">
      <c r="A729" s="629"/>
      <c r="B729" s="629"/>
      <c r="C729" s="629"/>
      <c r="D729" s="629"/>
      <c r="E729" s="629"/>
      <c r="F729" s="629"/>
      <c r="G729" s="629"/>
      <c r="H729" s="629"/>
      <c r="I729" s="629"/>
    </row>
    <row r="730" spans="1:9">
      <c r="A730" s="629"/>
      <c r="B730" s="629"/>
      <c r="C730" s="629"/>
      <c r="D730" s="629"/>
      <c r="E730" s="629"/>
      <c r="F730" s="629"/>
      <c r="G730" s="629"/>
      <c r="H730" s="629"/>
      <c r="I730" s="629"/>
    </row>
    <row r="731" spans="1:9">
      <c r="A731" s="629"/>
      <c r="B731" s="629"/>
      <c r="C731" s="629"/>
      <c r="D731" s="629"/>
      <c r="E731" s="629"/>
      <c r="F731" s="629"/>
      <c r="G731" s="629"/>
      <c r="H731" s="629"/>
      <c r="I731" s="629"/>
    </row>
    <row r="732" spans="1:9">
      <c r="A732" s="629"/>
      <c r="B732" s="629"/>
      <c r="C732" s="629"/>
      <c r="D732" s="629"/>
      <c r="E732" s="629"/>
      <c r="F732" s="629"/>
      <c r="G732" s="629"/>
      <c r="H732" s="629"/>
      <c r="I732" s="629"/>
    </row>
    <row r="733" spans="1:9">
      <c r="A733" s="629"/>
      <c r="B733" s="629"/>
      <c r="C733" s="629"/>
      <c r="D733" s="629"/>
      <c r="E733" s="629"/>
      <c r="F733" s="629"/>
      <c r="G733" s="629"/>
      <c r="H733" s="629"/>
      <c r="I733" s="629"/>
    </row>
    <row r="734" spans="1:9">
      <c r="A734" s="629"/>
      <c r="B734" s="629"/>
      <c r="C734" s="629"/>
      <c r="D734" s="629"/>
      <c r="E734" s="629"/>
      <c r="F734" s="629"/>
      <c r="G734" s="629"/>
      <c r="H734" s="629"/>
      <c r="I734" s="629"/>
    </row>
    <row r="735" spans="1:9">
      <c r="A735" s="629"/>
      <c r="B735" s="629"/>
      <c r="C735" s="629"/>
      <c r="D735" s="629"/>
      <c r="E735" s="629"/>
      <c r="F735" s="629"/>
      <c r="G735" s="629"/>
      <c r="H735" s="629"/>
      <c r="I735" s="629"/>
    </row>
    <row r="736" spans="1:9">
      <c r="A736" s="629"/>
      <c r="B736" s="629"/>
      <c r="C736" s="629"/>
      <c r="D736" s="629"/>
      <c r="E736" s="629"/>
      <c r="F736" s="629"/>
      <c r="G736" s="629"/>
      <c r="H736" s="629"/>
      <c r="I736" s="629"/>
    </row>
    <row r="737" spans="1:9">
      <c r="A737" s="629"/>
      <c r="B737" s="629"/>
      <c r="C737" s="629"/>
      <c r="D737" s="629"/>
      <c r="E737" s="629"/>
      <c r="F737" s="629"/>
      <c r="G737" s="629"/>
      <c r="H737" s="629"/>
      <c r="I737" s="629"/>
    </row>
    <row r="738" spans="1:9">
      <c r="A738" s="629"/>
      <c r="B738" s="629"/>
      <c r="C738" s="629"/>
      <c r="D738" s="629"/>
      <c r="E738" s="629"/>
      <c r="F738" s="629"/>
      <c r="G738" s="629"/>
      <c r="H738" s="629"/>
      <c r="I738" s="629"/>
    </row>
    <row r="739" spans="1:9">
      <c r="A739" s="629"/>
      <c r="B739" s="629"/>
      <c r="C739" s="629"/>
      <c r="D739" s="629"/>
      <c r="E739" s="629"/>
      <c r="F739" s="629"/>
      <c r="G739" s="629"/>
      <c r="H739" s="629"/>
      <c r="I739" s="629"/>
    </row>
    <row r="740" spans="1:9">
      <c r="A740" s="629"/>
      <c r="B740" s="629"/>
      <c r="C740" s="629"/>
      <c r="D740" s="629"/>
      <c r="E740" s="629"/>
      <c r="F740" s="629"/>
      <c r="G740" s="629"/>
      <c r="H740" s="629"/>
      <c r="I740" s="629"/>
    </row>
    <row r="741" spans="1:9">
      <c r="A741" s="629"/>
      <c r="B741" s="629"/>
      <c r="C741" s="629"/>
      <c r="D741" s="629"/>
      <c r="E741" s="629"/>
      <c r="F741" s="629"/>
      <c r="G741" s="629"/>
      <c r="H741" s="629"/>
      <c r="I741" s="629"/>
    </row>
    <row r="742" spans="1:9">
      <c r="A742" s="629"/>
      <c r="B742" s="629"/>
      <c r="C742" s="629"/>
      <c r="D742" s="629"/>
      <c r="E742" s="629"/>
      <c r="F742" s="629"/>
      <c r="G742" s="629"/>
      <c r="H742" s="629"/>
      <c r="I742" s="629"/>
    </row>
    <row r="743" spans="1:9">
      <c r="A743" s="629"/>
      <c r="B743" s="629"/>
      <c r="C743" s="629"/>
      <c r="D743" s="629"/>
      <c r="E743" s="629"/>
      <c r="F743" s="629"/>
      <c r="G743" s="629"/>
      <c r="H743" s="629"/>
      <c r="I743" s="629"/>
    </row>
    <row r="744" spans="1:9">
      <c r="A744" s="629"/>
      <c r="B744" s="629"/>
      <c r="C744" s="629"/>
      <c r="D744" s="629"/>
      <c r="E744" s="629"/>
      <c r="F744" s="629"/>
      <c r="G744" s="629"/>
      <c r="H744" s="629"/>
      <c r="I744" s="629"/>
    </row>
    <row r="745" spans="1:9">
      <c r="A745" s="629"/>
      <c r="B745" s="629"/>
      <c r="C745" s="629"/>
      <c r="D745" s="629"/>
      <c r="E745" s="629"/>
      <c r="F745" s="629"/>
      <c r="G745" s="629"/>
      <c r="H745" s="629"/>
      <c r="I745" s="629"/>
    </row>
    <row r="746" spans="1:9">
      <c r="A746" s="629"/>
      <c r="B746" s="629"/>
      <c r="C746" s="629"/>
      <c r="D746" s="629"/>
      <c r="E746" s="629"/>
      <c r="F746" s="629"/>
      <c r="G746" s="629"/>
      <c r="H746" s="629"/>
      <c r="I746" s="629"/>
    </row>
    <row r="747" spans="1:9">
      <c r="A747" s="629"/>
      <c r="B747" s="629"/>
      <c r="C747" s="629"/>
      <c r="D747" s="629"/>
      <c r="E747" s="629"/>
      <c r="F747" s="629"/>
      <c r="G747" s="629"/>
      <c r="H747" s="629"/>
      <c r="I747" s="629"/>
    </row>
    <row r="748" spans="1:9">
      <c r="A748" s="629"/>
      <c r="B748" s="629"/>
      <c r="C748" s="629"/>
      <c r="D748" s="629"/>
      <c r="E748" s="629"/>
      <c r="F748" s="629"/>
      <c r="G748" s="629"/>
      <c r="H748" s="629"/>
      <c r="I748" s="629"/>
    </row>
    <row r="749" spans="1:9">
      <c r="A749" s="629"/>
      <c r="B749" s="629"/>
      <c r="C749" s="629"/>
      <c r="D749" s="629"/>
      <c r="E749" s="629"/>
      <c r="F749" s="629"/>
      <c r="G749" s="629"/>
      <c r="H749" s="629"/>
      <c r="I749" s="629"/>
    </row>
    <row r="750" spans="1:9">
      <c r="A750" s="629"/>
      <c r="B750" s="629"/>
      <c r="C750" s="629"/>
      <c r="D750" s="629"/>
      <c r="E750" s="629"/>
      <c r="F750" s="629"/>
      <c r="G750" s="629"/>
      <c r="H750" s="629"/>
      <c r="I750" s="629"/>
    </row>
    <row r="751" spans="1:9">
      <c r="A751" s="629"/>
      <c r="B751" s="629"/>
      <c r="C751" s="629"/>
      <c r="D751" s="629"/>
      <c r="E751" s="629"/>
      <c r="F751" s="629"/>
      <c r="G751" s="629"/>
      <c r="H751" s="629"/>
      <c r="I751" s="629"/>
    </row>
    <row r="752" spans="1:9">
      <c r="A752" s="629"/>
      <c r="B752" s="629"/>
      <c r="C752" s="629"/>
      <c r="D752" s="629"/>
      <c r="E752" s="629"/>
      <c r="F752" s="629"/>
      <c r="G752" s="629"/>
      <c r="H752" s="629"/>
      <c r="I752" s="629"/>
    </row>
    <row r="753" spans="1:9">
      <c r="A753" s="629"/>
      <c r="B753" s="629"/>
      <c r="C753" s="629"/>
      <c r="D753" s="629"/>
      <c r="E753" s="629"/>
      <c r="F753" s="629"/>
      <c r="G753" s="629"/>
      <c r="H753" s="629"/>
      <c r="I753" s="629"/>
    </row>
    <row r="754" spans="1:9">
      <c r="A754" s="629"/>
      <c r="B754" s="629"/>
      <c r="C754" s="629"/>
      <c r="D754" s="629"/>
      <c r="E754" s="629"/>
      <c r="F754" s="629"/>
      <c r="G754" s="629"/>
      <c r="H754" s="629"/>
      <c r="I754" s="629"/>
    </row>
    <row r="755" spans="1:9">
      <c r="A755" s="629"/>
      <c r="B755" s="629"/>
      <c r="C755" s="629"/>
      <c r="D755" s="629"/>
      <c r="E755" s="629"/>
      <c r="F755" s="629"/>
      <c r="G755" s="629"/>
      <c r="H755" s="629"/>
      <c r="I755" s="629"/>
    </row>
    <row r="756" spans="1:9">
      <c r="A756" s="629"/>
      <c r="B756" s="629"/>
      <c r="C756" s="629"/>
      <c r="D756" s="629"/>
      <c r="E756" s="629"/>
      <c r="F756" s="629"/>
      <c r="G756" s="629"/>
      <c r="H756" s="629"/>
      <c r="I756" s="629"/>
    </row>
    <row r="757" spans="1:9">
      <c r="A757" s="629"/>
      <c r="B757" s="629"/>
      <c r="C757" s="629"/>
      <c r="D757" s="629"/>
      <c r="E757" s="629"/>
      <c r="F757" s="629"/>
      <c r="G757" s="629"/>
      <c r="H757" s="629"/>
      <c r="I757" s="629"/>
    </row>
    <row r="758" spans="1:9">
      <c r="A758" s="629"/>
      <c r="B758" s="629"/>
      <c r="C758" s="629"/>
      <c r="D758" s="629"/>
      <c r="E758" s="629"/>
      <c r="F758" s="629"/>
      <c r="G758" s="629"/>
      <c r="H758" s="629"/>
      <c r="I758" s="629"/>
    </row>
    <row r="759" spans="1:9">
      <c r="A759" s="629"/>
      <c r="B759" s="629"/>
      <c r="C759" s="629"/>
      <c r="D759" s="629"/>
      <c r="E759" s="629"/>
      <c r="F759" s="629"/>
      <c r="G759" s="629"/>
      <c r="H759" s="629"/>
      <c r="I759" s="629"/>
    </row>
    <row r="760" spans="1:9">
      <c r="A760" s="629"/>
      <c r="B760" s="629"/>
      <c r="C760" s="629"/>
      <c r="D760" s="629"/>
      <c r="E760" s="629"/>
      <c r="F760" s="629"/>
      <c r="G760" s="629"/>
      <c r="H760" s="629"/>
      <c r="I760" s="629"/>
    </row>
    <row r="761" spans="1:9">
      <c r="A761" s="629"/>
      <c r="B761" s="629"/>
      <c r="C761" s="629"/>
      <c r="D761" s="629"/>
      <c r="E761" s="629"/>
      <c r="F761" s="629"/>
      <c r="G761" s="629"/>
      <c r="H761" s="629"/>
      <c r="I761" s="629"/>
    </row>
    <row r="762" spans="1:9">
      <c r="A762" s="629"/>
      <c r="B762" s="629"/>
      <c r="C762" s="629"/>
      <c r="D762" s="629"/>
      <c r="E762" s="629"/>
      <c r="F762" s="629"/>
      <c r="G762" s="629"/>
      <c r="H762" s="629"/>
      <c r="I762" s="629"/>
    </row>
    <row r="763" spans="1:9">
      <c r="A763" s="629"/>
      <c r="B763" s="629"/>
      <c r="C763" s="629"/>
      <c r="D763" s="629"/>
      <c r="E763" s="629"/>
      <c r="F763" s="629"/>
      <c r="G763" s="629"/>
      <c r="H763" s="629"/>
      <c r="I763" s="629"/>
    </row>
    <row r="764" spans="1:9">
      <c r="A764" s="629"/>
      <c r="B764" s="629"/>
      <c r="C764" s="629"/>
      <c r="D764" s="629"/>
      <c r="E764" s="629"/>
      <c r="F764" s="629"/>
      <c r="G764" s="629"/>
      <c r="H764" s="629"/>
      <c r="I764" s="629"/>
    </row>
    <row r="765" spans="1:9">
      <c r="A765" s="629"/>
      <c r="B765" s="629"/>
      <c r="C765" s="629"/>
      <c r="D765" s="629"/>
      <c r="E765" s="629"/>
      <c r="F765" s="629"/>
      <c r="G765" s="629"/>
      <c r="H765" s="629"/>
      <c r="I765" s="629"/>
    </row>
    <row r="766" spans="1:9">
      <c r="A766" s="629"/>
      <c r="B766" s="629"/>
      <c r="C766" s="629"/>
      <c r="D766" s="629"/>
      <c r="E766" s="629"/>
      <c r="F766" s="629"/>
      <c r="G766" s="629"/>
      <c r="H766" s="629"/>
      <c r="I766" s="629"/>
    </row>
    <row r="767" spans="1:9">
      <c r="A767" s="629"/>
      <c r="B767" s="629"/>
      <c r="C767" s="629"/>
      <c r="D767" s="629"/>
      <c r="E767" s="629"/>
      <c r="F767" s="629"/>
      <c r="G767" s="629"/>
      <c r="H767" s="629"/>
      <c r="I767" s="629"/>
    </row>
    <row r="768" spans="1:9">
      <c r="A768" s="629"/>
      <c r="B768" s="629"/>
      <c r="C768" s="629"/>
      <c r="D768" s="629"/>
      <c r="E768" s="629"/>
      <c r="F768" s="629"/>
      <c r="G768" s="629"/>
      <c r="H768" s="629"/>
      <c r="I768" s="629"/>
    </row>
    <row r="769" spans="1:9">
      <c r="A769" s="629"/>
      <c r="B769" s="629"/>
      <c r="C769" s="629"/>
      <c r="D769" s="629"/>
      <c r="E769" s="629"/>
      <c r="F769" s="629"/>
      <c r="G769" s="629"/>
      <c r="H769" s="629"/>
      <c r="I769" s="629"/>
    </row>
    <row r="770" spans="1:9">
      <c r="A770" s="629"/>
      <c r="B770" s="629"/>
      <c r="C770" s="629"/>
      <c r="D770" s="629"/>
      <c r="E770" s="629"/>
      <c r="F770" s="629"/>
      <c r="G770" s="629"/>
      <c r="H770" s="629"/>
      <c r="I770" s="629"/>
    </row>
    <row r="771" spans="1:9">
      <c r="A771" s="629"/>
      <c r="B771" s="629"/>
      <c r="C771" s="629"/>
      <c r="D771" s="629"/>
      <c r="E771" s="629"/>
      <c r="F771" s="629"/>
      <c r="G771" s="629"/>
      <c r="H771" s="629"/>
      <c r="I771" s="629"/>
    </row>
    <row r="772" spans="1:9">
      <c r="A772" s="629"/>
      <c r="B772" s="629"/>
      <c r="C772" s="629"/>
      <c r="D772" s="629"/>
      <c r="E772" s="629"/>
      <c r="F772" s="629"/>
      <c r="G772" s="629"/>
      <c r="H772" s="629"/>
      <c r="I772" s="629"/>
    </row>
    <row r="773" spans="1:9">
      <c r="A773" s="629"/>
      <c r="B773" s="629"/>
      <c r="C773" s="629"/>
      <c r="D773" s="629"/>
      <c r="E773" s="629"/>
      <c r="F773" s="629"/>
      <c r="G773" s="629"/>
      <c r="H773" s="629"/>
      <c r="I773" s="629"/>
    </row>
    <row r="774" spans="1:9">
      <c r="A774" s="629"/>
      <c r="B774" s="629"/>
      <c r="C774" s="629"/>
      <c r="D774" s="629"/>
      <c r="E774" s="629"/>
      <c r="F774" s="629"/>
      <c r="G774" s="629"/>
      <c r="H774" s="629"/>
      <c r="I774" s="629"/>
    </row>
    <row r="775" spans="1:9">
      <c r="A775" s="629"/>
      <c r="B775" s="629"/>
      <c r="C775" s="629"/>
      <c r="D775" s="629"/>
      <c r="E775" s="629"/>
      <c r="F775" s="629"/>
      <c r="G775" s="629"/>
      <c r="H775" s="629"/>
      <c r="I775" s="629"/>
    </row>
    <row r="776" spans="1:9">
      <c r="A776" s="629"/>
      <c r="B776" s="629"/>
      <c r="C776" s="629"/>
      <c r="D776" s="629"/>
      <c r="E776" s="629"/>
      <c r="F776" s="629"/>
      <c r="G776" s="629"/>
      <c r="H776" s="629"/>
      <c r="I776" s="629"/>
    </row>
    <row r="777" spans="1:9">
      <c r="A777" s="629"/>
      <c r="B777" s="629"/>
      <c r="C777" s="629"/>
      <c r="D777" s="629"/>
      <c r="E777" s="629"/>
      <c r="F777" s="629"/>
      <c r="G777" s="629"/>
      <c r="H777" s="629"/>
      <c r="I777" s="629"/>
    </row>
    <row r="778" spans="1:9">
      <c r="A778" s="629"/>
      <c r="B778" s="629"/>
      <c r="C778" s="629"/>
      <c r="D778" s="629"/>
      <c r="E778" s="629"/>
      <c r="F778" s="629"/>
      <c r="G778" s="629"/>
      <c r="H778" s="629"/>
      <c r="I778" s="629"/>
    </row>
    <row r="779" spans="1:9">
      <c r="A779" s="629"/>
      <c r="B779" s="629"/>
      <c r="C779" s="629"/>
      <c r="D779" s="629"/>
      <c r="E779" s="629"/>
      <c r="F779" s="629"/>
      <c r="G779" s="629"/>
      <c r="H779" s="629"/>
      <c r="I779" s="629"/>
    </row>
    <row r="780" spans="1:9">
      <c r="A780" s="629"/>
      <c r="B780" s="629"/>
      <c r="C780" s="629"/>
      <c r="D780" s="629"/>
      <c r="E780" s="629"/>
      <c r="F780" s="629"/>
      <c r="G780" s="629"/>
      <c r="H780" s="629"/>
      <c r="I780" s="629"/>
    </row>
    <row r="781" spans="1:9">
      <c r="A781" s="629"/>
      <c r="B781" s="629"/>
      <c r="C781" s="629"/>
      <c r="D781" s="629"/>
      <c r="E781" s="629"/>
      <c r="F781" s="629"/>
      <c r="G781" s="629"/>
      <c r="H781" s="629"/>
      <c r="I781" s="629"/>
    </row>
    <row r="782" spans="1:9">
      <c r="A782" s="629"/>
      <c r="B782" s="629"/>
      <c r="C782" s="629"/>
      <c r="D782" s="629"/>
      <c r="E782" s="629"/>
      <c r="F782" s="629"/>
      <c r="G782" s="629"/>
      <c r="H782" s="629"/>
      <c r="I782" s="629"/>
    </row>
    <row r="783" spans="1:9">
      <c r="A783" s="629"/>
      <c r="B783" s="629"/>
      <c r="C783" s="629"/>
      <c r="D783" s="629"/>
      <c r="E783" s="629"/>
      <c r="F783" s="629"/>
      <c r="G783" s="629"/>
      <c r="H783" s="629"/>
      <c r="I783" s="629"/>
    </row>
    <row r="784" spans="1:9">
      <c r="A784" s="629"/>
      <c r="B784" s="629"/>
      <c r="C784" s="629"/>
      <c r="D784" s="629"/>
      <c r="E784" s="629"/>
      <c r="F784" s="629"/>
      <c r="G784" s="629"/>
      <c r="H784" s="629"/>
      <c r="I784" s="629"/>
    </row>
    <row r="785" spans="1:9">
      <c r="A785" s="629"/>
      <c r="B785" s="629"/>
      <c r="C785" s="629"/>
      <c r="D785" s="629"/>
      <c r="E785" s="629"/>
      <c r="F785" s="629"/>
      <c r="G785" s="629"/>
      <c r="H785" s="629"/>
      <c r="I785" s="629"/>
    </row>
    <row r="786" spans="1:9">
      <c r="A786" s="629"/>
      <c r="B786" s="629"/>
      <c r="C786" s="629"/>
      <c r="D786" s="629"/>
      <c r="E786" s="629"/>
      <c r="F786" s="629"/>
      <c r="G786" s="629"/>
      <c r="H786" s="629"/>
      <c r="I786" s="629"/>
    </row>
    <row r="787" spans="1:9">
      <c r="A787" s="629"/>
      <c r="B787" s="629"/>
      <c r="C787" s="629"/>
      <c r="D787" s="629"/>
      <c r="E787" s="629"/>
      <c r="F787" s="629"/>
      <c r="G787" s="629"/>
      <c r="H787" s="629"/>
      <c r="I787" s="629"/>
    </row>
    <row r="788" spans="1:9">
      <c r="A788" s="629"/>
      <c r="B788" s="629"/>
      <c r="C788" s="629"/>
      <c r="D788" s="629"/>
      <c r="E788" s="629"/>
      <c r="F788" s="629"/>
      <c r="G788" s="629"/>
      <c r="H788" s="629"/>
      <c r="I788" s="629"/>
    </row>
    <row r="789" spans="1:9">
      <c r="A789" s="629"/>
      <c r="B789" s="629"/>
      <c r="C789" s="629"/>
      <c r="D789" s="629"/>
      <c r="E789" s="629"/>
      <c r="F789" s="629"/>
      <c r="G789" s="629"/>
      <c r="H789" s="629"/>
      <c r="I789" s="629"/>
    </row>
    <row r="790" spans="1:9">
      <c r="A790" s="629"/>
      <c r="B790" s="629"/>
      <c r="C790" s="629"/>
      <c r="D790" s="629"/>
      <c r="E790" s="629"/>
      <c r="F790" s="629"/>
      <c r="G790" s="629"/>
      <c r="H790" s="629"/>
      <c r="I790" s="629"/>
    </row>
    <row r="791" spans="1:9">
      <c r="A791" s="629"/>
      <c r="B791" s="629"/>
      <c r="C791" s="629"/>
      <c r="D791" s="629"/>
      <c r="E791" s="629"/>
      <c r="F791" s="629"/>
      <c r="G791" s="629"/>
      <c r="H791" s="629"/>
      <c r="I791" s="629"/>
    </row>
    <row r="792" spans="1:9">
      <c r="A792" s="629"/>
      <c r="B792" s="629"/>
      <c r="C792" s="629"/>
      <c r="D792" s="629"/>
      <c r="E792" s="629"/>
      <c r="F792" s="629"/>
      <c r="G792" s="629"/>
      <c r="H792" s="629"/>
      <c r="I792" s="629"/>
    </row>
    <row r="793" spans="1:9">
      <c r="A793" s="629"/>
      <c r="B793" s="629"/>
      <c r="C793" s="629"/>
      <c r="D793" s="629"/>
      <c r="E793" s="629"/>
      <c r="F793" s="629"/>
      <c r="G793" s="629"/>
      <c r="H793" s="629"/>
      <c r="I793" s="629"/>
    </row>
    <row r="794" spans="1:9">
      <c r="A794" s="629"/>
      <c r="B794" s="629"/>
      <c r="C794" s="629"/>
      <c r="D794" s="629"/>
      <c r="E794" s="629"/>
      <c r="F794" s="629"/>
      <c r="G794" s="629"/>
      <c r="H794" s="629"/>
      <c r="I794" s="629"/>
    </row>
    <row r="795" spans="1:9">
      <c r="A795" s="629"/>
      <c r="B795" s="629"/>
      <c r="C795" s="629"/>
      <c r="D795" s="629"/>
      <c r="E795" s="629"/>
      <c r="F795" s="629"/>
      <c r="G795" s="629"/>
      <c r="H795" s="629"/>
      <c r="I795" s="629"/>
    </row>
    <row r="796" spans="1:9">
      <c r="A796" s="629"/>
      <c r="B796" s="629"/>
      <c r="C796" s="629"/>
      <c r="D796" s="629"/>
      <c r="E796" s="629"/>
      <c r="F796" s="629"/>
      <c r="G796" s="629"/>
      <c r="H796" s="629"/>
      <c r="I796" s="629"/>
    </row>
    <row r="797" spans="1:9">
      <c r="A797" s="629"/>
      <c r="B797" s="629"/>
      <c r="C797" s="629"/>
      <c r="D797" s="629"/>
      <c r="E797" s="629"/>
      <c r="F797" s="629"/>
      <c r="G797" s="629"/>
      <c r="H797" s="629"/>
      <c r="I797" s="629"/>
    </row>
    <row r="798" spans="1:9">
      <c r="A798" s="629"/>
      <c r="B798" s="629"/>
      <c r="C798" s="629"/>
      <c r="D798" s="629"/>
      <c r="E798" s="629"/>
      <c r="F798" s="629"/>
      <c r="G798" s="629"/>
      <c r="H798" s="629"/>
      <c r="I798" s="629"/>
    </row>
    <row r="799" spans="1:9">
      <c r="A799" s="629"/>
      <c r="B799" s="629"/>
      <c r="C799" s="629"/>
      <c r="D799" s="629"/>
      <c r="E799" s="629"/>
      <c r="F799" s="629"/>
      <c r="G799" s="629"/>
      <c r="H799" s="629"/>
      <c r="I799" s="629"/>
    </row>
    <row r="800" spans="1:9">
      <c r="A800" s="629"/>
      <c r="B800" s="629"/>
      <c r="C800" s="629"/>
      <c r="D800" s="629"/>
      <c r="E800" s="629"/>
      <c r="F800" s="629"/>
      <c r="G800" s="629"/>
      <c r="H800" s="629"/>
      <c r="I800" s="629"/>
    </row>
    <row r="801" spans="1:9">
      <c r="A801" s="629"/>
      <c r="B801" s="629"/>
      <c r="C801" s="629"/>
      <c r="D801" s="629"/>
      <c r="E801" s="629"/>
      <c r="F801" s="629"/>
      <c r="G801" s="629"/>
      <c r="H801" s="629"/>
      <c r="I801" s="629"/>
    </row>
    <row r="802" spans="1:9">
      <c r="A802" s="629"/>
      <c r="B802" s="629"/>
      <c r="C802" s="629"/>
      <c r="D802" s="629"/>
      <c r="E802" s="629"/>
      <c r="F802" s="629"/>
      <c r="G802" s="629"/>
      <c r="H802" s="629"/>
      <c r="I802" s="629"/>
    </row>
    <row r="803" spans="1:9">
      <c r="A803" s="629"/>
      <c r="B803" s="629"/>
      <c r="C803" s="629"/>
      <c r="D803" s="629"/>
      <c r="E803" s="629"/>
      <c r="F803" s="629"/>
      <c r="G803" s="629"/>
      <c r="H803" s="629"/>
      <c r="I803" s="629"/>
    </row>
    <row r="804" spans="1:9">
      <c r="A804" s="629"/>
      <c r="B804" s="629"/>
      <c r="C804" s="629"/>
      <c r="D804" s="629"/>
      <c r="E804" s="629"/>
      <c r="F804" s="629"/>
      <c r="G804" s="629"/>
      <c r="H804" s="629"/>
      <c r="I804" s="629"/>
    </row>
    <row r="805" spans="1:9">
      <c r="A805" s="629"/>
      <c r="B805" s="629"/>
      <c r="C805" s="629"/>
      <c r="D805" s="629"/>
      <c r="E805" s="629"/>
      <c r="F805" s="629"/>
      <c r="G805" s="629"/>
      <c r="H805" s="629"/>
      <c r="I805" s="629"/>
    </row>
    <row r="806" spans="1:9">
      <c r="A806" s="629"/>
      <c r="B806" s="629"/>
      <c r="C806" s="629"/>
      <c r="D806" s="629"/>
      <c r="E806" s="629"/>
      <c r="F806" s="629"/>
      <c r="G806" s="629"/>
      <c r="H806" s="629"/>
      <c r="I806" s="629"/>
    </row>
    <row r="807" spans="1:9">
      <c r="A807" s="629"/>
      <c r="B807" s="629"/>
      <c r="C807" s="629"/>
      <c r="D807" s="629"/>
      <c r="E807" s="629"/>
      <c r="F807" s="629"/>
      <c r="G807" s="629"/>
      <c r="H807" s="629"/>
      <c r="I807" s="629"/>
    </row>
    <row r="808" spans="1:9">
      <c r="A808" s="629"/>
      <c r="B808" s="629"/>
      <c r="C808" s="629"/>
      <c r="D808" s="629"/>
      <c r="E808" s="629"/>
      <c r="F808" s="629"/>
      <c r="G808" s="629"/>
      <c r="H808" s="629"/>
      <c r="I808" s="629"/>
    </row>
    <row r="809" spans="1:9">
      <c r="A809" s="629"/>
      <c r="B809" s="629"/>
      <c r="C809" s="629"/>
      <c r="D809" s="629"/>
      <c r="E809" s="629"/>
      <c r="F809" s="629"/>
      <c r="G809" s="629"/>
      <c r="H809" s="629"/>
      <c r="I809" s="629"/>
    </row>
    <row r="810" spans="1:9">
      <c r="A810" s="629"/>
      <c r="B810" s="629"/>
      <c r="C810" s="629"/>
      <c r="D810" s="629"/>
      <c r="E810" s="629"/>
      <c r="F810" s="629"/>
      <c r="G810" s="629"/>
      <c r="H810" s="629"/>
      <c r="I810" s="629"/>
    </row>
    <row r="811" spans="1:9">
      <c r="A811" s="629"/>
      <c r="B811" s="629"/>
      <c r="C811" s="629"/>
      <c r="D811" s="629"/>
      <c r="E811" s="629"/>
      <c r="F811" s="629"/>
      <c r="G811" s="629"/>
      <c r="H811" s="629"/>
      <c r="I811" s="629"/>
    </row>
    <row r="812" spans="1:9">
      <c r="A812" s="629"/>
      <c r="B812" s="629"/>
      <c r="C812" s="629"/>
      <c r="D812" s="629"/>
      <c r="E812" s="629"/>
      <c r="F812" s="629"/>
      <c r="G812" s="629"/>
      <c r="H812" s="629"/>
      <c r="I812" s="629"/>
    </row>
    <row r="813" spans="1:9">
      <c r="A813" s="629"/>
      <c r="B813" s="629"/>
      <c r="C813" s="629"/>
      <c r="D813" s="629"/>
      <c r="E813" s="629"/>
      <c r="F813" s="629"/>
      <c r="G813" s="629"/>
      <c r="H813" s="629"/>
      <c r="I813" s="629"/>
    </row>
    <row r="814" spans="1:9">
      <c r="A814" s="629"/>
      <c r="B814" s="629"/>
      <c r="C814" s="629"/>
      <c r="D814" s="629"/>
      <c r="E814" s="629"/>
      <c r="F814" s="629"/>
      <c r="G814" s="629"/>
      <c r="H814" s="629"/>
      <c r="I814" s="629"/>
    </row>
    <row r="815" spans="1:9">
      <c r="A815" s="629"/>
      <c r="B815" s="629"/>
      <c r="C815" s="629"/>
      <c r="D815" s="629"/>
      <c r="E815" s="629"/>
      <c r="F815" s="629"/>
      <c r="G815" s="629"/>
      <c r="H815" s="629"/>
      <c r="I815" s="629"/>
    </row>
    <row r="816" spans="1:9">
      <c r="A816" s="629"/>
      <c r="B816" s="629"/>
      <c r="C816" s="629"/>
      <c r="D816" s="629"/>
      <c r="E816" s="629"/>
      <c r="F816" s="629"/>
      <c r="G816" s="629"/>
      <c r="H816" s="629"/>
      <c r="I816" s="629"/>
    </row>
    <row r="817" spans="1:9">
      <c r="A817" s="629"/>
      <c r="B817" s="629"/>
      <c r="C817" s="629"/>
      <c r="D817" s="629"/>
      <c r="E817" s="629"/>
      <c r="F817" s="629"/>
      <c r="G817" s="629"/>
      <c r="H817" s="629"/>
      <c r="I817" s="629"/>
    </row>
    <row r="818" spans="1:9">
      <c r="A818" s="629"/>
      <c r="B818" s="629"/>
      <c r="C818" s="629"/>
      <c r="D818" s="629"/>
      <c r="E818" s="629"/>
      <c r="F818" s="629"/>
      <c r="G818" s="629"/>
      <c r="H818" s="629"/>
      <c r="I818" s="629"/>
    </row>
    <row r="819" spans="1:9">
      <c r="A819" s="629"/>
      <c r="B819" s="629"/>
      <c r="C819" s="629"/>
      <c r="D819" s="629"/>
      <c r="E819" s="629"/>
      <c r="F819" s="629"/>
      <c r="G819" s="629"/>
      <c r="H819" s="629"/>
      <c r="I819" s="629"/>
    </row>
    <row r="820" spans="1:9">
      <c r="A820" s="629"/>
      <c r="B820" s="629"/>
      <c r="C820" s="629"/>
      <c r="D820" s="629"/>
      <c r="E820" s="629"/>
      <c r="F820" s="629"/>
      <c r="G820" s="629"/>
      <c r="H820" s="629"/>
      <c r="I820" s="629"/>
    </row>
    <row r="821" spans="1:9">
      <c r="A821" s="629"/>
      <c r="B821" s="629"/>
      <c r="C821" s="629"/>
      <c r="D821" s="629"/>
      <c r="E821" s="629"/>
      <c r="F821" s="629"/>
      <c r="G821" s="629"/>
      <c r="H821" s="629"/>
      <c r="I821" s="629"/>
    </row>
    <row r="822" spans="1:9">
      <c r="A822" s="629"/>
      <c r="B822" s="629"/>
      <c r="C822" s="629"/>
      <c r="D822" s="629"/>
      <c r="E822" s="629"/>
      <c r="F822" s="629"/>
      <c r="G822" s="629"/>
      <c r="H822" s="629"/>
      <c r="I822" s="629"/>
    </row>
    <row r="823" spans="1:9">
      <c r="A823" s="629"/>
      <c r="B823" s="629"/>
      <c r="C823" s="629"/>
      <c r="D823" s="629"/>
      <c r="E823" s="629"/>
      <c r="F823" s="629"/>
      <c r="G823" s="629"/>
      <c r="H823" s="629"/>
      <c r="I823" s="629"/>
    </row>
    <row r="824" spans="1:9">
      <c r="A824" s="629"/>
      <c r="B824" s="629"/>
      <c r="C824" s="629"/>
      <c r="D824" s="629"/>
      <c r="E824" s="629"/>
      <c r="F824" s="629"/>
      <c r="G824" s="629"/>
      <c r="H824" s="629"/>
      <c r="I824" s="629"/>
    </row>
    <row r="825" spans="1:9">
      <c r="A825" s="629"/>
      <c r="B825" s="629"/>
      <c r="C825" s="629"/>
      <c r="D825" s="629"/>
      <c r="E825" s="629"/>
      <c r="F825" s="629"/>
      <c r="G825" s="629"/>
      <c r="H825" s="629"/>
      <c r="I825" s="629"/>
    </row>
    <row r="826" spans="1:9">
      <c r="A826" s="629"/>
      <c r="B826" s="629"/>
      <c r="C826" s="629"/>
      <c r="D826" s="629"/>
      <c r="E826" s="629"/>
      <c r="F826" s="629"/>
      <c r="G826" s="629"/>
      <c r="H826" s="629"/>
      <c r="I826" s="629"/>
    </row>
    <row r="827" spans="1:9">
      <c r="A827" s="629"/>
      <c r="B827" s="629"/>
      <c r="C827" s="629"/>
      <c r="D827" s="629"/>
      <c r="E827" s="629"/>
      <c r="F827" s="629"/>
      <c r="G827" s="629"/>
      <c r="H827" s="629"/>
      <c r="I827" s="629"/>
    </row>
    <row r="828" spans="1:9">
      <c r="A828" s="629"/>
      <c r="B828" s="629"/>
      <c r="C828" s="629"/>
      <c r="D828" s="629"/>
      <c r="E828" s="629"/>
      <c r="F828" s="629"/>
      <c r="G828" s="629"/>
      <c r="H828" s="629"/>
      <c r="I828" s="629"/>
    </row>
    <row r="829" spans="1:9">
      <c r="A829" s="629"/>
      <c r="B829" s="629"/>
      <c r="C829" s="629"/>
      <c r="D829" s="629"/>
      <c r="E829" s="629"/>
      <c r="F829" s="629"/>
      <c r="G829" s="629"/>
      <c r="H829" s="629"/>
      <c r="I829" s="629"/>
    </row>
    <row r="830" spans="1:9">
      <c r="A830" s="629"/>
      <c r="B830" s="629"/>
      <c r="C830" s="629"/>
      <c r="D830" s="629"/>
      <c r="E830" s="629"/>
      <c r="F830" s="629"/>
      <c r="G830" s="629"/>
      <c r="H830" s="629"/>
      <c r="I830" s="629"/>
    </row>
    <row r="831" spans="1:9">
      <c r="A831" s="629"/>
      <c r="B831" s="629"/>
      <c r="C831" s="629"/>
      <c r="D831" s="629"/>
      <c r="E831" s="629"/>
      <c r="F831" s="629"/>
      <c r="G831" s="629"/>
      <c r="H831" s="629"/>
      <c r="I831" s="629"/>
    </row>
    <row r="832" spans="1:9">
      <c r="A832" s="629"/>
      <c r="B832" s="629"/>
      <c r="C832" s="629"/>
      <c r="D832" s="629"/>
      <c r="E832" s="629"/>
      <c r="F832" s="629"/>
      <c r="G832" s="629"/>
      <c r="H832" s="629"/>
      <c r="I832" s="629"/>
    </row>
    <row r="833" spans="1:9">
      <c r="A833" s="629"/>
      <c r="B833" s="629"/>
      <c r="C833" s="629"/>
      <c r="D833" s="629"/>
      <c r="E833" s="629"/>
      <c r="F833" s="629"/>
      <c r="G833" s="629"/>
      <c r="H833" s="629"/>
      <c r="I833" s="629"/>
    </row>
    <row r="834" spans="1:9">
      <c r="A834" s="629"/>
      <c r="B834" s="629"/>
      <c r="C834" s="629"/>
      <c r="D834" s="629"/>
      <c r="E834" s="629"/>
      <c r="F834" s="629"/>
      <c r="G834" s="629"/>
      <c r="H834" s="629"/>
      <c r="I834" s="629"/>
    </row>
    <row r="835" spans="1:9">
      <c r="A835" s="629"/>
      <c r="B835" s="629"/>
      <c r="C835" s="629"/>
      <c r="D835" s="629"/>
      <c r="E835" s="629"/>
      <c r="F835" s="629"/>
      <c r="G835" s="629"/>
      <c r="H835" s="629"/>
      <c r="I835" s="629"/>
    </row>
    <row r="836" spans="1:9">
      <c r="A836" s="629"/>
      <c r="B836" s="629"/>
      <c r="C836" s="629"/>
      <c r="D836" s="629"/>
      <c r="E836" s="629"/>
      <c r="F836" s="629"/>
      <c r="G836" s="629"/>
      <c r="H836" s="629"/>
      <c r="I836" s="629"/>
    </row>
    <row r="837" spans="1:9">
      <c r="A837" s="629"/>
      <c r="B837" s="629"/>
      <c r="C837" s="629"/>
      <c r="D837" s="629"/>
      <c r="E837" s="629"/>
      <c r="F837" s="629"/>
      <c r="G837" s="629"/>
      <c r="H837" s="629"/>
      <c r="I837" s="629"/>
    </row>
    <row r="838" spans="1:9">
      <c r="A838" s="629"/>
      <c r="B838" s="629"/>
      <c r="C838" s="629"/>
      <c r="D838" s="629"/>
      <c r="E838" s="629"/>
      <c r="F838" s="629"/>
      <c r="G838" s="629"/>
      <c r="H838" s="629"/>
      <c r="I838" s="629"/>
    </row>
    <row r="839" spans="1:9">
      <c r="A839" s="629"/>
      <c r="B839" s="629"/>
      <c r="C839" s="629"/>
      <c r="D839" s="629"/>
      <c r="E839" s="629"/>
      <c r="F839" s="629"/>
      <c r="G839" s="629"/>
      <c r="H839" s="629"/>
      <c r="I839" s="629"/>
    </row>
    <row r="840" spans="1:9">
      <c r="A840" s="629"/>
      <c r="B840" s="629"/>
      <c r="C840" s="629"/>
      <c r="D840" s="629"/>
      <c r="E840" s="629"/>
      <c r="F840" s="629"/>
      <c r="G840" s="629"/>
      <c r="H840" s="629"/>
      <c r="I840" s="629"/>
    </row>
    <row r="841" spans="1:9">
      <c r="A841" s="629"/>
      <c r="B841" s="629"/>
      <c r="C841" s="629"/>
      <c r="D841" s="629"/>
      <c r="E841" s="629"/>
      <c r="F841" s="629"/>
      <c r="G841" s="629"/>
      <c r="H841" s="629"/>
      <c r="I841" s="629"/>
    </row>
    <row r="842" spans="1:9">
      <c r="A842" s="629"/>
      <c r="B842" s="629"/>
      <c r="C842" s="629"/>
      <c r="D842" s="629"/>
      <c r="E842" s="629"/>
      <c r="F842" s="629"/>
      <c r="G842" s="629"/>
      <c r="H842" s="629"/>
      <c r="I842" s="629"/>
    </row>
    <row r="843" spans="1:9">
      <c r="A843" s="629"/>
      <c r="B843" s="629"/>
      <c r="C843" s="629"/>
      <c r="D843" s="629"/>
      <c r="E843" s="629"/>
      <c r="F843" s="629"/>
      <c r="G843" s="629"/>
      <c r="H843" s="629"/>
      <c r="I843" s="629"/>
    </row>
    <row r="844" spans="1:9">
      <c r="A844" s="629"/>
      <c r="B844" s="629"/>
      <c r="C844" s="629"/>
      <c r="D844" s="629"/>
      <c r="E844" s="629"/>
      <c r="F844" s="629"/>
      <c r="G844" s="629"/>
      <c r="H844" s="629"/>
      <c r="I844" s="629"/>
    </row>
    <row r="845" spans="1:9">
      <c r="A845" s="629"/>
      <c r="B845" s="629"/>
      <c r="C845" s="629"/>
      <c r="D845" s="629"/>
      <c r="E845" s="629"/>
      <c r="F845" s="629"/>
      <c r="G845" s="629"/>
      <c r="H845" s="629"/>
      <c r="I845" s="629"/>
    </row>
    <row r="846" spans="1:9">
      <c r="A846" s="629"/>
      <c r="B846" s="629"/>
      <c r="C846" s="629"/>
      <c r="D846" s="629"/>
      <c r="E846" s="629"/>
      <c r="F846" s="629"/>
      <c r="G846" s="629"/>
      <c r="H846" s="629"/>
      <c r="I846" s="629"/>
    </row>
    <row r="847" spans="1:9">
      <c r="A847" s="629"/>
      <c r="B847" s="629"/>
      <c r="C847" s="629"/>
      <c r="D847" s="629"/>
      <c r="E847" s="629"/>
      <c r="F847" s="629"/>
      <c r="G847" s="629"/>
      <c r="H847" s="629"/>
      <c r="I847" s="629"/>
    </row>
    <row r="848" spans="1:9">
      <c r="A848" s="629"/>
      <c r="B848" s="629"/>
      <c r="C848" s="629"/>
      <c r="D848" s="629"/>
      <c r="E848" s="629"/>
      <c r="F848" s="629"/>
      <c r="G848" s="629"/>
      <c r="H848" s="629"/>
      <c r="I848" s="629"/>
    </row>
    <row r="849" spans="1:9">
      <c r="A849" s="629"/>
      <c r="B849" s="629"/>
      <c r="C849" s="629"/>
      <c r="D849" s="629"/>
      <c r="E849" s="629"/>
      <c r="F849" s="629"/>
      <c r="G849" s="629"/>
      <c r="H849" s="629"/>
      <c r="I849" s="629"/>
    </row>
    <row r="850" spans="1:9">
      <c r="A850" s="629"/>
      <c r="B850" s="629"/>
      <c r="C850" s="629"/>
      <c r="D850" s="629"/>
      <c r="E850" s="629"/>
      <c r="F850" s="629"/>
      <c r="G850" s="629"/>
      <c r="H850" s="629"/>
      <c r="I850" s="629"/>
    </row>
    <row r="851" spans="1:9">
      <c r="A851" s="629"/>
      <c r="B851" s="629"/>
      <c r="C851" s="629"/>
      <c r="D851" s="629"/>
      <c r="E851" s="629"/>
      <c r="F851" s="629"/>
      <c r="G851" s="629"/>
      <c r="H851" s="629"/>
      <c r="I851" s="629"/>
    </row>
    <row r="852" spans="1:9">
      <c r="A852" s="629"/>
      <c r="B852" s="629"/>
      <c r="C852" s="629"/>
      <c r="D852" s="629"/>
      <c r="E852" s="629"/>
      <c r="F852" s="629"/>
      <c r="G852" s="629"/>
      <c r="H852" s="629"/>
      <c r="I852" s="629"/>
    </row>
    <row r="853" spans="1:9">
      <c r="A853" s="629"/>
      <c r="B853" s="629"/>
      <c r="C853" s="629"/>
      <c r="D853" s="629"/>
      <c r="E853" s="629"/>
      <c r="F853" s="629"/>
      <c r="G853" s="629"/>
      <c r="H853" s="629"/>
      <c r="I853" s="629"/>
    </row>
    <row r="854" spans="1:9">
      <c r="A854" s="629"/>
      <c r="B854" s="629"/>
      <c r="C854" s="629"/>
      <c r="D854" s="629"/>
      <c r="E854" s="629"/>
      <c r="F854" s="629"/>
      <c r="G854" s="629"/>
      <c r="H854" s="629"/>
      <c r="I854" s="629"/>
    </row>
    <row r="855" spans="1:9">
      <c r="A855" s="629"/>
      <c r="B855" s="629"/>
      <c r="C855" s="629"/>
      <c r="D855" s="629"/>
      <c r="E855" s="629"/>
      <c r="F855" s="629"/>
      <c r="G855" s="629"/>
      <c r="H855" s="629"/>
      <c r="I855" s="629"/>
    </row>
    <row r="856" spans="1:9">
      <c r="A856" s="629"/>
      <c r="B856" s="629"/>
      <c r="C856" s="629"/>
      <c r="D856" s="629"/>
      <c r="E856" s="629"/>
      <c r="F856" s="629"/>
      <c r="G856" s="629"/>
      <c r="H856" s="629"/>
      <c r="I856" s="629"/>
    </row>
    <row r="857" spans="1:9">
      <c r="A857" s="629"/>
      <c r="B857" s="629"/>
      <c r="C857" s="629"/>
      <c r="D857" s="629"/>
      <c r="E857" s="629"/>
      <c r="F857" s="629"/>
      <c r="G857" s="629"/>
      <c r="H857" s="629"/>
      <c r="I857" s="629"/>
    </row>
    <row r="858" spans="1:9">
      <c r="A858" s="629"/>
      <c r="B858" s="629"/>
      <c r="C858" s="629"/>
      <c r="D858" s="629"/>
      <c r="E858" s="629"/>
      <c r="F858" s="629"/>
      <c r="G858" s="629"/>
      <c r="H858" s="629"/>
      <c r="I858" s="629"/>
    </row>
    <row r="859" spans="1:9">
      <c r="A859" s="629"/>
      <c r="B859" s="629"/>
      <c r="C859" s="629"/>
      <c r="D859" s="629"/>
      <c r="E859" s="629"/>
      <c r="F859" s="629"/>
      <c r="G859" s="629"/>
      <c r="H859" s="629"/>
      <c r="I859" s="629"/>
    </row>
    <row r="860" spans="1:9">
      <c r="A860" s="629"/>
      <c r="B860" s="629"/>
      <c r="C860" s="629"/>
      <c r="D860" s="629"/>
      <c r="E860" s="629"/>
      <c r="F860" s="629"/>
      <c r="G860" s="629"/>
      <c r="H860" s="629"/>
      <c r="I860" s="629"/>
    </row>
    <row r="861" spans="1:9">
      <c r="A861" s="629"/>
      <c r="B861" s="629"/>
      <c r="C861" s="629"/>
      <c r="D861" s="629"/>
      <c r="E861" s="629"/>
      <c r="F861" s="629"/>
      <c r="G861" s="629"/>
      <c r="H861" s="629"/>
      <c r="I861" s="629"/>
    </row>
    <row r="862" spans="1:9">
      <c r="A862" s="629"/>
      <c r="B862" s="629"/>
      <c r="C862" s="629"/>
      <c r="D862" s="629"/>
      <c r="E862" s="629"/>
      <c r="F862" s="629"/>
      <c r="G862" s="629"/>
      <c r="H862" s="629"/>
      <c r="I862" s="629"/>
    </row>
    <row r="863" spans="1:9">
      <c r="A863" s="629"/>
      <c r="B863" s="629"/>
      <c r="C863" s="629"/>
      <c r="D863" s="629"/>
      <c r="E863" s="629"/>
      <c r="F863" s="629"/>
      <c r="G863" s="629"/>
      <c r="H863" s="629"/>
      <c r="I863" s="629"/>
    </row>
    <row r="864" spans="1:9">
      <c r="A864" s="629"/>
      <c r="B864" s="629"/>
      <c r="C864" s="629"/>
      <c r="D864" s="629"/>
      <c r="E864" s="629"/>
      <c r="F864" s="629"/>
      <c r="G864" s="629"/>
      <c r="H864" s="629"/>
      <c r="I864" s="629"/>
    </row>
    <row r="865" spans="1:9">
      <c r="A865" s="629"/>
      <c r="B865" s="629"/>
      <c r="C865" s="629"/>
      <c r="D865" s="629"/>
      <c r="E865" s="629"/>
      <c r="F865" s="629"/>
      <c r="G865" s="629"/>
      <c r="H865" s="629"/>
      <c r="I865" s="629"/>
    </row>
    <row r="866" spans="1:9">
      <c r="A866" s="629"/>
      <c r="B866" s="629"/>
      <c r="C866" s="629"/>
      <c r="D866" s="629"/>
      <c r="E866" s="629"/>
      <c r="F866" s="629"/>
      <c r="G866" s="629"/>
      <c r="H866" s="629"/>
      <c r="I866" s="629"/>
    </row>
    <row r="867" spans="1:9">
      <c r="A867" s="629"/>
      <c r="B867" s="629"/>
      <c r="C867" s="629"/>
      <c r="D867" s="629"/>
      <c r="E867" s="629"/>
      <c r="F867" s="629"/>
      <c r="G867" s="629"/>
      <c r="H867" s="629"/>
      <c r="I867" s="629"/>
    </row>
    <row r="868" spans="1:9">
      <c r="A868" s="629"/>
      <c r="B868" s="629"/>
      <c r="C868" s="629"/>
      <c r="D868" s="629"/>
      <c r="E868" s="629"/>
      <c r="F868" s="629"/>
      <c r="G868" s="629"/>
      <c r="H868" s="629"/>
      <c r="I868" s="629"/>
    </row>
    <row r="869" spans="1:9">
      <c r="A869" s="629"/>
      <c r="B869" s="629"/>
      <c r="C869" s="629"/>
      <c r="D869" s="629"/>
      <c r="E869" s="629"/>
      <c r="F869" s="629"/>
      <c r="G869" s="629"/>
      <c r="H869" s="629"/>
      <c r="I869" s="629"/>
    </row>
    <row r="870" spans="1:9">
      <c r="A870" s="629"/>
      <c r="B870" s="629"/>
      <c r="C870" s="629"/>
      <c r="D870" s="629"/>
      <c r="E870" s="629"/>
      <c r="F870" s="629"/>
      <c r="G870" s="629"/>
      <c r="H870" s="629"/>
      <c r="I870" s="629"/>
    </row>
    <row r="871" spans="1:9">
      <c r="A871" s="629"/>
      <c r="B871" s="629"/>
      <c r="C871" s="629"/>
      <c r="D871" s="629"/>
      <c r="E871" s="629"/>
      <c r="F871" s="629"/>
      <c r="G871" s="629"/>
      <c r="H871" s="629"/>
      <c r="I871" s="629"/>
    </row>
    <row r="872" spans="1:9">
      <c r="A872" s="629"/>
      <c r="B872" s="629"/>
      <c r="C872" s="629"/>
      <c r="D872" s="629"/>
      <c r="E872" s="629"/>
      <c r="F872" s="629"/>
      <c r="G872" s="629"/>
      <c r="H872" s="629"/>
      <c r="I872" s="629"/>
    </row>
    <row r="873" spans="1:9">
      <c r="A873" s="629"/>
      <c r="B873" s="629"/>
      <c r="C873" s="629"/>
      <c r="D873" s="629"/>
      <c r="E873" s="629"/>
      <c r="F873" s="629"/>
      <c r="G873" s="629"/>
      <c r="H873" s="629"/>
      <c r="I873" s="629"/>
    </row>
    <row r="874" spans="1:9">
      <c r="A874" s="629"/>
      <c r="B874" s="629"/>
      <c r="C874" s="629"/>
      <c r="D874" s="629"/>
      <c r="E874" s="629"/>
      <c r="F874" s="629"/>
      <c r="G874" s="629"/>
      <c r="H874" s="629"/>
      <c r="I874" s="629"/>
    </row>
    <row r="875" spans="1:9">
      <c r="A875" s="629"/>
      <c r="B875" s="629"/>
      <c r="C875" s="629"/>
      <c r="D875" s="629"/>
      <c r="E875" s="629"/>
      <c r="F875" s="629"/>
      <c r="G875" s="629"/>
      <c r="H875" s="629"/>
      <c r="I875" s="629"/>
    </row>
    <row r="876" spans="1:9">
      <c r="A876" s="629"/>
      <c r="B876" s="629"/>
      <c r="C876" s="629"/>
      <c r="D876" s="629"/>
      <c r="E876" s="629"/>
      <c r="F876" s="629"/>
      <c r="G876" s="629"/>
      <c r="H876" s="629"/>
      <c r="I876" s="629"/>
    </row>
    <row r="877" spans="1:9">
      <c r="A877" s="629"/>
      <c r="B877" s="629"/>
      <c r="C877" s="629"/>
      <c r="D877" s="629"/>
      <c r="E877" s="629"/>
      <c r="F877" s="629"/>
      <c r="G877" s="629"/>
      <c r="H877" s="629"/>
      <c r="I877" s="629"/>
    </row>
    <row r="878" spans="1:9">
      <c r="A878" s="629"/>
      <c r="B878" s="629"/>
      <c r="C878" s="629"/>
      <c r="D878" s="629"/>
      <c r="E878" s="629"/>
      <c r="F878" s="629"/>
      <c r="G878" s="629"/>
      <c r="H878" s="629"/>
      <c r="I878" s="629"/>
    </row>
    <row r="879" spans="1:9">
      <c r="A879" s="629"/>
      <c r="B879" s="629"/>
      <c r="C879" s="629"/>
      <c r="D879" s="629"/>
      <c r="E879" s="629"/>
      <c r="F879" s="629"/>
      <c r="G879" s="629"/>
      <c r="H879" s="629"/>
      <c r="I879" s="629"/>
    </row>
    <row r="880" spans="1:9">
      <c r="A880" s="629"/>
      <c r="B880" s="629"/>
      <c r="C880" s="629"/>
      <c r="D880" s="629"/>
      <c r="E880" s="629"/>
      <c r="F880" s="629"/>
      <c r="G880" s="629"/>
      <c r="H880" s="629"/>
      <c r="I880" s="629"/>
    </row>
    <row r="881" spans="1:9">
      <c r="A881" s="629"/>
      <c r="B881" s="629"/>
      <c r="C881" s="629"/>
      <c r="D881" s="629"/>
      <c r="E881" s="629"/>
      <c r="F881" s="629"/>
      <c r="G881" s="629"/>
      <c r="H881" s="629"/>
      <c r="I881" s="629"/>
    </row>
    <row r="882" spans="1:9">
      <c r="A882" s="629"/>
      <c r="B882" s="629"/>
      <c r="C882" s="629"/>
      <c r="D882" s="629"/>
      <c r="E882" s="629"/>
      <c r="F882" s="629"/>
      <c r="G882" s="629"/>
      <c r="H882" s="629"/>
      <c r="I882" s="629"/>
    </row>
    <row r="883" spans="1:9">
      <c r="A883" s="629"/>
      <c r="B883" s="629"/>
      <c r="C883" s="629"/>
      <c r="D883" s="629"/>
      <c r="E883" s="629"/>
      <c r="F883" s="629"/>
      <c r="G883" s="629"/>
      <c r="H883" s="629"/>
      <c r="I883" s="629"/>
    </row>
    <row r="884" spans="1:9">
      <c r="A884" s="629"/>
      <c r="B884" s="629"/>
      <c r="C884" s="629"/>
      <c r="D884" s="629"/>
      <c r="E884" s="629"/>
      <c r="F884" s="629"/>
      <c r="G884" s="629"/>
      <c r="H884" s="629"/>
      <c r="I884" s="629"/>
    </row>
    <row r="885" spans="1:9">
      <c r="A885" s="629"/>
      <c r="B885" s="629"/>
      <c r="C885" s="629"/>
      <c r="D885" s="629"/>
      <c r="E885" s="629"/>
      <c r="F885" s="629"/>
      <c r="G885" s="629"/>
      <c r="H885" s="629"/>
      <c r="I885" s="629"/>
    </row>
    <row r="886" spans="1:9">
      <c r="A886" s="629"/>
      <c r="B886" s="629"/>
      <c r="C886" s="629"/>
      <c r="D886" s="629"/>
      <c r="E886" s="629"/>
      <c r="F886" s="629"/>
      <c r="G886" s="629"/>
      <c r="H886" s="629"/>
      <c r="I886" s="629"/>
    </row>
    <row r="887" spans="1:9">
      <c r="A887" s="629"/>
      <c r="B887" s="629"/>
      <c r="C887" s="629"/>
      <c r="D887" s="629"/>
      <c r="E887" s="629"/>
      <c r="F887" s="629"/>
      <c r="G887" s="629"/>
      <c r="H887" s="629"/>
      <c r="I887" s="629"/>
    </row>
    <row r="888" spans="1:9">
      <c r="A888" s="629"/>
      <c r="B888" s="629"/>
      <c r="C888" s="629"/>
      <c r="D888" s="629"/>
      <c r="E888" s="629"/>
      <c r="F888" s="629"/>
      <c r="G888" s="629"/>
      <c r="H888" s="629"/>
      <c r="I888" s="629"/>
    </row>
    <row r="889" spans="1:9">
      <c r="A889" s="629"/>
      <c r="B889" s="629"/>
      <c r="C889" s="629"/>
      <c r="D889" s="629"/>
      <c r="E889" s="629"/>
      <c r="F889" s="629"/>
      <c r="G889" s="629"/>
      <c r="H889" s="629"/>
      <c r="I889" s="629"/>
    </row>
    <row r="890" spans="1:9">
      <c r="A890" s="629"/>
      <c r="B890" s="629"/>
      <c r="C890" s="629"/>
      <c r="D890" s="629"/>
      <c r="E890" s="629"/>
      <c r="F890" s="629"/>
      <c r="G890" s="629"/>
      <c r="H890" s="629"/>
      <c r="I890" s="629"/>
    </row>
    <row r="891" spans="1:9">
      <c r="A891" s="629"/>
      <c r="B891" s="629"/>
      <c r="C891" s="629"/>
      <c r="D891" s="629"/>
      <c r="E891" s="629"/>
      <c r="F891" s="629"/>
      <c r="G891" s="629"/>
      <c r="H891" s="629"/>
      <c r="I891" s="629"/>
    </row>
    <row r="892" spans="1:9">
      <c r="A892" s="629"/>
      <c r="B892" s="629"/>
      <c r="C892" s="629"/>
      <c r="D892" s="629"/>
      <c r="E892" s="629"/>
      <c r="F892" s="629"/>
      <c r="G892" s="629"/>
      <c r="H892" s="629"/>
      <c r="I892" s="629"/>
    </row>
    <row r="893" spans="1:9">
      <c r="A893" s="629"/>
      <c r="B893" s="629"/>
      <c r="C893" s="629"/>
      <c r="D893" s="629"/>
      <c r="E893" s="629"/>
      <c r="F893" s="629"/>
      <c r="G893" s="629"/>
      <c r="H893" s="629"/>
      <c r="I893" s="629"/>
    </row>
    <row r="894" spans="1:9">
      <c r="A894" s="629"/>
      <c r="B894" s="629"/>
      <c r="C894" s="629"/>
      <c r="D894" s="629"/>
      <c r="E894" s="629"/>
      <c r="F894" s="629"/>
      <c r="G894" s="629"/>
      <c r="H894" s="629"/>
      <c r="I894" s="629"/>
    </row>
    <row r="895" spans="1:9">
      <c r="A895" s="629"/>
      <c r="B895" s="629"/>
      <c r="C895" s="629"/>
      <c r="D895" s="629"/>
      <c r="E895" s="629"/>
      <c r="F895" s="629"/>
      <c r="G895" s="629"/>
      <c r="H895" s="629"/>
      <c r="I895" s="629"/>
    </row>
    <row r="896" spans="1:9">
      <c r="A896" s="629"/>
      <c r="B896" s="629"/>
      <c r="C896" s="629"/>
      <c r="D896" s="629"/>
      <c r="E896" s="629"/>
      <c r="F896" s="629"/>
      <c r="G896" s="629"/>
      <c r="H896" s="629"/>
      <c r="I896" s="629"/>
    </row>
    <row r="897" spans="1:9">
      <c r="A897" s="629"/>
      <c r="B897" s="629"/>
      <c r="C897" s="629"/>
      <c r="D897" s="629"/>
      <c r="E897" s="629"/>
      <c r="F897" s="629"/>
      <c r="G897" s="629"/>
      <c r="H897" s="629"/>
      <c r="I897" s="629"/>
    </row>
    <row r="898" spans="1:9">
      <c r="A898" s="629"/>
      <c r="B898" s="629"/>
      <c r="C898" s="629"/>
      <c r="D898" s="629"/>
      <c r="E898" s="629"/>
      <c r="F898" s="629"/>
      <c r="G898" s="629"/>
      <c r="H898" s="629"/>
      <c r="I898" s="629"/>
    </row>
    <row r="899" spans="1:9">
      <c r="A899" s="629"/>
      <c r="B899" s="629"/>
      <c r="C899" s="629"/>
      <c r="D899" s="629"/>
      <c r="E899" s="629"/>
      <c r="F899" s="629"/>
      <c r="G899" s="629"/>
      <c r="H899" s="629"/>
      <c r="I899" s="629"/>
    </row>
    <row r="900" spans="1:9">
      <c r="A900" s="629"/>
      <c r="B900" s="629"/>
      <c r="C900" s="629"/>
      <c r="D900" s="629"/>
      <c r="E900" s="629"/>
      <c r="F900" s="629"/>
      <c r="G900" s="629"/>
      <c r="H900" s="629"/>
      <c r="I900" s="629"/>
    </row>
    <row r="901" spans="1:9">
      <c r="A901" s="629"/>
      <c r="B901" s="629"/>
      <c r="C901" s="629"/>
      <c r="D901" s="629"/>
      <c r="E901" s="629"/>
      <c r="F901" s="629"/>
      <c r="G901" s="629"/>
      <c r="H901" s="629"/>
      <c r="I901" s="629"/>
    </row>
    <row r="902" spans="1:9">
      <c r="A902" s="629"/>
      <c r="B902" s="629"/>
      <c r="C902" s="629"/>
      <c r="D902" s="629"/>
      <c r="E902" s="629"/>
      <c r="F902" s="629"/>
      <c r="G902" s="629"/>
      <c r="H902" s="629"/>
      <c r="I902" s="629"/>
    </row>
    <row r="903" spans="1:9">
      <c r="A903" s="629"/>
      <c r="B903" s="629"/>
      <c r="C903" s="629"/>
      <c r="D903" s="629"/>
      <c r="E903" s="629"/>
      <c r="F903" s="629"/>
      <c r="G903" s="629"/>
      <c r="H903" s="629"/>
      <c r="I903" s="629"/>
    </row>
    <row r="904" spans="1:9">
      <c r="A904" s="629"/>
      <c r="B904" s="629"/>
      <c r="C904" s="629"/>
      <c r="D904" s="629"/>
      <c r="E904" s="629"/>
      <c r="F904" s="629"/>
      <c r="G904" s="629"/>
      <c r="H904" s="629"/>
      <c r="I904" s="629"/>
    </row>
    <row r="905" spans="1:9">
      <c r="A905" s="629"/>
      <c r="B905" s="629"/>
      <c r="C905" s="629"/>
      <c r="D905" s="629"/>
      <c r="E905" s="629"/>
      <c r="F905" s="629"/>
      <c r="G905" s="629"/>
      <c r="H905" s="629"/>
      <c r="I905" s="629"/>
    </row>
    <row r="906" spans="1:9">
      <c r="A906" s="629"/>
      <c r="B906" s="629"/>
      <c r="C906" s="629"/>
      <c r="D906" s="629"/>
      <c r="E906" s="629"/>
      <c r="F906" s="629"/>
      <c r="G906" s="629"/>
      <c r="H906" s="629"/>
      <c r="I906" s="629"/>
    </row>
    <row r="907" spans="1:9">
      <c r="A907" s="629"/>
      <c r="B907" s="629"/>
      <c r="C907" s="629"/>
      <c r="D907" s="629"/>
      <c r="E907" s="629"/>
      <c r="F907" s="629"/>
      <c r="G907" s="629"/>
      <c r="H907" s="629"/>
      <c r="I907" s="629"/>
    </row>
    <row r="908" spans="1:9">
      <c r="A908" s="629"/>
      <c r="B908" s="629"/>
      <c r="C908" s="629"/>
      <c r="D908" s="629"/>
      <c r="E908" s="629"/>
      <c r="F908" s="629"/>
      <c r="G908" s="629"/>
      <c r="H908" s="629"/>
      <c r="I908" s="629"/>
    </row>
    <row r="909" spans="1:9">
      <c r="A909" s="629"/>
      <c r="B909" s="629"/>
      <c r="C909" s="629"/>
      <c r="D909" s="629"/>
      <c r="E909" s="629"/>
      <c r="F909" s="629"/>
      <c r="G909" s="629"/>
      <c r="H909" s="629"/>
      <c r="I909" s="629"/>
    </row>
    <row r="910" spans="1:9">
      <c r="A910" s="629"/>
      <c r="B910" s="629"/>
      <c r="C910" s="629"/>
      <c r="D910" s="629"/>
      <c r="E910" s="629"/>
      <c r="F910" s="629"/>
      <c r="G910" s="629"/>
      <c r="H910" s="629"/>
      <c r="I910" s="629"/>
    </row>
    <row r="911" spans="1:9">
      <c r="A911" s="629"/>
      <c r="B911" s="629"/>
      <c r="C911" s="629"/>
      <c r="D911" s="629"/>
      <c r="E911" s="629"/>
      <c r="F911" s="629"/>
      <c r="G911" s="629"/>
      <c r="H911" s="629"/>
      <c r="I911" s="629"/>
    </row>
    <row r="912" spans="1:9">
      <c r="A912" s="629"/>
      <c r="B912" s="629"/>
      <c r="C912" s="629"/>
      <c r="D912" s="629"/>
      <c r="E912" s="629"/>
      <c r="F912" s="629"/>
      <c r="G912" s="629"/>
      <c r="H912" s="629"/>
      <c r="I912" s="629"/>
    </row>
    <row r="913" spans="1:9">
      <c r="A913" s="629"/>
      <c r="B913" s="629"/>
      <c r="C913" s="629"/>
      <c r="D913" s="629"/>
      <c r="E913" s="629"/>
      <c r="F913" s="629"/>
      <c r="G913" s="629"/>
      <c r="H913" s="629"/>
      <c r="I913" s="629"/>
    </row>
    <row r="914" spans="1:9">
      <c r="A914" s="629"/>
      <c r="B914" s="629"/>
      <c r="C914" s="629"/>
      <c r="D914" s="629"/>
      <c r="E914" s="629"/>
      <c r="F914" s="629"/>
      <c r="G914" s="629"/>
      <c r="H914" s="629"/>
      <c r="I914" s="629"/>
    </row>
    <row r="915" spans="1:9">
      <c r="A915" s="629"/>
      <c r="B915" s="629"/>
      <c r="C915" s="629"/>
      <c r="D915" s="629"/>
      <c r="E915" s="629"/>
      <c r="F915" s="629"/>
      <c r="G915" s="629"/>
      <c r="H915" s="629"/>
      <c r="I915" s="629"/>
    </row>
    <row r="916" spans="1:9">
      <c r="A916" s="629"/>
      <c r="B916" s="629"/>
      <c r="C916" s="629"/>
      <c r="D916" s="629"/>
      <c r="E916" s="629"/>
      <c r="F916" s="629"/>
      <c r="G916" s="629"/>
      <c r="H916" s="629"/>
      <c r="I916" s="629"/>
    </row>
    <row r="917" spans="1:9">
      <c r="A917" s="629"/>
      <c r="B917" s="629"/>
      <c r="C917" s="629"/>
      <c r="D917" s="629"/>
      <c r="E917" s="629"/>
      <c r="F917" s="629"/>
      <c r="G917" s="629"/>
      <c r="H917" s="629"/>
      <c r="I917" s="629"/>
    </row>
    <row r="918" spans="1:9">
      <c r="A918" s="629"/>
      <c r="B918" s="629"/>
      <c r="C918" s="629"/>
      <c r="D918" s="629"/>
      <c r="E918" s="629"/>
      <c r="F918" s="629"/>
      <c r="G918" s="629"/>
      <c r="H918" s="629"/>
      <c r="I918" s="629"/>
    </row>
    <row r="919" spans="1:9">
      <c r="A919" s="629"/>
      <c r="B919" s="629"/>
      <c r="C919" s="629"/>
      <c r="D919" s="629"/>
      <c r="E919" s="629"/>
      <c r="F919" s="629"/>
      <c r="G919" s="629"/>
      <c r="H919" s="629"/>
      <c r="I919" s="629"/>
    </row>
    <row r="920" spans="1:9">
      <c r="A920" s="629"/>
      <c r="B920" s="629"/>
      <c r="C920" s="629"/>
      <c r="D920" s="629"/>
      <c r="E920" s="629"/>
      <c r="F920" s="629"/>
      <c r="G920" s="629"/>
      <c r="H920" s="629"/>
      <c r="I920" s="629"/>
    </row>
    <row r="921" spans="1:9">
      <c r="A921" s="629"/>
      <c r="B921" s="629"/>
      <c r="C921" s="629"/>
      <c r="D921" s="629"/>
      <c r="E921" s="629"/>
      <c r="F921" s="629"/>
      <c r="G921" s="629"/>
      <c r="H921" s="629"/>
      <c r="I921" s="629"/>
    </row>
    <row r="922" spans="1:9">
      <c r="A922" s="629"/>
      <c r="B922" s="629"/>
      <c r="C922" s="629"/>
      <c r="D922" s="629"/>
      <c r="E922" s="629"/>
      <c r="F922" s="629"/>
      <c r="G922" s="629"/>
      <c r="H922" s="629"/>
      <c r="I922" s="629"/>
    </row>
    <row r="923" spans="1:9">
      <c r="A923" s="629"/>
      <c r="B923" s="629"/>
      <c r="C923" s="629"/>
      <c r="D923" s="629"/>
      <c r="E923" s="629"/>
      <c r="F923" s="629"/>
      <c r="G923" s="629"/>
      <c r="H923" s="629"/>
      <c r="I923" s="629"/>
    </row>
    <row r="924" spans="1:9">
      <c r="A924" s="629"/>
      <c r="B924" s="629"/>
      <c r="C924" s="629"/>
      <c r="D924" s="629"/>
      <c r="E924" s="629"/>
      <c r="F924" s="629"/>
      <c r="G924" s="629"/>
      <c r="H924" s="629"/>
      <c r="I924" s="629"/>
    </row>
    <row r="925" spans="1:9">
      <c r="A925" s="629"/>
      <c r="B925" s="629"/>
      <c r="C925" s="629"/>
      <c r="D925" s="629"/>
      <c r="E925" s="629"/>
      <c r="F925" s="629"/>
      <c r="G925" s="629"/>
      <c r="H925" s="629"/>
      <c r="I925" s="629"/>
    </row>
    <row r="926" spans="1:9">
      <c r="A926" s="629"/>
      <c r="B926" s="629"/>
      <c r="C926" s="629"/>
      <c r="D926" s="629"/>
      <c r="E926" s="629"/>
      <c r="F926" s="629"/>
      <c r="G926" s="629"/>
      <c r="H926" s="629"/>
      <c r="I926" s="629"/>
    </row>
    <row r="927" spans="1:9">
      <c r="A927" s="629"/>
      <c r="B927" s="629"/>
      <c r="C927" s="629"/>
      <c r="D927" s="629"/>
      <c r="E927" s="629"/>
      <c r="F927" s="629"/>
      <c r="G927" s="629"/>
      <c r="H927" s="629"/>
      <c r="I927" s="629"/>
    </row>
    <row r="928" spans="1:9">
      <c r="A928" s="629"/>
      <c r="B928" s="629"/>
      <c r="C928" s="629"/>
      <c r="D928" s="629"/>
      <c r="E928" s="629"/>
      <c r="F928" s="629"/>
      <c r="G928" s="629"/>
      <c r="H928" s="629"/>
      <c r="I928" s="629"/>
    </row>
    <row r="929" spans="1:9">
      <c r="A929" s="629"/>
      <c r="B929" s="629"/>
      <c r="C929" s="629"/>
      <c r="D929" s="629"/>
      <c r="E929" s="629"/>
      <c r="F929" s="629"/>
      <c r="G929" s="629"/>
      <c r="H929" s="629"/>
      <c r="I929" s="629"/>
    </row>
    <row r="930" spans="1:9">
      <c r="A930" s="629"/>
      <c r="B930" s="629"/>
      <c r="C930" s="629"/>
      <c r="D930" s="629"/>
      <c r="E930" s="629"/>
      <c r="F930" s="629"/>
      <c r="G930" s="629"/>
      <c r="H930" s="629"/>
      <c r="I930" s="629"/>
    </row>
    <row r="931" spans="1:9">
      <c r="A931" s="629"/>
      <c r="B931" s="629"/>
      <c r="C931" s="629"/>
      <c r="D931" s="629"/>
      <c r="E931" s="629"/>
      <c r="F931" s="629"/>
      <c r="G931" s="629"/>
      <c r="H931" s="629"/>
      <c r="I931" s="629"/>
    </row>
    <row r="932" spans="1:9">
      <c r="A932" s="629"/>
      <c r="B932" s="629"/>
      <c r="C932" s="629"/>
      <c r="D932" s="629"/>
      <c r="E932" s="629"/>
      <c r="F932" s="629"/>
      <c r="G932" s="629"/>
      <c r="H932" s="629"/>
      <c r="I932" s="629"/>
    </row>
    <row r="933" spans="1:9">
      <c r="A933" s="629"/>
      <c r="B933" s="629"/>
      <c r="C933" s="629"/>
      <c r="D933" s="629"/>
      <c r="E933" s="629"/>
      <c r="F933" s="629"/>
      <c r="G933" s="629"/>
      <c r="H933" s="629"/>
      <c r="I933" s="629"/>
    </row>
    <row r="934" spans="1:9">
      <c r="A934" s="629"/>
      <c r="B934" s="629"/>
      <c r="C934" s="629"/>
      <c r="D934" s="629"/>
      <c r="E934" s="629"/>
      <c r="F934" s="629"/>
      <c r="G934" s="629"/>
      <c r="H934" s="629"/>
      <c r="I934" s="629"/>
    </row>
    <row r="935" spans="1:9">
      <c r="A935" s="629"/>
      <c r="B935" s="629"/>
      <c r="C935" s="629"/>
      <c r="D935" s="629"/>
      <c r="E935" s="629"/>
      <c r="F935" s="629"/>
      <c r="G935" s="629"/>
      <c r="H935" s="629"/>
      <c r="I935" s="629"/>
    </row>
    <row r="936" spans="1:9">
      <c r="A936" s="629"/>
      <c r="B936" s="629"/>
      <c r="C936" s="629"/>
      <c r="D936" s="629"/>
      <c r="E936" s="629"/>
      <c r="F936" s="629"/>
      <c r="G936" s="629"/>
      <c r="H936" s="629"/>
      <c r="I936" s="629"/>
    </row>
    <row r="937" spans="1:9">
      <c r="A937" s="629"/>
      <c r="B937" s="629"/>
      <c r="C937" s="629"/>
      <c r="D937" s="629"/>
      <c r="E937" s="629"/>
      <c r="F937" s="629"/>
      <c r="G937" s="629"/>
      <c r="H937" s="629"/>
      <c r="I937" s="629"/>
    </row>
    <row r="938" spans="1:9">
      <c r="A938" s="629"/>
      <c r="B938" s="629"/>
      <c r="C938" s="629"/>
      <c r="D938" s="629"/>
      <c r="E938" s="629"/>
      <c r="F938" s="629"/>
      <c r="G938" s="629"/>
      <c r="H938" s="629"/>
      <c r="I938" s="629"/>
    </row>
    <row r="939" spans="1:9">
      <c r="A939" s="629"/>
      <c r="B939" s="629"/>
      <c r="C939" s="629"/>
      <c r="D939" s="629"/>
      <c r="E939" s="629"/>
      <c r="F939" s="629"/>
      <c r="G939" s="629"/>
      <c r="H939" s="629"/>
      <c r="I939" s="629"/>
    </row>
    <row r="940" spans="1:9">
      <c r="A940" s="629"/>
      <c r="B940" s="629"/>
      <c r="C940" s="629"/>
      <c r="D940" s="629"/>
      <c r="E940" s="629"/>
      <c r="F940" s="629"/>
      <c r="G940" s="629"/>
      <c r="H940" s="629"/>
      <c r="I940" s="629"/>
    </row>
    <row r="941" spans="1:9">
      <c r="A941" s="629"/>
      <c r="B941" s="629"/>
      <c r="C941" s="629"/>
      <c r="D941" s="629"/>
      <c r="E941" s="629"/>
      <c r="F941" s="629"/>
      <c r="G941" s="629"/>
      <c r="H941" s="629"/>
      <c r="I941" s="629"/>
    </row>
    <row r="942" spans="1:9">
      <c r="A942" s="629"/>
      <c r="B942" s="629"/>
      <c r="C942" s="629"/>
      <c r="D942" s="629"/>
      <c r="E942" s="629"/>
      <c r="F942" s="629"/>
      <c r="G942" s="629"/>
      <c r="H942" s="629"/>
      <c r="I942" s="629"/>
    </row>
    <row r="943" spans="1:9">
      <c r="A943" s="629"/>
      <c r="B943" s="629"/>
      <c r="C943" s="629"/>
      <c r="D943" s="629"/>
      <c r="E943" s="629"/>
      <c r="F943" s="629"/>
      <c r="G943" s="629"/>
      <c r="H943" s="629"/>
      <c r="I943" s="629"/>
    </row>
    <row r="944" spans="1:9">
      <c r="A944" s="629"/>
      <c r="B944" s="629"/>
      <c r="C944" s="629"/>
      <c r="D944" s="629"/>
      <c r="E944" s="629"/>
      <c r="F944" s="629"/>
      <c r="G944" s="629"/>
      <c r="H944" s="629"/>
      <c r="I944" s="629"/>
    </row>
    <row r="945" spans="1:9">
      <c r="A945" s="629"/>
      <c r="B945" s="629"/>
      <c r="C945" s="629"/>
      <c r="D945" s="629"/>
      <c r="E945" s="629"/>
      <c r="F945" s="629"/>
      <c r="G945" s="629"/>
      <c r="H945" s="629"/>
      <c r="I945" s="629"/>
    </row>
    <row r="946" spans="1:9">
      <c r="A946" s="629"/>
      <c r="B946" s="629"/>
      <c r="C946" s="629"/>
      <c r="D946" s="629"/>
      <c r="E946" s="629"/>
      <c r="F946" s="629"/>
      <c r="G946" s="629"/>
      <c r="H946" s="629"/>
      <c r="I946" s="629"/>
    </row>
    <row r="947" spans="1:9">
      <c r="A947" s="629"/>
      <c r="B947" s="629"/>
      <c r="C947" s="629"/>
      <c r="D947" s="629"/>
      <c r="E947" s="629"/>
      <c r="F947" s="629"/>
      <c r="G947" s="629"/>
      <c r="H947" s="629"/>
      <c r="I947" s="629"/>
    </row>
    <row r="948" spans="1:9">
      <c r="A948" s="629"/>
      <c r="B948" s="629"/>
      <c r="C948" s="629"/>
      <c r="D948" s="629"/>
      <c r="E948" s="629"/>
      <c r="F948" s="629"/>
      <c r="G948" s="629"/>
      <c r="H948" s="629"/>
      <c r="I948" s="629"/>
    </row>
    <row r="949" spans="1:9">
      <c r="A949" s="629"/>
      <c r="B949" s="629"/>
      <c r="C949" s="629"/>
      <c r="D949" s="629"/>
      <c r="E949" s="629"/>
      <c r="F949" s="629"/>
      <c r="G949" s="629"/>
      <c r="H949" s="629"/>
      <c r="I949" s="629"/>
    </row>
    <row r="950" spans="1:9">
      <c r="A950" s="629"/>
      <c r="B950" s="629"/>
      <c r="C950" s="629"/>
      <c r="D950" s="629"/>
      <c r="E950" s="629"/>
      <c r="F950" s="629"/>
      <c r="G950" s="629"/>
      <c r="H950" s="629"/>
      <c r="I950" s="629"/>
    </row>
    <row r="951" spans="1:9">
      <c r="A951" s="629"/>
      <c r="B951" s="629"/>
      <c r="C951" s="629"/>
      <c r="D951" s="629"/>
      <c r="E951" s="629"/>
      <c r="F951" s="629"/>
      <c r="G951" s="629"/>
      <c r="H951" s="629"/>
      <c r="I951" s="629"/>
    </row>
    <row r="952" spans="1:9">
      <c r="A952" s="629"/>
      <c r="B952" s="629"/>
      <c r="C952" s="629"/>
      <c r="D952" s="629"/>
      <c r="E952" s="629"/>
      <c r="F952" s="629"/>
      <c r="G952" s="629"/>
      <c r="H952" s="629"/>
      <c r="I952" s="629"/>
    </row>
    <row r="953" spans="1:9">
      <c r="A953" s="629"/>
      <c r="B953" s="629"/>
      <c r="C953" s="629"/>
      <c r="D953" s="629"/>
      <c r="E953" s="629"/>
      <c r="F953" s="629"/>
      <c r="G953" s="629"/>
      <c r="H953" s="629"/>
      <c r="I953" s="629"/>
    </row>
    <row r="954" spans="1:9">
      <c r="A954" s="629"/>
      <c r="B954" s="629"/>
      <c r="C954" s="629"/>
      <c r="D954" s="629"/>
      <c r="E954" s="629"/>
      <c r="F954" s="629"/>
      <c r="G954" s="629"/>
      <c r="H954" s="629"/>
      <c r="I954" s="629"/>
    </row>
    <row r="955" spans="1:9">
      <c r="A955" s="629"/>
      <c r="B955" s="629"/>
      <c r="C955" s="629"/>
      <c r="D955" s="629"/>
      <c r="E955" s="629"/>
      <c r="F955" s="629"/>
      <c r="G955" s="629"/>
      <c r="H955" s="629"/>
      <c r="I955" s="629"/>
    </row>
    <row r="956" spans="1:9">
      <c r="A956" s="629"/>
      <c r="B956" s="629"/>
      <c r="C956" s="629"/>
      <c r="D956" s="629"/>
      <c r="E956" s="629"/>
      <c r="F956" s="629"/>
      <c r="G956" s="629"/>
      <c r="H956" s="629"/>
      <c r="I956" s="629"/>
    </row>
    <row r="957" spans="1:9">
      <c r="A957" s="629"/>
      <c r="B957" s="629"/>
      <c r="C957" s="629"/>
      <c r="D957" s="629"/>
      <c r="E957" s="629"/>
      <c r="F957" s="629"/>
      <c r="G957" s="629"/>
      <c r="H957" s="629"/>
      <c r="I957" s="629"/>
    </row>
    <row r="958" spans="1:9">
      <c r="A958" s="629"/>
      <c r="B958" s="629"/>
      <c r="C958" s="629"/>
      <c r="D958" s="629"/>
      <c r="E958" s="629"/>
      <c r="F958" s="629"/>
      <c r="G958" s="629"/>
      <c r="H958" s="629"/>
      <c r="I958" s="629"/>
    </row>
    <row r="959" spans="1:9">
      <c r="A959" s="629"/>
      <c r="B959" s="629"/>
      <c r="C959" s="629"/>
      <c r="D959" s="629"/>
      <c r="E959" s="629"/>
      <c r="F959" s="629"/>
      <c r="G959" s="629"/>
      <c r="H959" s="629"/>
      <c r="I959" s="629"/>
    </row>
    <row r="960" spans="1:9">
      <c r="A960" s="629"/>
      <c r="B960" s="629"/>
      <c r="C960" s="629"/>
      <c r="D960" s="629"/>
      <c r="E960" s="629"/>
      <c r="F960" s="629"/>
      <c r="G960" s="629"/>
      <c r="H960" s="629"/>
      <c r="I960" s="629"/>
    </row>
    <row r="961" spans="1:9">
      <c r="A961" s="629"/>
      <c r="B961" s="629"/>
      <c r="C961" s="629"/>
      <c r="D961" s="629"/>
      <c r="E961" s="629"/>
      <c r="F961" s="629"/>
      <c r="G961" s="629"/>
      <c r="H961" s="629"/>
      <c r="I961" s="629"/>
    </row>
    <row r="962" spans="1:9">
      <c r="A962" s="629"/>
      <c r="B962" s="629"/>
      <c r="C962" s="629"/>
      <c r="D962" s="629"/>
      <c r="E962" s="629"/>
      <c r="F962" s="629"/>
      <c r="G962" s="629"/>
      <c r="H962" s="629"/>
      <c r="I962" s="629"/>
    </row>
    <row r="963" spans="1:9">
      <c r="A963" s="629"/>
      <c r="B963" s="629"/>
      <c r="C963" s="629"/>
      <c r="D963" s="629"/>
      <c r="E963" s="629"/>
      <c r="F963" s="629"/>
      <c r="G963" s="629"/>
      <c r="H963" s="629"/>
      <c r="I963" s="629"/>
    </row>
    <row r="964" spans="1:9">
      <c r="A964" s="629"/>
      <c r="B964" s="629"/>
      <c r="C964" s="629"/>
      <c r="D964" s="629"/>
      <c r="E964" s="629"/>
      <c r="F964" s="629"/>
      <c r="G964" s="629"/>
      <c r="H964" s="629"/>
      <c r="I964" s="629"/>
    </row>
    <row r="965" spans="1:9">
      <c r="A965" s="629"/>
      <c r="B965" s="629"/>
      <c r="C965" s="629"/>
      <c r="D965" s="629"/>
      <c r="E965" s="629"/>
      <c r="F965" s="629"/>
      <c r="G965" s="629"/>
      <c r="H965" s="629"/>
      <c r="I965" s="629"/>
    </row>
    <row r="966" spans="1:9">
      <c r="A966" s="629"/>
      <c r="B966" s="629"/>
      <c r="C966" s="629"/>
      <c r="D966" s="629"/>
      <c r="E966" s="629"/>
      <c r="F966" s="629"/>
      <c r="G966" s="629"/>
      <c r="H966" s="629"/>
      <c r="I966" s="629"/>
    </row>
    <row r="967" spans="1:9">
      <c r="A967" s="629"/>
      <c r="B967" s="629"/>
      <c r="C967" s="629"/>
      <c r="D967" s="629"/>
      <c r="E967" s="629"/>
      <c r="F967" s="629"/>
      <c r="G967" s="629"/>
      <c r="H967" s="629"/>
      <c r="I967" s="629"/>
    </row>
    <row r="968" spans="1:9">
      <c r="A968" s="629"/>
      <c r="B968" s="629"/>
      <c r="C968" s="629"/>
      <c r="D968" s="629"/>
      <c r="E968" s="629"/>
      <c r="F968" s="629"/>
      <c r="G968" s="629"/>
      <c r="H968" s="629"/>
      <c r="I968" s="629"/>
    </row>
    <row r="969" spans="1:9">
      <c r="A969" s="629"/>
      <c r="B969" s="629"/>
      <c r="C969" s="629"/>
      <c r="D969" s="629"/>
      <c r="E969" s="629"/>
      <c r="F969" s="629"/>
      <c r="G969" s="629"/>
      <c r="H969" s="629"/>
      <c r="I969" s="629"/>
    </row>
    <row r="970" spans="1:9">
      <c r="A970" s="629"/>
      <c r="B970" s="629"/>
      <c r="C970" s="629"/>
      <c r="D970" s="629"/>
      <c r="E970" s="629"/>
      <c r="F970" s="629"/>
      <c r="G970" s="629"/>
      <c r="H970" s="629"/>
      <c r="I970" s="629"/>
    </row>
    <row r="971" spans="1:9">
      <c r="A971" s="629"/>
      <c r="B971" s="629"/>
      <c r="C971" s="629"/>
      <c r="D971" s="629"/>
      <c r="E971" s="629"/>
      <c r="F971" s="629"/>
      <c r="G971" s="629"/>
      <c r="H971" s="629"/>
      <c r="I971" s="629"/>
    </row>
    <row r="972" spans="1:9">
      <c r="A972" s="629"/>
      <c r="B972" s="629"/>
      <c r="C972" s="629"/>
      <c r="D972" s="629"/>
      <c r="E972" s="629"/>
      <c r="F972" s="629"/>
      <c r="G972" s="629"/>
      <c r="H972" s="629"/>
      <c r="I972" s="629"/>
    </row>
    <row r="973" spans="1:9">
      <c r="A973" s="629"/>
      <c r="B973" s="629"/>
      <c r="C973" s="629"/>
      <c r="D973" s="629"/>
      <c r="E973" s="629"/>
      <c r="F973" s="629"/>
      <c r="G973" s="629"/>
      <c r="H973" s="629"/>
      <c r="I973" s="629"/>
    </row>
    <row r="974" spans="1:9">
      <c r="A974" s="629"/>
      <c r="B974" s="629"/>
      <c r="C974" s="629"/>
      <c r="D974" s="629"/>
      <c r="E974" s="629"/>
      <c r="F974" s="629"/>
      <c r="G974" s="629"/>
      <c r="H974" s="629"/>
      <c r="I974" s="629"/>
    </row>
    <row r="975" spans="1:9">
      <c r="A975" s="629"/>
      <c r="B975" s="629"/>
      <c r="C975" s="629"/>
      <c r="D975" s="629"/>
      <c r="E975" s="629"/>
      <c r="F975" s="629"/>
      <c r="G975" s="629"/>
      <c r="H975" s="629"/>
      <c r="I975" s="629"/>
    </row>
    <row r="976" spans="1:9">
      <c r="A976" s="629"/>
      <c r="B976" s="629"/>
      <c r="C976" s="629"/>
      <c r="D976" s="629"/>
      <c r="E976" s="629"/>
      <c r="F976" s="629"/>
      <c r="G976" s="629"/>
      <c r="H976" s="629"/>
      <c r="I976" s="629"/>
    </row>
    <row r="977" spans="1:9">
      <c r="A977" s="629"/>
      <c r="B977" s="629"/>
      <c r="C977" s="629"/>
      <c r="D977" s="629"/>
      <c r="E977" s="629"/>
      <c r="F977" s="629"/>
      <c r="G977" s="629"/>
      <c r="H977" s="629"/>
      <c r="I977" s="629"/>
    </row>
    <row r="978" spans="1:9">
      <c r="A978" s="629"/>
      <c r="B978" s="629"/>
      <c r="C978" s="629"/>
      <c r="D978" s="629"/>
      <c r="E978" s="629"/>
      <c r="F978" s="629"/>
      <c r="G978" s="629"/>
      <c r="H978" s="629"/>
      <c r="I978" s="629"/>
    </row>
    <row r="979" spans="1:9">
      <c r="A979" s="629"/>
      <c r="B979" s="629"/>
      <c r="C979" s="629"/>
      <c r="D979" s="629"/>
      <c r="E979" s="629"/>
      <c r="F979" s="629"/>
      <c r="G979" s="629"/>
      <c r="H979" s="629"/>
      <c r="I979" s="629"/>
    </row>
    <row r="980" spans="1:9">
      <c r="A980" s="629"/>
      <c r="B980" s="629"/>
      <c r="C980" s="629"/>
      <c r="D980" s="629"/>
      <c r="E980" s="629"/>
      <c r="F980" s="629"/>
      <c r="G980" s="629"/>
      <c r="H980" s="629"/>
      <c r="I980" s="629"/>
    </row>
    <row r="981" spans="1:9">
      <c r="A981" s="629"/>
      <c r="B981" s="629"/>
      <c r="C981" s="629"/>
      <c r="D981" s="629"/>
      <c r="E981" s="629"/>
      <c r="F981" s="629"/>
      <c r="G981" s="629"/>
      <c r="H981" s="629"/>
      <c r="I981" s="629"/>
    </row>
    <row r="982" spans="1:9">
      <c r="A982" s="629"/>
      <c r="B982" s="629"/>
      <c r="C982" s="629"/>
      <c r="D982" s="629"/>
      <c r="E982" s="629"/>
      <c r="F982" s="629"/>
      <c r="G982" s="629"/>
      <c r="H982" s="629"/>
      <c r="I982" s="629"/>
    </row>
    <row r="983" spans="1:9">
      <c r="A983" s="629"/>
      <c r="B983" s="629"/>
      <c r="C983" s="629"/>
      <c r="D983" s="629"/>
      <c r="E983" s="629"/>
      <c r="F983" s="629"/>
      <c r="G983" s="629"/>
      <c r="H983" s="629"/>
      <c r="I983" s="629"/>
    </row>
    <row r="984" spans="1:9">
      <c r="A984" s="629"/>
      <c r="B984" s="629"/>
      <c r="C984" s="629"/>
      <c r="D984" s="629"/>
      <c r="E984" s="629"/>
      <c r="F984" s="629"/>
      <c r="G984" s="629"/>
      <c r="H984" s="629"/>
      <c r="I984" s="629"/>
    </row>
    <row r="985" spans="1:9">
      <c r="A985" s="629"/>
      <c r="B985" s="629"/>
      <c r="C985" s="629"/>
      <c r="D985" s="629"/>
      <c r="E985" s="629"/>
      <c r="F985" s="629"/>
      <c r="G985" s="629"/>
      <c r="H985" s="629"/>
      <c r="I985" s="629"/>
    </row>
    <row r="986" spans="1:9">
      <c r="A986" s="629"/>
      <c r="B986" s="629"/>
      <c r="C986" s="629"/>
      <c r="D986" s="629"/>
      <c r="E986" s="629"/>
      <c r="F986" s="629"/>
      <c r="G986" s="629"/>
      <c r="H986" s="629"/>
      <c r="I986" s="629"/>
    </row>
    <row r="987" spans="1:9">
      <c r="A987" s="629"/>
      <c r="B987" s="629"/>
      <c r="C987" s="629"/>
      <c r="D987" s="629"/>
      <c r="E987" s="629"/>
      <c r="F987" s="629"/>
      <c r="G987" s="629"/>
      <c r="H987" s="629"/>
      <c r="I987" s="629"/>
    </row>
    <row r="988" spans="1:9">
      <c r="A988" s="629"/>
      <c r="B988" s="629"/>
      <c r="C988" s="629"/>
      <c r="D988" s="629"/>
      <c r="E988" s="629"/>
      <c r="F988" s="629"/>
      <c r="G988" s="629"/>
      <c r="H988" s="629"/>
      <c r="I988" s="629"/>
    </row>
    <row r="989" spans="1:9">
      <c r="A989" s="629"/>
      <c r="B989" s="629"/>
      <c r="C989" s="629"/>
      <c r="D989" s="629"/>
      <c r="E989" s="629"/>
      <c r="F989" s="629"/>
      <c r="G989" s="629"/>
      <c r="H989" s="629"/>
      <c r="I989" s="629"/>
    </row>
    <row r="990" spans="1:9">
      <c r="A990" s="629"/>
      <c r="B990" s="629"/>
      <c r="C990" s="629"/>
      <c r="D990" s="629"/>
      <c r="E990" s="629"/>
      <c r="F990" s="629"/>
      <c r="G990" s="629"/>
      <c r="H990" s="629"/>
      <c r="I990" s="629"/>
    </row>
    <row r="991" spans="1:9">
      <c r="A991" s="629"/>
      <c r="B991" s="629"/>
      <c r="C991" s="629"/>
      <c r="D991" s="629"/>
      <c r="E991" s="629"/>
      <c r="F991" s="629"/>
      <c r="G991" s="629"/>
      <c r="H991" s="629"/>
      <c r="I991" s="629"/>
    </row>
    <row r="992" spans="1:9">
      <c r="A992" s="629"/>
      <c r="B992" s="629"/>
      <c r="C992" s="629"/>
      <c r="D992" s="629"/>
      <c r="E992" s="629"/>
      <c r="F992" s="629"/>
      <c r="G992" s="629"/>
      <c r="H992" s="629"/>
      <c r="I992" s="629"/>
    </row>
    <row r="993" spans="1:9">
      <c r="A993" s="629"/>
      <c r="B993" s="629"/>
      <c r="C993" s="629"/>
      <c r="D993" s="629"/>
      <c r="E993" s="629"/>
      <c r="F993" s="629"/>
      <c r="G993" s="629"/>
      <c r="H993" s="629"/>
      <c r="I993" s="629"/>
    </row>
    <row r="994" spans="1:9">
      <c r="A994" s="629"/>
      <c r="B994" s="629"/>
      <c r="C994" s="629"/>
      <c r="D994" s="629"/>
      <c r="E994" s="629"/>
      <c r="F994" s="629"/>
      <c r="G994" s="629"/>
      <c r="H994" s="629"/>
      <c r="I994" s="629"/>
    </row>
    <row r="995" spans="1:9">
      <c r="A995" s="629"/>
      <c r="B995" s="629"/>
      <c r="C995" s="629"/>
      <c r="D995" s="629"/>
      <c r="E995" s="629"/>
      <c r="F995" s="629"/>
      <c r="G995" s="629"/>
      <c r="H995" s="629"/>
      <c r="I995" s="629"/>
    </row>
    <row r="996" spans="1:9">
      <c r="A996" s="629"/>
      <c r="B996" s="629"/>
      <c r="C996" s="629"/>
      <c r="D996" s="629"/>
      <c r="E996" s="629"/>
      <c r="F996" s="629"/>
      <c r="G996" s="629"/>
      <c r="H996" s="629"/>
      <c r="I996" s="629"/>
    </row>
    <row r="997" spans="1:9">
      <c r="A997" s="629"/>
      <c r="B997" s="629"/>
      <c r="C997" s="629"/>
      <c r="D997" s="629"/>
      <c r="E997" s="629"/>
      <c r="F997" s="629"/>
      <c r="G997" s="629"/>
      <c r="H997" s="629"/>
      <c r="I997" s="629"/>
    </row>
    <row r="998" spans="1:9">
      <c r="A998" s="629"/>
      <c r="B998" s="629"/>
      <c r="C998" s="629"/>
      <c r="D998" s="629"/>
      <c r="E998" s="629"/>
      <c r="F998" s="629"/>
      <c r="G998" s="629"/>
      <c r="H998" s="629"/>
      <c r="I998" s="629"/>
    </row>
    <row r="999" spans="1:9">
      <c r="A999" s="629"/>
      <c r="B999" s="629"/>
      <c r="C999" s="629"/>
      <c r="D999" s="629"/>
      <c r="E999" s="629"/>
      <c r="F999" s="629"/>
      <c r="G999" s="629"/>
      <c r="H999" s="629"/>
      <c r="I999" s="629"/>
    </row>
  </sheetData>
  <mergeCells count="1">
    <mergeCell ref="B3:H3"/>
  </mergeCells>
  <dataValidations count="2">
    <dataValidation type="list" allowBlank="1" showInputMessage="1" showErrorMessage="1" sqref="D6:D205" xr:uid="{41444CAB-5A60-4294-A81C-9072C0C2C94C}">
      <formula1>"Suplemento,Dieta Total"</formula1>
    </dataValidation>
    <dataValidation type="list" allowBlank="1" showInputMessage="1" showErrorMessage="1" sqref="C6:C205" xr:uid="{6EF0302B-A897-4A4E-A93E-46267B1D1A11}">
      <formula1>Clientes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3BE14-BB80-4D8C-A8D0-21131C23B17D}">
  <sheetPr codeName="Planilha2">
    <tabColor rgb="FFFFFF00"/>
  </sheetPr>
  <dimension ref="A1:AE97"/>
  <sheetViews>
    <sheetView showGridLines="0" showRowColHeaders="0" zoomScaleNormal="10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A27" sqref="A27"/>
    </sheetView>
  </sheetViews>
  <sheetFormatPr defaultColWidth="0" defaultRowHeight="14.25" zeroHeight="1"/>
  <cols>
    <col min="1" max="1" width="17.875" style="808" customWidth="1"/>
    <col min="2" max="2" width="6.125" style="98" customWidth="1"/>
    <col min="3" max="3" width="41.5" style="808" customWidth="1"/>
    <col min="4" max="4" width="25.875" style="808" customWidth="1"/>
    <col min="5" max="5" width="20.625" style="808" customWidth="1"/>
    <col min="6" max="6" width="2.875" style="808" customWidth="1"/>
    <col min="7" max="7" width="18.875" style="808" customWidth="1"/>
    <col min="8" max="8" width="13.875" style="808" customWidth="1"/>
    <col min="9" max="9" width="11.125" style="808" customWidth="1"/>
    <col min="10" max="10" width="4.5" style="808" bestFit="1" customWidth="1"/>
    <col min="11" max="11" width="6.375" style="808" customWidth="1"/>
    <col min="12" max="12" width="16.75" style="808" customWidth="1"/>
    <col min="13" max="13" width="6" style="808" bestFit="1" customWidth="1"/>
    <col min="14" max="14" width="9" style="808" customWidth="1"/>
    <col min="15" max="15" width="7.375" style="808" customWidth="1"/>
    <col min="16" max="22" width="9" style="808" customWidth="1"/>
    <col min="23" max="23" width="10" style="808" customWidth="1"/>
    <col min="24" max="27" width="9" style="808" customWidth="1"/>
    <col min="28" max="28" width="7.5" style="808" customWidth="1"/>
    <col min="29" max="30" width="9" style="808" hidden="1" customWidth="1"/>
    <col min="31" max="31" width="3.25" style="808" hidden="1" customWidth="1"/>
    <col min="32" max="16384" width="9" style="808" hidden="1"/>
  </cols>
  <sheetData>
    <row r="1" spans="1:28" ht="63" customHeight="1">
      <c r="A1" s="1616"/>
      <c r="B1" s="1606"/>
      <c r="C1" s="1616"/>
      <c r="D1" s="1616"/>
      <c r="E1" s="1616"/>
      <c r="F1" s="1616"/>
      <c r="G1" s="1616"/>
      <c r="H1" s="1606"/>
      <c r="I1" s="1616"/>
      <c r="J1" s="1616"/>
      <c r="K1" s="1616"/>
      <c r="L1" s="1616"/>
      <c r="M1" s="1616"/>
      <c r="N1" s="1616"/>
      <c r="O1" s="1616"/>
      <c r="P1" s="1616"/>
      <c r="Q1" s="1616"/>
      <c r="R1" s="1616"/>
      <c r="S1" s="1616"/>
      <c r="T1" s="1616"/>
      <c r="U1" s="1616"/>
      <c r="V1" s="1616"/>
      <c r="W1" s="1616"/>
      <c r="X1" s="1616"/>
      <c r="Y1" s="1616"/>
      <c r="Z1" s="1616"/>
      <c r="AA1" s="1616"/>
      <c r="AB1" s="1616"/>
    </row>
    <row r="2" spans="1:28" ht="21.75" hidden="1" customHeight="1">
      <c r="A2" s="1616"/>
      <c r="B2" s="1606"/>
      <c r="C2" s="2142" t="s">
        <v>444</v>
      </c>
      <c r="D2" s="2142"/>
      <c r="E2" s="2142"/>
      <c r="F2" s="1616"/>
      <c r="G2" s="1616"/>
      <c r="H2" s="1616"/>
      <c r="I2" s="1616"/>
      <c r="J2" s="1616"/>
      <c r="K2" s="1616"/>
      <c r="L2" s="1616"/>
      <c r="M2" s="1616"/>
      <c r="N2" s="1616"/>
      <c r="O2" s="1616"/>
      <c r="P2" s="1616"/>
      <c r="Q2" s="1616"/>
      <c r="R2" s="1616"/>
      <c r="S2" s="1616"/>
      <c r="T2" s="1616"/>
      <c r="U2" s="1616"/>
      <c r="V2" s="1616"/>
      <c r="W2" s="1616"/>
      <c r="X2" s="1616"/>
      <c r="Y2" s="1616"/>
      <c r="Z2" s="1616"/>
      <c r="AA2" s="1616"/>
      <c r="AB2" s="1616"/>
    </row>
    <row r="3" spans="1:28" ht="5.25" hidden="1" customHeight="1" thickBot="1">
      <c r="A3" s="1616"/>
      <c r="B3" s="1606"/>
      <c r="C3" s="1616"/>
      <c r="D3" s="1616"/>
      <c r="E3" s="1616"/>
      <c r="F3" s="1616"/>
      <c r="G3" s="1616"/>
      <c r="H3" s="1616"/>
      <c r="I3" s="1616"/>
      <c r="J3" s="1616"/>
      <c r="K3" s="1616"/>
      <c r="L3" s="1616"/>
      <c r="M3" s="1616"/>
      <c r="N3" s="1616"/>
      <c r="O3" s="1616"/>
      <c r="P3" s="1616"/>
      <c r="Q3" s="1616"/>
      <c r="R3" s="1616"/>
      <c r="S3" s="1616"/>
      <c r="T3" s="1616"/>
      <c r="U3" s="1616"/>
      <c r="V3" s="1616"/>
      <c r="W3" s="1616"/>
      <c r="X3" s="1616"/>
      <c r="Y3" s="1616"/>
      <c r="Z3" s="1616"/>
      <c r="AA3" s="1616"/>
      <c r="AB3" s="1616"/>
    </row>
    <row r="4" spans="1:28" ht="19.5" hidden="1" customHeight="1" thickTop="1">
      <c r="A4" s="1616"/>
      <c r="B4" s="1606"/>
      <c r="C4" s="2143" t="s">
        <v>450</v>
      </c>
      <c r="D4" s="2144"/>
      <c r="E4" s="2145"/>
      <c r="F4" s="1616"/>
      <c r="G4" s="1616"/>
      <c r="H4" s="1616"/>
      <c r="I4" s="1616"/>
      <c r="J4" s="1616"/>
      <c r="K4" s="1616"/>
      <c r="L4" s="1616"/>
      <c r="M4" s="1616"/>
      <c r="N4" s="1616"/>
      <c r="O4" s="1616"/>
      <c r="P4" s="1616"/>
      <c r="Q4" s="1616"/>
      <c r="R4" s="1616"/>
      <c r="S4" s="1616"/>
      <c r="T4" s="1616"/>
      <c r="U4" s="1616"/>
      <c r="V4" s="1616"/>
      <c r="W4" s="1616"/>
      <c r="X4" s="1616"/>
      <c r="Y4" s="1616"/>
      <c r="Z4" s="1616"/>
      <c r="AA4" s="1616"/>
      <c r="AB4" s="1616"/>
    </row>
    <row r="5" spans="1:28" ht="16.5" hidden="1" customHeight="1">
      <c r="A5" s="1616"/>
      <c r="B5" s="1606"/>
      <c r="C5" s="1620" t="s">
        <v>445</v>
      </c>
      <c r="D5" s="1611" t="s">
        <v>446</v>
      </c>
      <c r="E5" s="106" t="s">
        <v>484</v>
      </c>
      <c r="F5" s="1616"/>
      <c r="G5" s="1616"/>
      <c r="H5" s="1616"/>
      <c r="I5" s="1616"/>
      <c r="J5" s="1616"/>
      <c r="K5" s="1616"/>
      <c r="L5" s="1616"/>
      <c r="M5" s="1616"/>
      <c r="N5" s="1616"/>
      <c r="O5" s="1616"/>
      <c r="P5" s="1616"/>
      <c r="Q5" s="1616"/>
      <c r="R5" s="1616"/>
      <c r="S5" s="1616"/>
      <c r="T5" s="1616"/>
      <c r="U5" s="1616"/>
      <c r="V5" s="1616"/>
      <c r="W5" s="1616"/>
      <c r="X5" s="1616"/>
      <c r="Y5" s="1616"/>
      <c r="Z5" s="1616"/>
      <c r="AA5" s="1616"/>
      <c r="AB5" s="1616"/>
    </row>
    <row r="6" spans="1:28" hidden="1">
      <c r="A6" s="1616"/>
      <c r="B6" s="1607"/>
      <c r="C6" s="1686" t="s">
        <v>447</v>
      </c>
      <c r="D6" s="730">
        <v>1.1000000000000001</v>
      </c>
      <c r="E6" s="1621"/>
      <c r="F6" s="1616"/>
      <c r="G6" s="1616"/>
      <c r="H6" s="1616"/>
      <c r="I6" s="1616"/>
      <c r="J6" s="1616"/>
      <c r="K6" s="1616"/>
      <c r="L6" s="1616"/>
      <c r="M6" s="1616"/>
      <c r="N6" s="1616"/>
      <c r="O6" s="1616"/>
      <c r="P6" s="1616"/>
      <c r="Q6" s="1616"/>
      <c r="R6" s="1616"/>
      <c r="S6" s="1616"/>
      <c r="T6" s="1616"/>
      <c r="U6" s="1616"/>
      <c r="V6" s="1616"/>
      <c r="W6" s="1616"/>
      <c r="X6" s="1616"/>
      <c r="Y6" s="1616"/>
      <c r="Z6" s="1616"/>
      <c r="AA6" s="1616"/>
      <c r="AB6" s="1616"/>
    </row>
    <row r="7" spans="1:28" hidden="1">
      <c r="A7" s="1616"/>
      <c r="B7" s="1606"/>
      <c r="C7" s="1686" t="s">
        <v>448</v>
      </c>
      <c r="D7" s="730">
        <v>1.2</v>
      </c>
      <c r="E7" s="1621"/>
      <c r="F7" s="1616"/>
      <c r="G7" s="1622"/>
      <c r="H7" s="1616"/>
      <c r="I7" s="1616"/>
      <c r="J7" s="1616"/>
      <c r="K7" s="1616"/>
      <c r="L7" s="1616"/>
      <c r="M7" s="1616"/>
      <c r="N7" s="1616"/>
      <c r="O7" s="1616"/>
      <c r="P7" s="1616"/>
      <c r="Q7" s="1616"/>
      <c r="R7" s="1616"/>
      <c r="S7" s="1616"/>
      <c r="T7" s="1616"/>
      <c r="U7" s="1616"/>
      <c r="V7" s="1616"/>
      <c r="W7" s="1616"/>
      <c r="X7" s="1616"/>
      <c r="Y7" s="1616"/>
      <c r="Z7" s="1616"/>
      <c r="AA7" s="1616"/>
      <c r="AB7" s="1616"/>
    </row>
    <row r="8" spans="1:28" ht="15" hidden="1" thickBot="1">
      <c r="A8" s="1616"/>
      <c r="B8" s="1606"/>
      <c r="C8" s="1687" t="s">
        <v>449</v>
      </c>
      <c r="D8" s="1623">
        <v>1.3</v>
      </c>
      <c r="E8" s="1624"/>
      <c r="F8" s="1616"/>
      <c r="G8" s="1616"/>
      <c r="H8" s="1616"/>
      <c r="I8" s="1616"/>
      <c r="J8" s="1616"/>
      <c r="K8" s="1616"/>
      <c r="L8" s="1616"/>
      <c r="M8" s="1616"/>
      <c r="N8" s="1616"/>
      <c r="O8" s="1616"/>
      <c r="P8" s="1616"/>
      <c r="Q8" s="1616"/>
      <c r="R8" s="1616"/>
      <c r="S8" s="1616"/>
      <c r="T8" s="1616"/>
      <c r="U8" s="1616"/>
      <c r="V8" s="1616"/>
      <c r="W8" s="1616"/>
      <c r="X8" s="1616"/>
      <c r="Y8" s="1616"/>
      <c r="Z8" s="1616"/>
      <c r="AA8" s="1616"/>
      <c r="AB8" s="1616"/>
    </row>
    <row r="9" spans="1:28" ht="6" hidden="1" customHeight="1" thickBot="1">
      <c r="A9" s="1616"/>
      <c r="B9" s="1606"/>
      <c r="C9" s="1618"/>
      <c r="D9" s="1616"/>
      <c r="E9" s="1619"/>
      <c r="F9" s="1616"/>
      <c r="G9" s="1616"/>
      <c r="H9" s="1616"/>
      <c r="I9" s="1616"/>
      <c r="J9" s="1616"/>
      <c r="K9" s="1616"/>
      <c r="L9" s="1616"/>
      <c r="M9" s="1616"/>
      <c r="N9" s="1616"/>
      <c r="O9" s="1616"/>
      <c r="P9" s="1616"/>
      <c r="Q9" s="1616"/>
      <c r="R9" s="1616"/>
      <c r="S9" s="1616"/>
      <c r="T9" s="1616"/>
      <c r="U9" s="1616"/>
      <c r="V9" s="1616"/>
      <c r="W9" s="1616"/>
      <c r="X9" s="1616"/>
      <c r="Y9" s="1616"/>
      <c r="Z9" s="1616"/>
      <c r="AA9" s="1616"/>
      <c r="AB9" s="1616"/>
    </row>
    <row r="10" spans="1:28" hidden="1">
      <c r="A10" s="1616"/>
      <c r="B10" s="1606"/>
      <c r="C10" s="1663" t="s">
        <v>451</v>
      </c>
      <c r="D10" s="1664" t="s">
        <v>452</v>
      </c>
      <c r="E10" s="1665" t="s">
        <v>484</v>
      </c>
      <c r="F10" s="1616"/>
      <c r="G10" s="1616"/>
      <c r="H10" s="1616"/>
      <c r="I10" s="1616"/>
      <c r="J10" s="1616"/>
      <c r="K10" s="1616"/>
      <c r="L10" s="1616"/>
      <c r="M10" s="1616"/>
      <c r="N10" s="1616"/>
      <c r="O10" s="1616"/>
      <c r="P10" s="1616"/>
      <c r="Q10" s="1616"/>
      <c r="R10" s="1616"/>
      <c r="S10" s="1616"/>
      <c r="T10" s="1616"/>
      <c r="U10" s="1616"/>
      <c r="V10" s="1616"/>
      <c r="W10" s="1616"/>
      <c r="X10" s="1616"/>
      <c r="Y10" s="1616"/>
      <c r="Z10" s="1616"/>
      <c r="AA10" s="1616"/>
      <c r="AB10" s="1616"/>
    </row>
    <row r="11" spans="1:28" hidden="1">
      <c r="A11" s="1616"/>
      <c r="B11" s="1606"/>
      <c r="C11" s="1688" t="s">
        <v>447</v>
      </c>
      <c r="D11" s="1625">
        <f>IFERROR(INDEX(D6:D8,MATCH(C11,C6:C8,0)),"Selecione a qualidade do Pasto")</f>
        <v>1.1000000000000001</v>
      </c>
      <c r="E11" s="1621"/>
      <c r="F11" s="1616"/>
      <c r="G11" s="1616"/>
      <c r="H11" s="1616"/>
      <c r="I11" s="1616"/>
      <c r="J11" s="1616"/>
      <c r="K11" s="1616"/>
      <c r="L11" s="1616"/>
      <c r="M11" s="1616"/>
      <c r="N11" s="1616"/>
      <c r="O11" s="1616"/>
      <c r="P11" s="1616"/>
      <c r="Q11" s="1616"/>
      <c r="R11" s="1616"/>
      <c r="S11" s="1616"/>
      <c r="T11" s="1616"/>
      <c r="U11" s="1616"/>
      <c r="V11" s="1616"/>
      <c r="W11" s="1616"/>
      <c r="X11" s="1616"/>
      <c r="Y11" s="1616"/>
      <c r="Z11" s="1616"/>
      <c r="AA11" s="1616"/>
      <c r="AB11" s="1616"/>
    </row>
    <row r="12" spans="1:28" hidden="1">
      <c r="A12" s="1616"/>
      <c r="B12" s="1606"/>
      <c r="C12" s="1686" t="s">
        <v>453</v>
      </c>
      <c r="D12" s="510">
        <v>400</v>
      </c>
      <c r="E12" s="1621"/>
      <c r="F12" s="1616"/>
      <c r="G12" s="1616"/>
      <c r="H12" s="1616"/>
      <c r="I12" s="1616"/>
      <c r="J12" s="1616"/>
      <c r="K12" s="1616"/>
      <c r="L12" s="1616"/>
      <c r="M12" s="1616"/>
      <c r="N12" s="1616"/>
      <c r="O12" s="1616"/>
      <c r="P12" s="1616"/>
      <c r="Q12" s="1616"/>
      <c r="R12" s="1616"/>
      <c r="S12" s="1616"/>
      <c r="T12" s="1616"/>
      <c r="U12" s="1616"/>
      <c r="V12" s="1616"/>
      <c r="W12" s="1616"/>
      <c r="X12" s="1616"/>
      <c r="Y12" s="1616"/>
      <c r="Z12" s="1616"/>
      <c r="AA12" s="1616"/>
      <c r="AB12" s="1616"/>
    </row>
    <row r="13" spans="1:28" hidden="1">
      <c r="A13" s="1616"/>
      <c r="B13" s="1606"/>
      <c r="C13" s="1686" t="s">
        <v>454</v>
      </c>
      <c r="D13" s="509">
        <v>63.863636363636303</v>
      </c>
      <c r="E13" s="1621"/>
      <c r="F13" s="1616"/>
      <c r="G13" s="1616"/>
      <c r="H13" s="1616"/>
      <c r="I13" s="1616"/>
      <c r="J13" s="1616"/>
      <c r="K13" s="1616"/>
      <c r="L13" s="1616"/>
      <c r="M13" s="1616"/>
      <c r="N13" s="1616"/>
      <c r="O13" s="1616"/>
      <c r="P13" s="1616"/>
      <c r="Q13" s="1616"/>
      <c r="R13" s="1616"/>
      <c r="S13" s="1616"/>
      <c r="T13" s="1616"/>
      <c r="U13" s="1616"/>
      <c r="V13" s="1616"/>
      <c r="W13" s="1616"/>
      <c r="X13" s="1616"/>
      <c r="Y13" s="1616"/>
      <c r="Z13" s="1616"/>
      <c r="AA13" s="1616"/>
      <c r="AB13" s="1616"/>
    </row>
    <row r="14" spans="1:28" hidden="1">
      <c r="A14" s="1616"/>
      <c r="B14" s="1606"/>
      <c r="C14" s="1686" t="s">
        <v>455</v>
      </c>
      <c r="D14" s="1690" t="s">
        <v>456</v>
      </c>
      <c r="E14" s="1621"/>
      <c r="F14" s="1616"/>
      <c r="G14" s="1616"/>
      <c r="H14" s="1616"/>
      <c r="I14" s="1616"/>
      <c r="J14" s="1616"/>
      <c r="K14" s="1616"/>
      <c r="L14" s="1616"/>
      <c r="M14" s="1616"/>
      <c r="N14" s="1616"/>
      <c r="O14" s="1616"/>
      <c r="P14" s="1616"/>
      <c r="Q14" s="1616"/>
      <c r="R14" s="1616"/>
      <c r="S14" s="1616"/>
      <c r="T14" s="1616"/>
      <c r="U14" s="1616"/>
      <c r="V14" s="1616"/>
      <c r="W14" s="1616"/>
      <c r="X14" s="1616"/>
      <c r="Y14" s="1616"/>
      <c r="Z14" s="1616"/>
      <c r="AA14" s="1616"/>
      <c r="AB14" s="1616"/>
    </row>
    <row r="15" spans="1:28" ht="15.75" hidden="1" thickBot="1">
      <c r="A15" s="1616"/>
      <c r="B15" s="1606"/>
      <c r="C15" s="1689" t="s">
        <v>455</v>
      </c>
      <c r="D15" s="1626">
        <f>(D12*D11)/D13</f>
        <v>6.8896797153024982</v>
      </c>
      <c r="E15" s="1627"/>
      <c r="F15" s="1616"/>
      <c r="G15" s="1616"/>
      <c r="H15" s="1616"/>
      <c r="I15" s="1616"/>
      <c r="J15" s="1616"/>
      <c r="K15" s="1616"/>
      <c r="L15" s="1616"/>
      <c r="M15" s="1616"/>
      <c r="N15" s="1616"/>
      <c r="O15" s="1616"/>
      <c r="P15" s="1616"/>
      <c r="Q15" s="1616"/>
      <c r="R15" s="1616"/>
      <c r="S15" s="1616"/>
      <c r="T15" s="1616"/>
      <c r="U15" s="1616"/>
      <c r="V15" s="1616"/>
      <c r="W15" s="1616"/>
      <c r="X15" s="1616"/>
      <c r="Y15" s="1616"/>
      <c r="Z15" s="1616"/>
      <c r="AA15" s="1616"/>
      <c r="AB15" s="1616"/>
    </row>
    <row r="16" spans="1:28" ht="7.5" hidden="1" customHeight="1" thickTop="1">
      <c r="A16" s="1616"/>
      <c r="B16" s="1606"/>
      <c r="C16" s="1616"/>
      <c r="D16" s="1622"/>
      <c r="E16" s="1616"/>
      <c r="F16" s="1616"/>
      <c r="G16" s="1616"/>
      <c r="H16" s="1616"/>
      <c r="I16" s="1616"/>
      <c r="J16" s="1616"/>
      <c r="K16" s="1616"/>
      <c r="L16" s="1616"/>
      <c r="M16" s="1616"/>
      <c r="N16" s="1616"/>
      <c r="O16" s="1616"/>
      <c r="P16" s="1616"/>
      <c r="Q16" s="1616"/>
      <c r="R16" s="1616"/>
      <c r="S16" s="1616"/>
      <c r="T16" s="1616"/>
      <c r="U16" s="1616"/>
      <c r="V16" s="1616"/>
      <c r="W16" s="1616"/>
      <c r="X16" s="1616"/>
      <c r="Y16" s="1616"/>
      <c r="Z16" s="1616"/>
      <c r="AA16" s="1616"/>
      <c r="AB16" s="1616"/>
    </row>
    <row r="17" spans="1:28" ht="3.75" hidden="1" customHeight="1" thickBot="1">
      <c r="A17" s="1616"/>
      <c r="B17" s="1606"/>
      <c r="C17" s="1616"/>
      <c r="D17" s="1608"/>
      <c r="E17" s="1608"/>
      <c r="F17" s="1616"/>
      <c r="G17" s="1616"/>
      <c r="H17" s="1616"/>
      <c r="I17" s="1616"/>
      <c r="J17" s="1616"/>
      <c r="K17" s="1616"/>
      <c r="L17" s="1616"/>
      <c r="M17" s="1616"/>
      <c r="N17" s="1616"/>
      <c r="O17" s="1616"/>
      <c r="P17" s="1616"/>
      <c r="Q17" s="1616"/>
      <c r="R17" s="1616"/>
      <c r="S17" s="1616"/>
      <c r="T17" s="1616"/>
      <c r="U17" s="1616"/>
      <c r="V17" s="1616"/>
      <c r="W17" s="1616"/>
      <c r="X17" s="1616"/>
      <c r="Y17" s="1616"/>
      <c r="Z17" s="1616"/>
      <c r="AA17" s="1616"/>
      <c r="AB17" s="1616"/>
    </row>
    <row r="18" spans="1:28" ht="23.25" hidden="1" customHeight="1" thickTop="1">
      <c r="A18" s="1616"/>
      <c r="B18" s="1606"/>
      <c r="C18" s="2146" t="s">
        <v>457</v>
      </c>
      <c r="D18" s="2147"/>
      <c r="E18" s="2148"/>
      <c r="F18" s="1616"/>
      <c r="G18" s="1616"/>
      <c r="H18" s="1616"/>
      <c r="I18" s="1616"/>
      <c r="J18" s="1616"/>
      <c r="K18" s="1616"/>
      <c r="L18" s="1616"/>
      <c r="M18" s="1616"/>
      <c r="N18" s="1616"/>
      <c r="O18" s="1616"/>
      <c r="P18" s="1616"/>
      <c r="Q18" s="1616"/>
      <c r="R18" s="1616"/>
      <c r="S18" s="1616"/>
      <c r="T18" s="1616"/>
      <c r="U18" s="1616"/>
      <c r="V18" s="1616"/>
      <c r="W18" s="1616"/>
      <c r="X18" s="1616"/>
      <c r="Y18" s="1616"/>
      <c r="Z18" s="1616"/>
      <c r="AA18" s="1616"/>
      <c r="AB18" s="1616"/>
    </row>
    <row r="19" spans="1:28" hidden="1">
      <c r="A19" s="1616"/>
      <c r="B19" s="1606"/>
      <c r="C19" s="2140" t="s">
        <v>458</v>
      </c>
      <c r="D19" s="2149" t="s">
        <v>483</v>
      </c>
      <c r="E19" s="2150"/>
      <c r="F19" s="1616"/>
      <c r="G19" s="1616"/>
      <c r="H19" s="1616"/>
      <c r="I19" s="1616"/>
      <c r="J19" s="1616"/>
      <c r="K19" s="1616"/>
      <c r="L19" s="1616"/>
      <c r="M19" s="1616"/>
      <c r="N19" s="1616"/>
      <c r="O19" s="1616"/>
      <c r="P19" s="1616"/>
      <c r="Q19" s="1616"/>
      <c r="R19" s="1616"/>
      <c r="S19" s="1616"/>
      <c r="T19" s="1616"/>
      <c r="U19" s="1616"/>
      <c r="V19" s="1616"/>
      <c r="W19" s="1616"/>
      <c r="X19" s="1616"/>
      <c r="Y19" s="1616"/>
      <c r="Z19" s="1616"/>
      <c r="AA19" s="1616"/>
      <c r="AB19" s="1616"/>
    </row>
    <row r="20" spans="1:28" ht="17.25" hidden="1" customHeight="1">
      <c r="A20" s="1616"/>
      <c r="B20" s="1612">
        <v>1</v>
      </c>
      <c r="C20" s="2141"/>
      <c r="D20" s="1614" t="s">
        <v>459</v>
      </c>
      <c r="E20" s="1615" t="s">
        <v>482</v>
      </c>
      <c r="F20" s="1616"/>
      <c r="G20" s="1616"/>
      <c r="H20" s="1616"/>
      <c r="I20" s="1616"/>
      <c r="J20" s="1616"/>
      <c r="K20" s="1616"/>
      <c r="L20" s="1616"/>
      <c r="M20" s="1616"/>
      <c r="N20" s="1616"/>
      <c r="O20" s="1616"/>
      <c r="P20" s="1616"/>
      <c r="Q20" s="1616"/>
      <c r="R20" s="1616"/>
      <c r="S20" s="1616"/>
      <c r="T20" s="1616"/>
      <c r="U20" s="1616"/>
      <c r="V20" s="1616"/>
      <c r="W20" s="1616"/>
      <c r="X20" s="1616"/>
      <c r="Y20" s="1616"/>
      <c r="Z20" s="1616"/>
      <c r="AA20" s="1616"/>
      <c r="AB20" s="1616"/>
    </row>
    <row r="21" spans="1:28" hidden="1">
      <c r="A21" s="1616"/>
      <c r="B21" s="1613">
        <v>1</v>
      </c>
      <c r="C21" s="1691" t="s">
        <v>460</v>
      </c>
      <c r="D21" s="1693">
        <v>1.8</v>
      </c>
      <c r="E21" s="1694">
        <v>2.2000000000000002</v>
      </c>
      <c r="F21" s="1616"/>
      <c r="G21" s="1616"/>
      <c r="H21" s="1616"/>
      <c r="I21" s="1616"/>
      <c r="J21" s="1616"/>
      <c r="K21" s="1616"/>
      <c r="L21" s="1616"/>
      <c r="M21" s="1616"/>
      <c r="N21" s="1616"/>
      <c r="O21" s="1616"/>
      <c r="P21" s="1616"/>
      <c r="Q21" s="1616"/>
      <c r="R21" s="1616"/>
      <c r="S21" s="1616"/>
      <c r="T21" s="1616"/>
      <c r="U21" s="1616"/>
      <c r="V21" s="1616"/>
      <c r="W21" s="1616"/>
      <c r="X21" s="1616"/>
      <c r="Y21" s="1616"/>
      <c r="Z21" s="1616"/>
      <c r="AA21" s="1616"/>
      <c r="AB21" s="1616"/>
    </row>
    <row r="22" spans="1:28" hidden="1">
      <c r="A22" s="1616"/>
      <c r="B22" s="1613">
        <v>2</v>
      </c>
      <c r="C22" s="1691" t="s">
        <v>461</v>
      </c>
      <c r="D22" s="1693">
        <v>2.2000000000000002</v>
      </c>
      <c r="E22" s="1694">
        <v>2.5</v>
      </c>
      <c r="F22" s="1616"/>
      <c r="G22" s="1616"/>
      <c r="H22" s="1616"/>
      <c r="I22" s="1616"/>
      <c r="J22" s="1616"/>
      <c r="K22" s="1616"/>
      <c r="L22" s="1616"/>
      <c r="M22" s="1616"/>
      <c r="N22" s="1616"/>
      <c r="O22" s="1616"/>
      <c r="P22" s="1616"/>
      <c r="Q22" s="1616"/>
      <c r="R22" s="1616"/>
      <c r="S22" s="1616"/>
      <c r="T22" s="1616"/>
      <c r="U22" s="1616"/>
      <c r="V22" s="1616"/>
      <c r="W22" s="1616"/>
      <c r="X22" s="1616"/>
      <c r="Y22" s="1616"/>
      <c r="Z22" s="1616"/>
      <c r="AA22" s="1616"/>
      <c r="AB22" s="1616"/>
    </row>
    <row r="23" spans="1:28" hidden="1">
      <c r="A23" s="1616"/>
      <c r="B23" s="1613">
        <v>3</v>
      </c>
      <c r="C23" s="1691" t="s">
        <v>462</v>
      </c>
      <c r="D23" s="1693">
        <v>2.5</v>
      </c>
      <c r="E23" s="1694">
        <v>2.7</v>
      </c>
      <c r="F23" s="1616"/>
      <c r="G23" s="1616"/>
      <c r="H23" s="1616"/>
      <c r="I23" s="1616"/>
      <c r="J23" s="1616"/>
      <c r="K23" s="1616"/>
      <c r="L23" s="1616"/>
      <c r="M23" s="1616"/>
      <c r="N23" s="1616"/>
      <c r="O23" s="1616"/>
      <c r="P23" s="1616"/>
      <c r="Q23" s="1616"/>
      <c r="R23" s="1616"/>
      <c r="S23" s="1616"/>
      <c r="T23" s="1616"/>
      <c r="U23" s="1616"/>
      <c r="V23" s="1616"/>
      <c r="W23" s="1616"/>
      <c r="X23" s="1616"/>
      <c r="Y23" s="1616"/>
      <c r="Z23" s="1616"/>
      <c r="AA23" s="1616"/>
      <c r="AB23" s="1616"/>
    </row>
    <row r="24" spans="1:28" hidden="1">
      <c r="A24" s="1616"/>
      <c r="B24" s="1606"/>
      <c r="C24" s="1691" t="s">
        <v>463</v>
      </c>
      <c r="D24" s="1695">
        <v>400</v>
      </c>
      <c r="E24" s="1694">
        <f>D24</f>
        <v>400</v>
      </c>
      <c r="F24" s="1616"/>
      <c r="G24" s="1616"/>
      <c r="H24" s="1616"/>
      <c r="I24" s="1616"/>
      <c r="J24" s="1616"/>
      <c r="K24" s="1616"/>
      <c r="L24" s="1616"/>
      <c r="M24" s="1616"/>
      <c r="N24" s="1616"/>
      <c r="O24" s="1616"/>
      <c r="P24" s="1616"/>
      <c r="Q24" s="1616"/>
      <c r="R24" s="1616"/>
      <c r="S24" s="1616"/>
      <c r="T24" s="1616"/>
      <c r="U24" s="1616"/>
      <c r="V24" s="1616"/>
      <c r="W24" s="1616"/>
      <c r="X24" s="1616"/>
      <c r="Y24" s="1616"/>
      <c r="Z24" s="1616"/>
      <c r="AA24" s="1616"/>
      <c r="AB24" s="1616"/>
    </row>
    <row r="25" spans="1:28" ht="15" hidden="1" thickBot="1">
      <c r="A25" s="1616"/>
      <c r="B25" s="1606"/>
      <c r="C25" s="1692" t="s">
        <v>464</v>
      </c>
      <c r="D25" s="1696">
        <f>INDEX($D$21:$D$23,MATCH($B$20,$B$21:$B$23,0))/100*D24</f>
        <v>7.2000000000000011</v>
      </c>
      <c r="E25" s="1697">
        <f>INDEX($E$21:$E$23,MATCH($B$20,$B$21:$B$23,0))/100*D24</f>
        <v>8.8000000000000007</v>
      </c>
      <c r="F25" s="1616"/>
      <c r="G25" s="1616"/>
      <c r="H25" s="1616"/>
      <c r="I25" s="1616"/>
      <c r="J25" s="1616"/>
      <c r="K25" s="1616"/>
      <c r="L25" s="1616"/>
      <c r="M25" s="1616"/>
      <c r="N25" s="1616"/>
      <c r="O25" s="1616"/>
      <c r="P25" s="1616"/>
      <c r="Q25" s="1616"/>
      <c r="R25" s="1616"/>
      <c r="S25" s="1616"/>
      <c r="T25" s="1616"/>
      <c r="U25" s="1616"/>
      <c r="V25" s="1616"/>
      <c r="W25" s="1616"/>
      <c r="X25" s="1616"/>
      <c r="Y25" s="1616"/>
      <c r="Z25" s="1616"/>
      <c r="AA25" s="1616"/>
      <c r="AB25" s="1616"/>
    </row>
    <row r="26" spans="1:28" ht="12.75" customHeight="1" thickBot="1">
      <c r="A26" s="1628"/>
      <c r="B26" s="1609"/>
      <c r="C26" s="1628"/>
      <c r="D26" s="1628"/>
      <c r="E26" s="1628"/>
      <c r="F26" s="1628"/>
      <c r="G26" s="1628"/>
      <c r="H26" s="1628"/>
      <c r="I26" s="1616"/>
      <c r="J26" s="1616"/>
      <c r="K26" s="1616"/>
      <c r="L26" s="1616"/>
      <c r="M26" s="1616"/>
      <c r="N26" s="1616"/>
      <c r="O26" s="1616"/>
      <c r="P26" s="1616"/>
      <c r="Q26" s="1616"/>
      <c r="R26" s="1616"/>
      <c r="S26" s="1616"/>
      <c r="T26" s="1616"/>
      <c r="U26" s="1616"/>
      <c r="V26" s="1616"/>
      <c r="W26" s="1616"/>
      <c r="X26" s="1616"/>
      <c r="Y26" s="1616"/>
      <c r="Z26" s="1616"/>
      <c r="AA26" s="1616"/>
      <c r="AB26" s="1616"/>
    </row>
    <row r="27" spans="1:28" ht="15.75" customHeight="1" thickTop="1" thickBot="1">
      <c r="A27" s="1616"/>
      <c r="B27" s="1606"/>
      <c r="C27" s="1610"/>
      <c r="D27" s="1605"/>
      <c r="E27" s="1605"/>
      <c r="F27" s="1605"/>
      <c r="G27" s="1605"/>
      <c r="H27" s="1605"/>
      <c r="I27" s="1605"/>
      <c r="J27" s="1605"/>
      <c r="K27" s="1605"/>
      <c r="L27" s="1605"/>
      <c r="M27" s="1605"/>
      <c r="N27" s="1616"/>
      <c r="O27" s="1616"/>
      <c r="P27" s="1616"/>
      <c r="Q27" s="1616"/>
      <c r="R27" s="1616"/>
      <c r="S27" s="1616"/>
      <c r="T27" s="1616"/>
      <c r="U27" s="1616"/>
      <c r="V27" s="1616"/>
      <c r="W27" s="1616"/>
      <c r="X27" s="1616"/>
      <c r="Y27" s="1616"/>
      <c r="Z27" s="1616"/>
      <c r="AA27" s="1616"/>
      <c r="AB27" s="1616"/>
    </row>
    <row r="28" spans="1:28">
      <c r="A28" s="1616"/>
      <c r="B28" s="1606"/>
      <c r="C28" s="1629"/>
      <c r="D28" s="1630"/>
      <c r="E28" s="1631"/>
      <c r="F28" s="1616"/>
      <c r="G28" s="1616"/>
      <c r="H28" s="1616"/>
      <c r="I28" s="1616"/>
      <c r="J28" s="1616"/>
      <c r="K28" s="1616"/>
      <c r="L28" s="1616"/>
      <c r="M28" s="1616"/>
      <c r="N28" s="1616"/>
      <c r="O28" s="1616"/>
      <c r="P28" s="1616"/>
      <c r="Q28" s="1616"/>
      <c r="R28" s="1616"/>
      <c r="S28" s="1616"/>
      <c r="T28" s="1616"/>
      <c r="U28" s="1616"/>
      <c r="V28" s="1616"/>
      <c r="W28" s="1616"/>
      <c r="X28" s="1616"/>
      <c r="Y28" s="1616"/>
      <c r="Z28" s="1616"/>
      <c r="AA28" s="1616"/>
      <c r="AB28" s="1616"/>
    </row>
    <row r="29" spans="1:28" ht="15">
      <c r="A29" s="1616"/>
      <c r="B29" s="1606"/>
      <c r="C29" s="1712" t="s">
        <v>1478</v>
      </c>
      <c r="D29" s="1713"/>
      <c r="E29" s="1714"/>
      <c r="F29" s="1616"/>
      <c r="G29" s="1616"/>
      <c r="H29" s="1616"/>
      <c r="I29" s="1616"/>
      <c r="J29" s="1616"/>
      <c r="K29" s="1616"/>
      <c r="L29" s="1616"/>
      <c r="M29" s="1616"/>
      <c r="N29" s="1616"/>
      <c r="O29" s="1616"/>
      <c r="P29" s="1616"/>
      <c r="Q29" s="1616"/>
      <c r="R29" s="1616"/>
      <c r="S29" s="1616"/>
      <c r="T29" s="1616"/>
      <c r="U29" s="1616"/>
      <c r="V29" s="1616"/>
      <c r="W29" s="1616"/>
      <c r="X29" s="1616"/>
      <c r="Y29" s="1616"/>
      <c r="Z29" s="1616"/>
      <c r="AA29" s="1616"/>
      <c r="AB29" s="1616"/>
    </row>
    <row r="30" spans="1:28">
      <c r="A30" s="1616"/>
      <c r="B30" s="1606"/>
      <c r="C30" s="1710"/>
      <c r="D30" s="1711"/>
      <c r="E30" s="1633"/>
      <c r="F30" s="1616"/>
      <c r="G30" s="1616"/>
      <c r="H30" s="1616"/>
      <c r="I30" s="1616"/>
      <c r="J30" s="1616"/>
      <c r="K30" s="1616"/>
      <c r="L30" s="1616"/>
      <c r="M30" s="1616"/>
      <c r="N30" s="1616"/>
      <c r="O30" s="1616"/>
      <c r="P30" s="1616"/>
      <c r="Q30" s="1616"/>
      <c r="R30" s="1616"/>
      <c r="S30" s="1616"/>
      <c r="T30" s="1616"/>
      <c r="U30" s="1616"/>
      <c r="V30" s="1616"/>
      <c r="W30" s="1616"/>
      <c r="X30" s="1616"/>
      <c r="Y30" s="1616"/>
      <c r="Z30" s="1616"/>
      <c r="AA30" s="1616"/>
      <c r="AB30" s="1616"/>
    </row>
    <row r="31" spans="1:28">
      <c r="A31" s="1616"/>
      <c r="B31" s="1606"/>
      <c r="C31" s="1709" t="s">
        <v>1475</v>
      </c>
      <c r="D31" s="1632"/>
      <c r="E31" s="1633"/>
      <c r="F31" s="1616"/>
      <c r="G31" s="1616"/>
      <c r="H31" s="1616"/>
      <c r="I31" s="1616"/>
      <c r="J31" s="1616"/>
      <c r="K31" s="1616"/>
      <c r="L31" s="1616"/>
      <c r="M31" s="1616"/>
      <c r="N31" s="1616"/>
      <c r="O31" s="1616"/>
      <c r="P31" s="1616"/>
      <c r="Q31" s="1616"/>
      <c r="R31" s="1616"/>
      <c r="S31" s="1616"/>
      <c r="T31" s="1616"/>
      <c r="U31" s="1616"/>
      <c r="V31" s="1616"/>
      <c r="W31" s="1616"/>
      <c r="X31" s="1616"/>
      <c r="Y31" s="1616"/>
      <c r="Z31" s="1616"/>
      <c r="AA31" s="1616"/>
      <c r="AB31" s="1616"/>
    </row>
    <row r="32" spans="1:28">
      <c r="A32" s="1616"/>
      <c r="B32" s="1606"/>
      <c r="C32" s="1709" t="s">
        <v>747</v>
      </c>
      <c r="D32" s="1632"/>
      <c r="E32" s="1633"/>
      <c r="F32" s="1616"/>
      <c r="G32" s="1616"/>
      <c r="H32" s="1616"/>
      <c r="I32" s="1616"/>
      <c r="J32" s="1616"/>
      <c r="K32" s="1616"/>
      <c r="L32" s="1616"/>
      <c r="M32" s="1616"/>
      <c r="N32" s="1616"/>
      <c r="O32" s="1616"/>
      <c r="P32" s="1616"/>
      <c r="Q32" s="1616"/>
      <c r="R32" s="1616"/>
      <c r="S32" s="1616"/>
      <c r="T32" s="1616"/>
      <c r="U32" s="1616"/>
      <c r="V32" s="1616"/>
      <c r="W32" s="1616"/>
      <c r="X32" s="1616"/>
      <c r="Y32" s="1616"/>
      <c r="Z32" s="1616"/>
      <c r="AA32" s="1616"/>
      <c r="AB32" s="1616"/>
    </row>
    <row r="33" spans="1:30">
      <c r="A33" s="1616"/>
      <c r="B33" s="1606"/>
      <c r="C33" s="1709" t="s">
        <v>779</v>
      </c>
      <c r="D33" s="1632"/>
      <c r="E33" s="1633"/>
      <c r="F33" s="1616"/>
      <c r="G33" s="1616"/>
      <c r="H33" s="1616"/>
      <c r="I33" s="1616"/>
      <c r="J33" s="1616"/>
      <c r="K33" s="1616"/>
      <c r="L33" s="1616"/>
      <c r="M33" s="1616"/>
      <c r="N33" s="1616"/>
      <c r="O33" s="1616"/>
      <c r="P33" s="1616"/>
      <c r="Q33" s="1616"/>
      <c r="R33" s="1616"/>
      <c r="S33" s="1616"/>
      <c r="T33" s="1616"/>
      <c r="U33" s="1616"/>
      <c r="V33" s="1616"/>
      <c r="W33" s="1616"/>
      <c r="X33" s="1616"/>
      <c r="Y33" s="1616"/>
      <c r="Z33" s="1616"/>
      <c r="AA33" s="1616"/>
      <c r="AB33" s="1616"/>
    </row>
    <row r="34" spans="1:30" ht="15.75" customHeight="1">
      <c r="A34" s="1616"/>
      <c r="B34" s="1606"/>
      <c r="C34" s="1709" t="s">
        <v>780</v>
      </c>
      <c r="D34" s="1632"/>
      <c r="E34" s="1633"/>
      <c r="F34" s="1616"/>
      <c r="G34" s="1616"/>
      <c r="H34" s="1616"/>
      <c r="I34" s="1616"/>
      <c r="J34" s="1616"/>
      <c r="K34" s="1616"/>
      <c r="L34" s="1616"/>
      <c r="M34" s="1616"/>
      <c r="N34" s="1616"/>
      <c r="O34" s="1616"/>
      <c r="P34" s="1616"/>
      <c r="Q34" s="1616"/>
      <c r="R34" s="1616"/>
      <c r="S34" s="1616"/>
      <c r="T34" s="1616"/>
      <c r="U34" s="1616"/>
      <c r="V34" s="1616"/>
      <c r="W34" s="1616"/>
      <c r="X34" s="1616"/>
      <c r="Y34" s="1616"/>
      <c r="Z34" s="1616"/>
      <c r="AA34" s="1616"/>
      <c r="AB34" s="1616"/>
    </row>
    <row r="35" spans="1:30">
      <c r="A35" s="1616"/>
      <c r="B35" s="1606"/>
      <c r="C35" s="1709" t="s">
        <v>1476</v>
      </c>
      <c r="D35" s="1632"/>
      <c r="E35" s="1633"/>
      <c r="F35" s="1616"/>
      <c r="G35" s="1616"/>
      <c r="H35" s="1616"/>
      <c r="I35" s="1616"/>
      <c r="J35" s="1616"/>
      <c r="K35" s="1616"/>
      <c r="L35" s="1616"/>
      <c r="M35" s="1616"/>
      <c r="N35" s="1616"/>
      <c r="O35" s="1616"/>
      <c r="P35" s="1616"/>
      <c r="Q35" s="1616"/>
      <c r="R35" s="1616"/>
      <c r="S35" s="1616"/>
      <c r="T35" s="1616"/>
      <c r="U35" s="1616"/>
      <c r="V35" s="1616"/>
      <c r="W35" s="1616"/>
      <c r="X35" s="1616"/>
      <c r="Y35" s="1616"/>
      <c r="Z35" s="1616"/>
      <c r="AA35" s="1616"/>
      <c r="AB35" s="1616"/>
    </row>
    <row r="36" spans="1:30">
      <c r="A36" s="1616"/>
      <c r="B36" s="1606"/>
      <c r="C36" s="1709" t="s">
        <v>781</v>
      </c>
      <c r="D36" s="1632"/>
      <c r="E36" s="1633"/>
      <c r="F36" s="1616"/>
      <c r="G36" s="1616"/>
      <c r="H36" s="1616"/>
      <c r="I36" s="1616"/>
      <c r="J36" s="1616"/>
      <c r="K36" s="1616"/>
      <c r="L36" s="1616"/>
      <c r="M36" s="1616"/>
      <c r="N36" s="1616"/>
      <c r="O36" s="1616"/>
      <c r="P36" s="1616"/>
      <c r="Q36" s="1616"/>
      <c r="R36" s="1616"/>
      <c r="S36" s="1616"/>
      <c r="T36" s="1616"/>
      <c r="U36" s="1616"/>
      <c r="V36" s="1616"/>
      <c r="W36" s="1616"/>
      <c r="X36" s="1616"/>
      <c r="Y36" s="1616"/>
      <c r="Z36" s="1616"/>
      <c r="AA36" s="1616"/>
      <c r="AB36" s="1616"/>
    </row>
    <row r="37" spans="1:30">
      <c r="A37" s="1616"/>
      <c r="B37" s="1606"/>
      <c r="C37" s="1709" t="s">
        <v>1477</v>
      </c>
      <c r="D37" s="1632"/>
      <c r="E37" s="1633"/>
      <c r="F37" s="1616"/>
      <c r="G37" s="1616"/>
      <c r="H37" s="1616"/>
      <c r="I37" s="1616"/>
      <c r="J37" s="1616"/>
      <c r="K37" s="1616"/>
      <c r="L37" s="1616"/>
      <c r="M37" s="1616"/>
      <c r="N37" s="1616"/>
      <c r="O37" s="1616"/>
      <c r="P37" s="1616"/>
      <c r="Q37" s="1616"/>
      <c r="R37" s="1616"/>
      <c r="S37" s="1616"/>
      <c r="T37" s="1616"/>
      <c r="U37" s="1616"/>
      <c r="V37" s="1616"/>
      <c r="W37" s="1616"/>
      <c r="X37" s="1616"/>
      <c r="Y37" s="1616"/>
      <c r="Z37" s="1616"/>
      <c r="AA37" s="1616"/>
      <c r="AB37" s="1616"/>
    </row>
    <row r="38" spans="1:30">
      <c r="A38" s="1616"/>
      <c r="B38" s="1606"/>
      <c r="C38" s="1709" t="s">
        <v>652</v>
      </c>
      <c r="D38" s="1632"/>
      <c r="E38" s="1633"/>
      <c r="F38" s="1616"/>
      <c r="G38" s="1616"/>
      <c r="H38" s="1616"/>
      <c r="I38" s="1616"/>
      <c r="J38" s="1616"/>
      <c r="K38" s="1616"/>
      <c r="L38" s="1616"/>
      <c r="M38" s="1616"/>
      <c r="N38" s="1616"/>
      <c r="O38" s="1616"/>
      <c r="P38" s="1616"/>
      <c r="Q38" s="1616"/>
      <c r="R38" s="1616"/>
      <c r="S38" s="1616"/>
      <c r="T38" s="1616"/>
      <c r="U38" s="1616"/>
      <c r="V38" s="1616"/>
      <c r="W38" s="1616"/>
      <c r="X38" s="1616"/>
      <c r="Y38" s="1616"/>
      <c r="Z38" s="1616"/>
      <c r="AA38" s="1616"/>
      <c r="AB38" s="1616"/>
    </row>
    <row r="39" spans="1:30" ht="15" thickBot="1">
      <c r="A39" s="1616"/>
      <c r="B39" s="1606"/>
      <c r="C39" s="1634"/>
      <c r="D39" s="1635"/>
      <c r="E39" s="1636"/>
      <c r="F39" s="1616"/>
      <c r="G39" s="1616"/>
      <c r="H39" s="1616"/>
      <c r="I39" s="1616"/>
      <c r="J39" s="1616"/>
      <c r="K39" s="1616"/>
      <c r="L39" s="1616"/>
      <c r="M39" s="1616"/>
      <c r="N39" s="1616"/>
      <c r="O39" s="1616"/>
      <c r="P39" s="1616"/>
      <c r="Q39" s="1616"/>
      <c r="R39" s="1616"/>
      <c r="S39" s="1616"/>
      <c r="T39" s="1616"/>
      <c r="U39" s="1616"/>
      <c r="V39" s="1616"/>
      <c r="W39" s="1616"/>
      <c r="X39" s="1616"/>
      <c r="Y39" s="1616"/>
      <c r="Z39" s="1616"/>
      <c r="AA39" s="1616"/>
      <c r="AB39" s="1616"/>
    </row>
    <row r="40" spans="1:30">
      <c r="A40" s="1616"/>
      <c r="B40" s="1606"/>
      <c r="C40" s="1616"/>
      <c r="D40" s="1616"/>
      <c r="E40" s="1616"/>
      <c r="F40" s="1616"/>
      <c r="G40" s="1616"/>
      <c r="H40" s="1616"/>
      <c r="I40" s="1616"/>
      <c r="J40" s="1637"/>
      <c r="K40" s="1616"/>
      <c r="L40" s="1616"/>
      <c r="M40" s="1616"/>
      <c r="N40" s="1616"/>
      <c r="O40" s="1616"/>
      <c r="P40" s="1616"/>
      <c r="Q40" s="1616"/>
      <c r="R40" s="1616"/>
      <c r="S40" s="1616"/>
      <c r="T40" s="1616"/>
      <c r="U40" s="1616"/>
      <c r="V40" s="1616"/>
      <c r="W40" s="1616"/>
      <c r="X40" s="1616"/>
      <c r="Y40" s="1616"/>
      <c r="Z40" s="1616"/>
      <c r="AA40" s="1616"/>
      <c r="AB40" s="1616"/>
    </row>
    <row r="41" spans="1:30" ht="15">
      <c r="A41" s="1616"/>
      <c r="B41" s="1616"/>
      <c r="C41" s="1648" t="s">
        <v>465</v>
      </c>
      <c r="D41" s="1648"/>
      <c r="E41" s="1648"/>
      <c r="F41" s="1616"/>
      <c r="G41" s="1616"/>
      <c r="H41" s="1616"/>
      <c r="I41" s="1616"/>
      <c r="J41" s="1637"/>
      <c r="K41" s="1616"/>
      <c r="L41" s="1616"/>
      <c r="M41" s="1616"/>
      <c r="N41" s="1616"/>
      <c r="O41" s="1616"/>
      <c r="P41" s="1616"/>
      <c r="Q41" s="1616"/>
      <c r="R41" s="1616"/>
      <c r="S41" s="1616"/>
      <c r="T41" s="1616"/>
      <c r="U41" s="1616"/>
      <c r="V41" s="1616"/>
      <c r="W41" s="1616"/>
      <c r="X41" s="1616"/>
      <c r="Y41" s="1616"/>
      <c r="Z41" s="1616"/>
      <c r="AA41" s="1616"/>
      <c r="AB41" s="1616"/>
    </row>
    <row r="42" spans="1:30" ht="15" thickBot="1">
      <c r="A42" s="1616"/>
      <c r="B42" s="1616"/>
      <c r="C42" s="1650" t="str">
        <f>'Calcular Dieta'!A4</f>
        <v>04 - Suplemento  Mineral</v>
      </c>
      <c r="D42" s="1650"/>
      <c r="E42" s="1650"/>
      <c r="F42" s="1616"/>
      <c r="G42" s="1616"/>
      <c r="H42" s="1616"/>
      <c r="I42" s="1616"/>
      <c r="J42" s="1637"/>
      <c r="K42" s="1616"/>
      <c r="L42" s="1616"/>
      <c r="M42" s="1616"/>
      <c r="N42" s="1616"/>
      <c r="O42" s="2139" t="s">
        <v>490</v>
      </c>
      <c r="P42" s="2139"/>
      <c r="Q42" s="2139"/>
      <c r="R42" s="2139"/>
      <c r="S42" s="2139"/>
      <c r="T42" s="2139"/>
      <c r="U42" s="2139"/>
      <c r="V42" s="2139"/>
      <c r="W42" s="2139"/>
      <c r="X42" s="2139"/>
      <c r="Y42" s="2139"/>
      <c r="Z42" s="2139"/>
      <c r="AA42" s="2139"/>
      <c r="AB42" s="1616"/>
    </row>
    <row r="43" spans="1:30">
      <c r="A43" s="1616"/>
      <c r="B43" s="1606"/>
      <c r="C43" s="1654" t="s">
        <v>1347</v>
      </c>
      <c r="D43" s="1655" t="s">
        <v>1467</v>
      </c>
      <c r="E43" s="1656" t="s">
        <v>1468</v>
      </c>
      <c r="F43" s="1616"/>
      <c r="G43" s="1616"/>
      <c r="H43" s="1616"/>
      <c r="I43" s="1616"/>
      <c r="J43" s="1637"/>
      <c r="K43" s="1616"/>
      <c r="L43" s="1616"/>
      <c r="M43" s="1616"/>
      <c r="N43" s="1616"/>
      <c r="O43" s="109" t="s">
        <v>277</v>
      </c>
      <c r="P43" s="109" t="s">
        <v>279</v>
      </c>
      <c r="Q43" s="109" t="s">
        <v>281</v>
      </c>
      <c r="R43" s="109" t="s">
        <v>285</v>
      </c>
      <c r="S43" s="110" t="s">
        <v>283</v>
      </c>
      <c r="T43" s="109" t="s">
        <v>287</v>
      </c>
      <c r="U43" s="109" t="s">
        <v>293</v>
      </c>
      <c r="V43" s="109" t="s">
        <v>301</v>
      </c>
      <c r="W43" s="110" t="s">
        <v>307</v>
      </c>
      <c r="X43" s="110" t="s">
        <v>297</v>
      </c>
      <c r="Y43" s="109" t="s">
        <v>295</v>
      </c>
      <c r="Z43" s="109" t="s">
        <v>291</v>
      </c>
      <c r="AA43" s="109" t="s">
        <v>299</v>
      </c>
      <c r="AB43" s="1616"/>
      <c r="AC43" s="1638" t="s">
        <v>277</v>
      </c>
      <c r="AD43" s="1639">
        <v>66.666666666666671</v>
      </c>
    </row>
    <row r="44" spans="1:30">
      <c r="A44" s="1616"/>
      <c r="B44" s="1606"/>
      <c r="C44" s="1660" t="s">
        <v>746</v>
      </c>
      <c r="D44" s="1669"/>
      <c r="E44" s="1704" t="s">
        <v>1472</v>
      </c>
      <c r="F44" s="1616"/>
      <c r="G44" s="1616"/>
      <c r="H44" s="1616"/>
      <c r="I44" s="1616"/>
      <c r="J44" s="1637"/>
      <c r="K44" s="1616"/>
      <c r="L44" s="1616"/>
      <c r="M44" s="1616"/>
      <c r="N44" s="1616"/>
      <c r="O44" s="1640">
        <f>E63</f>
        <v>0</v>
      </c>
      <c r="P44" s="1640">
        <f>E64</f>
        <v>0</v>
      </c>
      <c r="Q44" s="1640">
        <f>E67</f>
        <v>0</v>
      </c>
      <c r="R44" s="1640">
        <f>E65</f>
        <v>0</v>
      </c>
      <c r="S44" s="1640">
        <f>E69</f>
        <v>0</v>
      </c>
      <c r="T44" s="1640">
        <f>E68</f>
        <v>0</v>
      </c>
      <c r="U44" s="1640">
        <f>E71</f>
        <v>0</v>
      </c>
      <c r="V44" s="1640">
        <f>E76</f>
        <v>0</v>
      </c>
      <c r="W44" s="1640">
        <f>E72</f>
        <v>0</v>
      </c>
      <c r="X44" s="1640">
        <f>E74</f>
        <v>0</v>
      </c>
      <c r="Y44" s="1640">
        <f>E73</f>
        <v>0</v>
      </c>
      <c r="Z44" s="1640">
        <f>E70</f>
        <v>0</v>
      </c>
      <c r="AA44" s="1640">
        <f>E75</f>
        <v>0</v>
      </c>
      <c r="AB44" s="1616"/>
      <c r="AC44" s="1638" t="s">
        <v>279</v>
      </c>
      <c r="AD44" s="1639">
        <v>40.000000000000007</v>
      </c>
    </row>
    <row r="45" spans="1:30" s="1616" customFormat="1">
      <c r="B45" s="1606"/>
      <c r="C45" s="1660" t="s">
        <v>745</v>
      </c>
      <c r="D45" s="1670">
        <f>IF(D44="",MPR!D60,D44)</f>
        <v>1</v>
      </c>
      <c r="E45" s="1703" t="s">
        <v>1471</v>
      </c>
      <c r="J45" s="1637"/>
      <c r="AC45" s="1727" t="s">
        <v>285</v>
      </c>
      <c r="AD45" s="1728">
        <v>80</v>
      </c>
    </row>
    <row r="46" spans="1:30">
      <c r="A46" s="1616"/>
      <c r="B46" s="1606"/>
      <c r="C46" s="1661" t="s">
        <v>1474</v>
      </c>
      <c r="D46" s="1702">
        <v>4</v>
      </c>
      <c r="E46" s="1704" t="s">
        <v>1472</v>
      </c>
      <c r="F46" s="1616"/>
      <c r="G46" s="1616"/>
      <c r="H46" s="1616"/>
      <c r="I46" s="1616"/>
      <c r="J46" s="1637"/>
      <c r="K46" s="1616"/>
      <c r="L46" s="1616"/>
      <c r="M46" s="1616"/>
      <c r="N46" s="1616"/>
      <c r="O46" s="1641"/>
      <c r="P46" s="1641"/>
      <c r="Q46" s="1641"/>
      <c r="R46" s="1641"/>
      <c r="S46" s="1641"/>
      <c r="T46" s="1641"/>
      <c r="U46" s="1641"/>
      <c r="V46" s="1641"/>
      <c r="W46" s="1641"/>
      <c r="X46" s="1641"/>
      <c r="Y46" s="1641"/>
      <c r="Z46" s="1641"/>
      <c r="AA46" s="1641"/>
      <c r="AB46" s="1616"/>
      <c r="AC46" s="1638" t="s">
        <v>473</v>
      </c>
      <c r="AD46" s="1639">
        <v>129.72972972972974</v>
      </c>
    </row>
    <row r="47" spans="1:30" ht="15" thickBot="1">
      <c r="A47" s="1616"/>
      <c r="B47" s="1606"/>
      <c r="C47" s="1662" t="s">
        <v>1466</v>
      </c>
      <c r="D47" s="1942">
        <f>IFERROR((D45/D46)*100,0)</f>
        <v>25</v>
      </c>
      <c r="E47" s="1705" t="s">
        <v>1473</v>
      </c>
      <c r="F47" s="1616"/>
      <c r="G47" s="1616"/>
      <c r="H47" s="1616"/>
      <c r="I47" s="1616"/>
      <c r="J47" s="1637"/>
      <c r="K47" s="1616"/>
      <c r="L47" s="1616"/>
      <c r="M47" s="1616"/>
      <c r="N47" s="1616"/>
      <c r="O47" s="1642"/>
      <c r="P47" s="1642"/>
      <c r="Q47" s="1642"/>
      <c r="R47" s="1642"/>
      <c r="S47" s="1642"/>
      <c r="T47" s="1642"/>
      <c r="U47" s="1642"/>
      <c r="V47" s="1642"/>
      <c r="W47" s="1642"/>
      <c r="X47" s="1642"/>
      <c r="Y47" s="1642"/>
      <c r="Z47" s="1642"/>
      <c r="AA47" s="1642"/>
      <c r="AB47" s="1616"/>
      <c r="AC47" s="1638" t="s">
        <v>281</v>
      </c>
      <c r="AD47" s="1639">
        <v>0</v>
      </c>
    </row>
    <row r="48" spans="1:30" ht="14.25" customHeight="1">
      <c r="A48" s="1616"/>
      <c r="B48" s="1606"/>
      <c r="C48" s="1649" t="s">
        <v>1465</v>
      </c>
      <c r="D48" s="1616"/>
      <c r="E48" s="1608"/>
      <c r="F48" s="1616"/>
      <c r="G48" s="1616"/>
      <c r="H48" s="1616"/>
      <c r="I48" s="1616"/>
      <c r="J48" s="1637"/>
      <c r="K48" s="1616"/>
      <c r="L48" s="1616"/>
      <c r="M48" s="1616"/>
      <c r="N48" s="1616"/>
      <c r="O48" s="1642"/>
      <c r="P48" s="1642"/>
      <c r="Q48" s="1642"/>
      <c r="R48" s="1642"/>
      <c r="S48" s="1642"/>
      <c r="T48" s="1642"/>
      <c r="U48" s="1642"/>
      <c r="V48" s="1642"/>
      <c r="W48" s="1642"/>
      <c r="X48" s="1642"/>
      <c r="Y48" s="1642"/>
      <c r="Z48" s="1642"/>
      <c r="AA48" s="1642"/>
      <c r="AB48" s="1616"/>
      <c r="AC48" s="1638" t="s">
        <v>287</v>
      </c>
      <c r="AD48" s="1639">
        <v>0</v>
      </c>
    </row>
    <row r="49" spans="1:31" ht="15.75" thickBot="1">
      <c r="A49" s="1616"/>
      <c r="B49" s="1606"/>
      <c r="C49" s="1608"/>
      <c r="D49" s="1608"/>
      <c r="E49" s="1608"/>
      <c r="F49" s="1606"/>
      <c r="G49" s="1616"/>
      <c r="H49" s="1616"/>
      <c r="I49" s="1616"/>
      <c r="J49" s="1637"/>
      <c r="K49" s="1616"/>
      <c r="L49" s="1616"/>
      <c r="M49" s="1616"/>
      <c r="N49" s="1616"/>
      <c r="O49" s="1642"/>
      <c r="P49" s="1642"/>
      <c r="Q49" s="1642"/>
      <c r="R49" s="1642"/>
      <c r="S49" s="1642"/>
      <c r="T49" s="1642"/>
      <c r="U49" s="1642"/>
      <c r="V49" s="1642"/>
      <c r="W49" s="1642"/>
      <c r="X49" s="1642"/>
      <c r="Y49" s="1642"/>
      <c r="Z49" s="1642"/>
      <c r="AA49" s="1642"/>
      <c r="AB49" s="1616"/>
      <c r="AC49" s="1638" t="s">
        <v>283</v>
      </c>
      <c r="AD49" s="1639">
        <v>0</v>
      </c>
    </row>
    <row r="50" spans="1:31">
      <c r="A50" s="1616"/>
      <c r="B50" s="1606"/>
      <c r="C50" s="1651" t="s">
        <v>485</v>
      </c>
      <c r="D50" s="1652" t="s">
        <v>1464</v>
      </c>
      <c r="E50" s="1653" t="s">
        <v>484</v>
      </c>
      <c r="F50" s="1606"/>
      <c r="G50" s="1616"/>
      <c r="H50" s="1616"/>
      <c r="I50" s="1616"/>
      <c r="J50" s="1637"/>
      <c r="K50" s="1616"/>
      <c r="L50" s="1616"/>
      <c r="M50" s="1616"/>
      <c r="N50" s="1616"/>
      <c r="O50" s="1616"/>
      <c r="P50" s="1616"/>
      <c r="Q50" s="1616"/>
      <c r="R50" s="1616"/>
      <c r="S50" s="1616"/>
      <c r="T50" s="1616"/>
      <c r="U50" s="1616"/>
      <c r="V50" s="1616"/>
      <c r="W50" s="1616"/>
      <c r="X50" s="1616"/>
      <c r="Y50" s="1616"/>
      <c r="Z50" s="1616"/>
      <c r="AA50" s="1616"/>
      <c r="AB50" s="1616"/>
      <c r="AC50" s="1638" t="s">
        <v>291</v>
      </c>
      <c r="AD50" s="1639">
        <v>5500</v>
      </c>
    </row>
    <row r="51" spans="1:31">
      <c r="A51" s="1616"/>
      <c r="B51" s="1606"/>
      <c r="C51" s="1659" t="str">
        <f>IFERROR(D45/D51*100,"Sem quantidade de consumo pretendida")</f>
        <v>Sem quantidade de consumo pretendida</v>
      </c>
      <c r="D51" s="1672"/>
      <c r="E51" s="1673"/>
      <c r="F51" s="1606"/>
      <c r="G51" s="1616"/>
      <c r="H51" s="1616"/>
      <c r="I51" s="1616"/>
      <c r="J51" s="1637"/>
      <c r="K51" s="1616"/>
      <c r="L51" s="1616"/>
      <c r="M51" s="1616"/>
      <c r="N51" s="1616"/>
      <c r="O51" s="1616"/>
      <c r="P51" s="1616"/>
      <c r="Q51" s="1616"/>
      <c r="R51" s="1616"/>
      <c r="S51" s="1616"/>
      <c r="T51" s="1616"/>
      <c r="U51" s="1616"/>
      <c r="V51" s="1616"/>
      <c r="W51" s="1616"/>
      <c r="X51" s="1616"/>
      <c r="Y51" s="1616"/>
      <c r="Z51" s="1616"/>
      <c r="AA51" s="1616"/>
      <c r="AB51" s="1616"/>
      <c r="AC51" s="1638" t="s">
        <v>293</v>
      </c>
      <c r="AD51" s="1639">
        <v>0</v>
      </c>
    </row>
    <row r="52" spans="1:31">
      <c r="A52" s="1616"/>
      <c r="B52" s="1606"/>
      <c r="C52" s="1657" t="s">
        <v>648</v>
      </c>
      <c r="D52" s="1671">
        <v>0.29499999999999998</v>
      </c>
      <c r="E52" s="1685"/>
      <c r="F52" s="1616"/>
      <c r="G52" s="1616"/>
      <c r="H52" s="1616"/>
      <c r="I52" s="1616"/>
      <c r="J52" s="1637"/>
      <c r="K52" s="1616"/>
      <c r="L52" s="1616"/>
      <c r="M52" s="1616"/>
      <c r="N52" s="1616"/>
      <c r="O52" s="1616"/>
      <c r="P52" s="1616"/>
      <c r="Q52" s="1616"/>
      <c r="R52" s="1616"/>
      <c r="S52" s="1616"/>
      <c r="T52" s="1616"/>
      <c r="U52" s="1616"/>
      <c r="V52" s="1616"/>
      <c r="W52" s="1616"/>
      <c r="X52" s="1616"/>
      <c r="Y52" s="1616"/>
      <c r="Z52" s="1616"/>
      <c r="AA52" s="1616"/>
      <c r="AB52" s="1616"/>
      <c r="AC52" s="1638" t="s">
        <v>307</v>
      </c>
      <c r="AD52" s="1639">
        <v>7782</v>
      </c>
    </row>
    <row r="53" spans="1:31">
      <c r="A53" s="1616"/>
      <c r="B53" s="1606"/>
      <c r="C53" s="1657" t="s">
        <v>491</v>
      </c>
      <c r="D53" s="1700">
        <f>IFERROR(D45-(ROUNDDOWN(D47,0))/1000,0)</f>
        <v>0.97499999999999998</v>
      </c>
      <c r="E53" s="1698" t="s">
        <v>1469</v>
      </c>
      <c r="F53" s="1616"/>
      <c r="G53" s="1616"/>
      <c r="H53" s="1616"/>
      <c r="I53" s="1616"/>
      <c r="J53" s="1637"/>
      <c r="K53" s="1616"/>
      <c r="L53" s="1616"/>
      <c r="M53" s="1616"/>
      <c r="N53" s="1616"/>
      <c r="O53" s="1616"/>
      <c r="P53" s="1616"/>
      <c r="Q53" s="1616"/>
      <c r="R53" s="1616"/>
      <c r="S53" s="1616"/>
      <c r="T53" s="1616"/>
      <c r="U53" s="1616"/>
      <c r="V53" s="1616"/>
      <c r="W53" s="1616"/>
      <c r="X53" s="1616"/>
      <c r="Y53" s="1616"/>
      <c r="Z53" s="1616"/>
      <c r="AA53" s="1616"/>
      <c r="AB53" s="1616"/>
      <c r="AC53" s="1638" t="s">
        <v>295</v>
      </c>
      <c r="AD53" s="1639">
        <v>37.000000000035897</v>
      </c>
    </row>
    <row r="54" spans="1:31" ht="14.25" customHeight="1" thickBot="1">
      <c r="A54" s="1616"/>
      <c r="B54" s="1606"/>
      <c r="C54" s="1658" t="s">
        <v>492</v>
      </c>
      <c r="D54" s="1701">
        <f>IFERROR(D53/D52,"Informe a % de MS (Vol.)")</f>
        <v>3.3050847457627119</v>
      </c>
      <c r="E54" s="1699" t="s">
        <v>1470</v>
      </c>
      <c r="F54" s="1616"/>
      <c r="G54" s="1616"/>
      <c r="H54" s="1616"/>
      <c r="I54" s="1616"/>
      <c r="J54" s="1637"/>
      <c r="K54" s="1616"/>
      <c r="L54" s="1616"/>
      <c r="M54" s="1616"/>
      <c r="N54" s="1616"/>
      <c r="O54" s="1616"/>
      <c r="P54" s="1616"/>
      <c r="Q54" s="1616"/>
      <c r="R54" s="1616"/>
      <c r="S54" s="1616"/>
      <c r="T54" s="1616"/>
      <c r="U54" s="1616"/>
      <c r="V54" s="1616"/>
      <c r="W54" s="1616"/>
      <c r="X54" s="1616"/>
      <c r="Y54" s="1616"/>
      <c r="Z54" s="1616"/>
      <c r="AA54" s="1616"/>
      <c r="AB54" s="1616"/>
      <c r="AC54" s="1638" t="s">
        <v>297</v>
      </c>
      <c r="AD54" s="1639">
        <v>0</v>
      </c>
    </row>
    <row r="55" spans="1:31" ht="15" customHeight="1" thickBot="1">
      <c r="A55" s="1616"/>
      <c r="B55" s="1606"/>
      <c r="C55" s="1606"/>
      <c r="D55" s="1606"/>
      <c r="E55" s="1606"/>
      <c r="F55" s="1616"/>
      <c r="G55" s="1616"/>
      <c r="H55" s="1616"/>
      <c r="I55" s="1616"/>
      <c r="J55" s="1637"/>
      <c r="K55" s="1616"/>
      <c r="L55" s="1616"/>
      <c r="M55" s="1616"/>
      <c r="N55" s="1616"/>
      <c r="O55" s="1616"/>
      <c r="P55" s="1616"/>
      <c r="Q55" s="1616"/>
      <c r="R55" s="1616"/>
      <c r="S55" s="1616"/>
      <c r="T55" s="1616"/>
      <c r="U55" s="1616"/>
      <c r="V55" s="1616"/>
      <c r="W55" s="1616"/>
      <c r="X55" s="1616"/>
      <c r="Y55" s="1616"/>
      <c r="Z55" s="1616"/>
      <c r="AA55" s="1616"/>
      <c r="AB55" s="1616"/>
      <c r="AC55" s="1638" t="s">
        <v>299</v>
      </c>
      <c r="AD55" s="1639">
        <v>46</v>
      </c>
    </row>
    <row r="56" spans="1:31" ht="21" customHeight="1">
      <c r="A56" s="1616"/>
      <c r="B56" s="1606"/>
      <c r="C56" s="1706" t="s">
        <v>285</v>
      </c>
      <c r="D56" s="1707" t="s">
        <v>1483</v>
      </c>
      <c r="E56" s="1708" t="s">
        <v>484</v>
      </c>
      <c r="F56" s="1616"/>
      <c r="G56" s="1616"/>
      <c r="H56" s="1616"/>
      <c r="I56" s="1616"/>
      <c r="J56" s="1637"/>
      <c r="K56" s="1616"/>
      <c r="L56" s="1616"/>
      <c r="M56" s="1616"/>
      <c r="N56" s="1616"/>
      <c r="O56" s="1616"/>
      <c r="P56" s="1616"/>
      <c r="Q56" s="1616"/>
      <c r="R56" s="1616"/>
      <c r="S56" s="1616"/>
      <c r="T56" s="1616"/>
      <c r="U56" s="1616"/>
      <c r="V56" s="1616"/>
      <c r="W56" s="1616"/>
      <c r="X56" s="1616"/>
      <c r="Y56" s="1616"/>
      <c r="Z56" s="1616"/>
      <c r="AA56" s="1616"/>
      <c r="AB56" s="1616"/>
      <c r="AC56" s="1638" t="s">
        <v>301</v>
      </c>
      <c r="AD56" s="1639">
        <v>0</v>
      </c>
    </row>
    <row r="57" spans="1:31">
      <c r="A57" s="1616"/>
      <c r="B57" s="1606"/>
      <c r="C57" s="1945">
        <f>D47</f>
        <v>25</v>
      </c>
      <c r="D57" s="1944">
        <f>D65</f>
        <v>0</v>
      </c>
      <c r="E57" s="1666"/>
      <c r="F57" s="1616"/>
      <c r="G57" s="1616"/>
      <c r="H57" s="1616"/>
      <c r="I57" s="1616"/>
      <c r="J57" s="1637"/>
      <c r="K57" s="1616"/>
      <c r="L57" s="1616"/>
      <c r="M57" s="1616"/>
      <c r="N57" s="1616"/>
      <c r="O57" s="1616"/>
      <c r="P57" s="1616"/>
      <c r="Q57" s="1616"/>
      <c r="R57" s="1616"/>
      <c r="S57" s="1616"/>
      <c r="T57" s="1616"/>
      <c r="U57" s="1616"/>
      <c r="V57" s="1616"/>
      <c r="W57" s="1616"/>
      <c r="X57" s="1616"/>
      <c r="Y57" s="1616"/>
      <c r="Z57" s="1616"/>
      <c r="AA57" s="1616"/>
      <c r="AB57" s="1616"/>
      <c r="AC57" s="1638" t="s">
        <v>474</v>
      </c>
      <c r="AD57" s="1639">
        <v>0</v>
      </c>
    </row>
    <row r="58" spans="1:31" ht="15" thickBot="1">
      <c r="A58" s="1616"/>
      <c r="B58" s="1606"/>
      <c r="C58" s="1667">
        <v>1000</v>
      </c>
      <c r="D58" s="1943">
        <f>C58*D57/C57</f>
        <v>0</v>
      </c>
      <c r="E58" s="1668"/>
      <c r="F58" s="1616"/>
      <c r="G58" s="1616"/>
      <c r="H58" s="1616"/>
      <c r="I58" s="1616"/>
      <c r="J58" s="1637"/>
      <c r="K58" s="1616"/>
      <c r="L58" s="1616"/>
      <c r="M58" s="1616"/>
      <c r="N58" s="1616"/>
      <c r="O58" s="1616"/>
      <c r="P58" s="1616"/>
      <c r="Q58" s="1616"/>
      <c r="R58" s="1616"/>
      <c r="S58" s="1616"/>
      <c r="T58" s="1616"/>
      <c r="U58" s="1616"/>
      <c r="V58" s="1616"/>
      <c r="W58" s="1616"/>
      <c r="X58" s="1616"/>
      <c r="Y58" s="1616"/>
      <c r="Z58" s="1616"/>
      <c r="AA58" s="1616"/>
      <c r="AB58" s="1616"/>
    </row>
    <row r="59" spans="1:31">
      <c r="A59" s="1616"/>
      <c r="B59" s="1606"/>
      <c r="C59" s="1606"/>
      <c r="D59" s="1606"/>
      <c r="E59" s="1616"/>
      <c r="F59" s="1616"/>
      <c r="G59" s="1616"/>
      <c r="H59" s="1616"/>
      <c r="I59" s="1616"/>
      <c r="J59" s="1637"/>
      <c r="K59" s="1616"/>
      <c r="L59" s="1616"/>
      <c r="M59" s="1616"/>
      <c r="N59" s="1616"/>
      <c r="O59" s="1616"/>
      <c r="P59" s="1616"/>
      <c r="Q59" s="1616"/>
      <c r="R59" s="1616"/>
      <c r="S59" s="1616"/>
      <c r="T59" s="1616"/>
      <c r="U59" s="1616"/>
      <c r="V59" s="1616"/>
      <c r="W59" s="1616"/>
      <c r="X59" s="1616"/>
      <c r="Y59" s="1616"/>
      <c r="Z59" s="1616"/>
      <c r="AA59" s="1616"/>
      <c r="AB59" s="1616"/>
      <c r="AC59" s="1617"/>
      <c r="AD59" s="1617"/>
      <c r="AE59" s="1617"/>
    </row>
    <row r="60" spans="1:31">
      <c r="A60" s="1616"/>
      <c r="B60" s="1606"/>
      <c r="C60" s="1616"/>
      <c r="D60" s="1616"/>
      <c r="E60" s="1616"/>
      <c r="F60" s="1616"/>
      <c r="G60" s="1616"/>
      <c r="H60" s="1616"/>
      <c r="I60" s="1616"/>
      <c r="J60" s="1637"/>
      <c r="K60" s="1616"/>
      <c r="L60" s="1616"/>
      <c r="M60" s="1616"/>
      <c r="N60" s="1616"/>
      <c r="O60" s="1616"/>
      <c r="P60" s="1616"/>
      <c r="Q60" s="1616"/>
      <c r="R60" s="1616"/>
      <c r="S60" s="1616"/>
      <c r="T60" s="1616"/>
      <c r="U60" s="1616"/>
      <c r="V60" s="1616"/>
      <c r="W60" s="1616"/>
      <c r="X60" s="1616"/>
      <c r="Y60" s="1616"/>
      <c r="Z60" s="1616"/>
      <c r="AA60" s="1616"/>
      <c r="AB60" s="1616"/>
    </row>
    <row r="61" spans="1:31" ht="15.75" thickBot="1">
      <c r="A61" s="1616"/>
      <c r="B61" s="1606"/>
      <c r="C61" s="1684" t="s">
        <v>748</v>
      </c>
      <c r="D61" s="1684"/>
      <c r="E61" s="1684"/>
      <c r="F61" s="1616"/>
      <c r="G61" s="1616"/>
      <c r="H61" s="1616"/>
      <c r="I61" s="1616"/>
      <c r="J61" s="1637"/>
      <c r="K61" s="1616"/>
      <c r="L61" s="1616"/>
      <c r="M61" s="1616"/>
      <c r="N61" s="1616"/>
      <c r="O61" s="1616"/>
      <c r="P61" s="1616"/>
      <c r="Q61" s="1616"/>
      <c r="R61" s="1616"/>
      <c r="S61" s="1616"/>
      <c r="T61" s="1616"/>
      <c r="U61" s="1616"/>
      <c r="V61" s="1616"/>
      <c r="W61" s="1616"/>
      <c r="X61" s="1616"/>
      <c r="Y61" s="1616"/>
      <c r="Z61" s="1616"/>
      <c r="AA61" s="1616"/>
      <c r="AB61" s="1616"/>
    </row>
    <row r="62" spans="1:31">
      <c r="A62" s="1616"/>
      <c r="B62" s="1606"/>
      <c r="C62" s="1676" t="s">
        <v>488</v>
      </c>
      <c r="D62" s="1677" t="s">
        <v>475</v>
      </c>
      <c r="E62" s="1677" t="s">
        <v>486</v>
      </c>
      <c r="F62" s="1616"/>
      <c r="G62" s="1616"/>
      <c r="H62" s="1616"/>
      <c r="I62" s="1616"/>
      <c r="J62" s="1637"/>
      <c r="K62" s="1616"/>
      <c r="L62" s="1616"/>
      <c r="M62" s="1616"/>
      <c r="N62" s="1616"/>
      <c r="O62" s="1616"/>
      <c r="P62" s="1616"/>
      <c r="Q62" s="1616"/>
      <c r="R62" s="1616"/>
      <c r="S62" s="1616"/>
      <c r="T62" s="1616"/>
      <c r="U62" s="1616"/>
      <c r="V62" s="1616"/>
      <c r="W62" s="1616"/>
      <c r="X62" s="1616"/>
      <c r="Y62" s="1616"/>
      <c r="Z62" s="1616"/>
      <c r="AA62" s="1616"/>
      <c r="AB62" s="1616"/>
    </row>
    <row r="63" spans="1:31">
      <c r="A63" s="1616"/>
      <c r="B63" s="1606"/>
      <c r="C63" s="1680" t="s">
        <v>277</v>
      </c>
      <c r="D63" s="1678">
        <f>IF(Atendimento!I21&lt;0,Atendimento!I21*-1,0)</f>
        <v>0</v>
      </c>
      <c r="E63" s="1678">
        <f t="shared" ref="E63:E77" si="0">ROUNDUP(D63*1000/D$47,0)</f>
        <v>0</v>
      </c>
      <c r="F63" s="1616"/>
      <c r="G63" s="1616"/>
      <c r="H63" s="1616"/>
      <c r="I63" s="1616"/>
      <c r="J63" s="1637"/>
      <c r="K63" s="1616"/>
      <c r="L63" s="1616"/>
      <c r="M63" s="1616"/>
      <c r="N63" s="1616"/>
      <c r="O63" s="1616"/>
      <c r="P63" s="1616"/>
      <c r="Q63" s="1616"/>
      <c r="R63" s="1616"/>
      <c r="S63" s="1616"/>
      <c r="T63" s="1616"/>
      <c r="U63" s="1616"/>
      <c r="V63" s="1616"/>
      <c r="W63" s="1616"/>
      <c r="X63" s="1616"/>
      <c r="Y63" s="1616"/>
      <c r="Z63" s="1616"/>
      <c r="AA63" s="1616"/>
      <c r="AB63" s="1616"/>
    </row>
    <row r="64" spans="1:31">
      <c r="A64" s="1616"/>
      <c r="B64" s="1606"/>
      <c r="C64" s="1681" t="s">
        <v>279</v>
      </c>
      <c r="D64" s="1674">
        <f>IF(Atendimento!I22&lt;0,Atendimento!I22*-1,0)</f>
        <v>0</v>
      </c>
      <c r="E64" s="1674">
        <f t="shared" si="0"/>
        <v>0</v>
      </c>
      <c r="F64" s="1616"/>
      <c r="G64" s="1616"/>
      <c r="H64" s="1616"/>
      <c r="I64" s="1616"/>
      <c r="J64" s="1637"/>
      <c r="K64" s="1616"/>
      <c r="L64" s="1616"/>
      <c r="M64" s="1616"/>
      <c r="N64" s="1616"/>
      <c r="O64" s="1616"/>
      <c r="P64" s="1616"/>
      <c r="Q64" s="1616"/>
      <c r="R64" s="1616"/>
      <c r="S64" s="1616"/>
      <c r="T64" s="1616"/>
      <c r="U64" s="1616"/>
      <c r="V64" s="1616"/>
      <c r="W64" s="1616"/>
      <c r="X64" s="1616"/>
      <c r="Y64" s="1616"/>
      <c r="Z64" s="1616"/>
      <c r="AA64" s="1616"/>
      <c r="AB64" s="1616"/>
    </row>
    <row r="65" spans="1:28">
      <c r="A65" s="1616"/>
      <c r="B65" s="1606"/>
      <c r="C65" s="1681" t="s">
        <v>285</v>
      </c>
      <c r="D65" s="1674">
        <f>IF(Atendimento!I24&lt;0,Atendimento!I24*-1,0)</f>
        <v>0</v>
      </c>
      <c r="E65" s="1674">
        <f t="shared" si="0"/>
        <v>0</v>
      </c>
      <c r="F65" s="1616"/>
      <c r="G65" s="1616"/>
      <c r="H65" s="1616"/>
      <c r="I65" s="1616"/>
      <c r="J65" s="1637"/>
      <c r="K65" s="1616"/>
      <c r="L65" s="1616"/>
      <c r="M65" s="1616"/>
      <c r="N65" s="1616"/>
      <c r="O65" s="1616"/>
      <c r="P65" s="1616"/>
      <c r="Q65" s="1616"/>
      <c r="R65" s="1616"/>
      <c r="S65" s="1616"/>
      <c r="T65" s="1616"/>
      <c r="U65" s="1616"/>
      <c r="V65" s="1616"/>
      <c r="W65" s="1616"/>
      <c r="X65" s="1616"/>
      <c r="Y65" s="1616"/>
      <c r="Z65" s="1616"/>
      <c r="AA65" s="1616"/>
      <c r="AB65" s="1616"/>
    </row>
    <row r="66" spans="1:28">
      <c r="A66" s="1616"/>
      <c r="B66" s="1606"/>
      <c r="C66" s="1681" t="s">
        <v>473</v>
      </c>
      <c r="D66" s="1674">
        <v>0</v>
      </c>
      <c r="E66" s="1674">
        <f t="shared" si="0"/>
        <v>0</v>
      </c>
      <c r="F66" s="1606"/>
      <c r="G66" s="1616"/>
      <c r="H66" s="1616"/>
      <c r="I66" s="1616"/>
      <c r="J66" s="1637"/>
      <c r="K66" s="1616"/>
      <c r="L66" s="1616"/>
      <c r="M66" s="1616"/>
      <c r="N66" s="1616"/>
      <c r="O66" s="1616"/>
      <c r="P66" s="1616"/>
      <c r="Q66" s="1616"/>
      <c r="R66" s="1616"/>
      <c r="S66" s="1616"/>
      <c r="T66" s="1616"/>
      <c r="U66" s="1616"/>
      <c r="V66" s="1616"/>
      <c r="W66" s="1616"/>
      <c r="X66" s="1616"/>
      <c r="Y66" s="1616"/>
      <c r="Z66" s="1616"/>
      <c r="AA66" s="1616"/>
      <c r="AB66" s="1616"/>
    </row>
    <row r="67" spans="1:28">
      <c r="A67" s="1616"/>
      <c r="B67" s="1606"/>
      <c r="C67" s="1681" t="s">
        <v>281</v>
      </c>
      <c r="D67" s="1674">
        <f>IF(Atendimento!I23&lt;0,Atendimento!I23*-1,0)</f>
        <v>0</v>
      </c>
      <c r="E67" s="1674">
        <f t="shared" si="0"/>
        <v>0</v>
      </c>
      <c r="F67" s="1606"/>
      <c r="G67" s="1606"/>
      <c r="H67" s="1606"/>
      <c r="I67" s="1606"/>
      <c r="J67" s="1616"/>
      <c r="K67" s="1616"/>
      <c r="L67" s="1616"/>
      <c r="M67" s="1616"/>
      <c r="N67" s="1616"/>
      <c r="O67" s="1616"/>
      <c r="P67" s="1616"/>
      <c r="Q67" s="1616"/>
      <c r="R67" s="1616"/>
      <c r="S67" s="1616"/>
      <c r="T67" s="1616"/>
      <c r="U67" s="1616"/>
      <c r="V67" s="1616"/>
      <c r="W67" s="1616"/>
      <c r="X67" s="1616"/>
      <c r="Y67" s="1616"/>
      <c r="Z67" s="1616"/>
      <c r="AA67" s="1616"/>
      <c r="AB67" s="1616"/>
    </row>
    <row r="68" spans="1:28">
      <c r="A68" s="1616"/>
      <c r="B68" s="1606"/>
      <c r="C68" s="1681" t="s">
        <v>287</v>
      </c>
      <c r="D68" s="1674">
        <f>IF(Atendimento!I26&lt;0,Atendimento!I26*-1,0)</f>
        <v>0</v>
      </c>
      <c r="E68" s="1674">
        <f t="shared" si="0"/>
        <v>0</v>
      </c>
      <c r="F68" s="1616"/>
      <c r="G68" s="1616"/>
      <c r="H68" s="1616"/>
      <c r="I68" s="1616"/>
      <c r="J68" s="1616"/>
      <c r="K68" s="1616"/>
      <c r="L68" s="1616"/>
      <c r="M68" s="1616"/>
      <c r="N68" s="1616"/>
      <c r="O68" s="1616"/>
      <c r="P68" s="1616"/>
      <c r="Q68" s="1616"/>
      <c r="R68" s="1616"/>
      <c r="S68" s="1616"/>
      <c r="T68" s="1616"/>
      <c r="U68" s="1616"/>
      <c r="V68" s="1616"/>
      <c r="W68" s="1616"/>
      <c r="X68" s="1616"/>
      <c r="Y68" s="1616"/>
      <c r="Z68" s="1616"/>
      <c r="AA68" s="1616"/>
      <c r="AB68" s="1616"/>
    </row>
    <row r="69" spans="1:28">
      <c r="A69" s="1616"/>
      <c r="B69" s="1606"/>
      <c r="C69" s="1681" t="s">
        <v>283</v>
      </c>
      <c r="D69" s="1674">
        <f>IF(Atendimento!I25&lt;0,Atendimento!I25*-1,0)</f>
        <v>0</v>
      </c>
      <c r="E69" s="1674">
        <f t="shared" si="0"/>
        <v>0</v>
      </c>
      <c r="F69" s="1616"/>
      <c r="G69" s="1616"/>
      <c r="H69" s="1616"/>
      <c r="I69" s="1616"/>
      <c r="J69" s="1616"/>
      <c r="K69" s="1616"/>
      <c r="L69" s="1616"/>
      <c r="M69" s="1616"/>
      <c r="N69" s="1616"/>
      <c r="O69" s="1616"/>
      <c r="P69" s="1616"/>
      <c r="Q69" s="1616"/>
      <c r="R69" s="1616"/>
      <c r="S69" s="1616"/>
      <c r="T69" s="1616"/>
      <c r="U69" s="1616"/>
      <c r="V69" s="1616"/>
      <c r="W69" s="1616"/>
      <c r="X69" s="1616"/>
      <c r="Y69" s="1616"/>
      <c r="Z69" s="1616"/>
      <c r="AA69" s="1616"/>
      <c r="AB69" s="1616"/>
    </row>
    <row r="70" spans="1:28">
      <c r="A70" s="1616"/>
      <c r="B70" s="1606"/>
      <c r="C70" s="1682" t="s">
        <v>291</v>
      </c>
      <c r="D70" s="1675">
        <f>IF(Atendimento!I32&lt;0,Atendimento!I32*-1,0)</f>
        <v>0</v>
      </c>
      <c r="E70" s="1675">
        <f t="shared" si="0"/>
        <v>0</v>
      </c>
      <c r="F70" s="1616"/>
      <c r="G70" s="1616"/>
      <c r="H70" s="1616"/>
      <c r="I70" s="1616"/>
      <c r="J70" s="1616"/>
      <c r="K70" s="1616"/>
      <c r="L70" s="1616"/>
      <c r="M70" s="1616"/>
      <c r="N70" s="1616"/>
      <c r="O70" s="1616"/>
      <c r="P70" s="1616"/>
      <c r="Q70" s="1616"/>
      <c r="R70" s="1616"/>
      <c r="S70" s="1616"/>
      <c r="T70" s="1616"/>
      <c r="U70" s="1616"/>
      <c r="V70" s="1616"/>
      <c r="W70" s="1616"/>
      <c r="X70" s="1616"/>
      <c r="Y70" s="1616"/>
      <c r="Z70" s="1616"/>
      <c r="AA70" s="1616"/>
      <c r="AB70" s="1616"/>
    </row>
    <row r="71" spans="1:28">
      <c r="A71" s="1616"/>
      <c r="B71" s="1606"/>
      <c r="C71" s="1682" t="s">
        <v>293</v>
      </c>
      <c r="D71" s="1675">
        <f>IF(Atendimento!I27&lt;0,Atendimento!I27*-1,0)</f>
        <v>0</v>
      </c>
      <c r="E71" s="1675">
        <f t="shared" si="0"/>
        <v>0</v>
      </c>
      <c r="F71" s="1616"/>
      <c r="G71" s="1616"/>
      <c r="H71" s="1616"/>
      <c r="I71" s="1616"/>
      <c r="J71" s="1616"/>
      <c r="K71" s="1616"/>
      <c r="L71" s="1616"/>
      <c r="M71" s="1616"/>
      <c r="N71" s="1616"/>
      <c r="O71" s="1616"/>
      <c r="P71" s="1616"/>
      <c r="Q71" s="1616"/>
      <c r="R71" s="1616"/>
      <c r="S71" s="1616"/>
      <c r="T71" s="1616"/>
      <c r="U71" s="1616"/>
      <c r="V71" s="1616"/>
      <c r="W71" s="1616"/>
      <c r="X71" s="1616"/>
      <c r="Y71" s="1616"/>
      <c r="Z71" s="1616"/>
      <c r="AA71" s="1616"/>
      <c r="AB71" s="1616"/>
    </row>
    <row r="72" spans="1:28">
      <c r="A72" s="1616"/>
      <c r="B72" s="1606"/>
      <c r="C72" s="1682" t="s">
        <v>307</v>
      </c>
      <c r="D72" s="1675">
        <f>IF(Atendimento!I29&lt;0,Atendimento!I29*-1,0)</f>
        <v>0</v>
      </c>
      <c r="E72" s="1675">
        <f t="shared" si="0"/>
        <v>0</v>
      </c>
      <c r="F72" s="1616"/>
      <c r="G72" s="1616"/>
      <c r="H72" s="1616"/>
      <c r="I72" s="1616"/>
      <c r="J72" s="1616"/>
      <c r="K72" s="1616"/>
      <c r="L72" s="1616"/>
      <c r="M72" s="1616"/>
      <c r="N72" s="1616"/>
      <c r="O72" s="1616"/>
      <c r="P72" s="1616"/>
      <c r="Q72" s="1616"/>
      <c r="R72" s="1616"/>
      <c r="S72" s="1616"/>
      <c r="T72" s="1616"/>
      <c r="U72" s="1616"/>
      <c r="V72" s="1616"/>
      <c r="W72" s="1616"/>
      <c r="X72" s="1616"/>
      <c r="Y72" s="1616"/>
      <c r="Z72" s="1616"/>
      <c r="AA72" s="1616"/>
      <c r="AB72" s="1616"/>
    </row>
    <row r="73" spans="1:28">
      <c r="A73" s="1616"/>
      <c r="B73" s="1606"/>
      <c r="C73" s="1682" t="s">
        <v>295</v>
      </c>
      <c r="D73" s="1675">
        <f>IF(Atendimento!I31&lt;0,Atendimento!I31*-1,0)</f>
        <v>0</v>
      </c>
      <c r="E73" s="1675">
        <f t="shared" si="0"/>
        <v>0</v>
      </c>
      <c r="F73" s="1616"/>
      <c r="G73" s="1616"/>
      <c r="H73" s="1616"/>
      <c r="I73" s="1616"/>
      <c r="J73" s="1616"/>
      <c r="K73" s="1616"/>
      <c r="L73" s="1616"/>
      <c r="M73" s="1616"/>
      <c r="N73" s="1616"/>
      <c r="O73" s="1616"/>
      <c r="P73" s="1616"/>
      <c r="Q73" s="1616"/>
      <c r="R73" s="1616"/>
      <c r="S73" s="1616"/>
      <c r="T73" s="1616"/>
      <c r="U73" s="1616"/>
      <c r="V73" s="1616"/>
      <c r="W73" s="1616"/>
      <c r="X73" s="1616"/>
      <c r="Y73" s="1616"/>
      <c r="Z73" s="1616"/>
      <c r="AA73" s="1616"/>
      <c r="AB73" s="1616"/>
    </row>
    <row r="74" spans="1:28">
      <c r="A74" s="1616"/>
      <c r="B74" s="1606"/>
      <c r="C74" s="1682" t="s">
        <v>297</v>
      </c>
      <c r="D74" s="1675">
        <f>IF(Atendimento!I30&lt;0,Atendimento!I30*-1,0)</f>
        <v>0</v>
      </c>
      <c r="E74" s="1675">
        <f t="shared" si="0"/>
        <v>0</v>
      </c>
      <c r="F74" s="1616"/>
      <c r="G74" s="1616"/>
      <c r="H74" s="1616"/>
      <c r="I74" s="1616"/>
      <c r="J74" s="1616"/>
      <c r="K74" s="1616"/>
      <c r="L74" s="1616"/>
      <c r="M74" s="1616"/>
      <c r="N74" s="1616"/>
      <c r="O74" s="1616"/>
      <c r="P74" s="1616"/>
      <c r="Q74" s="1616"/>
      <c r="R74" s="1616"/>
      <c r="S74" s="1616"/>
      <c r="T74" s="1616"/>
      <c r="U74" s="1616"/>
      <c r="V74" s="1616"/>
      <c r="W74" s="1616"/>
      <c r="X74" s="1616"/>
      <c r="Y74" s="1616"/>
      <c r="Z74" s="1616"/>
      <c r="AA74" s="1616"/>
      <c r="AB74" s="1616"/>
    </row>
    <row r="75" spans="1:28">
      <c r="A75" s="1616"/>
      <c r="B75" s="1606"/>
      <c r="C75" s="1682" t="s">
        <v>299</v>
      </c>
      <c r="D75" s="1675">
        <f>IF(Atendimento!I33&lt;0,Atendimento!I33*-1,0)</f>
        <v>0</v>
      </c>
      <c r="E75" s="1675">
        <f t="shared" si="0"/>
        <v>0</v>
      </c>
      <c r="F75" s="1616"/>
      <c r="G75" s="1616"/>
      <c r="H75" s="1616"/>
      <c r="I75" s="1616"/>
      <c r="J75" s="1616"/>
      <c r="K75" s="1616"/>
      <c r="L75" s="1616"/>
      <c r="M75" s="1616"/>
      <c r="N75" s="1616"/>
      <c r="O75" s="1616"/>
      <c r="P75" s="1616"/>
      <c r="Q75" s="1616"/>
      <c r="R75" s="1616"/>
      <c r="S75" s="1616"/>
      <c r="T75" s="1616"/>
      <c r="U75" s="1616"/>
      <c r="V75" s="1616"/>
      <c r="W75" s="1616"/>
      <c r="X75" s="1616"/>
      <c r="Y75" s="1616"/>
      <c r="Z75" s="1616"/>
      <c r="AA75" s="1616"/>
      <c r="AB75" s="1616"/>
    </row>
    <row r="76" spans="1:28">
      <c r="A76" s="1616"/>
      <c r="B76" s="1606"/>
      <c r="C76" s="1682" t="s">
        <v>301</v>
      </c>
      <c r="D76" s="1675">
        <f>IF(Atendimento!I28&lt;0,Atendimento!I28*-1,0)</f>
        <v>0</v>
      </c>
      <c r="E76" s="1675">
        <f t="shared" si="0"/>
        <v>0</v>
      </c>
      <c r="F76" s="1616"/>
      <c r="G76" s="1616"/>
      <c r="H76" s="1616"/>
      <c r="I76" s="1616"/>
      <c r="J76" s="1616"/>
      <c r="K76" s="1616"/>
      <c r="L76" s="1616"/>
      <c r="M76" s="1616"/>
      <c r="N76" s="1616"/>
      <c r="O76" s="1616"/>
      <c r="P76" s="1616"/>
      <c r="Q76" s="1616"/>
      <c r="R76" s="1616"/>
      <c r="S76" s="1616"/>
      <c r="T76" s="1616"/>
      <c r="U76" s="1616"/>
      <c r="V76" s="1616"/>
      <c r="W76" s="1616"/>
      <c r="X76" s="1616"/>
      <c r="Y76" s="1616"/>
      <c r="Z76" s="1616"/>
      <c r="AA76" s="1616"/>
      <c r="AB76" s="1616"/>
    </row>
    <row r="77" spans="1:28">
      <c r="A77" s="1616"/>
      <c r="B77" s="1606"/>
      <c r="C77" s="1683" t="s">
        <v>474</v>
      </c>
      <c r="D77" s="1679">
        <v>0</v>
      </c>
      <c r="E77" s="1679">
        <f t="shared" si="0"/>
        <v>0</v>
      </c>
      <c r="F77" s="1616"/>
      <c r="G77" s="1616"/>
      <c r="H77" s="1616"/>
      <c r="I77" s="1616"/>
      <c r="J77" s="1616"/>
      <c r="K77" s="1616"/>
      <c r="L77" s="1616"/>
      <c r="M77" s="1616"/>
      <c r="N77" s="1616"/>
      <c r="O77" s="1616"/>
      <c r="P77" s="1616"/>
      <c r="Q77" s="1616"/>
      <c r="R77" s="1616"/>
      <c r="S77" s="1616"/>
      <c r="T77" s="1616"/>
      <c r="U77" s="1616"/>
      <c r="V77" s="1616"/>
      <c r="W77" s="1616"/>
      <c r="X77" s="1616"/>
      <c r="Y77" s="1616"/>
      <c r="Z77" s="1616"/>
      <c r="AA77" s="1616"/>
      <c r="AB77" s="1616"/>
    </row>
    <row r="78" spans="1:28" ht="15" thickBot="1">
      <c r="A78" s="1616"/>
      <c r="B78" s="1606"/>
      <c r="C78" s="1616"/>
      <c r="D78" s="1616"/>
      <c r="E78" s="1616"/>
      <c r="F78" s="1616"/>
      <c r="G78" s="1616"/>
      <c r="H78" s="1616"/>
      <c r="I78" s="1616"/>
      <c r="J78" s="1616"/>
      <c r="K78" s="1616"/>
      <c r="L78" s="1616"/>
      <c r="M78" s="1616"/>
      <c r="N78" s="1616"/>
      <c r="O78" s="1616"/>
      <c r="P78" s="1616"/>
      <c r="Q78" s="1616"/>
      <c r="R78" s="1616"/>
      <c r="S78" s="1616"/>
      <c r="T78" s="1616"/>
      <c r="U78" s="1616"/>
      <c r="V78" s="1616"/>
      <c r="W78" s="1616"/>
      <c r="X78" s="1616"/>
      <c r="Y78" s="1616"/>
      <c r="Z78" s="1616"/>
      <c r="AA78" s="1616"/>
      <c r="AB78" s="1616"/>
    </row>
    <row r="79" spans="1:28" ht="16.5" thickBot="1">
      <c r="A79" s="1616"/>
      <c r="B79" s="1606"/>
      <c r="C79" s="1715"/>
      <c r="D79" s="1716"/>
      <c r="E79" s="1717"/>
      <c r="F79" s="1616"/>
      <c r="G79" s="1616"/>
      <c r="H79" s="1616"/>
      <c r="I79" s="1616"/>
      <c r="J79" s="1616"/>
      <c r="K79" s="1616"/>
      <c r="L79" s="1616"/>
      <c r="M79" s="1616"/>
      <c r="N79" s="1616"/>
      <c r="O79" s="1616"/>
      <c r="P79" s="1616"/>
      <c r="Q79" s="1616"/>
      <c r="R79" s="1616"/>
      <c r="S79" s="1616"/>
      <c r="T79" s="1616"/>
      <c r="U79" s="1616"/>
      <c r="V79" s="1616"/>
      <c r="W79" s="1616"/>
      <c r="X79" s="1616"/>
      <c r="Y79" s="1616"/>
      <c r="Z79" s="1616"/>
      <c r="AA79" s="1616"/>
      <c r="AB79" s="1616"/>
    </row>
    <row r="80" spans="1:28" ht="15" thickBot="1">
      <c r="A80" s="1616"/>
      <c r="B80" s="1606"/>
      <c r="C80" s="1718"/>
      <c r="D80" s="108" t="s">
        <v>484</v>
      </c>
      <c r="E80" s="1643"/>
      <c r="F80" s="1616"/>
      <c r="G80" s="1616"/>
      <c r="H80" s="1616"/>
      <c r="I80" s="1616"/>
      <c r="J80" s="1616"/>
      <c r="K80" s="1616"/>
      <c r="L80" s="1616"/>
      <c r="M80" s="1616"/>
      <c r="N80" s="1616"/>
      <c r="O80" s="1616"/>
      <c r="P80" s="1616"/>
      <c r="Q80" s="1616"/>
      <c r="R80" s="1616"/>
      <c r="S80" s="1616"/>
      <c r="T80" s="1616"/>
      <c r="U80" s="1616"/>
      <c r="V80" s="1616"/>
      <c r="W80" s="1616"/>
      <c r="X80" s="1616"/>
      <c r="Y80" s="1616"/>
      <c r="Z80" s="1616"/>
      <c r="AA80" s="1616"/>
      <c r="AB80" s="1616"/>
    </row>
    <row r="81" spans="1:28">
      <c r="A81" s="1616"/>
      <c r="B81" s="1606"/>
      <c r="C81" s="1719">
        <f t="shared" ref="C81:C87" si="1">IFERROR(D63,0)</f>
        <v>0</v>
      </c>
      <c r="D81" s="1644"/>
      <c r="E81" s="1645">
        <f t="shared" ref="E81:E87" si="2">IFERROR(E63,0)</f>
        <v>0</v>
      </c>
      <c r="F81" s="1616"/>
      <c r="G81" s="1616"/>
      <c r="H81" s="1616"/>
      <c r="I81" s="1616"/>
      <c r="J81" s="1616"/>
      <c r="K81" s="1616"/>
      <c r="L81" s="1616"/>
      <c r="M81" s="1616"/>
      <c r="N81" s="1616"/>
      <c r="O81" s="1616"/>
      <c r="P81" s="1616"/>
      <c r="Q81" s="1616"/>
      <c r="R81" s="1616"/>
      <c r="S81" s="1616"/>
      <c r="T81" s="1616"/>
      <c r="U81" s="1616"/>
      <c r="V81" s="1616"/>
      <c r="W81" s="1616"/>
      <c r="X81" s="1616"/>
      <c r="Y81" s="1616"/>
      <c r="Z81" s="1616"/>
      <c r="AA81" s="1616"/>
      <c r="AB81" s="1616"/>
    </row>
    <row r="82" spans="1:28">
      <c r="A82" s="1616"/>
      <c r="B82" s="1606"/>
      <c r="C82" s="1720">
        <f t="shared" si="1"/>
        <v>0</v>
      </c>
      <c r="D82" s="1292"/>
      <c r="E82" s="1645">
        <f t="shared" si="2"/>
        <v>0</v>
      </c>
      <c r="F82" s="1616"/>
      <c r="G82" s="1616"/>
      <c r="H82" s="1616"/>
      <c r="I82" s="1616"/>
      <c r="J82" s="1616"/>
      <c r="K82" s="1616"/>
      <c r="L82" s="1616"/>
      <c r="M82" s="1616"/>
      <c r="N82" s="1616"/>
      <c r="O82" s="1616"/>
      <c r="P82" s="1616"/>
      <c r="Q82" s="1616"/>
      <c r="R82" s="1616"/>
      <c r="S82" s="1616"/>
      <c r="T82" s="1616"/>
      <c r="U82" s="1616"/>
      <c r="V82" s="1616"/>
      <c r="W82" s="1616"/>
      <c r="X82" s="1616"/>
      <c r="Y82" s="1616"/>
      <c r="Z82" s="1616"/>
      <c r="AA82" s="1616"/>
      <c r="AB82" s="1616"/>
    </row>
    <row r="83" spans="1:28">
      <c r="A83" s="1616"/>
      <c r="B83" s="1606"/>
      <c r="C83" s="1720">
        <f t="shared" si="1"/>
        <v>0</v>
      </c>
      <c r="D83" s="1721"/>
      <c r="E83" s="1645">
        <f t="shared" si="2"/>
        <v>0</v>
      </c>
      <c r="F83" s="1616"/>
      <c r="G83" s="1616"/>
      <c r="H83" s="1616"/>
      <c r="I83" s="1616"/>
      <c r="J83" s="1616"/>
      <c r="K83" s="1616"/>
      <c r="L83" s="1616"/>
      <c r="M83" s="1616"/>
      <c r="N83" s="1616"/>
      <c r="O83" s="1616"/>
      <c r="P83" s="1616"/>
      <c r="Q83" s="1616"/>
      <c r="R83" s="1616"/>
      <c r="S83" s="1616"/>
      <c r="T83" s="1616"/>
      <c r="U83" s="1616"/>
      <c r="V83" s="1616"/>
      <c r="W83" s="1616"/>
      <c r="X83" s="1616"/>
      <c r="Y83" s="1616"/>
      <c r="Z83" s="1616"/>
      <c r="AA83" s="1616"/>
      <c r="AB83" s="1616"/>
    </row>
    <row r="84" spans="1:28">
      <c r="A84" s="1616"/>
      <c r="B84" s="1606"/>
      <c r="C84" s="1720">
        <f t="shared" si="1"/>
        <v>0</v>
      </c>
      <c r="D84" s="1292"/>
      <c r="E84" s="1645">
        <f t="shared" si="2"/>
        <v>0</v>
      </c>
      <c r="F84" s="1616"/>
      <c r="G84" s="1616"/>
      <c r="H84" s="1616"/>
      <c r="I84" s="1616"/>
      <c r="J84" s="1616"/>
      <c r="K84" s="1616"/>
      <c r="L84" s="1616"/>
      <c r="M84" s="1616"/>
      <c r="N84" s="1616"/>
      <c r="O84" s="1616"/>
      <c r="P84" s="1616"/>
      <c r="Q84" s="1616"/>
      <c r="R84" s="1616"/>
      <c r="S84" s="1616"/>
      <c r="T84" s="1616"/>
      <c r="U84" s="1616"/>
      <c r="V84" s="1616"/>
      <c r="W84" s="1616"/>
      <c r="X84" s="1616"/>
      <c r="Y84" s="1616"/>
      <c r="Z84" s="1616"/>
      <c r="AA84" s="1616"/>
      <c r="AB84" s="1616"/>
    </row>
    <row r="85" spans="1:28">
      <c r="A85" s="1616"/>
      <c r="B85" s="1606"/>
      <c r="C85" s="1720">
        <f t="shared" si="1"/>
        <v>0</v>
      </c>
      <c r="D85" s="1722" t="s">
        <v>649</v>
      </c>
      <c r="E85" s="1645">
        <f t="shared" si="2"/>
        <v>0</v>
      </c>
      <c r="F85" s="1616"/>
      <c r="G85" s="1616"/>
      <c r="H85" s="1616"/>
      <c r="I85" s="1616"/>
      <c r="J85" s="1616"/>
      <c r="K85" s="1616"/>
      <c r="L85" s="1616"/>
      <c r="M85" s="1616"/>
      <c r="N85" s="1616"/>
      <c r="O85" s="1616"/>
      <c r="P85" s="1616"/>
      <c r="Q85" s="1616"/>
      <c r="R85" s="1616"/>
      <c r="S85" s="1616"/>
      <c r="T85" s="1616"/>
      <c r="U85" s="1616"/>
      <c r="V85" s="1616"/>
      <c r="W85" s="1616"/>
      <c r="X85" s="1616"/>
      <c r="Y85" s="1616"/>
      <c r="Z85" s="1616"/>
      <c r="AA85" s="1616"/>
      <c r="AB85" s="1616"/>
    </row>
    <row r="86" spans="1:28">
      <c r="A86" s="1616"/>
      <c r="B86" s="1606"/>
      <c r="C86" s="1720">
        <f t="shared" si="1"/>
        <v>0</v>
      </c>
      <c r="D86" s="1723">
        <f>ROUNDUP(SUM(C81:C95),0)</f>
        <v>0</v>
      </c>
      <c r="E86" s="1645">
        <f t="shared" si="2"/>
        <v>0</v>
      </c>
      <c r="F86" s="1616"/>
      <c r="G86" s="1616"/>
      <c r="H86" s="1616"/>
      <c r="I86" s="1616"/>
      <c r="J86" s="1616"/>
      <c r="K86" s="1616"/>
      <c r="L86" s="1616"/>
      <c r="M86" s="1616"/>
      <c r="N86" s="1616"/>
      <c r="O86" s="1616"/>
      <c r="P86" s="1616"/>
      <c r="Q86" s="1616"/>
      <c r="R86" s="1616"/>
      <c r="S86" s="1616"/>
      <c r="T86" s="1616"/>
      <c r="U86" s="1616"/>
      <c r="V86" s="1616"/>
      <c r="W86" s="1616"/>
      <c r="X86" s="1616"/>
      <c r="Y86" s="1616"/>
      <c r="Z86" s="1616"/>
      <c r="AA86" s="1616"/>
      <c r="AB86" s="1616"/>
    </row>
    <row r="87" spans="1:28">
      <c r="A87" s="1616"/>
      <c r="B87" s="1606"/>
      <c r="C87" s="1720">
        <f t="shared" si="1"/>
        <v>0</v>
      </c>
      <c r="D87" s="1724"/>
      <c r="E87" s="1645">
        <f t="shared" si="2"/>
        <v>0</v>
      </c>
      <c r="F87" s="1616"/>
      <c r="G87" s="1616"/>
      <c r="H87" s="1616"/>
      <c r="I87" s="1616"/>
      <c r="J87" s="1616"/>
      <c r="K87" s="1616"/>
      <c r="L87" s="1616"/>
      <c r="M87" s="1616"/>
      <c r="N87" s="1616"/>
      <c r="O87" s="1616"/>
      <c r="P87" s="1616"/>
      <c r="Q87" s="1616"/>
      <c r="R87" s="1616"/>
      <c r="S87" s="1616"/>
      <c r="T87" s="1616"/>
      <c r="U87" s="1616"/>
      <c r="V87" s="1616"/>
      <c r="W87" s="1616"/>
      <c r="X87" s="1616"/>
      <c r="Y87" s="1616"/>
      <c r="Z87" s="1616"/>
      <c r="AA87" s="1616"/>
      <c r="AB87" s="1616"/>
    </row>
    <row r="88" spans="1:28">
      <c r="A88" s="1616"/>
      <c r="B88" s="1606"/>
      <c r="C88" s="1720">
        <f t="shared" ref="C88:C95" si="3">IFERROR(D70/1000,0)</f>
        <v>0</v>
      </c>
      <c r="D88" s="1722" t="str">
        <f>IF(D89&gt;1000,"Não fecha em 1 kg!","Atende em 1 kg")</f>
        <v>Atende em 1 kg</v>
      </c>
      <c r="E88" s="1645">
        <f t="shared" ref="E88:E95" si="4">IFERROR(E70/1000,0)</f>
        <v>0</v>
      </c>
      <c r="F88" s="1616"/>
      <c r="G88" s="1616"/>
      <c r="H88" s="1616"/>
      <c r="I88" s="1616"/>
      <c r="J88" s="1616"/>
      <c r="K88" s="1616"/>
      <c r="L88" s="1616"/>
      <c r="M88" s="1616"/>
      <c r="N88" s="1616"/>
      <c r="O88" s="1616"/>
      <c r="P88" s="1616"/>
      <c r="Q88" s="1616"/>
      <c r="R88" s="1616"/>
      <c r="S88" s="1616"/>
      <c r="T88" s="1616"/>
      <c r="U88" s="1616"/>
      <c r="V88" s="1616"/>
      <c r="W88" s="1616"/>
      <c r="X88" s="1616"/>
      <c r="Y88" s="1616"/>
      <c r="Z88" s="1616"/>
      <c r="AA88" s="1616"/>
      <c r="AB88" s="1616"/>
    </row>
    <row r="89" spans="1:28">
      <c r="A89" s="1616"/>
      <c r="B89" s="1606"/>
      <c r="C89" s="1720">
        <f t="shared" si="3"/>
        <v>0</v>
      </c>
      <c r="D89" s="1725">
        <f>ROUNDDOWN(SUM(E81:E95),0)</f>
        <v>0</v>
      </c>
      <c r="E89" s="1645">
        <f t="shared" si="4"/>
        <v>0</v>
      </c>
      <c r="F89" s="1616"/>
      <c r="G89" s="1616"/>
      <c r="H89" s="1616"/>
      <c r="I89" s="1616"/>
      <c r="J89" s="1616"/>
      <c r="K89" s="1616"/>
      <c r="L89" s="1616"/>
      <c r="M89" s="1616"/>
      <c r="N89" s="1616"/>
      <c r="O89" s="1616"/>
      <c r="P89" s="1616"/>
      <c r="Q89" s="1616"/>
      <c r="R89" s="1616"/>
      <c r="S89" s="1616"/>
      <c r="T89" s="1616"/>
      <c r="U89" s="1616"/>
      <c r="V89" s="1616"/>
      <c r="W89" s="1616"/>
      <c r="X89" s="1616"/>
      <c r="Y89" s="1616"/>
      <c r="Z89" s="1616"/>
      <c r="AA89" s="1616"/>
      <c r="AB89" s="1616"/>
    </row>
    <row r="90" spans="1:28">
      <c r="A90" s="1616"/>
      <c r="B90" s="1606"/>
      <c r="C90" s="1720">
        <f t="shared" si="3"/>
        <v>0</v>
      </c>
      <c r="D90" s="1292"/>
      <c r="E90" s="1645">
        <f t="shared" si="4"/>
        <v>0</v>
      </c>
      <c r="F90" s="1616"/>
      <c r="G90" s="1616"/>
      <c r="H90" s="1616"/>
      <c r="I90" s="1616"/>
      <c r="J90" s="1616"/>
      <c r="K90" s="1616"/>
      <c r="L90" s="1616"/>
      <c r="M90" s="1616"/>
      <c r="N90" s="1616"/>
      <c r="O90" s="1616"/>
      <c r="P90" s="1616"/>
      <c r="Q90" s="1616"/>
      <c r="R90" s="1616"/>
      <c r="S90" s="1616"/>
      <c r="T90" s="1616"/>
      <c r="U90" s="1616"/>
      <c r="V90" s="1616"/>
      <c r="W90" s="1616"/>
      <c r="X90" s="1616"/>
      <c r="Y90" s="1616"/>
      <c r="Z90" s="1616"/>
      <c r="AA90" s="1616"/>
      <c r="AB90" s="1616"/>
    </row>
    <row r="91" spans="1:28">
      <c r="A91" s="1616"/>
      <c r="B91" s="1606"/>
      <c r="C91" s="1720">
        <f t="shared" si="3"/>
        <v>0</v>
      </c>
      <c r="D91" s="1292"/>
      <c r="E91" s="1645">
        <f t="shared" si="4"/>
        <v>0</v>
      </c>
      <c r="F91" s="1616"/>
      <c r="G91" s="1616"/>
      <c r="H91" s="1616"/>
      <c r="I91" s="1616"/>
      <c r="J91" s="1616"/>
      <c r="K91" s="1616"/>
      <c r="L91" s="1616"/>
      <c r="M91" s="1616"/>
      <c r="N91" s="1616"/>
      <c r="O91" s="1616"/>
      <c r="P91" s="1616"/>
      <c r="Q91" s="1616"/>
      <c r="R91" s="1616"/>
      <c r="S91" s="1616"/>
      <c r="T91" s="1616"/>
      <c r="U91" s="1616"/>
      <c r="V91" s="1616"/>
      <c r="W91" s="1616"/>
      <c r="X91" s="1616"/>
      <c r="Y91" s="1616"/>
      <c r="Z91" s="1616"/>
      <c r="AA91" s="1616"/>
      <c r="AB91" s="1616"/>
    </row>
    <row r="92" spans="1:28">
      <c r="A92" s="1616"/>
      <c r="B92" s="1606"/>
      <c r="C92" s="1720">
        <f t="shared" si="3"/>
        <v>0</v>
      </c>
      <c r="D92" s="1292"/>
      <c r="E92" s="1645">
        <f t="shared" si="4"/>
        <v>0</v>
      </c>
      <c r="F92" s="1616"/>
      <c r="G92" s="1616"/>
      <c r="H92" s="1616"/>
      <c r="I92" s="1616"/>
      <c r="J92" s="1616"/>
      <c r="K92" s="1616"/>
      <c r="L92" s="1616"/>
      <c r="M92" s="1616"/>
      <c r="N92" s="1616"/>
      <c r="O92" s="1616"/>
      <c r="P92" s="1616"/>
      <c r="Q92" s="1616"/>
      <c r="R92" s="1616"/>
      <c r="S92" s="1616"/>
      <c r="T92" s="1616"/>
      <c r="U92" s="1616"/>
      <c r="V92" s="1616"/>
      <c r="W92" s="1616"/>
      <c r="X92" s="1616"/>
      <c r="Y92" s="1616"/>
      <c r="Z92" s="1616"/>
      <c r="AA92" s="1616"/>
      <c r="AB92" s="1616"/>
    </row>
    <row r="93" spans="1:28">
      <c r="A93" s="1616"/>
      <c r="B93" s="1606"/>
      <c r="C93" s="1720">
        <f t="shared" si="3"/>
        <v>0</v>
      </c>
      <c r="D93" s="1292"/>
      <c r="E93" s="1645">
        <f t="shared" si="4"/>
        <v>0</v>
      </c>
      <c r="F93" s="1616"/>
      <c r="G93" s="1616"/>
      <c r="H93" s="1616"/>
      <c r="I93" s="1616"/>
      <c r="J93" s="1616"/>
      <c r="K93" s="1616"/>
      <c r="L93" s="1616"/>
      <c r="M93" s="1616"/>
      <c r="N93" s="1616"/>
      <c r="O93" s="1616"/>
      <c r="P93" s="1616"/>
      <c r="Q93" s="1616"/>
      <c r="R93" s="1616"/>
      <c r="S93" s="1616"/>
      <c r="T93" s="1616"/>
      <c r="U93" s="1616"/>
      <c r="V93" s="1616"/>
      <c r="W93" s="1616"/>
      <c r="X93" s="1616"/>
      <c r="Y93" s="1616"/>
      <c r="Z93" s="1616"/>
      <c r="AA93" s="1616"/>
      <c r="AB93" s="1616"/>
    </row>
    <row r="94" spans="1:28">
      <c r="A94" s="1616"/>
      <c r="B94" s="1606"/>
      <c r="C94" s="1720">
        <f t="shared" si="3"/>
        <v>0</v>
      </c>
      <c r="D94" s="1292"/>
      <c r="E94" s="1645">
        <f t="shared" si="4"/>
        <v>0</v>
      </c>
      <c r="F94" s="1616"/>
      <c r="G94" s="1616"/>
      <c r="H94" s="1616"/>
      <c r="I94" s="1616"/>
      <c r="J94" s="1616"/>
      <c r="K94" s="1616"/>
      <c r="L94" s="1616"/>
      <c r="M94" s="1616"/>
      <c r="N94" s="1616"/>
      <c r="O94" s="1616"/>
      <c r="P94" s="1616"/>
      <c r="Q94" s="1616"/>
      <c r="R94" s="1616"/>
      <c r="S94" s="1616"/>
      <c r="T94" s="1616"/>
      <c r="U94" s="1616"/>
      <c r="V94" s="1616"/>
      <c r="W94" s="1616"/>
      <c r="X94" s="1616"/>
      <c r="Y94" s="1616"/>
      <c r="Z94" s="1616"/>
      <c r="AA94" s="1616"/>
      <c r="AB94" s="1616"/>
    </row>
    <row r="95" spans="1:28" ht="15" thickBot="1">
      <c r="A95" s="1616"/>
      <c r="B95" s="1606"/>
      <c r="C95" s="1726">
        <f t="shared" si="3"/>
        <v>0</v>
      </c>
      <c r="D95" s="1646"/>
      <c r="E95" s="1647">
        <f t="shared" si="4"/>
        <v>0</v>
      </c>
      <c r="F95" s="1616"/>
      <c r="G95" s="1616"/>
      <c r="H95" s="1616"/>
      <c r="I95" s="1616"/>
      <c r="J95" s="1616"/>
      <c r="K95" s="1616"/>
      <c r="L95" s="1616"/>
      <c r="M95" s="1616"/>
      <c r="N95" s="1616"/>
      <c r="O95" s="1616"/>
      <c r="P95" s="1616"/>
      <c r="Q95" s="1616"/>
      <c r="R95" s="1616"/>
      <c r="S95" s="1616"/>
      <c r="T95" s="1616"/>
      <c r="U95" s="1616"/>
      <c r="V95" s="1616"/>
      <c r="W95" s="1616"/>
      <c r="X95" s="1616"/>
      <c r="Y95" s="1616"/>
      <c r="Z95" s="1616"/>
      <c r="AA95" s="1616"/>
      <c r="AB95" s="1616"/>
    </row>
    <row r="96" spans="1:28">
      <c r="A96" s="1616"/>
      <c r="B96" s="1606"/>
      <c r="C96" s="1606"/>
      <c r="D96" s="1606"/>
      <c r="E96" s="1606"/>
      <c r="F96" s="1606"/>
      <c r="G96" s="1606"/>
      <c r="H96" s="1606"/>
      <c r="I96" s="1606"/>
      <c r="J96" s="1606"/>
      <c r="K96" s="1606"/>
      <c r="L96" s="1606"/>
      <c r="M96" s="1606"/>
      <c r="N96" s="1606"/>
      <c r="O96" s="1606"/>
      <c r="P96" s="1606"/>
      <c r="Q96" s="1606"/>
      <c r="R96" s="1606"/>
      <c r="S96" s="1606"/>
      <c r="T96" s="1606"/>
      <c r="U96" s="1606"/>
      <c r="V96" s="1606"/>
      <c r="W96" s="1606"/>
      <c r="X96" s="1606"/>
      <c r="Y96" s="1606"/>
      <c r="Z96" s="1606"/>
      <c r="AA96" s="1606"/>
      <c r="AB96" s="1606"/>
    </row>
    <row r="97" spans="1:28">
      <c r="A97" s="1616"/>
      <c r="B97" s="1606"/>
      <c r="C97" s="1606"/>
      <c r="D97" s="1606"/>
      <c r="E97" s="1606"/>
      <c r="F97" s="1606"/>
      <c r="G97" s="1606"/>
      <c r="H97" s="1606"/>
      <c r="I97" s="1606"/>
      <c r="J97" s="1606"/>
      <c r="K97" s="1606"/>
      <c r="L97" s="1606"/>
      <c r="M97" s="1606"/>
      <c r="N97" s="1606"/>
      <c r="O97" s="1606"/>
      <c r="P97" s="1606"/>
      <c r="Q97" s="1606"/>
      <c r="R97" s="1606"/>
      <c r="S97" s="1606"/>
      <c r="T97" s="1606"/>
      <c r="U97" s="1606"/>
      <c r="V97" s="1606"/>
      <c r="W97" s="1606"/>
      <c r="X97" s="1606"/>
      <c r="Y97" s="1606"/>
      <c r="Z97" s="1606"/>
      <c r="AA97" s="1606"/>
      <c r="AB97" s="1606"/>
    </row>
  </sheetData>
  <mergeCells count="6">
    <mergeCell ref="O42:AA42"/>
    <mergeCell ref="C19:C20"/>
    <mergeCell ref="C2:E2"/>
    <mergeCell ref="C4:E4"/>
    <mergeCell ref="C18:E18"/>
    <mergeCell ref="D19:E19"/>
  </mergeCells>
  <phoneticPr fontId="14" type="noConversion"/>
  <conditionalFormatting sqref="D63:E77">
    <cfRule type="cellIs" dxfId="57" priority="1" operator="equal">
      <formula>0</formula>
    </cfRule>
  </conditionalFormatting>
  <dataValidations count="1">
    <dataValidation type="list" allowBlank="1" showInputMessage="1" showErrorMessage="1" sqref="C11" xr:uid="{77272732-93A5-445A-8166-5FFAB77228A2}">
      <formula1>$C$6:$C$8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Option Button 3">
              <controlPr defaultSize="0" autoFill="0" autoLine="0" autoPict="0">
                <anchor moveWithCells="1">
                  <from>
                    <xdr:col>2</xdr:col>
                    <xdr:colOff>371475</xdr:colOff>
                    <xdr:row>19</xdr:row>
                    <xdr:rowOff>200025</xdr:rowOff>
                  </from>
                  <to>
                    <xdr:col>2</xdr:col>
                    <xdr:colOff>676275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Option Button 4">
              <controlPr defaultSize="0" autoFill="0" autoLine="0" autoPict="0">
                <anchor moveWithCells="1">
                  <from>
                    <xdr:col>2</xdr:col>
                    <xdr:colOff>381000</xdr:colOff>
                    <xdr:row>20</xdr:row>
                    <xdr:rowOff>161925</xdr:rowOff>
                  </from>
                  <to>
                    <xdr:col>2</xdr:col>
                    <xdr:colOff>685800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5" name="Option Button 5">
              <controlPr defaultSize="0" autoFill="0" autoLine="0" autoPict="0">
                <anchor moveWithCells="1">
                  <from>
                    <xdr:col>2</xdr:col>
                    <xdr:colOff>381000</xdr:colOff>
                    <xdr:row>21</xdr:row>
                    <xdr:rowOff>171450</xdr:rowOff>
                  </from>
                  <to>
                    <xdr:col>2</xdr:col>
                    <xdr:colOff>685800</xdr:colOff>
                    <xdr:row>26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D1A26-756C-4345-A56D-F3B35C6CABF1}">
  <sheetPr codeName="Planilha3">
    <tabColor rgb="FFFFFF00"/>
    <pageSetUpPr fitToPage="1"/>
  </sheetPr>
  <dimension ref="A1:BH144"/>
  <sheetViews>
    <sheetView showGridLines="0" showRowColHeaders="0" topLeftCell="A7" zoomScaleNormal="100" zoomScaleSheetLayoutView="112" workbookViewId="0">
      <pane xSplit="7" ySplit="5" topLeftCell="H96" activePane="bottomRight" state="frozen"/>
      <selection activeCell="G2" sqref="G2"/>
      <selection pane="topRight" activeCell="G2" sqref="G2"/>
      <selection pane="bottomLeft" activeCell="G2" sqref="G2"/>
      <selection pane="bottomRight" activeCell="B92" sqref="B92"/>
    </sheetView>
  </sheetViews>
  <sheetFormatPr defaultColWidth="0" defaultRowHeight="14.25" zeroHeight="1"/>
  <cols>
    <col min="1" max="1" width="1.875" style="808" customWidth="1"/>
    <col min="2" max="2" width="39.5" style="808" customWidth="1"/>
    <col min="3" max="3" width="15" style="808" customWidth="1"/>
    <col min="4" max="4" width="10.625" style="808" customWidth="1"/>
    <col min="5" max="5" width="11.75" style="808" customWidth="1"/>
    <col min="6" max="6" width="7.875" style="808" bestFit="1" customWidth="1"/>
    <col min="7" max="7" width="13.375" style="808" customWidth="1"/>
    <col min="8" max="8" width="1.25" style="808" customWidth="1"/>
    <col min="9" max="29" width="12.875" style="808" customWidth="1"/>
    <col min="30" max="31" width="12.875" customWidth="1"/>
    <col min="32" max="51" width="12.875" style="808" customWidth="1"/>
    <col min="52" max="52" width="2.125" style="808" customWidth="1"/>
    <col min="53" max="53" width="11.5" style="808" customWidth="1"/>
    <col min="54" max="55" width="9" style="808" customWidth="1"/>
    <col min="56" max="60" width="0" style="808" hidden="1" customWidth="1"/>
    <col min="61" max="16384" width="9" style="808" hidden="1"/>
  </cols>
  <sheetData>
    <row r="1" spans="1:60" ht="6" hidden="1" customHeight="1">
      <c r="A1" s="923"/>
      <c r="B1" s="922" t="str">
        <f ca="1">TEXT(NOW(),"AAMMDD")&amp;TEXT(NOW(),"hhmmss")&amp;" Ficha de Suplemento Proteinado"</f>
        <v>240107120423 Ficha de Suplemento Proteinado</v>
      </c>
      <c r="C1" s="842"/>
      <c r="D1" s="842"/>
      <c r="E1" s="842"/>
      <c r="F1" s="842"/>
      <c r="G1" s="842"/>
      <c r="H1" s="842"/>
      <c r="I1" s="842"/>
      <c r="J1" s="842"/>
      <c r="K1" s="842"/>
      <c r="L1" s="842"/>
      <c r="M1" s="842"/>
      <c r="N1" s="842"/>
      <c r="O1" s="842"/>
      <c r="P1" s="842"/>
      <c r="Q1" s="842"/>
      <c r="R1" s="842"/>
      <c r="S1" s="842"/>
      <c r="T1" s="842"/>
      <c r="U1" s="842"/>
      <c r="V1" s="842"/>
      <c r="W1" s="842"/>
      <c r="X1" s="842"/>
      <c r="Y1" s="842"/>
      <c r="Z1" s="842"/>
      <c r="AA1" s="842"/>
      <c r="AB1" s="842"/>
      <c r="AC1" s="842"/>
      <c r="AD1" s="842"/>
      <c r="AE1" s="842"/>
      <c r="AF1" s="842"/>
      <c r="AG1" s="842"/>
      <c r="AH1" s="842"/>
      <c r="AI1" s="842"/>
      <c r="AJ1" s="842"/>
      <c r="AK1" s="842"/>
      <c r="AL1" s="842"/>
      <c r="AM1" s="842"/>
      <c r="AN1" s="842"/>
      <c r="AO1" s="842"/>
      <c r="AP1" s="842"/>
      <c r="AQ1" s="842"/>
      <c r="AR1" s="842"/>
      <c r="AS1" s="842"/>
      <c r="AT1" s="842"/>
      <c r="AU1" s="842"/>
      <c r="AV1" s="842"/>
      <c r="AW1" s="842"/>
      <c r="AX1" s="842"/>
      <c r="AY1" s="842"/>
      <c r="AZ1" s="842"/>
      <c r="BA1" s="842"/>
      <c r="BB1" s="842"/>
      <c r="BC1" s="842"/>
      <c r="BD1" s="842"/>
      <c r="BE1" s="842"/>
      <c r="BF1" s="842"/>
      <c r="BG1" s="842"/>
      <c r="BH1" s="842"/>
    </row>
    <row r="2" spans="1:60" s="845" customFormat="1" ht="15" hidden="1">
      <c r="A2" s="844"/>
      <c r="B2" s="844"/>
      <c r="C2" s="844"/>
      <c r="D2" s="844"/>
      <c r="E2" s="844"/>
      <c r="F2" s="844"/>
      <c r="G2" s="844"/>
      <c r="H2" s="844"/>
      <c r="I2" s="844"/>
      <c r="J2" s="844"/>
      <c r="K2" s="844"/>
      <c r="L2" s="844"/>
      <c r="M2" s="844"/>
      <c r="N2" s="844"/>
      <c r="O2" s="844"/>
      <c r="P2" s="844"/>
      <c r="Q2" s="844"/>
      <c r="R2" s="844"/>
      <c r="S2" s="844"/>
      <c r="T2" s="844"/>
      <c r="U2" s="844"/>
      <c r="V2" s="844"/>
      <c r="W2" s="844"/>
      <c r="X2" s="844"/>
      <c r="Y2" s="844"/>
      <c r="Z2" s="844"/>
      <c r="AA2" s="844"/>
      <c r="AB2" s="844"/>
      <c r="AC2" s="844"/>
      <c r="AD2" s="844"/>
      <c r="AE2" s="844"/>
      <c r="AF2" s="844"/>
      <c r="AG2" s="844"/>
      <c r="AH2" s="844"/>
      <c r="AI2" s="844"/>
      <c r="AJ2" s="844"/>
      <c r="AK2" s="844"/>
      <c r="AL2" s="844"/>
      <c r="AM2" s="844"/>
      <c r="AN2" s="844"/>
      <c r="AO2" s="844"/>
      <c r="AP2" s="844"/>
      <c r="AQ2" s="844"/>
      <c r="AR2" s="844"/>
      <c r="AS2" s="844"/>
      <c r="AT2" s="844"/>
      <c r="AU2" s="844"/>
      <c r="AV2" s="844"/>
      <c r="AW2" s="844"/>
      <c r="AX2" s="844"/>
      <c r="AY2" s="844"/>
      <c r="AZ2" s="844"/>
      <c r="BA2" s="844"/>
      <c r="BB2" s="844"/>
      <c r="BC2" s="844"/>
      <c r="BD2" s="844"/>
      <c r="BE2" s="844"/>
      <c r="BF2" s="844"/>
      <c r="BG2" s="844"/>
      <c r="BH2" s="844"/>
    </row>
    <row r="3" spans="1:60" ht="15.75" hidden="1">
      <c r="A3" s="841"/>
      <c r="B3" s="841"/>
      <c r="C3" s="841"/>
      <c r="D3" s="841"/>
      <c r="E3" s="841"/>
      <c r="F3" s="841"/>
      <c r="G3" s="841"/>
      <c r="H3" s="841"/>
      <c r="I3" s="841"/>
      <c r="J3" s="841"/>
      <c r="K3" s="841"/>
      <c r="L3" s="841"/>
      <c r="M3" s="841"/>
      <c r="N3" s="841"/>
      <c r="O3" s="841"/>
      <c r="P3" s="841"/>
      <c r="Q3" s="841"/>
      <c r="R3" s="841"/>
      <c r="S3" s="841"/>
      <c r="T3" s="841"/>
      <c r="U3" s="841"/>
      <c r="V3" s="841"/>
      <c r="W3" s="841"/>
      <c r="X3" s="841"/>
      <c r="Y3" s="841"/>
      <c r="Z3" s="841"/>
      <c r="AA3" s="841"/>
      <c r="AB3" s="841"/>
      <c r="AC3" s="841"/>
      <c r="AD3" s="841"/>
      <c r="AE3" s="841"/>
      <c r="AF3" s="841"/>
      <c r="AG3" s="841"/>
      <c r="AH3" s="841"/>
      <c r="AI3" s="841"/>
      <c r="AJ3" s="841"/>
      <c r="AK3" s="841"/>
      <c r="AL3" s="841"/>
      <c r="AM3" s="841"/>
      <c r="AN3" s="841"/>
      <c r="AO3" s="841"/>
      <c r="AP3" s="841"/>
      <c r="AQ3" s="841"/>
      <c r="AR3" s="841"/>
      <c r="AS3" s="841"/>
      <c r="AT3" s="841"/>
      <c r="AU3" s="841"/>
      <c r="AV3" s="841"/>
      <c r="AW3" s="841"/>
      <c r="AX3" s="841"/>
      <c r="AY3" s="841"/>
      <c r="AZ3" s="841"/>
      <c r="BA3" s="841"/>
      <c r="BB3" s="841"/>
      <c r="BC3" s="841"/>
      <c r="BD3" s="841"/>
      <c r="BE3" s="841"/>
      <c r="BF3" s="841"/>
      <c r="BG3" s="841"/>
      <c r="BH3" s="841"/>
    </row>
    <row r="4" spans="1:60" ht="15.75" hidden="1">
      <c r="A4" s="841"/>
      <c r="B4" s="841"/>
      <c r="C4" s="841"/>
      <c r="D4" s="841"/>
      <c r="E4" s="841"/>
      <c r="F4" s="841"/>
      <c r="G4" s="841"/>
      <c r="H4" s="841"/>
      <c r="I4" s="841"/>
      <c r="J4" s="841"/>
      <c r="K4" s="841"/>
      <c r="L4" s="841"/>
      <c r="M4" s="841"/>
      <c r="N4" s="841"/>
      <c r="O4" s="841"/>
      <c r="P4" s="841"/>
      <c r="Q4" s="841"/>
      <c r="R4" s="841"/>
      <c r="S4" s="841"/>
      <c r="T4" s="841"/>
      <c r="U4" s="841"/>
      <c r="V4" s="841"/>
      <c r="W4" s="841"/>
      <c r="X4" s="841"/>
      <c r="Y4" s="841"/>
      <c r="Z4" s="841"/>
      <c r="AA4" s="841"/>
      <c r="AB4" s="841"/>
      <c r="AC4" s="841"/>
      <c r="AD4" s="841"/>
      <c r="AE4" s="841"/>
      <c r="AF4" s="841"/>
      <c r="AG4" s="841"/>
      <c r="AH4" s="841"/>
      <c r="AI4" s="841"/>
      <c r="AJ4" s="841"/>
      <c r="AK4" s="841"/>
      <c r="AL4" s="841"/>
      <c r="AM4" s="841"/>
      <c r="AN4" s="841"/>
      <c r="AO4" s="841"/>
      <c r="AP4" s="841"/>
      <c r="AQ4" s="841"/>
      <c r="AR4" s="841"/>
      <c r="AS4" s="841"/>
      <c r="AT4" s="841"/>
      <c r="AU4" s="841"/>
      <c r="AV4" s="841"/>
      <c r="AW4" s="841"/>
      <c r="AX4" s="841"/>
      <c r="AY4" s="841"/>
      <c r="AZ4" s="841"/>
      <c r="BA4" s="841"/>
      <c r="BB4" s="841"/>
      <c r="BC4" s="841"/>
      <c r="BD4" s="841"/>
      <c r="BE4" s="841"/>
      <c r="BF4" s="841"/>
      <c r="BG4" s="841"/>
      <c r="BH4" s="841"/>
    </row>
    <row r="5" spans="1:60" ht="15.75" hidden="1">
      <c r="A5" s="841"/>
      <c r="B5" s="841"/>
      <c r="C5" s="841"/>
      <c r="D5" s="841"/>
      <c r="E5" s="841"/>
      <c r="F5" s="841"/>
      <c r="G5" s="841"/>
      <c r="H5" s="841"/>
      <c r="I5" s="841"/>
      <c r="J5" s="841"/>
      <c r="K5" s="841"/>
      <c r="L5" s="841"/>
      <c r="M5" s="841"/>
      <c r="N5" s="841"/>
      <c r="O5" s="841"/>
      <c r="P5" s="841"/>
      <c r="Q5" s="841"/>
      <c r="R5" s="841"/>
      <c r="S5" s="841"/>
      <c r="T5" s="841"/>
      <c r="U5" s="841"/>
      <c r="V5" s="841"/>
      <c r="W5" s="841"/>
      <c r="X5" s="841"/>
      <c r="Y5" s="841"/>
      <c r="Z5" s="841"/>
      <c r="AA5" s="841"/>
      <c r="AB5" s="841"/>
      <c r="AC5" s="841"/>
      <c r="AD5" s="841"/>
      <c r="AE5" s="841"/>
      <c r="AF5" s="841"/>
      <c r="AG5" s="841"/>
      <c r="AH5" s="841"/>
      <c r="AI5" s="841"/>
      <c r="AJ5" s="841"/>
      <c r="AK5" s="841"/>
      <c r="AL5" s="841"/>
      <c r="AM5" s="841"/>
      <c r="AN5" s="841"/>
      <c r="AO5" s="841"/>
      <c r="AP5" s="841"/>
      <c r="AQ5" s="841"/>
      <c r="AR5" s="841"/>
      <c r="AS5" s="841"/>
      <c r="AT5" s="841"/>
      <c r="AU5" s="841"/>
      <c r="AV5" s="841"/>
      <c r="AW5" s="841"/>
      <c r="AX5" s="841"/>
      <c r="AY5" s="841"/>
      <c r="AZ5" s="841"/>
      <c r="BA5" s="841"/>
      <c r="BB5" s="841"/>
      <c r="BC5" s="841"/>
      <c r="BD5" s="841"/>
      <c r="BE5" s="841"/>
      <c r="BF5" s="841"/>
      <c r="BG5" s="841"/>
      <c r="BH5" s="841"/>
    </row>
    <row r="6" spans="1:60" ht="15.75" hidden="1">
      <c r="A6" s="841"/>
      <c r="B6" s="841"/>
      <c r="C6" s="841"/>
      <c r="D6" s="841"/>
      <c r="E6" s="841"/>
      <c r="F6" s="841"/>
      <c r="G6" s="841"/>
      <c r="H6" s="841"/>
      <c r="I6" s="841"/>
      <c r="J6" s="841"/>
      <c r="K6" s="841"/>
      <c r="L6" s="841"/>
      <c r="M6" s="841"/>
      <c r="N6" s="841"/>
      <c r="O6" s="841"/>
      <c r="P6" s="841"/>
      <c r="Q6" s="841"/>
      <c r="R6" s="841"/>
      <c r="S6" s="841"/>
      <c r="T6" s="841"/>
      <c r="U6" s="841"/>
      <c r="V6" s="841"/>
      <c r="W6" s="841"/>
      <c r="X6" s="841"/>
      <c r="Y6" s="841"/>
      <c r="Z6" s="841"/>
      <c r="AA6" s="841"/>
      <c r="AB6" s="841"/>
      <c r="AC6" s="841"/>
      <c r="AD6" s="841"/>
      <c r="AE6" s="841"/>
      <c r="AF6" s="841"/>
      <c r="AG6" s="841"/>
      <c r="AH6" s="841"/>
      <c r="AI6" s="841"/>
      <c r="AJ6" s="841"/>
      <c r="AK6" s="841"/>
      <c r="AL6" s="841"/>
      <c r="AM6" s="841"/>
      <c r="AN6" s="841"/>
      <c r="AO6" s="841"/>
      <c r="AP6" s="841"/>
      <c r="AQ6" s="841"/>
      <c r="AR6" s="841"/>
      <c r="AS6" s="841"/>
      <c r="AT6" s="841"/>
      <c r="AU6" s="841"/>
      <c r="AV6" s="841"/>
      <c r="AW6" s="841"/>
      <c r="AX6" s="841"/>
      <c r="AY6" s="841"/>
      <c r="AZ6" s="841"/>
      <c r="BA6" s="841"/>
      <c r="BB6" s="841"/>
      <c r="BC6" s="841"/>
      <c r="BD6" s="841"/>
      <c r="BE6" s="841"/>
      <c r="BF6" s="841"/>
      <c r="BG6" s="841"/>
      <c r="BH6" s="841"/>
    </row>
    <row r="7" spans="1:60" ht="21.75" customHeight="1">
      <c r="A7" s="1504">
        <f>SUMPRODUCT(C12:C30,G12:G30)</f>
        <v>1.9395964810372326</v>
      </c>
      <c r="B7" s="841"/>
      <c r="C7" s="841"/>
      <c r="D7" s="841"/>
      <c r="E7" s="841"/>
      <c r="F7" s="841"/>
      <c r="G7" s="841"/>
      <c r="H7" s="841"/>
      <c r="I7" s="841"/>
      <c r="J7" s="841"/>
      <c r="K7" s="841"/>
      <c r="L7" s="841"/>
      <c r="M7" s="841"/>
      <c r="N7" s="841"/>
      <c r="O7" s="841"/>
      <c r="P7" s="841"/>
      <c r="Q7" s="841"/>
      <c r="R7" s="841"/>
      <c r="S7" s="841"/>
      <c r="T7" s="841"/>
      <c r="U7" s="841"/>
      <c r="V7" s="841"/>
      <c r="W7" s="841"/>
      <c r="X7" s="841"/>
      <c r="Y7" s="841"/>
      <c r="Z7" s="841"/>
      <c r="AA7" s="841"/>
      <c r="AB7" s="841"/>
      <c r="AC7" s="841"/>
      <c r="AD7" s="841"/>
      <c r="AE7" s="841"/>
      <c r="AF7" s="841"/>
      <c r="AG7" s="841"/>
      <c r="AH7" s="841"/>
      <c r="AI7" s="841"/>
      <c r="AJ7" s="841"/>
      <c r="AK7" s="841"/>
      <c r="AL7" s="841"/>
      <c r="AM7" s="841"/>
      <c r="AN7" s="841"/>
      <c r="AO7" s="841"/>
      <c r="AP7" s="841"/>
      <c r="AQ7" s="841"/>
      <c r="AR7" s="841"/>
      <c r="AS7" s="841"/>
      <c r="AT7" s="841"/>
      <c r="AU7" s="841"/>
      <c r="AV7" s="841"/>
      <c r="AW7" s="841"/>
      <c r="AX7" s="841"/>
      <c r="AY7" s="841"/>
      <c r="AZ7" s="841"/>
      <c r="BA7" s="841"/>
      <c r="BB7" s="841"/>
      <c r="BC7" s="841"/>
      <c r="BD7" s="841"/>
      <c r="BE7" s="841"/>
      <c r="BF7" s="841"/>
      <c r="BG7" s="841"/>
      <c r="BH7" s="841"/>
    </row>
    <row r="8" spans="1:60" ht="6.75" customHeight="1" thickBot="1">
      <c r="A8" s="842"/>
      <c r="B8" s="846"/>
      <c r="C8" s="847"/>
      <c r="D8" s="841"/>
      <c r="E8" s="848"/>
      <c r="F8" s="841"/>
      <c r="G8" s="841"/>
      <c r="H8" s="841"/>
      <c r="I8" s="841"/>
      <c r="J8" s="841"/>
      <c r="K8" s="841"/>
      <c r="L8" s="841"/>
      <c r="M8" s="841"/>
      <c r="N8" s="841"/>
      <c r="O8" s="841"/>
      <c r="P8" s="841"/>
      <c r="Q8" s="841"/>
      <c r="R8" s="841"/>
      <c r="S8" s="841"/>
      <c r="T8" s="841"/>
      <c r="U8" s="841"/>
      <c r="V8" s="841"/>
      <c r="W8" s="841"/>
      <c r="X8" s="841"/>
      <c r="Y8" s="841"/>
      <c r="Z8" s="841"/>
      <c r="AA8" s="841"/>
      <c r="AB8" s="841"/>
      <c r="AC8" s="841"/>
      <c r="AD8" s="841"/>
      <c r="AE8" s="841"/>
      <c r="AF8" s="841"/>
      <c r="AG8" s="841"/>
      <c r="AH8" s="841"/>
      <c r="AI8" s="841"/>
      <c r="AJ8" s="841"/>
      <c r="AK8" s="841"/>
      <c r="AL8" s="841"/>
      <c r="AM8" s="841"/>
      <c r="AN8" s="841"/>
      <c r="AO8" s="841"/>
      <c r="AP8" s="841"/>
      <c r="AQ8" s="841"/>
      <c r="AR8" s="841"/>
      <c r="AS8" s="841"/>
      <c r="AT8" s="841"/>
      <c r="AU8" s="841"/>
      <c r="AV8" s="841"/>
      <c r="AW8" s="841"/>
      <c r="AX8" s="841"/>
      <c r="AY8" s="841"/>
      <c r="AZ8" s="841"/>
      <c r="BA8" s="841"/>
      <c r="BB8" s="841"/>
      <c r="BC8" s="841"/>
      <c r="BD8" s="841"/>
      <c r="BE8" s="841"/>
      <c r="BF8" s="841"/>
      <c r="BG8" s="841"/>
      <c r="BH8" s="841"/>
    </row>
    <row r="9" spans="1:60" ht="35.25" customHeight="1">
      <c r="A9" s="842"/>
      <c r="B9" s="2181" t="s">
        <v>1451</v>
      </c>
      <c r="C9" s="2182"/>
      <c r="D9" s="2182"/>
      <c r="E9" s="2182"/>
      <c r="F9" s="2182"/>
      <c r="G9" s="2183"/>
      <c r="H9" s="841"/>
      <c r="I9" s="380" t="str">
        <f>Alimentos!H4</f>
        <v>Matéria Seca</v>
      </c>
      <c r="J9" s="380" t="str">
        <f>Alimentos!I4</f>
        <v>Fibra em 
Detergente Neutro</v>
      </c>
      <c r="K9" s="380" t="str">
        <f>Alimentos!J4</f>
        <v>Fibra em 
Detergente Ácido</v>
      </c>
      <c r="L9" s="380" t="str">
        <f>Alimentos!K4</f>
        <v>Carboidratos Não Fibrosos</v>
      </c>
      <c r="M9" s="380" t="str">
        <f>Alimentos!L4</f>
        <v>Nutrientes Digestíveis Totais</v>
      </c>
      <c r="N9" s="380" t="str">
        <f>Alimentos!M4</f>
        <v>Energia Digestível (Bovinos)</v>
      </c>
      <c r="O9" s="380" t="str">
        <f>Alimentos!N4</f>
        <v>Energia Metabolizável (Bovinos)</v>
      </c>
      <c r="P9" s="380" t="str">
        <f>Alimentos!O4</f>
        <v>Energia Líquida (Bovinos)</v>
      </c>
      <c r="Q9" s="380" t="str">
        <f>Alimentos!P4</f>
        <v>Gordura</v>
      </c>
      <c r="R9" s="380" t="str">
        <f>Alimentos!Q4</f>
        <v>Proteína Bruta</v>
      </c>
      <c r="S9" s="380" t="str">
        <f>Alimentos!R4</f>
        <v>Proteína Degradável no Rúmen</v>
      </c>
      <c r="T9" s="380" t="str">
        <f>Alimentos!S4</f>
        <v>Proteína Não Degradável no Rúmen</v>
      </c>
      <c r="U9" s="380" t="str">
        <f>Alimentos!T4</f>
        <v>Proteína Metabolizável</v>
      </c>
      <c r="V9" s="380" t="str">
        <f>Alimentos!U4</f>
        <v>Proteína (NNP)</v>
      </c>
      <c r="W9" s="380" t="str">
        <f>Alimentos!V4</f>
        <v>Cálcio</v>
      </c>
      <c r="X9" s="380" t="str">
        <f>Alimentos!W4</f>
        <v>Fósforo</v>
      </c>
      <c r="Y9" s="380" t="str">
        <f>Alimentos!X4</f>
        <v>Magnésio</v>
      </c>
      <c r="Z9" s="380" t="str">
        <f>Alimentos!Y4</f>
        <v>Sódio</v>
      </c>
      <c r="AA9" s="380" t="str">
        <f>Alimentos!Z4</f>
        <v>Potássio</v>
      </c>
      <c r="AB9" s="380" t="str">
        <f>Alimentos!AA4</f>
        <v>Enxofre</v>
      </c>
      <c r="AC9" s="380" t="str">
        <f>Alimentos!AB4</f>
        <v>Cobre</v>
      </c>
      <c r="AD9" s="380" t="str">
        <f>Alimentos!AC4</f>
        <v>Zinco</v>
      </c>
      <c r="AE9" s="380" t="str">
        <f>Alimentos!AD4</f>
        <v>Ferro</v>
      </c>
      <c r="AF9" s="380" t="str">
        <f>Alimentos!AE4</f>
        <v>Manganês</v>
      </c>
      <c r="AG9" s="380" t="str">
        <f>Alimentos!AF4</f>
        <v>Iodo</v>
      </c>
      <c r="AH9" s="380" t="str">
        <f>Alimentos!AG4</f>
        <v>Cobalto</v>
      </c>
      <c r="AI9" s="380" t="str">
        <f>Alimentos!AH4</f>
        <v>Selênio</v>
      </c>
      <c r="AJ9" s="380" t="str">
        <f>Alimentos!AI4</f>
        <v>Lisina</v>
      </c>
      <c r="AK9" s="380" t="str">
        <f>Alimentos!AJ4</f>
        <v>Metionina</v>
      </c>
      <c r="AL9" s="380" t="str">
        <f>Alimentos!AK4</f>
        <v>Monensina</v>
      </c>
      <c r="AM9" s="380" t="str">
        <f>Alimentos!AL4</f>
        <v>Vitamina A</v>
      </c>
      <c r="AN9" s="380" t="str">
        <f>Alimentos!AM4</f>
        <v>Vitamina B</v>
      </c>
      <c r="AO9" s="380" t="str">
        <f>Alimentos!AN4</f>
        <v>Vitamina D</v>
      </c>
      <c r="AP9" s="380" t="str">
        <f>Alimentos!AO4</f>
        <v>Vitamina E</v>
      </c>
      <c r="AQ9" s="380" t="str">
        <f>Alimentos!AP4</f>
        <v>Nutriente Novo 01</v>
      </c>
      <c r="AR9" s="380" t="str">
        <f>Alimentos!AQ4</f>
        <v>Nutriente Novo 02</v>
      </c>
      <c r="AS9" s="380" t="str">
        <f>Alimentos!AR4</f>
        <v>Nutriente Novo 03</v>
      </c>
      <c r="AT9" s="380" t="str">
        <f>Alimentos!AS4</f>
        <v>Nutriente Novo 04</v>
      </c>
      <c r="AU9" s="380" t="str">
        <f>Alimentos!AT4</f>
        <v>Nutriente Novo 05</v>
      </c>
      <c r="AV9" s="380" t="str">
        <f>Alimentos!AU4</f>
        <v>Nutriente Novo 06</v>
      </c>
      <c r="AW9" s="380" t="str">
        <f>Alimentos!AV4</f>
        <v>Nutriente Novo 07</v>
      </c>
      <c r="AX9" s="380" t="str">
        <f>Alimentos!AW4</f>
        <v>Nutriente Novo 08</v>
      </c>
      <c r="AY9" s="380" t="str">
        <f>Alimentos!AX4</f>
        <v>Nutriente Novo 09</v>
      </c>
      <c r="AZ9" s="841"/>
      <c r="BA9" s="2179" t="s">
        <v>1298</v>
      </c>
      <c r="BB9" s="2179" t="s">
        <v>1296</v>
      </c>
      <c r="BC9" s="2179" t="str">
        <f>I9</f>
        <v>Matéria Seca</v>
      </c>
      <c r="BD9" s="2165" t="s">
        <v>1234</v>
      </c>
      <c r="BE9" s="2165" t="s">
        <v>81</v>
      </c>
      <c r="BF9" s="842"/>
      <c r="BG9" s="842"/>
      <c r="BH9" s="842"/>
    </row>
    <row r="10" spans="1:60" ht="18.75" customHeight="1">
      <c r="A10" s="842"/>
      <c r="B10" s="2184" t="str">
        <f>MPR!A126</f>
        <v xml:space="preserve"> 0,5%</v>
      </c>
      <c r="C10" s="2185"/>
      <c r="D10" s="2185"/>
      <c r="E10" s="2185"/>
      <c r="F10" s="2185"/>
      <c r="G10" s="2186"/>
      <c r="H10" s="841"/>
      <c r="I10" s="380" t="str">
        <f>Alimentos!H3</f>
        <v>kg</v>
      </c>
      <c r="J10" s="380" t="str">
        <f>Alimentos!I3</f>
        <v>kg</v>
      </c>
      <c r="K10" s="380" t="str">
        <f>Alimentos!J3</f>
        <v>kg</v>
      </c>
      <c r="L10" s="380" t="str">
        <f>Alimentos!K3</f>
        <v>kg</v>
      </c>
      <c r="M10" s="380" t="str">
        <f>Alimentos!L3</f>
        <v>kg</v>
      </c>
      <c r="N10" s="380" t="str">
        <f>Alimentos!M3</f>
        <v>Mcal</v>
      </c>
      <c r="O10" s="380" t="str">
        <f>Alimentos!N3</f>
        <v>Mcal</v>
      </c>
      <c r="P10" s="380" t="str">
        <f>Alimentos!O3</f>
        <v>Mcal</v>
      </c>
      <c r="Q10" s="380" t="str">
        <f>Alimentos!P3</f>
        <v>g</v>
      </c>
      <c r="R10" s="380" t="str">
        <f>Alimentos!Q3</f>
        <v>g</v>
      </c>
      <c r="S10" s="380" t="str">
        <f>Alimentos!R3</f>
        <v>g</v>
      </c>
      <c r="T10" s="380" t="str">
        <f>Alimentos!S3</f>
        <v>g</v>
      </c>
      <c r="U10" s="380" t="str">
        <f>Alimentos!T3</f>
        <v>g</v>
      </c>
      <c r="V10" s="380" t="str">
        <f>Alimentos!U3</f>
        <v>g</v>
      </c>
      <c r="W10" s="380" t="str">
        <f>Alimentos!V3</f>
        <v>g</v>
      </c>
      <c r="X10" s="380" t="str">
        <f>Alimentos!W3</f>
        <v>g</v>
      </c>
      <c r="Y10" s="380" t="str">
        <f>Alimentos!X3</f>
        <v>g</v>
      </c>
      <c r="Z10" s="380" t="str">
        <f>Alimentos!Y3</f>
        <v>g</v>
      </c>
      <c r="AA10" s="380" t="str">
        <f>Alimentos!Z3</f>
        <v>g</v>
      </c>
      <c r="AB10" s="380" t="str">
        <f>Alimentos!AA3</f>
        <v>g</v>
      </c>
      <c r="AC10" s="380" t="str">
        <f>Alimentos!AB3</f>
        <v>mg</v>
      </c>
      <c r="AD10" s="380" t="str">
        <f>Alimentos!AC3</f>
        <v>mg</v>
      </c>
      <c r="AE10" s="380" t="str">
        <f>Alimentos!AD3</f>
        <v>mg</v>
      </c>
      <c r="AF10" s="380" t="str">
        <f>Alimentos!AE3</f>
        <v>mg</v>
      </c>
      <c r="AG10" s="380" t="str">
        <f>Alimentos!AF3</f>
        <v>mg</v>
      </c>
      <c r="AH10" s="380" t="str">
        <f>Alimentos!AG3</f>
        <v>mg</v>
      </c>
      <c r="AI10" s="380" t="str">
        <f>Alimentos!AH3</f>
        <v>mg</v>
      </c>
      <c r="AJ10" s="380" t="str">
        <f>Alimentos!AI3</f>
        <v>g</v>
      </c>
      <c r="AK10" s="380" t="str">
        <f>Alimentos!AJ3</f>
        <v>g</v>
      </c>
      <c r="AL10" s="380" t="str">
        <f>Alimentos!AK3</f>
        <v>ppm</v>
      </c>
      <c r="AM10" s="380" t="str">
        <f>Alimentos!AL3</f>
        <v>UI</v>
      </c>
      <c r="AN10" s="380" t="str">
        <f>Alimentos!AM3</f>
        <v>UI</v>
      </c>
      <c r="AO10" s="380" t="str">
        <f>Alimentos!AN3</f>
        <v>UI</v>
      </c>
      <c r="AP10" s="380" t="str">
        <f>Alimentos!AO3</f>
        <v>UI</v>
      </c>
      <c r="AQ10" s="380" t="str">
        <f>Alimentos!AP3</f>
        <v>-</v>
      </c>
      <c r="AR10" s="380" t="str">
        <f>Alimentos!AQ3</f>
        <v>-</v>
      </c>
      <c r="AS10" s="380" t="str">
        <f>Alimentos!AR3</f>
        <v>-</v>
      </c>
      <c r="AT10" s="380" t="str">
        <f>Alimentos!AS3</f>
        <v>-</v>
      </c>
      <c r="AU10" s="380" t="str">
        <f>Alimentos!AT3</f>
        <v>-</v>
      </c>
      <c r="AV10" s="380" t="str">
        <f>Alimentos!AU3</f>
        <v>-</v>
      </c>
      <c r="AW10" s="380" t="str">
        <f>Alimentos!AV3</f>
        <v>-</v>
      </c>
      <c r="AX10" s="380" t="str">
        <f>Alimentos!AW3</f>
        <v>-</v>
      </c>
      <c r="AY10" s="380" t="str">
        <f>Alimentos!AX3</f>
        <v>-</v>
      </c>
      <c r="AZ10" s="841"/>
      <c r="BA10" s="2180"/>
      <c r="BB10" s="2180"/>
      <c r="BC10" s="2180"/>
      <c r="BD10" s="2166"/>
      <c r="BE10" s="2166"/>
      <c r="BF10" s="842"/>
      <c r="BG10" s="842"/>
      <c r="BH10" s="842"/>
    </row>
    <row r="11" spans="1:60" ht="36.75" thickBot="1">
      <c r="A11" s="842"/>
      <c r="B11" s="1511" t="s">
        <v>651</v>
      </c>
      <c r="C11" s="1512" t="s">
        <v>58</v>
      </c>
      <c r="D11" s="1513" t="s">
        <v>1443</v>
      </c>
      <c r="E11" s="1513" t="s">
        <v>1444</v>
      </c>
      <c r="F11" s="1514" t="s">
        <v>1452</v>
      </c>
      <c r="G11" s="1515" t="s">
        <v>1453</v>
      </c>
      <c r="H11" s="841"/>
      <c r="I11" s="264" t="str">
        <f>Alimentos!H2</f>
        <v>MS</v>
      </c>
      <c r="J11" s="264" t="str">
        <f>Alimentos!I2</f>
        <v>FDN</v>
      </c>
      <c r="K11" s="264" t="str">
        <f>Alimentos!J2</f>
        <v>FDA</v>
      </c>
      <c r="L11" s="264" t="str">
        <f>Alimentos!K2</f>
        <v>CNF</v>
      </c>
      <c r="M11" s="264" t="str">
        <f>Alimentos!L2</f>
        <v>NDT</v>
      </c>
      <c r="N11" s="264" t="str">
        <f>Alimentos!M2</f>
        <v>ED</v>
      </c>
      <c r="O11" s="264" t="str">
        <f>Alimentos!N2</f>
        <v>EM</v>
      </c>
      <c r="P11" s="264" t="str">
        <f>Alimentos!O2</f>
        <v>EL</v>
      </c>
      <c r="Q11" s="264" t="str">
        <f>Alimentos!P2</f>
        <v>EE</v>
      </c>
      <c r="R11" s="264" t="str">
        <f>Alimentos!Q2</f>
        <v>PB</v>
      </c>
      <c r="S11" s="264" t="str">
        <f>Alimentos!R2</f>
        <v>PDR</v>
      </c>
      <c r="T11" s="264" t="str">
        <f>Alimentos!S2</f>
        <v>PNDR</v>
      </c>
      <c r="U11" s="264" t="str">
        <f>Alimentos!T2</f>
        <v>PM</v>
      </c>
      <c r="V11" s="264" t="str">
        <f>Alimentos!U2</f>
        <v>PBNNP</v>
      </c>
      <c r="W11" s="264" t="str">
        <f>Alimentos!V2</f>
        <v>Ca</v>
      </c>
      <c r="X11" s="264" t="str">
        <f>Alimentos!W2</f>
        <v>P</v>
      </c>
      <c r="Y11" s="264" t="str">
        <f>Alimentos!X2</f>
        <v>Mg</v>
      </c>
      <c r="Z11" s="264" t="str">
        <f>Alimentos!Y2</f>
        <v>Na</v>
      </c>
      <c r="AA11" s="264" t="str">
        <f>Alimentos!Z2</f>
        <v>K</v>
      </c>
      <c r="AB11" s="264" t="str">
        <f>Alimentos!AA2</f>
        <v>S</v>
      </c>
      <c r="AC11" s="264" t="str">
        <f>Alimentos!AB2</f>
        <v>Cu</v>
      </c>
      <c r="AD11" s="264" t="str">
        <f>Alimentos!AC2</f>
        <v>Zn</v>
      </c>
      <c r="AE11" s="264" t="str">
        <f>Alimentos!AD2</f>
        <v>Fe</v>
      </c>
      <c r="AF11" s="264" t="str">
        <f>Alimentos!AE2</f>
        <v>Mn</v>
      </c>
      <c r="AG11" s="264" t="str">
        <f>Alimentos!AF2</f>
        <v>I</v>
      </c>
      <c r="AH11" s="264" t="str">
        <f>Alimentos!AG2</f>
        <v>Co</v>
      </c>
      <c r="AI11" s="264" t="str">
        <f>Alimentos!AH2</f>
        <v>Se</v>
      </c>
      <c r="AJ11" s="264" t="str">
        <f>Alimentos!AI2</f>
        <v>Lis</v>
      </c>
      <c r="AK11" s="264" t="str">
        <f>Alimentos!AJ2</f>
        <v>Met</v>
      </c>
      <c r="AL11" s="264" t="str">
        <f>Alimentos!AK2</f>
        <v>Mon</v>
      </c>
      <c r="AM11" s="264" t="str">
        <f>Alimentos!AL2</f>
        <v>Vit A</v>
      </c>
      <c r="AN11" s="264" t="str">
        <f>Alimentos!AM2</f>
        <v>Vit B (UI)</v>
      </c>
      <c r="AO11" s="264" t="str">
        <f>Alimentos!AN2</f>
        <v>Vit D (UI)</v>
      </c>
      <c r="AP11" s="264" t="str">
        <f>Alimentos!AO2</f>
        <v>Vit E (UI)</v>
      </c>
      <c r="AQ11" s="1446" t="str">
        <f>Alimentos!AP2</f>
        <v>Novo 01</v>
      </c>
      <c r="AR11" s="1446" t="str">
        <f>Alimentos!AQ2</f>
        <v>Novo 02</v>
      </c>
      <c r="AS11" s="1446" t="str">
        <f>Alimentos!AR2</f>
        <v>Novo 03</v>
      </c>
      <c r="AT11" s="1446" t="str">
        <f>Alimentos!AS2</f>
        <v>Novo 04</v>
      </c>
      <c r="AU11" s="1446" t="str">
        <f>Alimentos!AT2</f>
        <v>Novo 05</v>
      </c>
      <c r="AV11" s="1446" t="str">
        <f>Alimentos!AU2</f>
        <v>Novo 06</v>
      </c>
      <c r="AW11" s="1446" t="str">
        <f>Alimentos!AV2</f>
        <v>Novo 07</v>
      </c>
      <c r="AX11" s="1446" t="str">
        <f>Alimentos!AW2</f>
        <v>Novo 08</v>
      </c>
      <c r="AY11" s="1446" t="str">
        <f>Alimentos!AX2</f>
        <v>Novo 09</v>
      </c>
      <c r="AZ11" s="841"/>
      <c r="BA11" s="264" t="s">
        <v>318</v>
      </c>
      <c r="BB11" s="264" t="s">
        <v>1297</v>
      </c>
      <c r="BC11" s="264" t="str">
        <f>I11</f>
        <v>MS</v>
      </c>
      <c r="BD11" s="264" t="s">
        <v>755</v>
      </c>
      <c r="BE11" s="264" t="s">
        <v>81</v>
      </c>
      <c r="BF11" s="842"/>
      <c r="BG11" s="842"/>
      <c r="BH11" s="842"/>
    </row>
    <row r="12" spans="1:60" ht="16.5" thickTop="1">
      <c r="A12" s="842"/>
      <c r="B12" s="1473" t="s">
        <v>1299</v>
      </c>
      <c r="C12" s="1474">
        <v>3.2261510647222276E-2</v>
      </c>
      <c r="D12" s="1508">
        <v>0</v>
      </c>
      <c r="E12" s="1508">
        <v>1</v>
      </c>
      <c r="F12" s="1509"/>
      <c r="G12" s="1510">
        <f>IFERROR(IF(F12&gt;0,F12,INDEX(Alimentos!F$5:F$310,MATCH($B12,Alimentos!$E$5:$E$310,0))),"")</f>
        <v>4</v>
      </c>
      <c r="H12" s="841"/>
      <c r="I12" s="1443">
        <f>IFERROR(INDEX(Alimentos!H$5:H$310,MATCH($B12,Alimentos!$E$5:$E$310,0))/1,"")</f>
        <v>1</v>
      </c>
      <c r="J12" s="1443">
        <f>IFERROR(INDEX(Alimentos!I$5:I$310,MATCH($B12,Alimentos!$E$5:$E$310,0))/1,"")</f>
        <v>0</v>
      </c>
      <c r="K12" s="1443">
        <f>IFERROR(INDEX(Alimentos!J$5:J$310,MATCH($B12,Alimentos!$E$5:$E$310,0))/1,"")</f>
        <v>0</v>
      </c>
      <c r="L12" s="1443">
        <f>IFERROR(INDEX(Alimentos!K$5:K$310,MATCH($B12,Alimentos!$E$5:$E$310,0))/1,"")</f>
        <v>0</v>
      </c>
      <c r="M12" s="1443">
        <f>IFERROR(INDEX(Alimentos!L$5:L$310,MATCH($B12,Alimentos!$E$5:$E$310,0))/1,"")</f>
        <v>0</v>
      </c>
      <c r="N12" s="1447">
        <f>IFERROR(INDEX(Alimentos!M$5:M$310,MATCH($B12,Alimentos!$E$5:$E$310,0))/1,"")</f>
        <v>0</v>
      </c>
      <c r="O12" s="1447">
        <f>IFERROR(INDEX(Alimentos!N$5:N$310,MATCH($B12,Alimentos!$E$5:$E$310,0))/1,"")</f>
        <v>0</v>
      </c>
      <c r="P12" s="1447">
        <f>IFERROR(INDEX(Alimentos!O$5:O$310,MATCH($B12,Alimentos!$E$5:$E$310,0))/1,"")</f>
        <v>0</v>
      </c>
      <c r="Q12" s="1443">
        <f>IFERROR(INDEX(Alimentos!P$5:P$310,MATCH($B12,Alimentos!$E$5:$E$310,0))/1000,"")</f>
        <v>0</v>
      </c>
      <c r="R12" s="1443">
        <f>IFERROR(INDEX(Alimentos!Q$5:Q$310,MATCH($B12,Alimentos!$E$5:$E$310,0))/1000,"")</f>
        <v>2.81</v>
      </c>
      <c r="S12" s="1443">
        <f>IFERROR(INDEX(Alimentos!R$5:R$310,MATCH($B12,Alimentos!$E$5:$E$310,0))/1000,"")</f>
        <v>2.81</v>
      </c>
      <c r="T12" s="1443">
        <f>IFERROR(INDEX(Alimentos!S$5:S$310,MATCH($B12,Alimentos!$E$5:$E$310,0))/1000,"")</f>
        <v>0</v>
      </c>
      <c r="U12" s="1443">
        <f>IFERROR(INDEX(Alimentos!T$5:T$310,MATCH($B12,Alimentos!$E$5:$E$310,0))/1000,"")</f>
        <v>0</v>
      </c>
      <c r="V12" s="1443">
        <f>IFERROR(INDEX(Alimentos!U$5:U$310,MATCH($B12,Alimentos!$E$5:$E$310,0))/1000,"")</f>
        <v>2.81</v>
      </c>
      <c r="W12" s="1443">
        <f>IFERROR(INDEX(Alimentos!V$5:V$310,MATCH($B12,Alimentos!$E$5:$E$310,0))/1000,"")</f>
        <v>0</v>
      </c>
      <c r="X12" s="1443">
        <f>IFERROR(INDEX(Alimentos!W$5:W$310,MATCH($B12,Alimentos!$E$5:$E$310,0))/1000,"")</f>
        <v>0</v>
      </c>
      <c r="Y12" s="1443">
        <f>IFERROR(INDEX(Alimentos!X$5:X$310,MATCH($B12,Alimentos!$E$5:$E$310,0))/1000,"")</f>
        <v>0</v>
      </c>
      <c r="Z12" s="1443">
        <f>IFERROR(INDEX(Alimentos!Y$5:Y$310,MATCH($B12,Alimentos!$E$5:$E$310,0))/1000,"")</f>
        <v>0</v>
      </c>
      <c r="AA12" s="1443">
        <f>IFERROR(INDEX(Alimentos!Z$5:Z$310,MATCH($B12,Alimentos!$E$5:$E$310,0))/1000,"")</f>
        <v>0</v>
      </c>
      <c r="AB12" s="1443">
        <f>IFERROR(INDEX(Alimentos!AA$5:AA$310,MATCH($B12,Alimentos!$E$5:$E$310,0))/1000,"")</f>
        <v>0</v>
      </c>
      <c r="AC12" s="1447">
        <f>IFERROR(INDEX(Alimentos!AB$5:AB$310,MATCH($B12,Alimentos!$E$5:$E$310,0))/1,"")</f>
        <v>0</v>
      </c>
      <c r="AD12" s="1447">
        <f>IFERROR(INDEX(Alimentos!AC$5:AC$310,MATCH($B12,Alimentos!$E$5:$E$310,0))/1,"")</f>
        <v>0</v>
      </c>
      <c r="AE12" s="1447">
        <f>IFERROR(INDEX(Alimentos!AD$5:AD$310,MATCH($B12,Alimentos!$E$5:$E$310,0))/1,"")</f>
        <v>0</v>
      </c>
      <c r="AF12" s="1447">
        <f>IFERROR(INDEX(Alimentos!AE$5:AE$310,MATCH($B12,Alimentos!$E$5:$E$310,0))/1,"")</f>
        <v>0</v>
      </c>
      <c r="AG12" s="1447">
        <f>IFERROR(INDEX(Alimentos!AF$5:AF$310,MATCH($B12,Alimentos!$E$5:$E$310,0))/1,"")</f>
        <v>0</v>
      </c>
      <c r="AH12" s="1447">
        <f>IFERROR(INDEX(Alimentos!AG$5:AG$310,MATCH($B12,Alimentos!$E$5:$E$310,0))/1,"")</f>
        <v>0</v>
      </c>
      <c r="AI12" s="1447">
        <f>IFERROR(INDEX(Alimentos!AH$5:AH$310,MATCH($B12,Alimentos!$E$5:$E$310,0))/1,"")</f>
        <v>0</v>
      </c>
      <c r="AJ12" s="1447">
        <f>IFERROR(INDEX(Alimentos!AI$5:AI$310,MATCH($B12,Alimentos!$E$5:$E$310,0))/1,"")</f>
        <v>0</v>
      </c>
      <c r="AK12" s="1447">
        <f>IFERROR(INDEX(Alimentos!AJ$5:AJ$310,MATCH($B12,Alimentos!$E$5:$E$310,0))/1,"")</f>
        <v>0</v>
      </c>
      <c r="AL12" s="1447">
        <f>IFERROR(INDEX(Alimentos!AK$5:AK$310,MATCH($B12,Alimentos!$E$5:$E$310,0))/1,"")</f>
        <v>0</v>
      </c>
      <c r="AM12" s="1447">
        <f>IFERROR(INDEX(Alimentos!AL$5:AL$310,MATCH($B12,Alimentos!$E$5:$E$310,0))/1,"")</f>
        <v>0</v>
      </c>
      <c r="AN12" s="1447">
        <f>IFERROR(INDEX(Alimentos!AM$5:AM$310,MATCH($B12,Alimentos!$E$5:$E$310,0))/1,"")</f>
        <v>0</v>
      </c>
      <c r="AO12" s="1447">
        <f>IFERROR(INDEX(Alimentos!AN$5:AN$310,MATCH($B12,Alimentos!$E$5:$E$310,0))/1,"")</f>
        <v>0</v>
      </c>
      <c r="AP12" s="1447">
        <f>IFERROR(INDEX(Alimentos!AO$5:AO$310,MATCH($B12,Alimentos!$E$5:$E$310,0))/1,"")</f>
        <v>0</v>
      </c>
      <c r="AQ12" s="1447">
        <f>IFERROR(INDEX(Alimentos!AP$5:AP$310,MATCH($B12,Alimentos!$E$5:$E$310,0))/1,"")</f>
        <v>0</v>
      </c>
      <c r="AR12" s="1447">
        <f>IFERROR(INDEX(Alimentos!AQ$5:AQ$310,MATCH($B12,Alimentos!$E$5:$E$310,0))/1,"")</f>
        <v>0</v>
      </c>
      <c r="AS12" s="1447">
        <f>IFERROR(INDEX(Alimentos!AR$5:AR$310,MATCH($B12,Alimentos!$E$5:$E$310,0))/1,"")</f>
        <v>0</v>
      </c>
      <c r="AT12" s="1447">
        <f>IFERROR(INDEX(Alimentos!AS$5:AS$310,MATCH($B12,Alimentos!$E$5:$E$310,0))/1,"")</f>
        <v>0</v>
      </c>
      <c r="AU12" s="1447">
        <f>IFERROR(INDEX(Alimentos!AT$5:AT$310,MATCH($B12,Alimentos!$E$5:$E$310,0))/1,"")</f>
        <v>0</v>
      </c>
      <c r="AV12" s="1447">
        <f>IFERROR(INDEX(Alimentos!AU$5:AU$310,MATCH($B12,Alimentos!$E$5:$E$310,0))/1,"")</f>
        <v>0</v>
      </c>
      <c r="AW12" s="1447">
        <f>IFERROR(INDEX(Alimentos!AV$5:AV$310,MATCH($B12,Alimentos!$E$5:$E$310,0))/1,"")</f>
        <v>0</v>
      </c>
      <c r="AX12" s="1447">
        <f>IFERROR(INDEX(Alimentos!AW$5:AW$310,MATCH($B12,Alimentos!$E$5:$E$310,0))/1,"")</f>
        <v>0</v>
      </c>
      <c r="AY12" s="1447">
        <f>IFERROR(INDEX(Alimentos!AX$5:AX$310,MATCH($B12,Alimentos!$E$5:$E$310,0))/1,"")</f>
        <v>0</v>
      </c>
      <c r="AZ12" s="841"/>
      <c r="BA12" s="823">
        <f t="shared" ref="BA12:BA30" si="0">IFERROR(IF(B12="","",C12/$C$32),"")</f>
        <v>3.2261510647222075E-2</v>
      </c>
      <c r="BB12" s="824">
        <f t="shared" ref="BB12:BB30" si="1">IF($C12&lt;0.00001,"",$C12*G12)</f>
        <v>0.1290460425888891</v>
      </c>
      <c r="BC12" s="832">
        <f t="shared" ref="BC12:BC30" si="2">IF($C12&lt;0.00001,"",($C12)*I12)</f>
        <v>3.2261510647222276E-2</v>
      </c>
      <c r="BD12" s="830">
        <f t="shared" ref="BD12:BD30" si="3">IF(OR(BA12=0,BA12=""),"",C12+(ROW()/1000000))</f>
        <v>3.2273510647222274E-2</v>
      </c>
      <c r="BE12" s="830">
        <f>IFERROR(INDEX(Alimentos!Y$5:Y$310,MATCH($B12,Alimentos!$E$5:$E$310,0))/1000,"")</f>
        <v>0</v>
      </c>
      <c r="BF12" s="842"/>
      <c r="BG12" s="842"/>
      <c r="BH12" s="842"/>
    </row>
    <row r="13" spans="1:60" ht="15.75">
      <c r="A13" s="842"/>
      <c r="B13" s="849" t="s">
        <v>1300</v>
      </c>
      <c r="C13" s="818">
        <v>0.13272819343182413</v>
      </c>
      <c r="D13" s="838">
        <v>0</v>
      </c>
      <c r="E13" s="838">
        <v>1</v>
      </c>
      <c r="F13" s="809"/>
      <c r="G13" s="891">
        <f>IFERROR(IF(F13&gt;0,F13,INDEX(Alimentos!F$5:F$310,MATCH($B13,Alimentos!$E$5:$E$310,0))),"")</f>
        <v>1.5</v>
      </c>
      <c r="H13" s="841"/>
      <c r="I13" s="1444">
        <f>IFERROR(INDEX(Alimentos!H$5:H$310,MATCH($B13,Alimentos!$E$5:$E$310,0))/1,"")</f>
        <v>1</v>
      </c>
      <c r="J13" s="1444">
        <f>IFERROR(INDEX(Alimentos!I$5:I$310,MATCH($B13,Alimentos!$E$5:$E$310,0))/1,"")</f>
        <v>0</v>
      </c>
      <c r="K13" s="1444">
        <f>IFERROR(INDEX(Alimentos!J$5:J$310,MATCH($B13,Alimentos!$E$5:$E$310,0))/1,"")</f>
        <v>0</v>
      </c>
      <c r="L13" s="1444">
        <f>IFERROR(INDEX(Alimentos!K$5:K$310,MATCH($B13,Alimentos!$E$5:$E$310,0))/1,"")</f>
        <v>0</v>
      </c>
      <c r="M13" s="1444">
        <f>IFERROR(INDEX(Alimentos!L$5:L$310,MATCH($B13,Alimentos!$E$5:$E$310,0))/1,"")</f>
        <v>0</v>
      </c>
      <c r="N13" s="1448">
        <f>IFERROR(INDEX(Alimentos!M$5:M$310,MATCH($B13,Alimentos!$E$5:$E$310,0))/1,"")</f>
        <v>0</v>
      </c>
      <c r="O13" s="1448">
        <f>IFERROR(INDEX(Alimentos!N$5:N$310,MATCH($B13,Alimentos!$E$5:$E$310,0))/1,"")</f>
        <v>0</v>
      </c>
      <c r="P13" s="1448">
        <f>IFERROR(INDEX(Alimentos!O$5:O$310,MATCH($B13,Alimentos!$E$5:$E$310,0))/1,"")</f>
        <v>0</v>
      </c>
      <c r="Q13" s="1444">
        <f>IFERROR(INDEX(Alimentos!P$5:P$310,MATCH($B13,Alimentos!$E$5:$E$310,0))/1000,"")</f>
        <v>0</v>
      </c>
      <c r="R13" s="1444">
        <f>IFERROR(INDEX(Alimentos!Q$5:Q$310,MATCH($B13,Alimentos!$E$5:$E$310,0))/1000,"")</f>
        <v>0</v>
      </c>
      <c r="S13" s="1444">
        <f>IFERROR(INDEX(Alimentos!R$5:R$310,MATCH($B13,Alimentos!$E$5:$E$310,0))/1000,"")</f>
        <v>0</v>
      </c>
      <c r="T13" s="1444">
        <f>IFERROR(INDEX(Alimentos!S$5:S$310,MATCH($B13,Alimentos!$E$5:$E$310,0))/1000,"")</f>
        <v>0</v>
      </c>
      <c r="U13" s="1444">
        <f>IFERROR(INDEX(Alimentos!T$5:T$310,MATCH($B13,Alimentos!$E$5:$E$310,0))/1000,"")</f>
        <v>0</v>
      </c>
      <c r="V13" s="1444">
        <f>IFERROR(INDEX(Alimentos!U$5:U$310,MATCH($B13,Alimentos!$E$5:$E$310,0))/1000,"")</f>
        <v>0</v>
      </c>
      <c r="W13" s="1444">
        <f>IFERROR(INDEX(Alimentos!V$5:V$310,MATCH($B13,Alimentos!$E$5:$E$310,0))/1000,"")</f>
        <v>0</v>
      </c>
      <c r="X13" s="1444">
        <f>IFERROR(INDEX(Alimentos!W$5:W$310,MATCH($B13,Alimentos!$E$5:$E$310,0))/1000,"")</f>
        <v>0</v>
      </c>
      <c r="Y13" s="1444">
        <f>IFERROR(INDEX(Alimentos!X$5:X$310,MATCH($B13,Alimentos!$E$5:$E$310,0))/1000,"")</f>
        <v>0</v>
      </c>
      <c r="Z13" s="1444">
        <f>IFERROR(INDEX(Alimentos!Y$5:Y$310,MATCH($B13,Alimentos!$E$5:$E$310,0))/1000,"")</f>
        <v>0.37</v>
      </c>
      <c r="AA13" s="1444">
        <f>IFERROR(INDEX(Alimentos!Z$5:Z$310,MATCH($B13,Alimentos!$E$5:$E$310,0))/1000,"")</f>
        <v>0</v>
      </c>
      <c r="AB13" s="1444">
        <f>IFERROR(INDEX(Alimentos!AA$5:AA$310,MATCH($B13,Alimentos!$E$5:$E$310,0))/1000,"")</f>
        <v>0</v>
      </c>
      <c r="AC13" s="1448">
        <f>IFERROR(INDEX(Alimentos!AB$5:AB$310,MATCH($B13,Alimentos!$E$5:$E$310,0))/1,"")</f>
        <v>0</v>
      </c>
      <c r="AD13" s="1448">
        <f>IFERROR(INDEX(Alimentos!AC$5:AC$310,MATCH($B13,Alimentos!$E$5:$E$310,0))/1,"")</f>
        <v>0</v>
      </c>
      <c r="AE13" s="1448">
        <f>IFERROR(INDEX(Alimentos!AD$5:AD$310,MATCH($B13,Alimentos!$E$5:$E$310,0))/1,"")</f>
        <v>0</v>
      </c>
      <c r="AF13" s="1448">
        <f>IFERROR(INDEX(Alimentos!AE$5:AE$310,MATCH($B13,Alimentos!$E$5:$E$310,0))/1,"")</f>
        <v>0</v>
      </c>
      <c r="AG13" s="1448">
        <f>IFERROR(INDEX(Alimentos!AF$5:AF$310,MATCH($B13,Alimentos!$E$5:$E$310,0))/1,"")</f>
        <v>0</v>
      </c>
      <c r="AH13" s="1448">
        <f>IFERROR(INDEX(Alimentos!AG$5:AG$310,MATCH($B13,Alimentos!$E$5:$E$310,0))/1,"")</f>
        <v>0</v>
      </c>
      <c r="AI13" s="1448">
        <f>IFERROR(INDEX(Alimentos!AH$5:AH$310,MATCH($B13,Alimentos!$E$5:$E$310,0))/1,"")</f>
        <v>0</v>
      </c>
      <c r="AJ13" s="1448">
        <f>IFERROR(INDEX(Alimentos!AI$5:AI$310,MATCH($B13,Alimentos!$E$5:$E$310,0))/1,"")</f>
        <v>0</v>
      </c>
      <c r="AK13" s="1448">
        <f>IFERROR(INDEX(Alimentos!AJ$5:AJ$310,MATCH($B13,Alimentos!$E$5:$E$310,0))/1,"")</f>
        <v>0</v>
      </c>
      <c r="AL13" s="1448">
        <f>IFERROR(INDEX(Alimentos!AK$5:AK$310,MATCH($B13,Alimentos!$E$5:$E$310,0))/1,"")</f>
        <v>0</v>
      </c>
      <c r="AM13" s="1448">
        <f>IFERROR(INDEX(Alimentos!AL$5:AL$310,MATCH($B13,Alimentos!$E$5:$E$310,0))/1,"")</f>
        <v>0</v>
      </c>
      <c r="AN13" s="1448">
        <f>IFERROR(INDEX(Alimentos!AM$5:AM$310,MATCH($B13,Alimentos!$E$5:$E$310,0))/1,"")</f>
        <v>0</v>
      </c>
      <c r="AO13" s="1448">
        <f>IFERROR(INDEX(Alimentos!AN$5:AN$310,MATCH($B13,Alimentos!$E$5:$E$310,0))/1,"")</f>
        <v>0</v>
      </c>
      <c r="AP13" s="1448">
        <f>IFERROR(INDEX(Alimentos!AO$5:AO$310,MATCH($B13,Alimentos!$E$5:$E$310,0))/1,"")</f>
        <v>0</v>
      </c>
      <c r="AQ13" s="1448">
        <f>IFERROR(INDEX(Alimentos!AP$5:AP$310,MATCH($B13,Alimentos!$E$5:$E$310,0))/1,"")</f>
        <v>0</v>
      </c>
      <c r="AR13" s="1448">
        <f>IFERROR(INDEX(Alimentos!AQ$5:AQ$310,MATCH($B13,Alimentos!$E$5:$E$310,0))/1,"")</f>
        <v>0</v>
      </c>
      <c r="AS13" s="1448">
        <f>IFERROR(INDEX(Alimentos!AR$5:AR$310,MATCH($B13,Alimentos!$E$5:$E$310,0))/1,"")</f>
        <v>0</v>
      </c>
      <c r="AT13" s="1448">
        <f>IFERROR(INDEX(Alimentos!AS$5:AS$310,MATCH($B13,Alimentos!$E$5:$E$310,0))/1,"")</f>
        <v>0</v>
      </c>
      <c r="AU13" s="1448">
        <f>IFERROR(INDEX(Alimentos!AT$5:AT$310,MATCH($B13,Alimentos!$E$5:$E$310,0))/1,"")</f>
        <v>0</v>
      </c>
      <c r="AV13" s="1448">
        <f>IFERROR(INDEX(Alimentos!AU$5:AU$310,MATCH($B13,Alimentos!$E$5:$E$310,0))/1,"")</f>
        <v>0</v>
      </c>
      <c r="AW13" s="1448">
        <f>IFERROR(INDEX(Alimentos!AV$5:AV$310,MATCH($B13,Alimentos!$E$5:$E$310,0))/1,"")</f>
        <v>0</v>
      </c>
      <c r="AX13" s="1448">
        <f>IFERROR(INDEX(Alimentos!AW$5:AW$310,MATCH($B13,Alimentos!$E$5:$E$310,0))/1,"")</f>
        <v>0</v>
      </c>
      <c r="AY13" s="1448">
        <f>IFERROR(INDEX(Alimentos!AX$5:AX$310,MATCH($B13,Alimentos!$E$5:$E$310,0))/1,"")</f>
        <v>0</v>
      </c>
      <c r="AZ13" s="841"/>
      <c r="BA13" s="825">
        <f t="shared" si="0"/>
        <v>0.13272819343182329</v>
      </c>
      <c r="BB13" s="826">
        <f t="shared" si="1"/>
        <v>0.19909229014773619</v>
      </c>
      <c r="BC13" s="833">
        <f t="shared" si="2"/>
        <v>0.13272819343182413</v>
      </c>
      <c r="BD13" s="830">
        <f t="shared" si="3"/>
        <v>0.13274119343182414</v>
      </c>
      <c r="BE13" s="830">
        <f>IFERROR(INDEX(Alimentos!Y$5:Y$310,MATCH($B13,Alimentos!$E$5:$E$310,0))/1000,"")</f>
        <v>0.37</v>
      </c>
      <c r="BF13" s="842"/>
      <c r="BG13" s="842"/>
      <c r="BH13" s="842"/>
    </row>
    <row r="14" spans="1:60" ht="15.75">
      <c r="A14" s="842"/>
      <c r="B14" s="849" t="s">
        <v>1301</v>
      </c>
      <c r="C14" s="818">
        <v>0</v>
      </c>
      <c r="D14" s="838">
        <v>0</v>
      </c>
      <c r="E14" s="838">
        <v>1</v>
      </c>
      <c r="F14" s="809"/>
      <c r="G14" s="891">
        <f>IFERROR(IF(F14&gt;0,F14,INDEX(Alimentos!F$5:F$310,MATCH($B14,Alimentos!$E$5:$E$310,0))),"")</f>
        <v>1</v>
      </c>
      <c r="H14" s="841"/>
      <c r="I14" s="1444">
        <f>IFERROR(INDEX(Alimentos!H$5:H$310,MATCH($B14,Alimentos!$E$5:$E$310,0))/1,"")</f>
        <v>1</v>
      </c>
      <c r="J14" s="1444">
        <f>IFERROR(INDEX(Alimentos!I$5:I$310,MATCH($B14,Alimentos!$E$5:$E$310,0))/1,"")</f>
        <v>0</v>
      </c>
      <c r="K14" s="1444">
        <f>IFERROR(INDEX(Alimentos!J$5:J$310,MATCH($B14,Alimentos!$E$5:$E$310,0))/1,"")</f>
        <v>0</v>
      </c>
      <c r="L14" s="1444">
        <f>IFERROR(INDEX(Alimentos!K$5:K$310,MATCH($B14,Alimentos!$E$5:$E$310,0))/1,"")</f>
        <v>0</v>
      </c>
      <c r="M14" s="1444">
        <f>IFERROR(INDEX(Alimentos!L$5:L$310,MATCH($B14,Alimentos!$E$5:$E$310,0))/1,"")</f>
        <v>0</v>
      </c>
      <c r="N14" s="1448">
        <f>IFERROR(INDEX(Alimentos!M$5:M$310,MATCH($B14,Alimentos!$E$5:$E$310,0))/1,"")</f>
        <v>0</v>
      </c>
      <c r="O14" s="1448">
        <f>IFERROR(INDEX(Alimentos!N$5:N$310,MATCH($B14,Alimentos!$E$5:$E$310,0))/1,"")</f>
        <v>0</v>
      </c>
      <c r="P14" s="1448">
        <f>IFERROR(INDEX(Alimentos!O$5:O$310,MATCH($B14,Alimentos!$E$5:$E$310,0))/1,"")</f>
        <v>0</v>
      </c>
      <c r="Q14" s="1444">
        <f>IFERROR(INDEX(Alimentos!P$5:P$310,MATCH($B14,Alimentos!$E$5:$E$310,0))/1000,"")</f>
        <v>0</v>
      </c>
      <c r="R14" s="1444">
        <f>IFERROR(INDEX(Alimentos!Q$5:Q$310,MATCH($B14,Alimentos!$E$5:$E$310,0))/1000,"")</f>
        <v>0</v>
      </c>
      <c r="S14" s="1444">
        <f>IFERROR(INDEX(Alimentos!R$5:R$310,MATCH($B14,Alimentos!$E$5:$E$310,0))/1000,"")</f>
        <v>0</v>
      </c>
      <c r="T14" s="1444">
        <f>IFERROR(INDEX(Alimentos!S$5:S$310,MATCH($B14,Alimentos!$E$5:$E$310,0))/1000,"")</f>
        <v>0</v>
      </c>
      <c r="U14" s="1444">
        <f>IFERROR(INDEX(Alimentos!T$5:T$310,MATCH($B14,Alimentos!$E$5:$E$310,0))/1000,"")</f>
        <v>0</v>
      </c>
      <c r="V14" s="1444">
        <f>IFERROR(INDEX(Alimentos!U$5:U$310,MATCH($B14,Alimentos!$E$5:$E$310,0))/1000,"")</f>
        <v>0</v>
      </c>
      <c r="W14" s="1444">
        <f>IFERROR(INDEX(Alimentos!V$5:V$310,MATCH($B14,Alimentos!$E$5:$E$310,0))/1000,"")</f>
        <v>0.24</v>
      </c>
      <c r="X14" s="1444">
        <f>IFERROR(INDEX(Alimentos!W$5:W$310,MATCH($B14,Alimentos!$E$5:$E$310,0))/1000,"")</f>
        <v>0.17399999999999999</v>
      </c>
      <c r="Y14" s="1444">
        <f>IFERROR(INDEX(Alimentos!X$5:X$310,MATCH($B14,Alimentos!$E$5:$E$310,0))/1000,"")</f>
        <v>0</v>
      </c>
      <c r="Z14" s="1444">
        <f>IFERROR(INDEX(Alimentos!Y$5:Y$310,MATCH($B14,Alimentos!$E$5:$E$310,0))/1000,"")</f>
        <v>0</v>
      </c>
      <c r="AA14" s="1444">
        <f>IFERROR(INDEX(Alimentos!Z$5:Z$310,MATCH($B14,Alimentos!$E$5:$E$310,0))/1000,"")</f>
        <v>0</v>
      </c>
      <c r="AB14" s="1444">
        <f>IFERROR(INDEX(Alimentos!AA$5:AA$310,MATCH($B14,Alimentos!$E$5:$E$310,0))/1000,"")</f>
        <v>2.4E-2</v>
      </c>
      <c r="AC14" s="1448">
        <f>IFERROR(INDEX(Alimentos!AB$5:AB$310,MATCH($B14,Alimentos!$E$5:$E$310,0))/1,"")</f>
        <v>1250</v>
      </c>
      <c r="AD14" s="1448">
        <f>IFERROR(INDEX(Alimentos!AC$5:AC$310,MATCH($B14,Alimentos!$E$5:$E$310,0))/1,"")</f>
        <v>5270</v>
      </c>
      <c r="AE14" s="1448">
        <f>IFERROR(INDEX(Alimentos!AD$5:AD$310,MATCH($B14,Alimentos!$E$5:$E$310,0))/1,"")</f>
        <v>0</v>
      </c>
      <c r="AF14" s="1448">
        <f>IFERROR(INDEX(Alimentos!AE$5:AE$310,MATCH($B14,Alimentos!$E$5:$E$310,0))/1,"")</f>
        <v>2000</v>
      </c>
      <c r="AG14" s="1448">
        <f>IFERROR(INDEX(Alimentos!AF$5:AF$310,MATCH($B14,Alimentos!$E$5:$E$310,0))/1,"")</f>
        <v>90</v>
      </c>
      <c r="AH14" s="1448">
        <f>IFERROR(INDEX(Alimentos!AG$5:AG$310,MATCH($B14,Alimentos!$E$5:$E$310,0))/1,"")</f>
        <v>100</v>
      </c>
      <c r="AI14" s="1448">
        <f>IFERROR(INDEX(Alimentos!AH$5:AH$310,MATCH($B14,Alimentos!$E$5:$E$310,0))/1,"")</f>
        <v>15</v>
      </c>
      <c r="AJ14" s="1448">
        <f>IFERROR(INDEX(Alimentos!AI$5:AI$310,MATCH($B14,Alimentos!$E$5:$E$310,0))/1,"")</f>
        <v>0</v>
      </c>
      <c r="AK14" s="1448">
        <f>IFERROR(INDEX(Alimentos!AJ$5:AJ$310,MATCH($B14,Alimentos!$E$5:$E$310,0))/1,"")</f>
        <v>0</v>
      </c>
      <c r="AL14" s="1448">
        <f>IFERROR(INDEX(Alimentos!AK$5:AK$310,MATCH($B14,Alimentos!$E$5:$E$310,0))/1,"")</f>
        <v>0</v>
      </c>
      <c r="AM14" s="1448">
        <f>IFERROR(INDEX(Alimentos!AL$5:AL$310,MATCH($B14,Alimentos!$E$5:$E$310,0))/1,"")</f>
        <v>0</v>
      </c>
      <c r="AN14" s="1448">
        <f>IFERROR(INDEX(Alimentos!AM$5:AM$310,MATCH($B14,Alimentos!$E$5:$E$310,0))/1,"")</f>
        <v>0</v>
      </c>
      <c r="AO14" s="1448">
        <f>IFERROR(INDEX(Alimentos!AN$5:AN$310,MATCH($B14,Alimentos!$E$5:$E$310,0))/1,"")</f>
        <v>0</v>
      </c>
      <c r="AP14" s="1448">
        <f>IFERROR(INDEX(Alimentos!AO$5:AO$310,MATCH($B14,Alimentos!$E$5:$E$310,0))/1,"")</f>
        <v>0</v>
      </c>
      <c r="AQ14" s="1448">
        <f>IFERROR(INDEX(Alimentos!AP$5:AP$310,MATCH($B14,Alimentos!$E$5:$E$310,0))/1,"")</f>
        <v>0</v>
      </c>
      <c r="AR14" s="1448">
        <f>IFERROR(INDEX(Alimentos!AQ$5:AQ$310,MATCH($B14,Alimentos!$E$5:$E$310,0))/1,"")</f>
        <v>0</v>
      </c>
      <c r="AS14" s="1448">
        <f>IFERROR(INDEX(Alimentos!AR$5:AR$310,MATCH($B14,Alimentos!$E$5:$E$310,0))/1,"")</f>
        <v>0</v>
      </c>
      <c r="AT14" s="1448">
        <f>IFERROR(INDEX(Alimentos!AS$5:AS$310,MATCH($B14,Alimentos!$E$5:$E$310,0))/1,"")</f>
        <v>0</v>
      </c>
      <c r="AU14" s="1448">
        <f>IFERROR(INDEX(Alimentos!AT$5:AT$310,MATCH($B14,Alimentos!$E$5:$E$310,0))/1,"")</f>
        <v>0</v>
      </c>
      <c r="AV14" s="1448">
        <f>IFERROR(INDEX(Alimentos!AU$5:AU$310,MATCH($B14,Alimentos!$E$5:$E$310,0))/1,"")</f>
        <v>0</v>
      </c>
      <c r="AW14" s="1448">
        <f>IFERROR(INDEX(Alimentos!AV$5:AV$310,MATCH($B14,Alimentos!$E$5:$E$310,0))/1,"")</f>
        <v>0</v>
      </c>
      <c r="AX14" s="1448">
        <f>IFERROR(INDEX(Alimentos!AW$5:AW$310,MATCH($B14,Alimentos!$E$5:$E$310,0))/1,"")</f>
        <v>0</v>
      </c>
      <c r="AY14" s="1448">
        <f>IFERROR(INDEX(Alimentos!AX$5:AX$310,MATCH($B14,Alimentos!$E$5:$E$310,0))/1,"")</f>
        <v>0</v>
      </c>
      <c r="AZ14" s="841"/>
      <c r="BA14" s="825">
        <f t="shared" si="0"/>
        <v>0</v>
      </c>
      <c r="BB14" s="826" t="str">
        <f t="shared" si="1"/>
        <v/>
      </c>
      <c r="BC14" s="833" t="str">
        <f t="shared" si="2"/>
        <v/>
      </c>
      <c r="BD14" s="830" t="str">
        <f t="shared" si="3"/>
        <v/>
      </c>
      <c r="BE14" s="830">
        <f>IFERROR(INDEX(Alimentos!Y$5:Y$310,MATCH($B14,Alimentos!$E$5:$E$310,0))/1000,"")</f>
        <v>0</v>
      </c>
      <c r="BF14" s="842"/>
      <c r="BG14" s="842"/>
      <c r="BH14" s="842"/>
    </row>
    <row r="15" spans="1:60" ht="15.75">
      <c r="A15" s="842"/>
      <c r="B15" s="849" t="s">
        <v>764</v>
      </c>
      <c r="C15" s="817">
        <v>1.1235955056179776E-5</v>
      </c>
      <c r="D15" s="838">
        <v>0</v>
      </c>
      <c r="E15" s="838">
        <v>1</v>
      </c>
      <c r="F15" s="809"/>
      <c r="G15" s="891">
        <f>IFERROR(IF(F15&gt;0,F15,INDEX(Alimentos!F$5:F$310,MATCH($B15,Alimentos!$E$5:$E$310,0))),"")</f>
        <v>0.93</v>
      </c>
      <c r="H15" s="841"/>
      <c r="I15" s="1444">
        <f>IFERROR(INDEX(Alimentos!H$5:H$310,MATCH($B15,Alimentos!$E$5:$E$310,0))/1,"")</f>
        <v>0.89</v>
      </c>
      <c r="J15" s="1444">
        <f>IFERROR(INDEX(Alimentos!I$5:I$310,MATCH($B15,Alimentos!$E$5:$E$310,0))/1,"")</f>
        <v>8.0100000000000005E-2</v>
      </c>
      <c r="K15" s="1444">
        <f>IFERROR(INDEX(Alimentos!J$5:J$310,MATCH($B15,Alimentos!$E$5:$E$310,0))/1,"")</f>
        <v>3.56E-2</v>
      </c>
      <c r="L15" s="1444">
        <f>IFERROR(INDEX(Alimentos!K$5:K$310,MATCH($B15,Alimentos!$E$5:$E$310,0))/1,"")</f>
        <v>0</v>
      </c>
      <c r="M15" s="1444">
        <f>IFERROR(INDEX(Alimentos!L$5:L$310,MATCH($B15,Alimentos!$E$5:$E$310,0))/1,"")</f>
        <v>0.75650000000000006</v>
      </c>
      <c r="N15" s="1448">
        <f>IFERROR(INDEX(Alimentos!M$5:M$310,MATCH($B15,Alimentos!$E$5:$E$310,0))/1,"")</f>
        <v>3.3354085000000002</v>
      </c>
      <c r="O15" s="1448">
        <f>IFERROR(INDEX(Alimentos!N$5:N$310,MATCH($B15,Alimentos!$E$5:$E$310,0))/1,"")</f>
        <v>0</v>
      </c>
      <c r="P15" s="1448">
        <f>IFERROR(INDEX(Alimentos!O$5:O$310,MATCH($B15,Alimentos!$E$5:$E$310,0))/1,"")</f>
        <v>0</v>
      </c>
      <c r="Q15" s="1444">
        <f>IFERROR(INDEX(Alimentos!P$5:P$310,MATCH($B15,Alimentos!$E$5:$E$310,0))/1000,"")</f>
        <v>3.2930000000000001E-2</v>
      </c>
      <c r="R15" s="1444">
        <f>IFERROR(INDEX(Alimentos!Q$5:Q$310,MATCH($B15,Alimentos!$E$5:$E$310,0))/1000,"")</f>
        <v>8.0100000000000005E-2</v>
      </c>
      <c r="S15" s="1444">
        <f>IFERROR(INDEX(Alimentos!R$5:R$310,MATCH($B15,Alimentos!$E$5:$E$310,0))/1000,"")</f>
        <v>3.1238999999999999E-2</v>
      </c>
      <c r="T15" s="1444">
        <f>IFERROR(INDEX(Alimentos!S$5:S$310,MATCH($B15,Alimentos!$E$5:$E$310,0))/1000,"")</f>
        <v>0</v>
      </c>
      <c r="U15" s="1444">
        <f>IFERROR(INDEX(Alimentos!T$5:T$310,MATCH($B15,Alimentos!$E$5:$E$310,0))/1000,"")</f>
        <v>0</v>
      </c>
      <c r="V15" s="1444">
        <f>IFERROR(INDEX(Alimentos!U$5:U$310,MATCH($B15,Alimentos!$E$5:$E$310,0))/1000,"")</f>
        <v>0</v>
      </c>
      <c r="W15" s="1444">
        <f>IFERROR(INDEX(Alimentos!V$5:V$310,MATCH($B15,Alimentos!$E$5:$E$310,0))/1000,"")</f>
        <v>2.0470000000000002E-4</v>
      </c>
      <c r="X15" s="1444">
        <f>IFERROR(INDEX(Alimentos!W$5:W$310,MATCH($B15,Alimentos!$E$5:$E$310,0))/1000,"")</f>
        <v>2.7589999999999997E-3</v>
      </c>
      <c r="Y15" s="1444">
        <f>IFERROR(INDEX(Alimentos!X$5:X$310,MATCH($B15,Alimentos!$E$5:$E$310,0))/1000,"")</f>
        <v>1.1125E-3</v>
      </c>
      <c r="Z15" s="1444">
        <f>IFERROR(INDEX(Alimentos!Y$5:Y$310,MATCH($B15,Alimentos!$E$5:$E$310,0))/1000,"")</f>
        <v>1.7800000000000002E-4</v>
      </c>
      <c r="AA15" s="1444">
        <f>IFERROR(INDEX(Alimentos!Z$5:Z$310,MATCH($B15,Alimentos!$E$5:$E$310,0))/1000,"")</f>
        <v>2.581E-3</v>
      </c>
      <c r="AB15" s="1444">
        <f>IFERROR(INDEX(Alimentos!AA$5:AA$310,MATCH($B15,Alimentos!$E$5:$E$310,0))/1000,"")</f>
        <v>1.0679999999999999E-3</v>
      </c>
      <c r="AC15" s="1448">
        <f>IFERROR(INDEX(Alimentos!AB$5:AB$310,MATCH($B15,Alimentos!$E$5:$E$310,0))/1,"")</f>
        <v>2.2250000000000001</v>
      </c>
      <c r="AD15" s="1448">
        <f>IFERROR(INDEX(Alimentos!AC$5:AC$310,MATCH($B15,Alimentos!$E$5:$E$310,0))/1,"")</f>
        <v>10.68</v>
      </c>
      <c r="AE15" s="1448">
        <f>IFERROR(INDEX(Alimentos!AD$5:AD$310,MATCH($B15,Alimentos!$E$5:$E$310,0))/1,"")</f>
        <v>32.93</v>
      </c>
      <c r="AF15" s="1448">
        <f>IFERROR(INDEX(Alimentos!AE$5:AE$310,MATCH($B15,Alimentos!$E$5:$E$310,0))/1,"")</f>
        <v>5.34</v>
      </c>
      <c r="AG15" s="1448">
        <f>IFERROR(INDEX(Alimentos!AF$5:AF$310,MATCH($B15,Alimentos!$E$5:$E$310,0))/1,"")</f>
        <v>2.6699999999999998E-2</v>
      </c>
      <c r="AH15" s="1448">
        <f>IFERROR(INDEX(Alimentos!AG$5:AG$310,MATCH($B15,Alimentos!$E$5:$E$310,0))/1,"")</f>
        <v>1.958E-2</v>
      </c>
      <c r="AI15" s="1448">
        <f>IFERROR(INDEX(Alimentos!AH$5:AH$310,MATCH($B15,Alimentos!$E$5:$E$310,0))/1,"")</f>
        <v>0.12460000000000002</v>
      </c>
      <c r="AJ15" s="1448">
        <f>IFERROR(INDEX(Alimentos!AI$5:AI$310,MATCH($B15,Alimentos!$E$5:$E$310,0))/1,"")</f>
        <v>0</v>
      </c>
      <c r="AK15" s="1448">
        <f>IFERROR(INDEX(Alimentos!AJ$5:AJ$310,MATCH($B15,Alimentos!$E$5:$E$310,0))/1,"")</f>
        <v>0</v>
      </c>
      <c r="AL15" s="1448">
        <f>IFERROR(INDEX(Alimentos!AK$5:AK$310,MATCH($B15,Alimentos!$E$5:$E$310,0))/1,"")</f>
        <v>0</v>
      </c>
      <c r="AM15" s="1448">
        <f>IFERROR(INDEX(Alimentos!AL$5:AL$310,MATCH($B15,Alimentos!$E$5:$E$310,0))/1,"")</f>
        <v>890</v>
      </c>
      <c r="AN15" s="1448">
        <f>IFERROR(INDEX(Alimentos!AM$5:AM$310,MATCH($B15,Alimentos!$E$5:$E$310,0))/1,"")</f>
        <v>0</v>
      </c>
      <c r="AO15" s="1448">
        <f>IFERROR(INDEX(Alimentos!AN$5:AN$310,MATCH($B15,Alimentos!$E$5:$E$310,0))/1,"")</f>
        <v>0</v>
      </c>
      <c r="AP15" s="1448">
        <f>IFERROR(INDEX(Alimentos!AO$5:AO$310,MATCH($B15,Alimentos!$E$5:$E$310,0))/1,"")</f>
        <v>0</v>
      </c>
      <c r="AQ15" s="1448">
        <f>IFERROR(INDEX(Alimentos!AP$5:AP$310,MATCH($B15,Alimentos!$E$5:$E$310,0))/1,"")</f>
        <v>0</v>
      </c>
      <c r="AR15" s="1448">
        <f>IFERROR(INDEX(Alimentos!AQ$5:AQ$310,MATCH($B15,Alimentos!$E$5:$E$310,0))/1,"")</f>
        <v>0</v>
      </c>
      <c r="AS15" s="1448">
        <f>IFERROR(INDEX(Alimentos!AR$5:AR$310,MATCH($B15,Alimentos!$E$5:$E$310,0))/1,"")</f>
        <v>0</v>
      </c>
      <c r="AT15" s="1448">
        <f>IFERROR(INDEX(Alimentos!AS$5:AS$310,MATCH($B15,Alimentos!$E$5:$E$310,0))/1,"")</f>
        <v>0</v>
      </c>
      <c r="AU15" s="1448">
        <f>IFERROR(INDEX(Alimentos!AT$5:AT$310,MATCH($B15,Alimentos!$E$5:$E$310,0))/1,"")</f>
        <v>0</v>
      </c>
      <c r="AV15" s="1448">
        <f>IFERROR(INDEX(Alimentos!AU$5:AU$310,MATCH($B15,Alimentos!$E$5:$E$310,0))/1,"")</f>
        <v>0</v>
      </c>
      <c r="AW15" s="1448">
        <f>IFERROR(INDEX(Alimentos!AV$5:AV$310,MATCH($B15,Alimentos!$E$5:$E$310,0))/1,"")</f>
        <v>0</v>
      </c>
      <c r="AX15" s="1448">
        <f>IFERROR(INDEX(Alimentos!AW$5:AW$310,MATCH($B15,Alimentos!$E$5:$E$310,0))/1,"")</f>
        <v>0</v>
      </c>
      <c r="AY15" s="1448">
        <f>IFERROR(INDEX(Alimentos!AX$5:AX$310,MATCH($B15,Alimentos!$E$5:$E$310,0))/1,"")</f>
        <v>0</v>
      </c>
      <c r="AZ15" s="841"/>
      <c r="BA15" s="825">
        <f t="shared" si="0"/>
        <v>1.1235955056179707E-5</v>
      </c>
      <c r="BB15" s="826">
        <f t="shared" si="1"/>
        <v>1.0449438202247193E-5</v>
      </c>
      <c r="BC15" s="833">
        <f t="shared" si="2"/>
        <v>1.0000000000000001E-5</v>
      </c>
      <c r="BD15" s="830">
        <f t="shared" si="3"/>
        <v>2.6235955056179776E-5</v>
      </c>
      <c r="BE15" s="830">
        <f>IFERROR(INDEX(Alimentos!Y$5:Y$310,MATCH($B15,Alimentos!$E$5:$E$310,0))/1000,"")</f>
        <v>1.7800000000000002E-4</v>
      </c>
      <c r="BF15" s="842"/>
      <c r="BG15" s="842"/>
      <c r="BH15" s="842"/>
    </row>
    <row r="16" spans="1:60" ht="15.75">
      <c r="A16" s="842"/>
      <c r="B16" s="849" t="s">
        <v>876</v>
      </c>
      <c r="C16" s="817">
        <v>0.45673449346853023</v>
      </c>
      <c r="D16" s="838">
        <v>0</v>
      </c>
      <c r="E16" s="838">
        <v>1</v>
      </c>
      <c r="F16" s="809"/>
      <c r="G16" s="891">
        <f>IFERROR(IF(F16&gt;0,F16,INDEX(Alimentos!F$5:F$310,MATCH($B16,Alimentos!$E$5:$E$310,0))),"")</f>
        <v>2.7</v>
      </c>
      <c r="H16" s="841"/>
      <c r="I16" s="1444">
        <f>IFERROR(INDEX(Alimentos!H$5:H$310,MATCH($B16,Alimentos!$E$5:$E$310,0))/1,"")</f>
        <v>0.89</v>
      </c>
      <c r="J16" s="1444">
        <f>IFERROR(INDEX(Alimentos!I$5:I$310,MATCH($B16,Alimentos!$E$5:$E$310,0))/1,"")</f>
        <v>0.13100000000000001</v>
      </c>
      <c r="K16" s="1444">
        <f>IFERROR(INDEX(Alimentos!J$5:J$310,MATCH($B16,Alimentos!$E$5:$E$310,0))/1,"")</f>
        <v>8.900000000000001E-2</v>
      </c>
      <c r="L16" s="1444">
        <f>IFERROR(INDEX(Alimentos!K$5:K$310,MATCH($B16,Alimentos!$E$5:$E$310,0))/1,"")</f>
        <v>0</v>
      </c>
      <c r="M16" s="1444">
        <f>IFERROR(INDEX(Alimentos!L$5:L$310,MATCH($B16,Alimentos!$E$5:$E$310,0))/1,"")</f>
        <v>0.7298</v>
      </c>
      <c r="N16" s="1448">
        <f>IFERROR(INDEX(Alimentos!M$5:M$310,MATCH($B16,Alimentos!$E$5:$E$310,0))/1,"")</f>
        <v>3.2176882</v>
      </c>
      <c r="O16" s="1448">
        <f>IFERROR(INDEX(Alimentos!N$5:N$310,MATCH($B16,Alimentos!$E$5:$E$310,0))/1,"")</f>
        <v>0</v>
      </c>
      <c r="P16" s="1448">
        <f>IFERROR(INDEX(Alimentos!O$5:O$310,MATCH($B16,Alimentos!$E$5:$E$310,0))/1,"")</f>
        <v>0</v>
      </c>
      <c r="Q16" s="1444">
        <f>IFERROR(INDEX(Alimentos!P$5:P$310,MATCH($B16,Alimentos!$E$5:$E$310,0))/1000,"")</f>
        <v>8.9890000000000005E-3</v>
      </c>
      <c r="R16" s="1444">
        <f>IFERROR(INDEX(Alimentos!Q$5:Q$310,MATCH($B16,Alimentos!$E$5:$E$310,0))/1000,"")</f>
        <v>0.45835000000000004</v>
      </c>
      <c r="S16" s="1444">
        <f>IFERROR(INDEX(Alimentos!R$5:R$310,MATCH($B16,Alimentos!$E$5:$E$310,0))/1000,"")</f>
        <v>0.27959349999999999</v>
      </c>
      <c r="T16" s="1444">
        <f>IFERROR(INDEX(Alimentos!S$5:S$310,MATCH($B16,Alimentos!$E$5:$E$310,0))/1000,"")</f>
        <v>0</v>
      </c>
      <c r="U16" s="1444">
        <f>IFERROR(INDEX(Alimentos!T$5:T$310,MATCH($B16,Alimentos!$E$5:$E$310,0))/1000,"")</f>
        <v>0</v>
      </c>
      <c r="V16" s="1444">
        <f>IFERROR(INDEX(Alimentos!U$5:U$310,MATCH($B16,Alimentos!$E$5:$E$310,0))/1000,"")</f>
        <v>0</v>
      </c>
      <c r="W16" s="1444">
        <f>IFERROR(INDEX(Alimentos!V$5:V$310,MATCH($B16,Alimentos!$E$5:$E$310,0))/1000,"")</f>
        <v>3.6489999999999995E-3</v>
      </c>
      <c r="X16" s="1444">
        <f>IFERROR(INDEX(Alimentos!W$5:W$310,MATCH($B16,Alimentos!$E$5:$E$310,0))/1000,"")</f>
        <v>5.5179999999999995E-3</v>
      </c>
      <c r="Y16" s="1444">
        <f>IFERROR(INDEX(Alimentos!X$5:X$310,MATCH($B16,Alimentos!$E$5:$E$310,0))/1000,"")</f>
        <v>3.5600000000000002E-3</v>
      </c>
      <c r="Z16" s="1444">
        <f>IFERROR(INDEX(Alimentos!Y$5:Y$310,MATCH($B16,Alimentos!$E$5:$E$310,0))/1000,"")</f>
        <v>8.9000000000000006E-4</v>
      </c>
      <c r="AA16" s="1444">
        <f>IFERROR(INDEX(Alimentos!Z$5:Z$310,MATCH($B16,Alimentos!$E$5:$E$310,0))/1000,"")</f>
        <v>1.0591E-2</v>
      </c>
      <c r="AB16" s="1444">
        <f>IFERROR(INDEX(Alimentos!AA$5:AA$310,MATCH($B16,Alimentos!$E$5:$E$310,0))/1000,"")</f>
        <v>3.8270000000000001E-3</v>
      </c>
      <c r="AC16" s="1448">
        <f>IFERROR(INDEX(Alimentos!AB$5:AB$310,MATCH($B16,Alimentos!$E$5:$E$310,0))/1,"")</f>
        <v>19.579999999999998</v>
      </c>
      <c r="AD16" s="1448">
        <f>IFERROR(INDEX(Alimentos!AC$5:AC$310,MATCH($B16,Alimentos!$E$5:$E$310,0))/1,"")</f>
        <v>28.48</v>
      </c>
      <c r="AE16" s="1448">
        <f>IFERROR(INDEX(Alimentos!AD$5:AD$310,MATCH($B16,Alimentos!$E$5:$E$310,0))/1,"")</f>
        <v>107.69</v>
      </c>
      <c r="AF16" s="1448">
        <f>IFERROR(INDEX(Alimentos!AE$5:AE$310,MATCH($B16,Alimentos!$E$5:$E$310,0))/1,"")</f>
        <v>25.81</v>
      </c>
      <c r="AG16" s="1448">
        <f>IFERROR(INDEX(Alimentos!AF$5:AF$310,MATCH($B16,Alimentos!$E$5:$E$310,0))/1,"")</f>
        <v>0.14685000000000001</v>
      </c>
      <c r="AH16" s="1448">
        <f>IFERROR(INDEX(Alimentos!AG$5:AG$310,MATCH($B16,Alimentos!$E$5:$E$310,0))/1,"")</f>
        <v>0.24475000000000002</v>
      </c>
      <c r="AI16" s="1448">
        <f>IFERROR(INDEX(Alimentos!AH$5:AH$310,MATCH($B16,Alimentos!$E$5:$E$310,0))/1,"")</f>
        <v>0.45390000000000003</v>
      </c>
      <c r="AJ16" s="1448">
        <f>IFERROR(INDEX(Alimentos!AI$5:AI$310,MATCH($B16,Alimentos!$E$5:$E$310,0))/1,"")</f>
        <v>0</v>
      </c>
      <c r="AK16" s="1448">
        <f>IFERROR(INDEX(Alimentos!AJ$5:AJ$310,MATCH($B16,Alimentos!$E$5:$E$310,0))/1,"")</f>
        <v>0</v>
      </c>
      <c r="AL16" s="1448">
        <f>IFERROR(INDEX(Alimentos!AK$5:AK$310,MATCH($B16,Alimentos!$E$5:$E$310,0))/1,"")</f>
        <v>0</v>
      </c>
      <c r="AM16" s="1448">
        <f>IFERROR(INDEX(Alimentos!AL$5:AL$310,MATCH($B16,Alimentos!$E$5:$E$310,0))/1,"")</f>
        <v>0</v>
      </c>
      <c r="AN16" s="1448">
        <f>IFERROR(INDEX(Alimentos!AM$5:AM$310,MATCH($B16,Alimentos!$E$5:$E$310,0))/1,"")</f>
        <v>0</v>
      </c>
      <c r="AO16" s="1448">
        <f>IFERROR(INDEX(Alimentos!AN$5:AN$310,MATCH($B16,Alimentos!$E$5:$E$310,0))/1,"")</f>
        <v>0</v>
      </c>
      <c r="AP16" s="1448">
        <f>IFERROR(INDEX(Alimentos!AO$5:AO$310,MATCH($B16,Alimentos!$E$5:$E$310,0))/1,"")</f>
        <v>0</v>
      </c>
      <c r="AQ16" s="1448">
        <f>IFERROR(INDEX(Alimentos!AP$5:AP$310,MATCH($B16,Alimentos!$E$5:$E$310,0))/1,"")</f>
        <v>0</v>
      </c>
      <c r="AR16" s="1448">
        <f>IFERROR(INDEX(Alimentos!AQ$5:AQ$310,MATCH($B16,Alimentos!$E$5:$E$310,0))/1,"")</f>
        <v>0</v>
      </c>
      <c r="AS16" s="1448">
        <f>IFERROR(INDEX(Alimentos!AR$5:AR$310,MATCH($B16,Alimentos!$E$5:$E$310,0))/1,"")</f>
        <v>0</v>
      </c>
      <c r="AT16" s="1448">
        <f>IFERROR(INDEX(Alimentos!AS$5:AS$310,MATCH($B16,Alimentos!$E$5:$E$310,0))/1,"")</f>
        <v>0</v>
      </c>
      <c r="AU16" s="1448">
        <f>IFERROR(INDEX(Alimentos!AT$5:AT$310,MATCH($B16,Alimentos!$E$5:$E$310,0))/1,"")</f>
        <v>0</v>
      </c>
      <c r="AV16" s="1448">
        <f>IFERROR(INDEX(Alimentos!AU$5:AU$310,MATCH($B16,Alimentos!$E$5:$E$310,0))/1,"")</f>
        <v>0</v>
      </c>
      <c r="AW16" s="1448">
        <f>IFERROR(INDEX(Alimentos!AV$5:AV$310,MATCH($B16,Alimentos!$E$5:$E$310,0))/1,"")</f>
        <v>0</v>
      </c>
      <c r="AX16" s="1448">
        <f>IFERROR(INDEX(Alimentos!AW$5:AW$310,MATCH($B16,Alimentos!$E$5:$E$310,0))/1,"")</f>
        <v>0</v>
      </c>
      <c r="AY16" s="1448">
        <f>IFERROR(INDEX(Alimentos!AX$5:AX$310,MATCH($B16,Alimentos!$E$5:$E$310,0))/1,"")</f>
        <v>0</v>
      </c>
      <c r="AZ16" s="841"/>
      <c r="BA16" s="825">
        <f t="shared" si="0"/>
        <v>0.4567344934685274</v>
      </c>
      <c r="BB16" s="826">
        <f>IF($C16&lt;0.00001,"",$C16*G16)</f>
        <v>1.2331831323650317</v>
      </c>
      <c r="BC16" s="833">
        <f t="shared" si="2"/>
        <v>0.40649369918699191</v>
      </c>
      <c r="BD16" s="830">
        <f t="shared" si="3"/>
        <v>0.45675049346853025</v>
      </c>
      <c r="BE16" s="830">
        <f>IFERROR(INDEX(Alimentos!Y$5:Y$310,MATCH($B16,Alimentos!$E$5:$E$310,0))/1000,"")</f>
        <v>8.9000000000000006E-4</v>
      </c>
      <c r="BF16" s="842"/>
      <c r="BG16" s="842"/>
      <c r="BH16" s="842"/>
    </row>
    <row r="17" spans="1:60" ht="15.75">
      <c r="A17" s="842"/>
      <c r="B17" s="849" t="s">
        <v>1441</v>
      </c>
      <c r="C17" s="817">
        <v>0.37826456649737333</v>
      </c>
      <c r="D17" s="838">
        <v>0</v>
      </c>
      <c r="E17" s="838">
        <v>1</v>
      </c>
      <c r="F17" s="809"/>
      <c r="G17" s="891">
        <f>IFERROR(IF(F17&gt;0,F17,INDEX(Alimentos!F$5:F$310,MATCH($B17,Alimentos!$E$5:$E$310,0))),"")</f>
        <v>1</v>
      </c>
      <c r="H17" s="841"/>
      <c r="I17" s="1444">
        <f>IFERROR(INDEX(Alimentos!H$5:H$310,MATCH($B17,Alimentos!$E$5:$E$310,0))/1,"")</f>
        <v>0.98439999999999994</v>
      </c>
      <c r="J17" s="1444">
        <f>IFERROR(INDEX(Alimentos!I$5:I$310,MATCH($B17,Alimentos!$E$5:$E$310,0))/1,"")</f>
        <v>0</v>
      </c>
      <c r="K17" s="1444">
        <f>IFERROR(INDEX(Alimentos!J$5:J$310,MATCH($B17,Alimentos!$E$5:$E$310,0))/1,"")</f>
        <v>0</v>
      </c>
      <c r="L17" s="1444">
        <f>IFERROR(INDEX(Alimentos!K$5:K$310,MATCH($B17,Alimentos!$E$5:$E$310,0))/1,"")</f>
        <v>0</v>
      </c>
      <c r="M17" s="1444">
        <f>IFERROR(INDEX(Alimentos!L$5:L$310,MATCH($B17,Alimentos!$E$5:$E$310,0))/1,"")</f>
        <v>0</v>
      </c>
      <c r="N17" s="1448">
        <f>IFERROR(INDEX(Alimentos!M$5:M$310,MATCH($B17,Alimentos!$E$5:$E$310,0))/1,"")</f>
        <v>0</v>
      </c>
      <c r="O17" s="1448">
        <f>IFERROR(INDEX(Alimentos!N$5:N$310,MATCH($B17,Alimentos!$E$5:$E$310,0))/1,"")</f>
        <v>0</v>
      </c>
      <c r="P17" s="1448">
        <f>IFERROR(INDEX(Alimentos!O$5:O$310,MATCH($B17,Alimentos!$E$5:$E$310,0))/1,"")</f>
        <v>0</v>
      </c>
      <c r="Q17" s="1444">
        <f>IFERROR(INDEX(Alimentos!P$5:P$310,MATCH($B17,Alimentos!$E$5:$E$310,0))/1000,"")</f>
        <v>0</v>
      </c>
      <c r="R17" s="1444">
        <f>IFERROR(INDEX(Alimentos!Q$5:Q$310,MATCH($B17,Alimentos!$E$5:$E$310,0))/1000,"")</f>
        <v>0</v>
      </c>
      <c r="S17" s="1444">
        <f>IFERROR(INDEX(Alimentos!R$5:R$310,MATCH($B17,Alimentos!$E$5:$E$310,0))/1000,"")</f>
        <v>0</v>
      </c>
      <c r="T17" s="1444">
        <f>IFERROR(INDEX(Alimentos!S$5:S$310,MATCH($B17,Alimentos!$E$5:$E$310,0))/1000,"")</f>
        <v>0</v>
      </c>
      <c r="U17" s="1444">
        <f>IFERROR(INDEX(Alimentos!T$5:T$310,MATCH($B17,Alimentos!$E$5:$E$310,0))/1000,"")</f>
        <v>0</v>
      </c>
      <c r="V17" s="1444">
        <f>IFERROR(INDEX(Alimentos!U$5:U$310,MATCH($B17,Alimentos!$E$5:$E$310,0))/1000,"")</f>
        <v>0</v>
      </c>
      <c r="W17" s="1444">
        <f>IFERROR(INDEX(Alimentos!V$5:V$310,MATCH($B17,Alimentos!$E$5:$E$310,0))/1000,"")</f>
        <v>0.23743728</v>
      </c>
      <c r="X17" s="1444">
        <f>IFERROR(INDEX(Alimentos!W$5:W$310,MATCH($B17,Alimentos!$E$5:$E$310,0))/1000,"")</f>
        <v>0.18240932000000001</v>
      </c>
      <c r="Y17" s="1444">
        <f>IFERROR(INDEX(Alimentos!X$5:X$310,MATCH($B17,Alimentos!$E$5:$E$310,0))/1000,"")</f>
        <v>1.6833239999999999E-2</v>
      </c>
      <c r="Z17" s="1444">
        <f>IFERROR(INDEX(Alimentos!Y$5:Y$310,MATCH($B17,Alimentos!$E$5:$E$310,0))/1000,"")</f>
        <v>1.2797199999999998E-3</v>
      </c>
      <c r="AA17" s="1444">
        <f>IFERROR(INDEX(Alimentos!Z$5:Z$310,MATCH($B17,Alimentos!$E$5:$E$310,0))/1000,"")</f>
        <v>7.8752E-4</v>
      </c>
      <c r="AB17" s="1444">
        <f>IFERROR(INDEX(Alimentos!AA$5:AA$310,MATCH($B17,Alimentos!$E$5:$E$310,0))/1000,"")</f>
        <v>0</v>
      </c>
      <c r="AC17" s="1448">
        <f>IFERROR(INDEX(Alimentos!AB$5:AB$310,MATCH($B17,Alimentos!$E$5:$E$310,0))/1,"")</f>
        <v>13.1</v>
      </c>
      <c r="AD17" s="1448">
        <f>IFERROR(INDEX(Alimentos!AC$5:AC$310,MATCH($B17,Alimentos!$E$5:$E$310,0))/1,"")</f>
        <v>14</v>
      </c>
      <c r="AE17" s="1448">
        <f>IFERROR(INDEX(Alimentos!AD$5:AD$310,MATCH($B17,Alimentos!$E$5:$E$310,0))/1,"")</f>
        <v>0</v>
      </c>
      <c r="AF17" s="1448">
        <f>IFERROR(INDEX(Alimentos!AE$5:AE$310,MATCH($B17,Alimentos!$E$5:$E$310,0))/1,"")</f>
        <v>617.14</v>
      </c>
      <c r="AG17" s="1448">
        <f>IFERROR(INDEX(Alimentos!AF$5:AF$310,MATCH($B17,Alimentos!$E$5:$E$310,0))/1,"")</f>
        <v>0</v>
      </c>
      <c r="AH17" s="1448">
        <f>IFERROR(INDEX(Alimentos!AG$5:AG$310,MATCH($B17,Alimentos!$E$5:$E$310,0))/1,"")</f>
        <v>0</v>
      </c>
      <c r="AI17" s="1448">
        <f>IFERROR(INDEX(Alimentos!AH$5:AH$310,MATCH($B17,Alimentos!$E$5:$E$310,0))/1,"")</f>
        <v>0</v>
      </c>
      <c r="AJ17" s="1448">
        <f>IFERROR(INDEX(Alimentos!AI$5:AI$310,MATCH($B17,Alimentos!$E$5:$E$310,0))/1,"")</f>
        <v>0</v>
      </c>
      <c r="AK17" s="1448">
        <f>IFERROR(INDEX(Alimentos!AJ$5:AJ$310,MATCH($B17,Alimentos!$E$5:$E$310,0))/1,"")</f>
        <v>0</v>
      </c>
      <c r="AL17" s="1448">
        <f>IFERROR(INDEX(Alimentos!AK$5:AK$310,MATCH($B17,Alimentos!$E$5:$E$310,0))/1,"")</f>
        <v>0</v>
      </c>
      <c r="AM17" s="1448">
        <f>IFERROR(INDEX(Alimentos!AL$5:AL$310,MATCH($B17,Alimentos!$E$5:$E$310,0))/1,"")</f>
        <v>0</v>
      </c>
      <c r="AN17" s="1448">
        <f>IFERROR(INDEX(Alimentos!AM$5:AM$310,MATCH($B17,Alimentos!$E$5:$E$310,0))/1,"")</f>
        <v>0</v>
      </c>
      <c r="AO17" s="1448">
        <f>IFERROR(INDEX(Alimentos!AN$5:AN$310,MATCH($B17,Alimentos!$E$5:$E$310,0))/1,"")</f>
        <v>0</v>
      </c>
      <c r="AP17" s="1448">
        <f>IFERROR(INDEX(Alimentos!AO$5:AO$310,MATCH($B17,Alimentos!$E$5:$E$310,0))/1,"")</f>
        <v>0</v>
      </c>
      <c r="AQ17" s="1448">
        <f>IFERROR(INDEX(Alimentos!AP$5:AP$310,MATCH($B17,Alimentos!$E$5:$E$310,0))/1,"")</f>
        <v>0</v>
      </c>
      <c r="AR17" s="1448">
        <f>IFERROR(INDEX(Alimentos!AQ$5:AQ$310,MATCH($B17,Alimentos!$E$5:$E$310,0))/1,"")</f>
        <v>0</v>
      </c>
      <c r="AS17" s="1448">
        <f>IFERROR(INDEX(Alimentos!AR$5:AR$310,MATCH($B17,Alimentos!$E$5:$E$310,0))/1,"")</f>
        <v>0</v>
      </c>
      <c r="AT17" s="1448">
        <f>IFERROR(INDEX(Alimentos!AS$5:AS$310,MATCH($B17,Alimentos!$E$5:$E$310,0))/1,"")</f>
        <v>0</v>
      </c>
      <c r="AU17" s="1448">
        <f>IFERROR(INDEX(Alimentos!AT$5:AT$310,MATCH($B17,Alimentos!$E$5:$E$310,0))/1,"")</f>
        <v>0</v>
      </c>
      <c r="AV17" s="1448">
        <f>IFERROR(INDEX(Alimentos!AU$5:AU$310,MATCH($B17,Alimentos!$E$5:$E$310,0))/1,"")</f>
        <v>0</v>
      </c>
      <c r="AW17" s="1448">
        <f>IFERROR(INDEX(Alimentos!AV$5:AV$310,MATCH($B17,Alimentos!$E$5:$E$310,0))/1,"")</f>
        <v>0</v>
      </c>
      <c r="AX17" s="1448">
        <f>IFERROR(INDEX(Alimentos!AW$5:AW$310,MATCH($B17,Alimentos!$E$5:$E$310,0))/1,"")</f>
        <v>0</v>
      </c>
      <c r="AY17" s="1448">
        <f>IFERROR(INDEX(Alimentos!AX$5:AX$310,MATCH($B17,Alimentos!$E$5:$E$310,0))/1,"")</f>
        <v>0</v>
      </c>
      <c r="AZ17" s="841"/>
      <c r="BA17" s="825">
        <f t="shared" si="0"/>
        <v>0.378264566497371</v>
      </c>
      <c r="BB17" s="826">
        <f t="shared" si="1"/>
        <v>0.37826456649737333</v>
      </c>
      <c r="BC17" s="833">
        <f t="shared" si="2"/>
        <v>0.37236363926001431</v>
      </c>
      <c r="BD17" s="830">
        <f t="shared" si="3"/>
        <v>0.37828156649737332</v>
      </c>
      <c r="BE17" s="830">
        <f>IFERROR(INDEX(Alimentos!Y$5:Y$310,MATCH($B17,Alimentos!$E$5:$E$310,0))/1000,"")</f>
        <v>1.2797199999999998E-3</v>
      </c>
      <c r="BF17" s="842"/>
      <c r="BG17" s="842"/>
      <c r="BH17" s="842"/>
    </row>
    <row r="18" spans="1:60" ht="15.75">
      <c r="A18" s="842"/>
      <c r="B18" s="849" t="s">
        <v>1442</v>
      </c>
      <c r="C18" s="817">
        <v>0</v>
      </c>
      <c r="D18" s="838">
        <v>0</v>
      </c>
      <c r="E18" s="838">
        <v>1</v>
      </c>
      <c r="F18" s="809"/>
      <c r="G18" s="891">
        <f>IFERROR(IF(F18&gt;0,F18,INDEX(Alimentos!F$5:F$310,MATCH($B18,Alimentos!$E$5:$E$310,0))),"")</f>
        <v>1</v>
      </c>
      <c r="H18" s="841"/>
      <c r="I18" s="1444">
        <f>IFERROR(INDEX(Alimentos!H$5:H$310,MATCH($B18,Alimentos!$E$5:$E$310,0))/1,"")</f>
        <v>1</v>
      </c>
      <c r="J18" s="1444">
        <f>IFERROR(INDEX(Alimentos!I$5:I$310,MATCH($B18,Alimentos!$E$5:$E$310,0))/1,"")</f>
        <v>0</v>
      </c>
      <c r="K18" s="1444">
        <f>IFERROR(INDEX(Alimentos!J$5:J$310,MATCH($B18,Alimentos!$E$5:$E$310,0))/1,"")</f>
        <v>0</v>
      </c>
      <c r="L18" s="1444">
        <f>IFERROR(INDEX(Alimentos!K$5:K$310,MATCH($B18,Alimentos!$E$5:$E$310,0))/1,"")</f>
        <v>0</v>
      </c>
      <c r="M18" s="1444">
        <f>IFERROR(INDEX(Alimentos!L$5:L$310,MATCH($B18,Alimentos!$E$5:$E$310,0))/1,"")</f>
        <v>0</v>
      </c>
      <c r="N18" s="1448">
        <f>IFERROR(INDEX(Alimentos!M$5:M$310,MATCH($B18,Alimentos!$E$5:$E$310,0))/1,"")</f>
        <v>0</v>
      </c>
      <c r="O18" s="1448">
        <f>IFERROR(INDEX(Alimentos!N$5:N$310,MATCH($B18,Alimentos!$E$5:$E$310,0))/1,"")</f>
        <v>0</v>
      </c>
      <c r="P18" s="1448">
        <f>IFERROR(INDEX(Alimentos!O$5:O$310,MATCH($B18,Alimentos!$E$5:$E$310,0))/1,"")</f>
        <v>0</v>
      </c>
      <c r="Q18" s="1444">
        <f>IFERROR(INDEX(Alimentos!P$5:P$310,MATCH($B18,Alimentos!$E$5:$E$310,0))/1000,"")</f>
        <v>0</v>
      </c>
      <c r="R18" s="1444">
        <f>IFERROR(INDEX(Alimentos!Q$5:Q$310,MATCH($B18,Alimentos!$E$5:$E$310,0))/1000,"")</f>
        <v>0</v>
      </c>
      <c r="S18" s="1444">
        <f>IFERROR(INDEX(Alimentos!R$5:R$310,MATCH($B18,Alimentos!$E$5:$E$310,0))/1000,"")</f>
        <v>0</v>
      </c>
      <c r="T18" s="1444">
        <f>IFERROR(INDEX(Alimentos!S$5:S$310,MATCH($B18,Alimentos!$E$5:$E$310,0))/1000,"")</f>
        <v>0</v>
      </c>
      <c r="U18" s="1444">
        <f>IFERROR(INDEX(Alimentos!T$5:T$310,MATCH($B18,Alimentos!$E$5:$E$310,0))/1000,"")</f>
        <v>0</v>
      </c>
      <c r="V18" s="1444">
        <f>IFERROR(INDEX(Alimentos!U$5:U$310,MATCH($B18,Alimentos!$E$5:$E$310,0))/1000,"")</f>
        <v>0</v>
      </c>
      <c r="W18" s="1444">
        <f>IFERROR(INDEX(Alimentos!V$5:V$310,MATCH($B18,Alimentos!$E$5:$E$310,0))/1000,"")</f>
        <v>0.37</v>
      </c>
      <c r="X18" s="1444">
        <f>IFERROR(INDEX(Alimentos!W$5:W$310,MATCH($B18,Alimentos!$E$5:$E$310,0))/1000,"")</f>
        <v>0</v>
      </c>
      <c r="Y18" s="1444">
        <f>IFERROR(INDEX(Alimentos!X$5:X$310,MATCH($B18,Alimentos!$E$5:$E$310,0))/1000,"")</f>
        <v>0</v>
      </c>
      <c r="Z18" s="1444">
        <f>IFERROR(INDEX(Alimentos!Y$5:Y$310,MATCH($B18,Alimentos!$E$5:$E$310,0))/1000,"")</f>
        <v>0</v>
      </c>
      <c r="AA18" s="1444">
        <f>IFERROR(INDEX(Alimentos!Z$5:Z$310,MATCH($B18,Alimentos!$E$5:$E$310,0))/1000,"")</f>
        <v>0</v>
      </c>
      <c r="AB18" s="1444">
        <f>IFERROR(INDEX(Alimentos!AA$5:AA$310,MATCH($B18,Alimentos!$E$5:$E$310,0))/1000,"")</f>
        <v>0</v>
      </c>
      <c r="AC18" s="1448">
        <f>IFERROR(INDEX(Alimentos!AB$5:AB$310,MATCH($B18,Alimentos!$E$5:$E$310,0))/1,"")</f>
        <v>0</v>
      </c>
      <c r="AD18" s="1448">
        <f>IFERROR(INDEX(Alimentos!AC$5:AC$310,MATCH($B18,Alimentos!$E$5:$E$310,0))/1,"")</f>
        <v>0</v>
      </c>
      <c r="AE18" s="1448">
        <f>IFERROR(INDEX(Alimentos!AD$5:AD$310,MATCH($B18,Alimentos!$E$5:$E$310,0))/1,"")</f>
        <v>0</v>
      </c>
      <c r="AF18" s="1448">
        <f>IFERROR(INDEX(Alimentos!AE$5:AE$310,MATCH($B18,Alimentos!$E$5:$E$310,0))/1,"")</f>
        <v>0</v>
      </c>
      <c r="AG18" s="1448">
        <f>IFERROR(INDEX(Alimentos!AF$5:AF$310,MATCH($B18,Alimentos!$E$5:$E$310,0))/1,"")</f>
        <v>0</v>
      </c>
      <c r="AH18" s="1448">
        <f>IFERROR(INDEX(Alimentos!AG$5:AG$310,MATCH($B18,Alimentos!$E$5:$E$310,0))/1,"")</f>
        <v>0</v>
      </c>
      <c r="AI18" s="1448">
        <f>IFERROR(INDEX(Alimentos!AH$5:AH$310,MATCH($B18,Alimentos!$E$5:$E$310,0))/1,"")</f>
        <v>0</v>
      </c>
      <c r="AJ18" s="1448">
        <f>IFERROR(INDEX(Alimentos!AI$5:AI$310,MATCH($B18,Alimentos!$E$5:$E$310,0))/1,"")</f>
        <v>0</v>
      </c>
      <c r="AK18" s="1448">
        <f>IFERROR(INDEX(Alimentos!AJ$5:AJ$310,MATCH($B18,Alimentos!$E$5:$E$310,0))/1,"")</f>
        <v>0</v>
      </c>
      <c r="AL18" s="1448">
        <f>IFERROR(INDEX(Alimentos!AK$5:AK$310,MATCH($B18,Alimentos!$E$5:$E$310,0))/1,"")</f>
        <v>0</v>
      </c>
      <c r="AM18" s="1448">
        <f>IFERROR(INDEX(Alimentos!AL$5:AL$310,MATCH($B18,Alimentos!$E$5:$E$310,0))/1,"")</f>
        <v>0</v>
      </c>
      <c r="AN18" s="1448">
        <f>IFERROR(INDEX(Alimentos!AM$5:AM$310,MATCH($B18,Alimentos!$E$5:$E$310,0))/1,"")</f>
        <v>0</v>
      </c>
      <c r="AO18" s="1448">
        <f>IFERROR(INDEX(Alimentos!AN$5:AN$310,MATCH($B18,Alimentos!$E$5:$E$310,0))/1,"")</f>
        <v>0</v>
      </c>
      <c r="AP18" s="1448">
        <f>IFERROR(INDEX(Alimentos!AO$5:AO$310,MATCH($B18,Alimentos!$E$5:$E$310,0))/1,"")</f>
        <v>0</v>
      </c>
      <c r="AQ18" s="1448">
        <f>IFERROR(INDEX(Alimentos!AP$5:AP$310,MATCH($B18,Alimentos!$E$5:$E$310,0))/1,"")</f>
        <v>0</v>
      </c>
      <c r="AR18" s="1448">
        <f>IFERROR(INDEX(Alimentos!AQ$5:AQ$310,MATCH($B18,Alimentos!$E$5:$E$310,0))/1,"")</f>
        <v>0</v>
      </c>
      <c r="AS18" s="1448">
        <f>IFERROR(INDEX(Alimentos!AR$5:AR$310,MATCH($B18,Alimentos!$E$5:$E$310,0))/1,"")</f>
        <v>0</v>
      </c>
      <c r="AT18" s="1448">
        <f>IFERROR(INDEX(Alimentos!AS$5:AS$310,MATCH($B18,Alimentos!$E$5:$E$310,0))/1,"")</f>
        <v>0</v>
      </c>
      <c r="AU18" s="1448">
        <f>IFERROR(INDEX(Alimentos!AT$5:AT$310,MATCH($B18,Alimentos!$E$5:$E$310,0))/1,"")</f>
        <v>0</v>
      </c>
      <c r="AV18" s="1448">
        <f>IFERROR(INDEX(Alimentos!AU$5:AU$310,MATCH($B18,Alimentos!$E$5:$E$310,0))/1,"")</f>
        <v>0</v>
      </c>
      <c r="AW18" s="1448">
        <f>IFERROR(INDEX(Alimentos!AV$5:AV$310,MATCH($B18,Alimentos!$E$5:$E$310,0))/1,"")</f>
        <v>0</v>
      </c>
      <c r="AX18" s="1448">
        <f>IFERROR(INDEX(Alimentos!AW$5:AW$310,MATCH($B18,Alimentos!$E$5:$E$310,0))/1,"")</f>
        <v>0</v>
      </c>
      <c r="AY18" s="1448">
        <f>IFERROR(INDEX(Alimentos!AX$5:AX$310,MATCH($B18,Alimentos!$E$5:$E$310,0))/1,"")</f>
        <v>0</v>
      </c>
      <c r="AZ18" s="841"/>
      <c r="BA18" s="825">
        <f t="shared" si="0"/>
        <v>0</v>
      </c>
      <c r="BB18" s="826" t="str">
        <f t="shared" si="1"/>
        <v/>
      </c>
      <c r="BC18" s="833" t="str">
        <f t="shared" si="2"/>
        <v/>
      </c>
      <c r="BD18" s="830" t="str">
        <f t="shared" si="3"/>
        <v/>
      </c>
      <c r="BE18" s="830">
        <f>IFERROR(INDEX(Alimentos!Y$5:Y$310,MATCH($B18,Alimentos!$E$5:$E$310,0))/1000,"")</f>
        <v>0</v>
      </c>
      <c r="BF18" s="842"/>
      <c r="BG18" s="842"/>
      <c r="BH18" s="842"/>
    </row>
    <row r="19" spans="1:60" ht="15.75">
      <c r="A19" s="842"/>
      <c r="B19" s="849"/>
      <c r="C19" s="817">
        <v>0</v>
      </c>
      <c r="D19" s="838">
        <v>0</v>
      </c>
      <c r="E19" s="838">
        <v>0</v>
      </c>
      <c r="F19" s="809"/>
      <c r="G19" s="891" t="str">
        <f>IFERROR(IF(F19&gt;0,F19,INDEX(Alimentos!F$5:F$310,MATCH($B19,Alimentos!$E$5:$E$310,0))),"")</f>
        <v/>
      </c>
      <c r="H19" s="841"/>
      <c r="I19" s="1444" t="str">
        <f>IFERROR(INDEX(Alimentos!H$5:H$310,MATCH($B19,Alimentos!$E$5:$E$310,0))/1,"")</f>
        <v/>
      </c>
      <c r="J19" s="1444" t="str">
        <f>IFERROR(INDEX(Alimentos!I$5:I$310,MATCH($B19,Alimentos!$E$5:$E$310,0))/1,"")</f>
        <v/>
      </c>
      <c r="K19" s="1444" t="str">
        <f>IFERROR(INDEX(Alimentos!J$5:J$310,MATCH($B19,Alimentos!$E$5:$E$310,0))/1,"")</f>
        <v/>
      </c>
      <c r="L19" s="1444" t="str">
        <f>IFERROR(INDEX(Alimentos!K$5:K$310,MATCH($B19,Alimentos!$E$5:$E$310,0))/1,"")</f>
        <v/>
      </c>
      <c r="M19" s="1444" t="str">
        <f>IFERROR(INDEX(Alimentos!L$5:L$310,MATCH($B19,Alimentos!$E$5:$E$310,0))/1,"")</f>
        <v/>
      </c>
      <c r="N19" s="1448" t="str">
        <f>IFERROR(INDEX(Alimentos!M$5:M$310,MATCH($B19,Alimentos!$E$5:$E$310,0))/1,"")</f>
        <v/>
      </c>
      <c r="O19" s="1448" t="str">
        <f>IFERROR(INDEX(Alimentos!N$5:N$310,MATCH($B19,Alimentos!$E$5:$E$310,0))/1,"")</f>
        <v/>
      </c>
      <c r="P19" s="1448" t="str">
        <f>IFERROR(INDEX(Alimentos!O$5:O$310,MATCH($B19,Alimentos!$E$5:$E$310,0))/1,"")</f>
        <v/>
      </c>
      <c r="Q19" s="1444" t="str">
        <f>IFERROR(INDEX(Alimentos!P$5:P$310,MATCH($B19,Alimentos!$E$5:$E$310,0))/1000,"")</f>
        <v/>
      </c>
      <c r="R19" s="1444" t="str">
        <f>IFERROR(INDEX(Alimentos!Q$5:Q$310,MATCH($B19,Alimentos!$E$5:$E$310,0))/1000,"")</f>
        <v/>
      </c>
      <c r="S19" s="1444" t="str">
        <f>IFERROR(INDEX(Alimentos!R$5:R$310,MATCH($B19,Alimentos!$E$5:$E$310,0))/1000,"")</f>
        <v/>
      </c>
      <c r="T19" s="1444" t="str">
        <f>IFERROR(INDEX(Alimentos!S$5:S$310,MATCH($B19,Alimentos!$E$5:$E$310,0))/1000,"")</f>
        <v/>
      </c>
      <c r="U19" s="1444" t="str">
        <f>IFERROR(INDEX(Alimentos!T$5:T$310,MATCH($B19,Alimentos!$E$5:$E$310,0))/1000,"")</f>
        <v/>
      </c>
      <c r="V19" s="1444" t="str">
        <f>IFERROR(INDEX(Alimentos!U$5:U$310,MATCH($B19,Alimentos!$E$5:$E$310,0))/1000,"")</f>
        <v/>
      </c>
      <c r="W19" s="1444" t="str">
        <f>IFERROR(INDEX(Alimentos!V$5:V$310,MATCH($B19,Alimentos!$E$5:$E$310,0))/1000,"")</f>
        <v/>
      </c>
      <c r="X19" s="1444" t="str">
        <f>IFERROR(INDEX(Alimentos!W$5:W$310,MATCH($B19,Alimentos!$E$5:$E$310,0))/1000,"")</f>
        <v/>
      </c>
      <c r="Y19" s="1444" t="str">
        <f>IFERROR(INDEX(Alimentos!X$5:X$310,MATCH($B19,Alimentos!$E$5:$E$310,0))/1000,"")</f>
        <v/>
      </c>
      <c r="Z19" s="1444" t="str">
        <f>IFERROR(INDEX(Alimentos!Y$5:Y$310,MATCH($B19,Alimentos!$E$5:$E$310,0))/1000,"")</f>
        <v/>
      </c>
      <c r="AA19" s="1444" t="str">
        <f>IFERROR(INDEX(Alimentos!Z$5:Z$310,MATCH($B19,Alimentos!$E$5:$E$310,0))/1000,"")</f>
        <v/>
      </c>
      <c r="AB19" s="1444" t="str">
        <f>IFERROR(INDEX(Alimentos!AA$5:AA$310,MATCH($B19,Alimentos!$E$5:$E$310,0))/1000,"")</f>
        <v/>
      </c>
      <c r="AC19" s="1448" t="str">
        <f>IFERROR(INDEX(Alimentos!AB$5:AB$310,MATCH($B19,Alimentos!$E$5:$E$310,0))/1,"")</f>
        <v/>
      </c>
      <c r="AD19" s="1448" t="str">
        <f>IFERROR(INDEX(Alimentos!AC$5:AC$310,MATCH($B19,Alimentos!$E$5:$E$310,0))/1,"")</f>
        <v/>
      </c>
      <c r="AE19" s="1448" t="str">
        <f>IFERROR(INDEX(Alimentos!AD$5:AD$310,MATCH($B19,Alimentos!$E$5:$E$310,0))/1,"")</f>
        <v/>
      </c>
      <c r="AF19" s="1448" t="str">
        <f>IFERROR(INDEX(Alimentos!AE$5:AE$310,MATCH($B19,Alimentos!$E$5:$E$310,0))/1,"")</f>
        <v/>
      </c>
      <c r="AG19" s="1448" t="str">
        <f>IFERROR(INDEX(Alimentos!AF$5:AF$310,MATCH($B19,Alimentos!$E$5:$E$310,0))/1,"")</f>
        <v/>
      </c>
      <c r="AH19" s="1448" t="str">
        <f>IFERROR(INDEX(Alimentos!AG$5:AG$310,MATCH($B19,Alimentos!$E$5:$E$310,0))/1,"")</f>
        <v/>
      </c>
      <c r="AI19" s="1448" t="str">
        <f>IFERROR(INDEX(Alimentos!AH$5:AH$310,MATCH($B19,Alimentos!$E$5:$E$310,0))/1,"")</f>
        <v/>
      </c>
      <c r="AJ19" s="1448" t="str">
        <f>IFERROR(INDEX(Alimentos!AI$5:AI$310,MATCH($B19,Alimentos!$E$5:$E$310,0))/1,"")</f>
        <v/>
      </c>
      <c r="AK19" s="1448" t="str">
        <f>IFERROR(INDEX(Alimentos!AJ$5:AJ$310,MATCH($B19,Alimentos!$E$5:$E$310,0))/1,"")</f>
        <v/>
      </c>
      <c r="AL19" s="1448" t="str">
        <f>IFERROR(INDEX(Alimentos!AK$5:AK$310,MATCH($B19,Alimentos!$E$5:$E$310,0))/1,"")</f>
        <v/>
      </c>
      <c r="AM19" s="1448" t="str">
        <f>IFERROR(INDEX(Alimentos!AL$5:AL$310,MATCH($B19,Alimentos!$E$5:$E$310,0))/1,"")</f>
        <v/>
      </c>
      <c r="AN19" s="1448" t="str">
        <f>IFERROR(INDEX(Alimentos!AM$5:AM$310,MATCH($B19,Alimentos!$E$5:$E$310,0))/1,"")</f>
        <v/>
      </c>
      <c r="AO19" s="1448" t="str">
        <f>IFERROR(INDEX(Alimentos!AN$5:AN$310,MATCH($B19,Alimentos!$E$5:$E$310,0))/1,"")</f>
        <v/>
      </c>
      <c r="AP19" s="1448" t="str">
        <f>IFERROR(INDEX(Alimentos!AO$5:AO$310,MATCH($B19,Alimentos!$E$5:$E$310,0))/1,"")</f>
        <v/>
      </c>
      <c r="AQ19" s="1448" t="str">
        <f>IFERROR(INDEX(Alimentos!AP$5:AP$310,MATCH($B19,Alimentos!$E$5:$E$310,0))/1,"")</f>
        <v/>
      </c>
      <c r="AR19" s="1448" t="str">
        <f>IFERROR(INDEX(Alimentos!AQ$5:AQ$310,MATCH($B19,Alimentos!$E$5:$E$310,0))/1,"")</f>
        <v/>
      </c>
      <c r="AS19" s="1448" t="str">
        <f>IFERROR(INDEX(Alimentos!AR$5:AR$310,MATCH($B19,Alimentos!$E$5:$E$310,0))/1,"")</f>
        <v/>
      </c>
      <c r="AT19" s="1448" t="str">
        <f>IFERROR(INDEX(Alimentos!AS$5:AS$310,MATCH($B19,Alimentos!$E$5:$E$310,0))/1,"")</f>
        <v/>
      </c>
      <c r="AU19" s="1448" t="str">
        <f>IFERROR(INDEX(Alimentos!AT$5:AT$310,MATCH($B19,Alimentos!$E$5:$E$310,0))/1,"")</f>
        <v/>
      </c>
      <c r="AV19" s="1448" t="str">
        <f>IFERROR(INDEX(Alimentos!AU$5:AU$310,MATCH($B19,Alimentos!$E$5:$E$310,0))/1,"")</f>
        <v/>
      </c>
      <c r="AW19" s="1448" t="str">
        <f>IFERROR(INDEX(Alimentos!AV$5:AV$310,MATCH($B19,Alimentos!$E$5:$E$310,0))/1,"")</f>
        <v/>
      </c>
      <c r="AX19" s="1448" t="str">
        <f>IFERROR(INDEX(Alimentos!AW$5:AW$310,MATCH($B19,Alimentos!$E$5:$E$310,0))/1,"")</f>
        <v/>
      </c>
      <c r="AY19" s="1448" t="str">
        <f>IFERROR(INDEX(Alimentos!AX$5:AX$310,MATCH($B19,Alimentos!$E$5:$E$310,0))/1,"")</f>
        <v/>
      </c>
      <c r="AZ19" s="841"/>
      <c r="BA19" s="825" t="str">
        <f t="shared" si="0"/>
        <v/>
      </c>
      <c r="BB19" s="826" t="str">
        <f t="shared" si="1"/>
        <v/>
      </c>
      <c r="BC19" s="833" t="str">
        <f t="shared" si="2"/>
        <v/>
      </c>
      <c r="BD19" s="830" t="str">
        <f t="shared" si="3"/>
        <v/>
      </c>
      <c r="BE19" s="830" t="str">
        <f>IFERROR(INDEX(Alimentos!Y$5:Y$310,MATCH($B19,Alimentos!$E$5:$E$310,0))/1000,"")</f>
        <v/>
      </c>
      <c r="BF19" s="842"/>
      <c r="BG19" s="842"/>
      <c r="BH19" s="842"/>
    </row>
    <row r="20" spans="1:60" ht="15.75">
      <c r="A20" s="842"/>
      <c r="B20" s="849"/>
      <c r="C20" s="817">
        <v>0</v>
      </c>
      <c r="D20" s="838">
        <v>0</v>
      </c>
      <c r="E20" s="838">
        <v>0</v>
      </c>
      <c r="F20" s="809"/>
      <c r="G20" s="891" t="str">
        <f>IFERROR(IF(F20&gt;0,F20,INDEX(Alimentos!F$5:F$310,MATCH($B20,Alimentos!$E$5:$E$310,0))),"")</f>
        <v/>
      </c>
      <c r="H20" s="841"/>
      <c r="I20" s="1444" t="str">
        <f>IFERROR(INDEX(Alimentos!H$5:H$310,MATCH($B20,Alimentos!$E$5:$E$310,0))/1,"")</f>
        <v/>
      </c>
      <c r="J20" s="1444" t="str">
        <f>IFERROR(INDEX(Alimentos!I$5:I$310,MATCH($B20,Alimentos!$E$5:$E$310,0))/1,"")</f>
        <v/>
      </c>
      <c r="K20" s="1444" t="str">
        <f>IFERROR(INDEX(Alimentos!J$5:J$310,MATCH($B20,Alimentos!$E$5:$E$310,0))/1,"")</f>
        <v/>
      </c>
      <c r="L20" s="1444" t="str">
        <f>IFERROR(INDEX(Alimentos!K$5:K$310,MATCH($B20,Alimentos!$E$5:$E$310,0))/1,"")</f>
        <v/>
      </c>
      <c r="M20" s="1444" t="str">
        <f>IFERROR(INDEX(Alimentos!L$5:L$310,MATCH($B20,Alimentos!$E$5:$E$310,0))/1,"")</f>
        <v/>
      </c>
      <c r="N20" s="1448" t="str">
        <f>IFERROR(INDEX(Alimentos!M$5:M$310,MATCH($B20,Alimentos!$E$5:$E$310,0))/1,"")</f>
        <v/>
      </c>
      <c r="O20" s="1448" t="str">
        <f>IFERROR(INDEX(Alimentos!N$5:N$310,MATCH($B20,Alimentos!$E$5:$E$310,0))/1,"")</f>
        <v/>
      </c>
      <c r="P20" s="1448" t="str">
        <f>IFERROR(INDEX(Alimentos!O$5:O$310,MATCH($B20,Alimentos!$E$5:$E$310,0))/1,"")</f>
        <v/>
      </c>
      <c r="Q20" s="1444" t="str">
        <f>IFERROR(INDEX(Alimentos!P$5:P$310,MATCH($B20,Alimentos!$E$5:$E$310,0))/1000,"")</f>
        <v/>
      </c>
      <c r="R20" s="1444" t="str">
        <f>IFERROR(INDEX(Alimentos!Q$5:Q$310,MATCH($B20,Alimentos!$E$5:$E$310,0))/1000,"")</f>
        <v/>
      </c>
      <c r="S20" s="1444" t="str">
        <f>IFERROR(INDEX(Alimentos!R$5:R$310,MATCH($B20,Alimentos!$E$5:$E$310,0))/1000,"")</f>
        <v/>
      </c>
      <c r="T20" s="1444" t="str">
        <f>IFERROR(INDEX(Alimentos!S$5:S$310,MATCH($B20,Alimentos!$E$5:$E$310,0))/1000,"")</f>
        <v/>
      </c>
      <c r="U20" s="1444" t="str">
        <f>IFERROR(INDEX(Alimentos!T$5:T$310,MATCH($B20,Alimentos!$E$5:$E$310,0))/1000,"")</f>
        <v/>
      </c>
      <c r="V20" s="1444" t="str">
        <f>IFERROR(INDEX(Alimentos!U$5:U$310,MATCH($B20,Alimentos!$E$5:$E$310,0))/1000,"")</f>
        <v/>
      </c>
      <c r="W20" s="1444" t="str">
        <f>IFERROR(INDEX(Alimentos!V$5:V$310,MATCH($B20,Alimentos!$E$5:$E$310,0))/1000,"")</f>
        <v/>
      </c>
      <c r="X20" s="1444" t="str">
        <f>IFERROR(INDEX(Alimentos!W$5:W$310,MATCH($B20,Alimentos!$E$5:$E$310,0))/1000,"")</f>
        <v/>
      </c>
      <c r="Y20" s="1444" t="str">
        <f>IFERROR(INDEX(Alimentos!X$5:X$310,MATCH($B20,Alimentos!$E$5:$E$310,0))/1000,"")</f>
        <v/>
      </c>
      <c r="Z20" s="1444" t="str">
        <f>IFERROR(INDEX(Alimentos!Y$5:Y$310,MATCH($B20,Alimentos!$E$5:$E$310,0))/1000,"")</f>
        <v/>
      </c>
      <c r="AA20" s="1444" t="str">
        <f>IFERROR(INDEX(Alimentos!Z$5:Z$310,MATCH($B20,Alimentos!$E$5:$E$310,0))/1000,"")</f>
        <v/>
      </c>
      <c r="AB20" s="1444" t="str">
        <f>IFERROR(INDEX(Alimentos!AA$5:AA$310,MATCH($B20,Alimentos!$E$5:$E$310,0))/1000,"")</f>
        <v/>
      </c>
      <c r="AC20" s="1448" t="str">
        <f>IFERROR(INDEX(Alimentos!AB$5:AB$310,MATCH($B20,Alimentos!$E$5:$E$310,0))/1,"")</f>
        <v/>
      </c>
      <c r="AD20" s="1448" t="str">
        <f>IFERROR(INDEX(Alimentos!AC$5:AC$310,MATCH($B20,Alimentos!$E$5:$E$310,0))/1,"")</f>
        <v/>
      </c>
      <c r="AE20" s="1448" t="str">
        <f>IFERROR(INDEX(Alimentos!AD$5:AD$310,MATCH($B20,Alimentos!$E$5:$E$310,0))/1,"")</f>
        <v/>
      </c>
      <c r="AF20" s="1448" t="str">
        <f>IFERROR(INDEX(Alimentos!AE$5:AE$310,MATCH($B20,Alimentos!$E$5:$E$310,0))/1,"")</f>
        <v/>
      </c>
      <c r="AG20" s="1448" t="str">
        <f>IFERROR(INDEX(Alimentos!AF$5:AF$310,MATCH($B20,Alimentos!$E$5:$E$310,0))/1,"")</f>
        <v/>
      </c>
      <c r="AH20" s="1448" t="str">
        <f>IFERROR(INDEX(Alimentos!AG$5:AG$310,MATCH($B20,Alimentos!$E$5:$E$310,0))/1,"")</f>
        <v/>
      </c>
      <c r="AI20" s="1448" t="str">
        <f>IFERROR(INDEX(Alimentos!AH$5:AH$310,MATCH($B20,Alimentos!$E$5:$E$310,0))/1,"")</f>
        <v/>
      </c>
      <c r="AJ20" s="1448" t="str">
        <f>IFERROR(INDEX(Alimentos!AI$5:AI$310,MATCH($B20,Alimentos!$E$5:$E$310,0))/1,"")</f>
        <v/>
      </c>
      <c r="AK20" s="1448" t="str">
        <f>IFERROR(INDEX(Alimentos!AJ$5:AJ$310,MATCH($B20,Alimentos!$E$5:$E$310,0))/1,"")</f>
        <v/>
      </c>
      <c r="AL20" s="1448" t="str">
        <f>IFERROR(INDEX(Alimentos!AK$5:AK$310,MATCH($B20,Alimentos!$E$5:$E$310,0))/1,"")</f>
        <v/>
      </c>
      <c r="AM20" s="1448" t="str">
        <f>IFERROR(INDEX(Alimentos!AL$5:AL$310,MATCH($B20,Alimentos!$E$5:$E$310,0))/1,"")</f>
        <v/>
      </c>
      <c r="AN20" s="1448" t="str">
        <f>IFERROR(INDEX(Alimentos!AM$5:AM$310,MATCH($B20,Alimentos!$E$5:$E$310,0))/1,"")</f>
        <v/>
      </c>
      <c r="AO20" s="1448" t="str">
        <f>IFERROR(INDEX(Alimentos!AN$5:AN$310,MATCH($B20,Alimentos!$E$5:$E$310,0))/1,"")</f>
        <v/>
      </c>
      <c r="AP20" s="1448" t="str">
        <f>IFERROR(INDEX(Alimentos!AO$5:AO$310,MATCH($B20,Alimentos!$E$5:$E$310,0))/1,"")</f>
        <v/>
      </c>
      <c r="AQ20" s="1448" t="str">
        <f>IFERROR(INDEX(Alimentos!AP$5:AP$310,MATCH($B20,Alimentos!$E$5:$E$310,0))/1,"")</f>
        <v/>
      </c>
      <c r="AR20" s="1448" t="str">
        <f>IFERROR(INDEX(Alimentos!AQ$5:AQ$310,MATCH($B20,Alimentos!$E$5:$E$310,0))/1,"")</f>
        <v/>
      </c>
      <c r="AS20" s="1448" t="str">
        <f>IFERROR(INDEX(Alimentos!AR$5:AR$310,MATCH($B20,Alimentos!$E$5:$E$310,0))/1,"")</f>
        <v/>
      </c>
      <c r="AT20" s="1448" t="str">
        <f>IFERROR(INDEX(Alimentos!AS$5:AS$310,MATCH($B20,Alimentos!$E$5:$E$310,0))/1,"")</f>
        <v/>
      </c>
      <c r="AU20" s="1448" t="str">
        <f>IFERROR(INDEX(Alimentos!AT$5:AT$310,MATCH($B20,Alimentos!$E$5:$E$310,0))/1,"")</f>
        <v/>
      </c>
      <c r="AV20" s="1448" t="str">
        <f>IFERROR(INDEX(Alimentos!AU$5:AU$310,MATCH($B20,Alimentos!$E$5:$E$310,0))/1,"")</f>
        <v/>
      </c>
      <c r="AW20" s="1448" t="str">
        <f>IFERROR(INDEX(Alimentos!AV$5:AV$310,MATCH($B20,Alimentos!$E$5:$E$310,0))/1,"")</f>
        <v/>
      </c>
      <c r="AX20" s="1448" t="str">
        <f>IFERROR(INDEX(Alimentos!AW$5:AW$310,MATCH($B20,Alimentos!$E$5:$E$310,0))/1,"")</f>
        <v/>
      </c>
      <c r="AY20" s="1448" t="str">
        <f>IFERROR(INDEX(Alimentos!AX$5:AX$310,MATCH($B20,Alimentos!$E$5:$E$310,0))/1,"")</f>
        <v/>
      </c>
      <c r="AZ20" s="841"/>
      <c r="BA20" s="825" t="str">
        <f t="shared" si="0"/>
        <v/>
      </c>
      <c r="BB20" s="826" t="str">
        <f t="shared" si="1"/>
        <v/>
      </c>
      <c r="BC20" s="833" t="str">
        <f t="shared" si="2"/>
        <v/>
      </c>
      <c r="BD20" s="830" t="str">
        <f t="shared" si="3"/>
        <v/>
      </c>
      <c r="BE20" s="830" t="str">
        <f>IFERROR(INDEX(Alimentos!Y$5:Y$310,MATCH($B20,Alimentos!$E$5:$E$310,0))/1000,"")</f>
        <v/>
      </c>
      <c r="BF20" s="842"/>
      <c r="BG20" s="842"/>
      <c r="BH20" s="842"/>
    </row>
    <row r="21" spans="1:60" ht="15.75">
      <c r="A21" s="842"/>
      <c r="B21" s="849"/>
      <c r="C21" s="817">
        <v>0</v>
      </c>
      <c r="D21" s="838">
        <v>0</v>
      </c>
      <c r="E21" s="838">
        <v>0</v>
      </c>
      <c r="F21" s="809"/>
      <c r="G21" s="891" t="str">
        <f>IFERROR(IF(F21&gt;0,F21,INDEX(Alimentos!F$5:F$310,MATCH($B21,Alimentos!$E$5:$E$310,0))),"")</f>
        <v/>
      </c>
      <c r="H21" s="841"/>
      <c r="I21" s="1444" t="str">
        <f>IFERROR(INDEX(Alimentos!H$5:H$310,MATCH($B21,Alimentos!$E$5:$E$310,0))/1,"")</f>
        <v/>
      </c>
      <c r="J21" s="1444" t="str">
        <f>IFERROR(INDEX(Alimentos!I$5:I$310,MATCH($B21,Alimentos!$E$5:$E$310,0))/1,"")</f>
        <v/>
      </c>
      <c r="K21" s="1444" t="str">
        <f>IFERROR(INDEX(Alimentos!J$5:J$310,MATCH($B21,Alimentos!$E$5:$E$310,0))/1,"")</f>
        <v/>
      </c>
      <c r="L21" s="1444" t="str">
        <f>IFERROR(INDEX(Alimentos!K$5:K$310,MATCH($B21,Alimentos!$E$5:$E$310,0))/1,"")</f>
        <v/>
      </c>
      <c r="M21" s="1444" t="str">
        <f>IFERROR(INDEX(Alimentos!L$5:L$310,MATCH($B21,Alimentos!$E$5:$E$310,0))/1,"")</f>
        <v/>
      </c>
      <c r="N21" s="1448" t="str">
        <f>IFERROR(INDEX(Alimentos!M$5:M$310,MATCH($B21,Alimentos!$E$5:$E$310,0))/1,"")</f>
        <v/>
      </c>
      <c r="O21" s="1448" t="str">
        <f>IFERROR(INDEX(Alimentos!N$5:N$310,MATCH($B21,Alimentos!$E$5:$E$310,0))/1,"")</f>
        <v/>
      </c>
      <c r="P21" s="1448" t="str">
        <f>IFERROR(INDEX(Alimentos!O$5:O$310,MATCH($B21,Alimentos!$E$5:$E$310,0))/1,"")</f>
        <v/>
      </c>
      <c r="Q21" s="1444" t="str">
        <f>IFERROR(INDEX(Alimentos!P$5:P$310,MATCH($B21,Alimentos!$E$5:$E$310,0))/1000,"")</f>
        <v/>
      </c>
      <c r="R21" s="1444" t="str">
        <f>IFERROR(INDEX(Alimentos!Q$5:Q$310,MATCH($B21,Alimentos!$E$5:$E$310,0))/1000,"")</f>
        <v/>
      </c>
      <c r="S21" s="1444" t="str">
        <f>IFERROR(INDEX(Alimentos!R$5:R$310,MATCH($B21,Alimentos!$E$5:$E$310,0))/1000,"")</f>
        <v/>
      </c>
      <c r="T21" s="1444" t="str">
        <f>IFERROR(INDEX(Alimentos!S$5:S$310,MATCH($B21,Alimentos!$E$5:$E$310,0))/1000,"")</f>
        <v/>
      </c>
      <c r="U21" s="1444" t="str">
        <f>IFERROR(INDEX(Alimentos!T$5:T$310,MATCH($B21,Alimentos!$E$5:$E$310,0))/1000,"")</f>
        <v/>
      </c>
      <c r="V21" s="1444" t="str">
        <f>IFERROR(INDEX(Alimentos!U$5:U$310,MATCH($B21,Alimentos!$E$5:$E$310,0))/1000,"")</f>
        <v/>
      </c>
      <c r="W21" s="1444" t="str">
        <f>IFERROR(INDEX(Alimentos!V$5:V$310,MATCH($B21,Alimentos!$E$5:$E$310,0))/1000,"")</f>
        <v/>
      </c>
      <c r="X21" s="1444" t="str">
        <f>IFERROR(INDEX(Alimentos!W$5:W$310,MATCH($B21,Alimentos!$E$5:$E$310,0))/1000,"")</f>
        <v/>
      </c>
      <c r="Y21" s="1444" t="str">
        <f>IFERROR(INDEX(Alimentos!X$5:X$310,MATCH($B21,Alimentos!$E$5:$E$310,0))/1000,"")</f>
        <v/>
      </c>
      <c r="Z21" s="1444" t="str">
        <f>IFERROR(INDEX(Alimentos!Y$5:Y$310,MATCH($B21,Alimentos!$E$5:$E$310,0))/1000,"")</f>
        <v/>
      </c>
      <c r="AA21" s="1444" t="str">
        <f>IFERROR(INDEX(Alimentos!Z$5:Z$310,MATCH($B21,Alimentos!$E$5:$E$310,0))/1000,"")</f>
        <v/>
      </c>
      <c r="AB21" s="1444" t="str">
        <f>IFERROR(INDEX(Alimentos!AA$5:AA$310,MATCH($B21,Alimentos!$E$5:$E$310,0))/1000,"")</f>
        <v/>
      </c>
      <c r="AC21" s="1448" t="str">
        <f>IFERROR(INDEX(Alimentos!AB$5:AB$310,MATCH($B21,Alimentos!$E$5:$E$310,0))/1,"")</f>
        <v/>
      </c>
      <c r="AD21" s="1448" t="str">
        <f>IFERROR(INDEX(Alimentos!AC$5:AC$310,MATCH($B21,Alimentos!$E$5:$E$310,0))/1,"")</f>
        <v/>
      </c>
      <c r="AE21" s="1448" t="str">
        <f>IFERROR(INDEX(Alimentos!AD$5:AD$310,MATCH($B21,Alimentos!$E$5:$E$310,0))/1,"")</f>
        <v/>
      </c>
      <c r="AF21" s="1448" t="str">
        <f>IFERROR(INDEX(Alimentos!AE$5:AE$310,MATCH($B21,Alimentos!$E$5:$E$310,0))/1,"")</f>
        <v/>
      </c>
      <c r="AG21" s="1448" t="str">
        <f>IFERROR(INDEX(Alimentos!AF$5:AF$310,MATCH($B21,Alimentos!$E$5:$E$310,0))/1,"")</f>
        <v/>
      </c>
      <c r="AH21" s="1448" t="str">
        <f>IFERROR(INDEX(Alimentos!AG$5:AG$310,MATCH($B21,Alimentos!$E$5:$E$310,0))/1,"")</f>
        <v/>
      </c>
      <c r="AI21" s="1448" t="str">
        <f>IFERROR(INDEX(Alimentos!AH$5:AH$310,MATCH($B21,Alimentos!$E$5:$E$310,0))/1,"")</f>
        <v/>
      </c>
      <c r="AJ21" s="1448" t="str">
        <f>IFERROR(INDEX(Alimentos!AI$5:AI$310,MATCH($B21,Alimentos!$E$5:$E$310,0))/1,"")</f>
        <v/>
      </c>
      <c r="AK21" s="1448" t="str">
        <f>IFERROR(INDEX(Alimentos!AJ$5:AJ$310,MATCH($B21,Alimentos!$E$5:$E$310,0))/1,"")</f>
        <v/>
      </c>
      <c r="AL21" s="1448" t="str">
        <f>IFERROR(INDEX(Alimentos!AK$5:AK$310,MATCH($B21,Alimentos!$E$5:$E$310,0))/1,"")</f>
        <v/>
      </c>
      <c r="AM21" s="1448" t="str">
        <f>IFERROR(INDEX(Alimentos!AL$5:AL$310,MATCH($B21,Alimentos!$E$5:$E$310,0))/1,"")</f>
        <v/>
      </c>
      <c r="AN21" s="1448" t="str">
        <f>IFERROR(INDEX(Alimentos!AM$5:AM$310,MATCH($B21,Alimentos!$E$5:$E$310,0))/1,"")</f>
        <v/>
      </c>
      <c r="AO21" s="1448" t="str">
        <f>IFERROR(INDEX(Alimentos!AN$5:AN$310,MATCH($B21,Alimentos!$E$5:$E$310,0))/1,"")</f>
        <v/>
      </c>
      <c r="AP21" s="1448" t="str">
        <f>IFERROR(INDEX(Alimentos!AO$5:AO$310,MATCH($B21,Alimentos!$E$5:$E$310,0))/1,"")</f>
        <v/>
      </c>
      <c r="AQ21" s="1448" t="str">
        <f>IFERROR(INDEX(Alimentos!AP$5:AP$310,MATCH($B21,Alimentos!$E$5:$E$310,0))/1,"")</f>
        <v/>
      </c>
      <c r="AR21" s="1448" t="str">
        <f>IFERROR(INDEX(Alimentos!AQ$5:AQ$310,MATCH($B21,Alimentos!$E$5:$E$310,0))/1,"")</f>
        <v/>
      </c>
      <c r="AS21" s="1448" t="str">
        <f>IFERROR(INDEX(Alimentos!AR$5:AR$310,MATCH($B21,Alimentos!$E$5:$E$310,0))/1,"")</f>
        <v/>
      </c>
      <c r="AT21" s="1448" t="str">
        <f>IFERROR(INDEX(Alimentos!AS$5:AS$310,MATCH($B21,Alimentos!$E$5:$E$310,0))/1,"")</f>
        <v/>
      </c>
      <c r="AU21" s="1448" t="str">
        <f>IFERROR(INDEX(Alimentos!AT$5:AT$310,MATCH($B21,Alimentos!$E$5:$E$310,0))/1,"")</f>
        <v/>
      </c>
      <c r="AV21" s="1448" t="str">
        <f>IFERROR(INDEX(Alimentos!AU$5:AU$310,MATCH($B21,Alimentos!$E$5:$E$310,0))/1,"")</f>
        <v/>
      </c>
      <c r="AW21" s="1448" t="str">
        <f>IFERROR(INDEX(Alimentos!AV$5:AV$310,MATCH($B21,Alimentos!$E$5:$E$310,0))/1,"")</f>
        <v/>
      </c>
      <c r="AX21" s="1448" t="str">
        <f>IFERROR(INDEX(Alimentos!AW$5:AW$310,MATCH($B21,Alimentos!$E$5:$E$310,0))/1,"")</f>
        <v/>
      </c>
      <c r="AY21" s="1448" t="str">
        <f>IFERROR(INDEX(Alimentos!AX$5:AX$310,MATCH($B21,Alimentos!$E$5:$E$310,0))/1,"")</f>
        <v/>
      </c>
      <c r="AZ21" s="841"/>
      <c r="BA21" s="825" t="str">
        <f t="shared" si="0"/>
        <v/>
      </c>
      <c r="BB21" s="826" t="str">
        <f t="shared" si="1"/>
        <v/>
      </c>
      <c r="BC21" s="833" t="str">
        <f t="shared" si="2"/>
        <v/>
      </c>
      <c r="BD21" s="830" t="str">
        <f t="shared" si="3"/>
        <v/>
      </c>
      <c r="BE21" s="830" t="str">
        <f>IFERROR(INDEX(Alimentos!Y$5:Y$310,MATCH($B21,Alimentos!$E$5:$E$310,0))/1000,"")</f>
        <v/>
      </c>
      <c r="BF21" s="842"/>
      <c r="BG21" s="842"/>
      <c r="BH21" s="842"/>
    </row>
    <row r="22" spans="1:60" ht="15.75">
      <c r="A22" s="842"/>
      <c r="B22" s="849"/>
      <c r="C22" s="817">
        <v>0</v>
      </c>
      <c r="D22" s="838">
        <v>0</v>
      </c>
      <c r="E22" s="838">
        <v>0</v>
      </c>
      <c r="F22" s="809"/>
      <c r="G22" s="891" t="str">
        <f>IFERROR(IF(F22&gt;0,F22,INDEX(Alimentos!F$5:F$310,MATCH($B22,Alimentos!$E$5:$E$310,0))),"")</f>
        <v/>
      </c>
      <c r="H22" s="841"/>
      <c r="I22" s="1444" t="str">
        <f>IFERROR(INDEX(Alimentos!H$5:H$310,MATCH($B22,Alimentos!$E$5:$E$310,0))/1,"")</f>
        <v/>
      </c>
      <c r="J22" s="1444" t="str">
        <f>IFERROR(INDEX(Alimentos!I$5:I$310,MATCH($B22,Alimentos!$E$5:$E$310,0))/1,"")</f>
        <v/>
      </c>
      <c r="K22" s="1444" t="str">
        <f>IFERROR(INDEX(Alimentos!J$5:J$310,MATCH($B22,Alimentos!$E$5:$E$310,0))/1,"")</f>
        <v/>
      </c>
      <c r="L22" s="1444" t="str">
        <f>IFERROR(INDEX(Alimentos!K$5:K$310,MATCH($B22,Alimentos!$E$5:$E$310,0))/1,"")</f>
        <v/>
      </c>
      <c r="M22" s="1444" t="str">
        <f>IFERROR(INDEX(Alimentos!L$5:L$310,MATCH($B22,Alimentos!$E$5:$E$310,0))/1,"")</f>
        <v/>
      </c>
      <c r="N22" s="1448" t="str">
        <f>IFERROR(INDEX(Alimentos!M$5:M$310,MATCH($B22,Alimentos!$E$5:$E$310,0))/1,"")</f>
        <v/>
      </c>
      <c r="O22" s="1448" t="str">
        <f>IFERROR(INDEX(Alimentos!N$5:N$310,MATCH($B22,Alimentos!$E$5:$E$310,0))/1,"")</f>
        <v/>
      </c>
      <c r="P22" s="1448" t="str">
        <f>IFERROR(INDEX(Alimentos!O$5:O$310,MATCH($B22,Alimentos!$E$5:$E$310,0))/1,"")</f>
        <v/>
      </c>
      <c r="Q22" s="1444" t="str">
        <f>IFERROR(INDEX(Alimentos!P$5:P$310,MATCH($B22,Alimentos!$E$5:$E$310,0))/1000,"")</f>
        <v/>
      </c>
      <c r="R22" s="1444" t="str">
        <f>IFERROR(INDEX(Alimentos!Q$5:Q$310,MATCH($B22,Alimentos!$E$5:$E$310,0))/1000,"")</f>
        <v/>
      </c>
      <c r="S22" s="1444" t="str">
        <f>IFERROR(INDEX(Alimentos!R$5:R$310,MATCH($B22,Alimentos!$E$5:$E$310,0))/1000,"")</f>
        <v/>
      </c>
      <c r="T22" s="1444" t="str">
        <f>IFERROR(INDEX(Alimentos!S$5:S$310,MATCH($B22,Alimentos!$E$5:$E$310,0))/1000,"")</f>
        <v/>
      </c>
      <c r="U22" s="1444" t="str">
        <f>IFERROR(INDEX(Alimentos!T$5:T$310,MATCH($B22,Alimentos!$E$5:$E$310,0))/1000,"")</f>
        <v/>
      </c>
      <c r="V22" s="1444" t="str">
        <f>IFERROR(INDEX(Alimentos!U$5:U$310,MATCH($B22,Alimentos!$E$5:$E$310,0))/1000,"")</f>
        <v/>
      </c>
      <c r="W22" s="1444" t="str">
        <f>IFERROR(INDEX(Alimentos!V$5:V$310,MATCH($B22,Alimentos!$E$5:$E$310,0))/1000,"")</f>
        <v/>
      </c>
      <c r="X22" s="1444" t="str">
        <f>IFERROR(INDEX(Alimentos!W$5:W$310,MATCH($B22,Alimentos!$E$5:$E$310,0))/1000,"")</f>
        <v/>
      </c>
      <c r="Y22" s="1444" t="str">
        <f>IFERROR(INDEX(Alimentos!X$5:X$310,MATCH($B22,Alimentos!$E$5:$E$310,0))/1000,"")</f>
        <v/>
      </c>
      <c r="Z22" s="1444" t="str">
        <f>IFERROR(INDEX(Alimentos!Y$5:Y$310,MATCH($B22,Alimentos!$E$5:$E$310,0))/1000,"")</f>
        <v/>
      </c>
      <c r="AA22" s="1444" t="str">
        <f>IFERROR(INDEX(Alimentos!Z$5:Z$310,MATCH($B22,Alimentos!$E$5:$E$310,0))/1000,"")</f>
        <v/>
      </c>
      <c r="AB22" s="1444" t="str">
        <f>IFERROR(INDEX(Alimentos!AA$5:AA$310,MATCH($B22,Alimentos!$E$5:$E$310,0))/1000,"")</f>
        <v/>
      </c>
      <c r="AC22" s="1448" t="str">
        <f>IFERROR(INDEX(Alimentos!AB$5:AB$310,MATCH($B22,Alimentos!$E$5:$E$310,0))/1,"")</f>
        <v/>
      </c>
      <c r="AD22" s="1448" t="str">
        <f>IFERROR(INDEX(Alimentos!AC$5:AC$310,MATCH($B22,Alimentos!$E$5:$E$310,0))/1,"")</f>
        <v/>
      </c>
      <c r="AE22" s="1448" t="str">
        <f>IFERROR(INDEX(Alimentos!AD$5:AD$310,MATCH($B22,Alimentos!$E$5:$E$310,0))/1,"")</f>
        <v/>
      </c>
      <c r="AF22" s="1448" t="str">
        <f>IFERROR(INDEX(Alimentos!AE$5:AE$310,MATCH($B22,Alimentos!$E$5:$E$310,0))/1,"")</f>
        <v/>
      </c>
      <c r="AG22" s="1448" t="str">
        <f>IFERROR(INDEX(Alimentos!AF$5:AF$310,MATCH($B22,Alimentos!$E$5:$E$310,0))/1,"")</f>
        <v/>
      </c>
      <c r="AH22" s="1448" t="str">
        <f>IFERROR(INDEX(Alimentos!AG$5:AG$310,MATCH($B22,Alimentos!$E$5:$E$310,0))/1,"")</f>
        <v/>
      </c>
      <c r="AI22" s="1448" t="str">
        <f>IFERROR(INDEX(Alimentos!AH$5:AH$310,MATCH($B22,Alimentos!$E$5:$E$310,0))/1,"")</f>
        <v/>
      </c>
      <c r="AJ22" s="1448" t="str">
        <f>IFERROR(INDEX(Alimentos!AI$5:AI$310,MATCH($B22,Alimentos!$E$5:$E$310,0))/1,"")</f>
        <v/>
      </c>
      <c r="AK22" s="1448" t="str">
        <f>IFERROR(INDEX(Alimentos!AJ$5:AJ$310,MATCH($B22,Alimentos!$E$5:$E$310,0))/1,"")</f>
        <v/>
      </c>
      <c r="AL22" s="1448" t="str">
        <f>IFERROR(INDEX(Alimentos!AK$5:AK$310,MATCH($B22,Alimentos!$E$5:$E$310,0))/1,"")</f>
        <v/>
      </c>
      <c r="AM22" s="1448" t="str">
        <f>IFERROR(INDEX(Alimentos!AL$5:AL$310,MATCH($B22,Alimentos!$E$5:$E$310,0))/1,"")</f>
        <v/>
      </c>
      <c r="AN22" s="1448" t="str">
        <f>IFERROR(INDEX(Alimentos!AM$5:AM$310,MATCH($B22,Alimentos!$E$5:$E$310,0))/1,"")</f>
        <v/>
      </c>
      <c r="AO22" s="1448" t="str">
        <f>IFERROR(INDEX(Alimentos!AN$5:AN$310,MATCH($B22,Alimentos!$E$5:$E$310,0))/1,"")</f>
        <v/>
      </c>
      <c r="AP22" s="1448" t="str">
        <f>IFERROR(INDEX(Alimentos!AO$5:AO$310,MATCH($B22,Alimentos!$E$5:$E$310,0))/1,"")</f>
        <v/>
      </c>
      <c r="AQ22" s="1448" t="str">
        <f>IFERROR(INDEX(Alimentos!AP$5:AP$310,MATCH($B22,Alimentos!$E$5:$E$310,0))/1,"")</f>
        <v/>
      </c>
      <c r="AR22" s="1448" t="str">
        <f>IFERROR(INDEX(Alimentos!AQ$5:AQ$310,MATCH($B22,Alimentos!$E$5:$E$310,0))/1,"")</f>
        <v/>
      </c>
      <c r="AS22" s="1448" t="str">
        <f>IFERROR(INDEX(Alimentos!AR$5:AR$310,MATCH($B22,Alimentos!$E$5:$E$310,0))/1,"")</f>
        <v/>
      </c>
      <c r="AT22" s="1448" t="str">
        <f>IFERROR(INDEX(Alimentos!AS$5:AS$310,MATCH($B22,Alimentos!$E$5:$E$310,0))/1,"")</f>
        <v/>
      </c>
      <c r="AU22" s="1448" t="str">
        <f>IFERROR(INDEX(Alimentos!AT$5:AT$310,MATCH($B22,Alimentos!$E$5:$E$310,0))/1,"")</f>
        <v/>
      </c>
      <c r="AV22" s="1448" t="str">
        <f>IFERROR(INDEX(Alimentos!AU$5:AU$310,MATCH($B22,Alimentos!$E$5:$E$310,0))/1,"")</f>
        <v/>
      </c>
      <c r="AW22" s="1448" t="str">
        <f>IFERROR(INDEX(Alimentos!AV$5:AV$310,MATCH($B22,Alimentos!$E$5:$E$310,0))/1,"")</f>
        <v/>
      </c>
      <c r="AX22" s="1448" t="str">
        <f>IFERROR(INDEX(Alimentos!AW$5:AW$310,MATCH($B22,Alimentos!$E$5:$E$310,0))/1,"")</f>
        <v/>
      </c>
      <c r="AY22" s="1448" t="str">
        <f>IFERROR(INDEX(Alimentos!AX$5:AX$310,MATCH($B22,Alimentos!$E$5:$E$310,0))/1,"")</f>
        <v/>
      </c>
      <c r="AZ22" s="841"/>
      <c r="BA22" s="825" t="str">
        <f t="shared" si="0"/>
        <v/>
      </c>
      <c r="BB22" s="826" t="str">
        <f t="shared" si="1"/>
        <v/>
      </c>
      <c r="BC22" s="833" t="str">
        <f t="shared" si="2"/>
        <v/>
      </c>
      <c r="BD22" s="830" t="str">
        <f t="shared" si="3"/>
        <v/>
      </c>
      <c r="BE22" s="830" t="str">
        <f>IFERROR(INDEX(Alimentos!Y$5:Y$310,MATCH($B22,Alimentos!$E$5:$E$310,0))/1000,"")</f>
        <v/>
      </c>
      <c r="BF22" s="842"/>
      <c r="BG22" s="842"/>
      <c r="BH22" s="842"/>
    </row>
    <row r="23" spans="1:60" ht="15.75">
      <c r="A23" s="842"/>
      <c r="B23" s="849"/>
      <c r="C23" s="817">
        <v>0</v>
      </c>
      <c r="D23" s="838">
        <v>0</v>
      </c>
      <c r="E23" s="838">
        <v>0</v>
      </c>
      <c r="F23" s="809"/>
      <c r="G23" s="891" t="str">
        <f>IFERROR(IF(F23&gt;0,F23,INDEX(Alimentos!F$5:F$310,MATCH($B23,Alimentos!$E$5:$E$310,0))),"")</f>
        <v/>
      </c>
      <c r="H23" s="841"/>
      <c r="I23" s="1444" t="str">
        <f>IFERROR(INDEX(Alimentos!H$5:H$310,MATCH($B23,Alimentos!$E$5:$E$310,0))/1,"")</f>
        <v/>
      </c>
      <c r="J23" s="1444" t="str">
        <f>IFERROR(INDEX(Alimentos!I$5:I$310,MATCH($B23,Alimentos!$E$5:$E$310,0))/1,"")</f>
        <v/>
      </c>
      <c r="K23" s="1444" t="str">
        <f>IFERROR(INDEX(Alimentos!J$5:J$310,MATCH($B23,Alimentos!$E$5:$E$310,0))/1,"")</f>
        <v/>
      </c>
      <c r="L23" s="1444" t="str">
        <f>IFERROR(INDEX(Alimentos!K$5:K$310,MATCH($B23,Alimentos!$E$5:$E$310,0))/1,"")</f>
        <v/>
      </c>
      <c r="M23" s="1444" t="str">
        <f>IFERROR(INDEX(Alimentos!L$5:L$310,MATCH($B23,Alimentos!$E$5:$E$310,0))/1,"")</f>
        <v/>
      </c>
      <c r="N23" s="1448" t="str">
        <f>IFERROR(INDEX(Alimentos!M$5:M$310,MATCH($B23,Alimentos!$E$5:$E$310,0))/1,"")</f>
        <v/>
      </c>
      <c r="O23" s="1448" t="str">
        <f>IFERROR(INDEX(Alimentos!N$5:N$310,MATCH($B23,Alimentos!$E$5:$E$310,0))/1,"")</f>
        <v/>
      </c>
      <c r="P23" s="1448" t="str">
        <f>IFERROR(INDEX(Alimentos!O$5:O$310,MATCH($B23,Alimentos!$E$5:$E$310,0))/1,"")</f>
        <v/>
      </c>
      <c r="Q23" s="1444" t="str">
        <f>IFERROR(INDEX(Alimentos!P$5:P$310,MATCH($B23,Alimentos!$E$5:$E$310,0))/1000,"")</f>
        <v/>
      </c>
      <c r="R23" s="1444" t="str">
        <f>IFERROR(INDEX(Alimentos!Q$5:Q$310,MATCH($B23,Alimentos!$E$5:$E$310,0))/1000,"")</f>
        <v/>
      </c>
      <c r="S23" s="1444" t="str">
        <f>IFERROR(INDEX(Alimentos!R$5:R$310,MATCH($B23,Alimentos!$E$5:$E$310,0))/1000,"")</f>
        <v/>
      </c>
      <c r="T23" s="1444" t="str">
        <f>IFERROR(INDEX(Alimentos!S$5:S$310,MATCH($B23,Alimentos!$E$5:$E$310,0))/1000,"")</f>
        <v/>
      </c>
      <c r="U23" s="1444" t="str">
        <f>IFERROR(INDEX(Alimentos!T$5:T$310,MATCH($B23,Alimentos!$E$5:$E$310,0))/1000,"")</f>
        <v/>
      </c>
      <c r="V23" s="1444" t="str">
        <f>IFERROR(INDEX(Alimentos!U$5:U$310,MATCH($B23,Alimentos!$E$5:$E$310,0))/1000,"")</f>
        <v/>
      </c>
      <c r="W23" s="1444" t="str">
        <f>IFERROR(INDEX(Alimentos!V$5:V$310,MATCH($B23,Alimentos!$E$5:$E$310,0))/1000,"")</f>
        <v/>
      </c>
      <c r="X23" s="1444" t="str">
        <f>IFERROR(INDEX(Alimentos!W$5:W$310,MATCH($B23,Alimentos!$E$5:$E$310,0))/1000,"")</f>
        <v/>
      </c>
      <c r="Y23" s="1444" t="str">
        <f>IFERROR(INDEX(Alimentos!X$5:X$310,MATCH($B23,Alimentos!$E$5:$E$310,0))/1000,"")</f>
        <v/>
      </c>
      <c r="Z23" s="1444" t="str">
        <f>IFERROR(INDEX(Alimentos!Y$5:Y$310,MATCH($B23,Alimentos!$E$5:$E$310,0))/1000,"")</f>
        <v/>
      </c>
      <c r="AA23" s="1444" t="str">
        <f>IFERROR(INDEX(Alimentos!Z$5:Z$310,MATCH($B23,Alimentos!$E$5:$E$310,0))/1000,"")</f>
        <v/>
      </c>
      <c r="AB23" s="1444" t="str">
        <f>IFERROR(INDEX(Alimentos!AA$5:AA$310,MATCH($B23,Alimentos!$E$5:$E$310,0))/1000,"")</f>
        <v/>
      </c>
      <c r="AC23" s="1448" t="str">
        <f>IFERROR(INDEX(Alimentos!AB$5:AB$310,MATCH($B23,Alimentos!$E$5:$E$310,0))/1,"")</f>
        <v/>
      </c>
      <c r="AD23" s="1448" t="str">
        <f>IFERROR(INDEX(Alimentos!AC$5:AC$310,MATCH($B23,Alimentos!$E$5:$E$310,0))/1,"")</f>
        <v/>
      </c>
      <c r="AE23" s="1448" t="str">
        <f>IFERROR(INDEX(Alimentos!AD$5:AD$310,MATCH($B23,Alimentos!$E$5:$E$310,0))/1,"")</f>
        <v/>
      </c>
      <c r="AF23" s="1448" t="str">
        <f>IFERROR(INDEX(Alimentos!AE$5:AE$310,MATCH($B23,Alimentos!$E$5:$E$310,0))/1,"")</f>
        <v/>
      </c>
      <c r="AG23" s="1448" t="str">
        <f>IFERROR(INDEX(Alimentos!AF$5:AF$310,MATCH($B23,Alimentos!$E$5:$E$310,0))/1,"")</f>
        <v/>
      </c>
      <c r="AH23" s="1448" t="str">
        <f>IFERROR(INDEX(Alimentos!AG$5:AG$310,MATCH($B23,Alimentos!$E$5:$E$310,0))/1,"")</f>
        <v/>
      </c>
      <c r="AI23" s="1448" t="str">
        <f>IFERROR(INDEX(Alimentos!AH$5:AH$310,MATCH($B23,Alimentos!$E$5:$E$310,0))/1,"")</f>
        <v/>
      </c>
      <c r="AJ23" s="1448" t="str">
        <f>IFERROR(INDEX(Alimentos!AI$5:AI$310,MATCH($B23,Alimentos!$E$5:$E$310,0))/1,"")</f>
        <v/>
      </c>
      <c r="AK23" s="1448" t="str">
        <f>IFERROR(INDEX(Alimentos!AJ$5:AJ$310,MATCH($B23,Alimentos!$E$5:$E$310,0))/1,"")</f>
        <v/>
      </c>
      <c r="AL23" s="1448" t="str">
        <f>IFERROR(INDEX(Alimentos!AK$5:AK$310,MATCH($B23,Alimentos!$E$5:$E$310,0))/1,"")</f>
        <v/>
      </c>
      <c r="AM23" s="1448" t="str">
        <f>IFERROR(INDEX(Alimentos!AL$5:AL$310,MATCH($B23,Alimentos!$E$5:$E$310,0))/1,"")</f>
        <v/>
      </c>
      <c r="AN23" s="1448" t="str">
        <f>IFERROR(INDEX(Alimentos!AM$5:AM$310,MATCH($B23,Alimentos!$E$5:$E$310,0))/1,"")</f>
        <v/>
      </c>
      <c r="AO23" s="1448" t="str">
        <f>IFERROR(INDEX(Alimentos!AN$5:AN$310,MATCH($B23,Alimentos!$E$5:$E$310,0))/1,"")</f>
        <v/>
      </c>
      <c r="AP23" s="1448" t="str">
        <f>IFERROR(INDEX(Alimentos!AO$5:AO$310,MATCH($B23,Alimentos!$E$5:$E$310,0))/1,"")</f>
        <v/>
      </c>
      <c r="AQ23" s="1448" t="str">
        <f>IFERROR(INDEX(Alimentos!AP$5:AP$310,MATCH($B23,Alimentos!$E$5:$E$310,0))/1,"")</f>
        <v/>
      </c>
      <c r="AR23" s="1448" t="str">
        <f>IFERROR(INDEX(Alimentos!AQ$5:AQ$310,MATCH($B23,Alimentos!$E$5:$E$310,0))/1,"")</f>
        <v/>
      </c>
      <c r="AS23" s="1448" t="str">
        <f>IFERROR(INDEX(Alimentos!AR$5:AR$310,MATCH($B23,Alimentos!$E$5:$E$310,0))/1,"")</f>
        <v/>
      </c>
      <c r="AT23" s="1448" t="str">
        <f>IFERROR(INDEX(Alimentos!AS$5:AS$310,MATCH($B23,Alimentos!$E$5:$E$310,0))/1,"")</f>
        <v/>
      </c>
      <c r="AU23" s="1448" t="str">
        <f>IFERROR(INDEX(Alimentos!AT$5:AT$310,MATCH($B23,Alimentos!$E$5:$E$310,0))/1,"")</f>
        <v/>
      </c>
      <c r="AV23" s="1448" t="str">
        <f>IFERROR(INDEX(Alimentos!AU$5:AU$310,MATCH($B23,Alimentos!$E$5:$E$310,0))/1,"")</f>
        <v/>
      </c>
      <c r="AW23" s="1448" t="str">
        <f>IFERROR(INDEX(Alimentos!AV$5:AV$310,MATCH($B23,Alimentos!$E$5:$E$310,0))/1,"")</f>
        <v/>
      </c>
      <c r="AX23" s="1448" t="str">
        <f>IFERROR(INDEX(Alimentos!AW$5:AW$310,MATCH($B23,Alimentos!$E$5:$E$310,0))/1,"")</f>
        <v/>
      </c>
      <c r="AY23" s="1448" t="str">
        <f>IFERROR(INDEX(Alimentos!AX$5:AX$310,MATCH($B23,Alimentos!$E$5:$E$310,0))/1,"")</f>
        <v/>
      </c>
      <c r="AZ23" s="841"/>
      <c r="BA23" s="825" t="str">
        <f t="shared" si="0"/>
        <v/>
      </c>
      <c r="BB23" s="826" t="str">
        <f t="shared" si="1"/>
        <v/>
      </c>
      <c r="BC23" s="833" t="str">
        <f t="shared" si="2"/>
        <v/>
      </c>
      <c r="BD23" s="830" t="str">
        <f t="shared" si="3"/>
        <v/>
      </c>
      <c r="BE23" s="830" t="str">
        <f>IFERROR(INDEX(Alimentos!Y$5:Y$310,MATCH($B23,Alimentos!$E$5:$E$310,0))/1000,"")</f>
        <v/>
      </c>
      <c r="BF23" s="842"/>
      <c r="BG23" s="842"/>
      <c r="BH23" s="842"/>
    </row>
    <row r="24" spans="1:60" ht="15.75">
      <c r="A24" s="842"/>
      <c r="B24" s="849"/>
      <c r="C24" s="817">
        <v>0</v>
      </c>
      <c r="D24" s="838">
        <v>0</v>
      </c>
      <c r="E24" s="838">
        <v>0</v>
      </c>
      <c r="F24" s="809"/>
      <c r="G24" s="891" t="str">
        <f>IFERROR(IF(F24&gt;0,F24,INDEX(Alimentos!F$5:F$310,MATCH($B24,Alimentos!$E$5:$E$310,0))),"")</f>
        <v/>
      </c>
      <c r="H24" s="841"/>
      <c r="I24" s="1444" t="str">
        <f>IFERROR(INDEX(Alimentos!H$5:H$310,MATCH($B24,Alimentos!$E$5:$E$310,0))/1,"")</f>
        <v/>
      </c>
      <c r="J24" s="1444" t="str">
        <f>IFERROR(INDEX(Alimentos!I$5:I$310,MATCH($B24,Alimentos!$E$5:$E$310,0))/1,"")</f>
        <v/>
      </c>
      <c r="K24" s="1444" t="str">
        <f>IFERROR(INDEX(Alimentos!J$5:J$310,MATCH($B24,Alimentos!$E$5:$E$310,0))/1,"")</f>
        <v/>
      </c>
      <c r="L24" s="1444" t="str">
        <f>IFERROR(INDEX(Alimentos!K$5:K$310,MATCH($B24,Alimentos!$E$5:$E$310,0))/1,"")</f>
        <v/>
      </c>
      <c r="M24" s="1444" t="str">
        <f>IFERROR(INDEX(Alimentos!L$5:L$310,MATCH($B24,Alimentos!$E$5:$E$310,0))/1,"")</f>
        <v/>
      </c>
      <c r="N24" s="1448" t="str">
        <f>IFERROR(INDEX(Alimentos!M$5:M$310,MATCH($B24,Alimentos!$E$5:$E$310,0))/1,"")</f>
        <v/>
      </c>
      <c r="O24" s="1448" t="str">
        <f>IFERROR(INDEX(Alimentos!N$5:N$310,MATCH($B24,Alimentos!$E$5:$E$310,0))/1,"")</f>
        <v/>
      </c>
      <c r="P24" s="1448" t="str">
        <f>IFERROR(INDEX(Alimentos!O$5:O$310,MATCH($B24,Alimentos!$E$5:$E$310,0))/1,"")</f>
        <v/>
      </c>
      <c r="Q24" s="1444" t="str">
        <f>IFERROR(INDEX(Alimentos!P$5:P$310,MATCH($B24,Alimentos!$E$5:$E$310,0))/1000,"")</f>
        <v/>
      </c>
      <c r="R24" s="1444" t="str">
        <f>IFERROR(INDEX(Alimentos!Q$5:Q$310,MATCH($B24,Alimentos!$E$5:$E$310,0))/1000,"")</f>
        <v/>
      </c>
      <c r="S24" s="1444" t="str">
        <f>IFERROR(INDEX(Alimentos!R$5:R$310,MATCH($B24,Alimentos!$E$5:$E$310,0))/1000,"")</f>
        <v/>
      </c>
      <c r="T24" s="1444" t="str">
        <f>IFERROR(INDEX(Alimentos!S$5:S$310,MATCH($B24,Alimentos!$E$5:$E$310,0))/1000,"")</f>
        <v/>
      </c>
      <c r="U24" s="1444" t="str">
        <f>IFERROR(INDEX(Alimentos!T$5:T$310,MATCH($B24,Alimentos!$E$5:$E$310,0))/1000,"")</f>
        <v/>
      </c>
      <c r="V24" s="1444" t="str">
        <f>IFERROR(INDEX(Alimentos!U$5:U$310,MATCH($B24,Alimentos!$E$5:$E$310,0))/1000,"")</f>
        <v/>
      </c>
      <c r="W24" s="1444" t="str">
        <f>IFERROR(INDEX(Alimentos!V$5:V$310,MATCH($B24,Alimentos!$E$5:$E$310,0))/1000,"")</f>
        <v/>
      </c>
      <c r="X24" s="1444" t="str">
        <f>IFERROR(INDEX(Alimentos!W$5:W$310,MATCH($B24,Alimentos!$E$5:$E$310,0))/1000,"")</f>
        <v/>
      </c>
      <c r="Y24" s="1444" t="str">
        <f>IFERROR(INDEX(Alimentos!X$5:X$310,MATCH($B24,Alimentos!$E$5:$E$310,0))/1000,"")</f>
        <v/>
      </c>
      <c r="Z24" s="1444" t="str">
        <f>IFERROR(INDEX(Alimentos!Y$5:Y$310,MATCH($B24,Alimentos!$E$5:$E$310,0))/1000,"")</f>
        <v/>
      </c>
      <c r="AA24" s="1444" t="str">
        <f>IFERROR(INDEX(Alimentos!Z$5:Z$310,MATCH($B24,Alimentos!$E$5:$E$310,0))/1000,"")</f>
        <v/>
      </c>
      <c r="AB24" s="1444" t="str">
        <f>IFERROR(INDEX(Alimentos!AA$5:AA$310,MATCH($B24,Alimentos!$E$5:$E$310,0))/1000,"")</f>
        <v/>
      </c>
      <c r="AC24" s="1448" t="str">
        <f>IFERROR(INDEX(Alimentos!AB$5:AB$310,MATCH($B24,Alimentos!$E$5:$E$310,0))/1,"")</f>
        <v/>
      </c>
      <c r="AD24" s="1448" t="str">
        <f>IFERROR(INDEX(Alimentos!AC$5:AC$310,MATCH($B24,Alimentos!$E$5:$E$310,0))/1,"")</f>
        <v/>
      </c>
      <c r="AE24" s="1448" t="str">
        <f>IFERROR(INDEX(Alimentos!AD$5:AD$310,MATCH($B24,Alimentos!$E$5:$E$310,0))/1,"")</f>
        <v/>
      </c>
      <c r="AF24" s="1448" t="str">
        <f>IFERROR(INDEX(Alimentos!AE$5:AE$310,MATCH($B24,Alimentos!$E$5:$E$310,0))/1,"")</f>
        <v/>
      </c>
      <c r="AG24" s="1448" t="str">
        <f>IFERROR(INDEX(Alimentos!AF$5:AF$310,MATCH($B24,Alimentos!$E$5:$E$310,0))/1,"")</f>
        <v/>
      </c>
      <c r="AH24" s="1448" t="str">
        <f>IFERROR(INDEX(Alimentos!AG$5:AG$310,MATCH($B24,Alimentos!$E$5:$E$310,0))/1,"")</f>
        <v/>
      </c>
      <c r="AI24" s="1448" t="str">
        <f>IFERROR(INDEX(Alimentos!AH$5:AH$310,MATCH($B24,Alimentos!$E$5:$E$310,0))/1,"")</f>
        <v/>
      </c>
      <c r="AJ24" s="1448" t="str">
        <f>IFERROR(INDEX(Alimentos!AI$5:AI$310,MATCH($B24,Alimentos!$E$5:$E$310,0))/1,"")</f>
        <v/>
      </c>
      <c r="AK24" s="1448" t="str">
        <f>IFERROR(INDEX(Alimentos!AJ$5:AJ$310,MATCH($B24,Alimentos!$E$5:$E$310,0))/1,"")</f>
        <v/>
      </c>
      <c r="AL24" s="1448" t="str">
        <f>IFERROR(INDEX(Alimentos!AK$5:AK$310,MATCH($B24,Alimentos!$E$5:$E$310,0))/1,"")</f>
        <v/>
      </c>
      <c r="AM24" s="1448" t="str">
        <f>IFERROR(INDEX(Alimentos!AL$5:AL$310,MATCH($B24,Alimentos!$E$5:$E$310,0))/1,"")</f>
        <v/>
      </c>
      <c r="AN24" s="1448" t="str">
        <f>IFERROR(INDEX(Alimentos!AM$5:AM$310,MATCH($B24,Alimentos!$E$5:$E$310,0))/1,"")</f>
        <v/>
      </c>
      <c r="AO24" s="1448" t="str">
        <f>IFERROR(INDEX(Alimentos!AN$5:AN$310,MATCH($B24,Alimentos!$E$5:$E$310,0))/1,"")</f>
        <v/>
      </c>
      <c r="AP24" s="1448" t="str">
        <f>IFERROR(INDEX(Alimentos!AO$5:AO$310,MATCH($B24,Alimentos!$E$5:$E$310,0))/1,"")</f>
        <v/>
      </c>
      <c r="AQ24" s="1448" t="str">
        <f>IFERROR(INDEX(Alimentos!AP$5:AP$310,MATCH($B24,Alimentos!$E$5:$E$310,0))/1,"")</f>
        <v/>
      </c>
      <c r="AR24" s="1448" t="str">
        <f>IFERROR(INDEX(Alimentos!AQ$5:AQ$310,MATCH($B24,Alimentos!$E$5:$E$310,0))/1,"")</f>
        <v/>
      </c>
      <c r="AS24" s="1448" t="str">
        <f>IFERROR(INDEX(Alimentos!AR$5:AR$310,MATCH($B24,Alimentos!$E$5:$E$310,0))/1,"")</f>
        <v/>
      </c>
      <c r="AT24" s="1448" t="str">
        <f>IFERROR(INDEX(Alimentos!AS$5:AS$310,MATCH($B24,Alimentos!$E$5:$E$310,0))/1,"")</f>
        <v/>
      </c>
      <c r="AU24" s="1448" t="str">
        <f>IFERROR(INDEX(Alimentos!AT$5:AT$310,MATCH($B24,Alimentos!$E$5:$E$310,0))/1,"")</f>
        <v/>
      </c>
      <c r="AV24" s="1448" t="str">
        <f>IFERROR(INDEX(Alimentos!AU$5:AU$310,MATCH($B24,Alimentos!$E$5:$E$310,0))/1,"")</f>
        <v/>
      </c>
      <c r="AW24" s="1448" t="str">
        <f>IFERROR(INDEX(Alimentos!AV$5:AV$310,MATCH($B24,Alimentos!$E$5:$E$310,0))/1,"")</f>
        <v/>
      </c>
      <c r="AX24" s="1448" t="str">
        <f>IFERROR(INDEX(Alimentos!AW$5:AW$310,MATCH($B24,Alimentos!$E$5:$E$310,0))/1,"")</f>
        <v/>
      </c>
      <c r="AY24" s="1448" t="str">
        <f>IFERROR(INDEX(Alimentos!AX$5:AX$310,MATCH($B24,Alimentos!$E$5:$E$310,0))/1,"")</f>
        <v/>
      </c>
      <c r="AZ24" s="841"/>
      <c r="BA24" s="825" t="str">
        <f t="shared" si="0"/>
        <v/>
      </c>
      <c r="BB24" s="826" t="str">
        <f t="shared" si="1"/>
        <v/>
      </c>
      <c r="BC24" s="833" t="str">
        <f t="shared" si="2"/>
        <v/>
      </c>
      <c r="BD24" s="830" t="str">
        <f t="shared" si="3"/>
        <v/>
      </c>
      <c r="BE24" s="830" t="str">
        <f>IFERROR(INDEX(Alimentos!Y$5:Y$310,MATCH($B24,Alimentos!$E$5:$E$310,0))/1000,"")</f>
        <v/>
      </c>
      <c r="BF24" s="842"/>
      <c r="BG24" s="842"/>
      <c r="BH24" s="842"/>
    </row>
    <row r="25" spans="1:60" ht="15.75">
      <c r="A25" s="842"/>
      <c r="B25" s="849"/>
      <c r="C25" s="817">
        <v>0</v>
      </c>
      <c r="D25" s="838">
        <v>0</v>
      </c>
      <c r="E25" s="838">
        <v>0</v>
      </c>
      <c r="F25" s="809"/>
      <c r="G25" s="891" t="str">
        <f>IFERROR(IF(F25&gt;0,F25,INDEX(Alimentos!F$5:F$310,MATCH($B25,Alimentos!$E$5:$E$310,0))),"")</f>
        <v/>
      </c>
      <c r="H25" s="841"/>
      <c r="I25" s="1444" t="str">
        <f>IFERROR(INDEX(Alimentos!H$5:H$310,MATCH($B25,Alimentos!$E$5:$E$310,0))/1,"")</f>
        <v/>
      </c>
      <c r="J25" s="1444" t="str">
        <f>IFERROR(INDEX(Alimentos!I$5:I$310,MATCH($B25,Alimentos!$E$5:$E$310,0))/1,"")</f>
        <v/>
      </c>
      <c r="K25" s="1444" t="str">
        <f>IFERROR(INDEX(Alimentos!J$5:J$310,MATCH($B25,Alimentos!$E$5:$E$310,0))/1,"")</f>
        <v/>
      </c>
      <c r="L25" s="1444" t="str">
        <f>IFERROR(INDEX(Alimentos!K$5:K$310,MATCH($B25,Alimentos!$E$5:$E$310,0))/1,"")</f>
        <v/>
      </c>
      <c r="M25" s="1444" t="str">
        <f>IFERROR(INDEX(Alimentos!L$5:L$310,MATCH($B25,Alimentos!$E$5:$E$310,0))/1,"")</f>
        <v/>
      </c>
      <c r="N25" s="1448" t="str">
        <f>IFERROR(INDEX(Alimentos!M$5:M$310,MATCH($B25,Alimentos!$E$5:$E$310,0))/1,"")</f>
        <v/>
      </c>
      <c r="O25" s="1448" t="str">
        <f>IFERROR(INDEX(Alimentos!N$5:N$310,MATCH($B25,Alimentos!$E$5:$E$310,0))/1,"")</f>
        <v/>
      </c>
      <c r="P25" s="1448" t="str">
        <f>IFERROR(INDEX(Alimentos!O$5:O$310,MATCH($B25,Alimentos!$E$5:$E$310,0))/1,"")</f>
        <v/>
      </c>
      <c r="Q25" s="1444" t="str">
        <f>IFERROR(INDEX(Alimentos!P$5:P$310,MATCH($B25,Alimentos!$E$5:$E$310,0))/1000,"")</f>
        <v/>
      </c>
      <c r="R25" s="1444" t="str">
        <f>IFERROR(INDEX(Alimentos!Q$5:Q$310,MATCH($B25,Alimentos!$E$5:$E$310,0))/1000,"")</f>
        <v/>
      </c>
      <c r="S25" s="1444" t="str">
        <f>IFERROR(INDEX(Alimentos!R$5:R$310,MATCH($B25,Alimentos!$E$5:$E$310,0))/1000,"")</f>
        <v/>
      </c>
      <c r="T25" s="1444" t="str">
        <f>IFERROR(INDEX(Alimentos!S$5:S$310,MATCH($B25,Alimentos!$E$5:$E$310,0))/1000,"")</f>
        <v/>
      </c>
      <c r="U25" s="1444" t="str">
        <f>IFERROR(INDEX(Alimentos!T$5:T$310,MATCH($B25,Alimentos!$E$5:$E$310,0))/1000,"")</f>
        <v/>
      </c>
      <c r="V25" s="1444" t="str">
        <f>IFERROR(INDEX(Alimentos!U$5:U$310,MATCH($B25,Alimentos!$E$5:$E$310,0))/1000,"")</f>
        <v/>
      </c>
      <c r="W25" s="1444" t="str">
        <f>IFERROR(INDEX(Alimentos!V$5:V$310,MATCH($B25,Alimentos!$E$5:$E$310,0))/1000,"")</f>
        <v/>
      </c>
      <c r="X25" s="1444" t="str">
        <f>IFERROR(INDEX(Alimentos!W$5:W$310,MATCH($B25,Alimentos!$E$5:$E$310,0))/1000,"")</f>
        <v/>
      </c>
      <c r="Y25" s="1444" t="str">
        <f>IFERROR(INDEX(Alimentos!X$5:X$310,MATCH($B25,Alimentos!$E$5:$E$310,0))/1000,"")</f>
        <v/>
      </c>
      <c r="Z25" s="1444" t="str">
        <f>IFERROR(INDEX(Alimentos!Y$5:Y$310,MATCH($B25,Alimentos!$E$5:$E$310,0))/1000,"")</f>
        <v/>
      </c>
      <c r="AA25" s="1444" t="str">
        <f>IFERROR(INDEX(Alimentos!Z$5:Z$310,MATCH($B25,Alimentos!$E$5:$E$310,0))/1000,"")</f>
        <v/>
      </c>
      <c r="AB25" s="1444" t="str">
        <f>IFERROR(INDEX(Alimentos!AA$5:AA$310,MATCH($B25,Alimentos!$E$5:$E$310,0))/1000,"")</f>
        <v/>
      </c>
      <c r="AC25" s="1448" t="str">
        <f>IFERROR(INDEX(Alimentos!AB$5:AB$310,MATCH($B25,Alimentos!$E$5:$E$310,0))/1,"")</f>
        <v/>
      </c>
      <c r="AD25" s="1448" t="str">
        <f>IFERROR(INDEX(Alimentos!AC$5:AC$310,MATCH($B25,Alimentos!$E$5:$E$310,0))/1,"")</f>
        <v/>
      </c>
      <c r="AE25" s="1448" t="str">
        <f>IFERROR(INDEX(Alimentos!AD$5:AD$310,MATCH($B25,Alimentos!$E$5:$E$310,0))/1,"")</f>
        <v/>
      </c>
      <c r="AF25" s="1448" t="str">
        <f>IFERROR(INDEX(Alimentos!AE$5:AE$310,MATCH($B25,Alimentos!$E$5:$E$310,0))/1,"")</f>
        <v/>
      </c>
      <c r="AG25" s="1448" t="str">
        <f>IFERROR(INDEX(Alimentos!AF$5:AF$310,MATCH($B25,Alimentos!$E$5:$E$310,0))/1,"")</f>
        <v/>
      </c>
      <c r="AH25" s="1448" t="str">
        <f>IFERROR(INDEX(Alimentos!AG$5:AG$310,MATCH($B25,Alimentos!$E$5:$E$310,0))/1,"")</f>
        <v/>
      </c>
      <c r="AI25" s="1448" t="str">
        <f>IFERROR(INDEX(Alimentos!AH$5:AH$310,MATCH($B25,Alimentos!$E$5:$E$310,0))/1,"")</f>
        <v/>
      </c>
      <c r="AJ25" s="1448" t="str">
        <f>IFERROR(INDEX(Alimentos!AI$5:AI$310,MATCH($B25,Alimentos!$E$5:$E$310,0))/1,"")</f>
        <v/>
      </c>
      <c r="AK25" s="1448" t="str">
        <f>IFERROR(INDEX(Alimentos!AJ$5:AJ$310,MATCH($B25,Alimentos!$E$5:$E$310,0))/1,"")</f>
        <v/>
      </c>
      <c r="AL25" s="1448" t="str">
        <f>IFERROR(INDEX(Alimentos!AK$5:AK$310,MATCH($B25,Alimentos!$E$5:$E$310,0))/1,"")</f>
        <v/>
      </c>
      <c r="AM25" s="1448" t="str">
        <f>IFERROR(INDEX(Alimentos!AL$5:AL$310,MATCH($B25,Alimentos!$E$5:$E$310,0))/1,"")</f>
        <v/>
      </c>
      <c r="AN25" s="1448" t="str">
        <f>IFERROR(INDEX(Alimentos!AM$5:AM$310,MATCH($B25,Alimentos!$E$5:$E$310,0))/1,"")</f>
        <v/>
      </c>
      <c r="AO25" s="1448" t="str">
        <f>IFERROR(INDEX(Alimentos!AN$5:AN$310,MATCH($B25,Alimentos!$E$5:$E$310,0))/1,"")</f>
        <v/>
      </c>
      <c r="AP25" s="1448" t="str">
        <f>IFERROR(INDEX(Alimentos!AO$5:AO$310,MATCH($B25,Alimentos!$E$5:$E$310,0))/1,"")</f>
        <v/>
      </c>
      <c r="AQ25" s="1448" t="str">
        <f>IFERROR(INDEX(Alimentos!AP$5:AP$310,MATCH($B25,Alimentos!$E$5:$E$310,0))/1,"")</f>
        <v/>
      </c>
      <c r="AR25" s="1448" t="str">
        <f>IFERROR(INDEX(Alimentos!AQ$5:AQ$310,MATCH($B25,Alimentos!$E$5:$E$310,0))/1,"")</f>
        <v/>
      </c>
      <c r="AS25" s="1448" t="str">
        <f>IFERROR(INDEX(Alimentos!AR$5:AR$310,MATCH($B25,Alimentos!$E$5:$E$310,0))/1,"")</f>
        <v/>
      </c>
      <c r="AT25" s="1448" t="str">
        <f>IFERROR(INDEX(Alimentos!AS$5:AS$310,MATCH($B25,Alimentos!$E$5:$E$310,0))/1,"")</f>
        <v/>
      </c>
      <c r="AU25" s="1448" t="str">
        <f>IFERROR(INDEX(Alimentos!AT$5:AT$310,MATCH($B25,Alimentos!$E$5:$E$310,0))/1,"")</f>
        <v/>
      </c>
      <c r="AV25" s="1448" t="str">
        <f>IFERROR(INDEX(Alimentos!AU$5:AU$310,MATCH($B25,Alimentos!$E$5:$E$310,0))/1,"")</f>
        <v/>
      </c>
      <c r="AW25" s="1448" t="str">
        <f>IFERROR(INDEX(Alimentos!AV$5:AV$310,MATCH($B25,Alimentos!$E$5:$E$310,0))/1,"")</f>
        <v/>
      </c>
      <c r="AX25" s="1448" t="str">
        <f>IFERROR(INDEX(Alimentos!AW$5:AW$310,MATCH($B25,Alimentos!$E$5:$E$310,0))/1,"")</f>
        <v/>
      </c>
      <c r="AY25" s="1448" t="str">
        <f>IFERROR(INDEX(Alimentos!AX$5:AX$310,MATCH($B25,Alimentos!$E$5:$E$310,0))/1,"")</f>
        <v/>
      </c>
      <c r="AZ25" s="841"/>
      <c r="BA25" s="825" t="str">
        <f t="shared" si="0"/>
        <v/>
      </c>
      <c r="BB25" s="826" t="str">
        <f t="shared" si="1"/>
        <v/>
      </c>
      <c r="BC25" s="833" t="str">
        <f t="shared" si="2"/>
        <v/>
      </c>
      <c r="BD25" s="830" t="str">
        <f t="shared" si="3"/>
        <v/>
      </c>
      <c r="BE25" s="830" t="str">
        <f>IFERROR(INDEX(Alimentos!Y$5:Y$310,MATCH($B25,Alimentos!$E$5:$E$310,0))/1000,"")</f>
        <v/>
      </c>
      <c r="BF25" s="842"/>
      <c r="BG25" s="842"/>
      <c r="BH25" s="842"/>
    </row>
    <row r="26" spans="1:60" ht="15.75">
      <c r="A26" s="842"/>
      <c r="B26" s="849"/>
      <c r="C26" s="817">
        <v>0</v>
      </c>
      <c r="D26" s="838">
        <v>0</v>
      </c>
      <c r="E26" s="838">
        <v>0</v>
      </c>
      <c r="F26" s="809"/>
      <c r="G26" s="891" t="str">
        <f>IFERROR(IF(F26&gt;0,F26,INDEX(Alimentos!F$5:F$310,MATCH($B26,Alimentos!$E$5:$E$310,0))),"")</f>
        <v/>
      </c>
      <c r="H26" s="841"/>
      <c r="I26" s="1444" t="str">
        <f>IFERROR(INDEX(Alimentos!H$5:H$310,MATCH($B26,Alimentos!$E$5:$E$310,0))/1,"")</f>
        <v/>
      </c>
      <c r="J26" s="1444" t="str">
        <f>IFERROR(INDEX(Alimentos!I$5:I$310,MATCH($B26,Alimentos!$E$5:$E$310,0))/1,"")</f>
        <v/>
      </c>
      <c r="K26" s="1444" t="str">
        <f>IFERROR(INDEX(Alimentos!J$5:J$310,MATCH($B26,Alimentos!$E$5:$E$310,0))/1,"")</f>
        <v/>
      </c>
      <c r="L26" s="1444" t="str">
        <f>IFERROR(INDEX(Alimentos!K$5:K$310,MATCH($B26,Alimentos!$E$5:$E$310,0))/1,"")</f>
        <v/>
      </c>
      <c r="M26" s="1444" t="str">
        <f>IFERROR(INDEX(Alimentos!L$5:L$310,MATCH($B26,Alimentos!$E$5:$E$310,0))/1,"")</f>
        <v/>
      </c>
      <c r="N26" s="1448" t="str">
        <f>IFERROR(INDEX(Alimentos!M$5:M$310,MATCH($B26,Alimentos!$E$5:$E$310,0))/1,"")</f>
        <v/>
      </c>
      <c r="O26" s="1448" t="str">
        <f>IFERROR(INDEX(Alimentos!N$5:N$310,MATCH($B26,Alimentos!$E$5:$E$310,0))/1,"")</f>
        <v/>
      </c>
      <c r="P26" s="1448" t="str">
        <f>IFERROR(INDEX(Alimentos!O$5:O$310,MATCH($B26,Alimentos!$E$5:$E$310,0))/1,"")</f>
        <v/>
      </c>
      <c r="Q26" s="1444" t="str">
        <f>IFERROR(INDEX(Alimentos!P$5:P$310,MATCH($B26,Alimentos!$E$5:$E$310,0))/1000,"")</f>
        <v/>
      </c>
      <c r="R26" s="1444" t="str">
        <f>IFERROR(INDEX(Alimentos!Q$5:Q$310,MATCH($B26,Alimentos!$E$5:$E$310,0))/1000,"")</f>
        <v/>
      </c>
      <c r="S26" s="1444" t="str">
        <f>IFERROR(INDEX(Alimentos!R$5:R$310,MATCH($B26,Alimentos!$E$5:$E$310,0))/1000,"")</f>
        <v/>
      </c>
      <c r="T26" s="1444" t="str">
        <f>IFERROR(INDEX(Alimentos!S$5:S$310,MATCH($B26,Alimentos!$E$5:$E$310,0))/1000,"")</f>
        <v/>
      </c>
      <c r="U26" s="1444" t="str">
        <f>IFERROR(INDEX(Alimentos!T$5:T$310,MATCH($B26,Alimentos!$E$5:$E$310,0))/1000,"")</f>
        <v/>
      </c>
      <c r="V26" s="1444" t="str">
        <f>IFERROR(INDEX(Alimentos!U$5:U$310,MATCH($B26,Alimentos!$E$5:$E$310,0))/1000,"")</f>
        <v/>
      </c>
      <c r="W26" s="1444" t="str">
        <f>IFERROR(INDEX(Alimentos!V$5:V$310,MATCH($B26,Alimentos!$E$5:$E$310,0))/1000,"")</f>
        <v/>
      </c>
      <c r="X26" s="1444" t="str">
        <f>IFERROR(INDEX(Alimentos!W$5:W$310,MATCH($B26,Alimentos!$E$5:$E$310,0))/1000,"")</f>
        <v/>
      </c>
      <c r="Y26" s="1444" t="str">
        <f>IFERROR(INDEX(Alimentos!X$5:X$310,MATCH($B26,Alimentos!$E$5:$E$310,0))/1000,"")</f>
        <v/>
      </c>
      <c r="Z26" s="1444" t="str">
        <f>IFERROR(INDEX(Alimentos!Y$5:Y$310,MATCH($B26,Alimentos!$E$5:$E$310,0))/1000,"")</f>
        <v/>
      </c>
      <c r="AA26" s="1444" t="str">
        <f>IFERROR(INDEX(Alimentos!Z$5:Z$310,MATCH($B26,Alimentos!$E$5:$E$310,0))/1000,"")</f>
        <v/>
      </c>
      <c r="AB26" s="1444" t="str">
        <f>IFERROR(INDEX(Alimentos!AA$5:AA$310,MATCH($B26,Alimentos!$E$5:$E$310,0))/1000,"")</f>
        <v/>
      </c>
      <c r="AC26" s="1448" t="str">
        <f>IFERROR(INDEX(Alimentos!AB$5:AB$310,MATCH($B26,Alimentos!$E$5:$E$310,0))/1,"")</f>
        <v/>
      </c>
      <c r="AD26" s="1448" t="str">
        <f>IFERROR(INDEX(Alimentos!AC$5:AC$310,MATCH($B26,Alimentos!$E$5:$E$310,0))/1,"")</f>
        <v/>
      </c>
      <c r="AE26" s="1448" t="str">
        <f>IFERROR(INDEX(Alimentos!AD$5:AD$310,MATCH($B26,Alimentos!$E$5:$E$310,0))/1,"")</f>
        <v/>
      </c>
      <c r="AF26" s="1448" t="str">
        <f>IFERROR(INDEX(Alimentos!AE$5:AE$310,MATCH($B26,Alimentos!$E$5:$E$310,0))/1,"")</f>
        <v/>
      </c>
      <c r="AG26" s="1448" t="str">
        <f>IFERROR(INDEX(Alimentos!AF$5:AF$310,MATCH($B26,Alimentos!$E$5:$E$310,0))/1,"")</f>
        <v/>
      </c>
      <c r="AH26" s="1448" t="str">
        <f>IFERROR(INDEX(Alimentos!AG$5:AG$310,MATCH($B26,Alimentos!$E$5:$E$310,0))/1,"")</f>
        <v/>
      </c>
      <c r="AI26" s="1448" t="str">
        <f>IFERROR(INDEX(Alimentos!AH$5:AH$310,MATCH($B26,Alimentos!$E$5:$E$310,0))/1,"")</f>
        <v/>
      </c>
      <c r="AJ26" s="1448" t="str">
        <f>IFERROR(INDEX(Alimentos!AI$5:AI$310,MATCH($B26,Alimentos!$E$5:$E$310,0))/1,"")</f>
        <v/>
      </c>
      <c r="AK26" s="1448" t="str">
        <f>IFERROR(INDEX(Alimentos!AJ$5:AJ$310,MATCH($B26,Alimentos!$E$5:$E$310,0))/1,"")</f>
        <v/>
      </c>
      <c r="AL26" s="1448" t="str">
        <f>IFERROR(INDEX(Alimentos!AK$5:AK$310,MATCH($B26,Alimentos!$E$5:$E$310,0))/1,"")</f>
        <v/>
      </c>
      <c r="AM26" s="1448" t="str">
        <f>IFERROR(INDEX(Alimentos!AL$5:AL$310,MATCH($B26,Alimentos!$E$5:$E$310,0))/1,"")</f>
        <v/>
      </c>
      <c r="AN26" s="1448" t="str">
        <f>IFERROR(INDEX(Alimentos!AM$5:AM$310,MATCH($B26,Alimentos!$E$5:$E$310,0))/1,"")</f>
        <v/>
      </c>
      <c r="AO26" s="1448" t="str">
        <f>IFERROR(INDEX(Alimentos!AN$5:AN$310,MATCH($B26,Alimentos!$E$5:$E$310,0))/1,"")</f>
        <v/>
      </c>
      <c r="AP26" s="1448" t="str">
        <f>IFERROR(INDEX(Alimentos!AO$5:AO$310,MATCH($B26,Alimentos!$E$5:$E$310,0))/1,"")</f>
        <v/>
      </c>
      <c r="AQ26" s="1448" t="str">
        <f>IFERROR(INDEX(Alimentos!AP$5:AP$310,MATCH($B26,Alimentos!$E$5:$E$310,0))/1,"")</f>
        <v/>
      </c>
      <c r="AR26" s="1448" t="str">
        <f>IFERROR(INDEX(Alimentos!AQ$5:AQ$310,MATCH($B26,Alimentos!$E$5:$E$310,0))/1,"")</f>
        <v/>
      </c>
      <c r="AS26" s="1448" t="str">
        <f>IFERROR(INDEX(Alimentos!AR$5:AR$310,MATCH($B26,Alimentos!$E$5:$E$310,0))/1,"")</f>
        <v/>
      </c>
      <c r="AT26" s="1448" t="str">
        <f>IFERROR(INDEX(Alimentos!AS$5:AS$310,MATCH($B26,Alimentos!$E$5:$E$310,0))/1,"")</f>
        <v/>
      </c>
      <c r="AU26" s="1448" t="str">
        <f>IFERROR(INDEX(Alimentos!AT$5:AT$310,MATCH($B26,Alimentos!$E$5:$E$310,0))/1,"")</f>
        <v/>
      </c>
      <c r="AV26" s="1448" t="str">
        <f>IFERROR(INDEX(Alimentos!AU$5:AU$310,MATCH($B26,Alimentos!$E$5:$E$310,0))/1,"")</f>
        <v/>
      </c>
      <c r="AW26" s="1448" t="str">
        <f>IFERROR(INDEX(Alimentos!AV$5:AV$310,MATCH($B26,Alimentos!$E$5:$E$310,0))/1,"")</f>
        <v/>
      </c>
      <c r="AX26" s="1448" t="str">
        <f>IFERROR(INDEX(Alimentos!AW$5:AW$310,MATCH($B26,Alimentos!$E$5:$E$310,0))/1,"")</f>
        <v/>
      </c>
      <c r="AY26" s="1448" t="str">
        <f>IFERROR(INDEX(Alimentos!AX$5:AX$310,MATCH($B26,Alimentos!$E$5:$E$310,0))/1,"")</f>
        <v/>
      </c>
      <c r="AZ26" s="841"/>
      <c r="BA26" s="825" t="str">
        <f t="shared" si="0"/>
        <v/>
      </c>
      <c r="BB26" s="826" t="str">
        <f t="shared" si="1"/>
        <v/>
      </c>
      <c r="BC26" s="833" t="str">
        <f t="shared" si="2"/>
        <v/>
      </c>
      <c r="BD26" s="830" t="str">
        <f t="shared" si="3"/>
        <v/>
      </c>
      <c r="BE26" s="830" t="str">
        <f>IFERROR(INDEX(Alimentos!Y$5:Y$310,MATCH($B26,Alimentos!$E$5:$E$310,0))/1000,"")</f>
        <v/>
      </c>
      <c r="BF26" s="842"/>
      <c r="BG26" s="842"/>
      <c r="BH26" s="842"/>
    </row>
    <row r="27" spans="1:60" ht="15.75">
      <c r="A27" s="842"/>
      <c r="B27" s="849"/>
      <c r="C27" s="817">
        <v>0</v>
      </c>
      <c r="D27" s="838">
        <v>0</v>
      </c>
      <c r="E27" s="838">
        <v>0</v>
      </c>
      <c r="F27" s="809"/>
      <c r="G27" s="891" t="str">
        <f>IFERROR(IF(F27&gt;0,F27,INDEX(Alimentos!F$5:F$310,MATCH($B27,Alimentos!$E$5:$E$310,0))),"")</f>
        <v/>
      </c>
      <c r="H27" s="841"/>
      <c r="I27" s="1444" t="str">
        <f>IFERROR(INDEX(Alimentos!H$5:H$310,MATCH($B27,Alimentos!$E$5:$E$310,0))/1,"")</f>
        <v/>
      </c>
      <c r="J27" s="1444" t="str">
        <f>IFERROR(INDEX(Alimentos!I$5:I$310,MATCH($B27,Alimentos!$E$5:$E$310,0))/1,"")</f>
        <v/>
      </c>
      <c r="K27" s="1444" t="str">
        <f>IFERROR(INDEX(Alimentos!J$5:J$310,MATCH($B27,Alimentos!$E$5:$E$310,0))/1,"")</f>
        <v/>
      </c>
      <c r="L27" s="1444" t="str">
        <f>IFERROR(INDEX(Alimentos!K$5:K$310,MATCH($B27,Alimentos!$E$5:$E$310,0))/1,"")</f>
        <v/>
      </c>
      <c r="M27" s="1444" t="str">
        <f>IFERROR(INDEX(Alimentos!L$5:L$310,MATCH($B27,Alimentos!$E$5:$E$310,0))/1,"")</f>
        <v/>
      </c>
      <c r="N27" s="1448" t="str">
        <f>IFERROR(INDEX(Alimentos!M$5:M$310,MATCH($B27,Alimentos!$E$5:$E$310,0))/1,"")</f>
        <v/>
      </c>
      <c r="O27" s="1448" t="str">
        <f>IFERROR(INDEX(Alimentos!N$5:N$310,MATCH($B27,Alimentos!$E$5:$E$310,0))/1,"")</f>
        <v/>
      </c>
      <c r="P27" s="1448" t="str">
        <f>IFERROR(INDEX(Alimentos!O$5:O$310,MATCH($B27,Alimentos!$E$5:$E$310,0))/1,"")</f>
        <v/>
      </c>
      <c r="Q27" s="1444" t="str">
        <f>IFERROR(INDEX(Alimentos!P$5:P$310,MATCH($B27,Alimentos!$E$5:$E$310,0))/1000,"")</f>
        <v/>
      </c>
      <c r="R27" s="1444" t="str">
        <f>IFERROR(INDEX(Alimentos!Q$5:Q$310,MATCH($B27,Alimentos!$E$5:$E$310,0))/1000,"")</f>
        <v/>
      </c>
      <c r="S27" s="1444" t="str">
        <f>IFERROR(INDEX(Alimentos!R$5:R$310,MATCH($B27,Alimentos!$E$5:$E$310,0))/1000,"")</f>
        <v/>
      </c>
      <c r="T27" s="1444" t="str">
        <f>IFERROR(INDEX(Alimentos!S$5:S$310,MATCH($B27,Alimentos!$E$5:$E$310,0))/1000,"")</f>
        <v/>
      </c>
      <c r="U27" s="1444" t="str">
        <f>IFERROR(INDEX(Alimentos!T$5:T$310,MATCH($B27,Alimentos!$E$5:$E$310,0))/1000,"")</f>
        <v/>
      </c>
      <c r="V27" s="1444" t="str">
        <f>IFERROR(INDEX(Alimentos!U$5:U$310,MATCH($B27,Alimentos!$E$5:$E$310,0))/1000,"")</f>
        <v/>
      </c>
      <c r="W27" s="1444" t="str">
        <f>IFERROR(INDEX(Alimentos!V$5:V$310,MATCH($B27,Alimentos!$E$5:$E$310,0))/1000,"")</f>
        <v/>
      </c>
      <c r="X27" s="1444" t="str">
        <f>IFERROR(INDEX(Alimentos!W$5:W$310,MATCH($B27,Alimentos!$E$5:$E$310,0))/1000,"")</f>
        <v/>
      </c>
      <c r="Y27" s="1444" t="str">
        <f>IFERROR(INDEX(Alimentos!X$5:X$310,MATCH($B27,Alimentos!$E$5:$E$310,0))/1000,"")</f>
        <v/>
      </c>
      <c r="Z27" s="1444" t="str">
        <f>IFERROR(INDEX(Alimentos!Y$5:Y$310,MATCH($B27,Alimentos!$E$5:$E$310,0))/1000,"")</f>
        <v/>
      </c>
      <c r="AA27" s="1444" t="str">
        <f>IFERROR(INDEX(Alimentos!Z$5:Z$310,MATCH($B27,Alimentos!$E$5:$E$310,0))/1000,"")</f>
        <v/>
      </c>
      <c r="AB27" s="1444" t="str">
        <f>IFERROR(INDEX(Alimentos!AA$5:AA$310,MATCH($B27,Alimentos!$E$5:$E$310,0))/1000,"")</f>
        <v/>
      </c>
      <c r="AC27" s="1448" t="str">
        <f>IFERROR(INDEX(Alimentos!AB$5:AB$310,MATCH($B27,Alimentos!$E$5:$E$310,0))/1,"")</f>
        <v/>
      </c>
      <c r="AD27" s="1448" t="str">
        <f>IFERROR(INDEX(Alimentos!AC$5:AC$310,MATCH($B27,Alimentos!$E$5:$E$310,0))/1,"")</f>
        <v/>
      </c>
      <c r="AE27" s="1448" t="str">
        <f>IFERROR(INDEX(Alimentos!AD$5:AD$310,MATCH($B27,Alimentos!$E$5:$E$310,0))/1,"")</f>
        <v/>
      </c>
      <c r="AF27" s="1448" t="str">
        <f>IFERROR(INDEX(Alimentos!AE$5:AE$310,MATCH($B27,Alimentos!$E$5:$E$310,0))/1,"")</f>
        <v/>
      </c>
      <c r="AG27" s="1448" t="str">
        <f>IFERROR(INDEX(Alimentos!AF$5:AF$310,MATCH($B27,Alimentos!$E$5:$E$310,0))/1,"")</f>
        <v/>
      </c>
      <c r="AH27" s="1448" t="str">
        <f>IFERROR(INDEX(Alimentos!AG$5:AG$310,MATCH($B27,Alimentos!$E$5:$E$310,0))/1,"")</f>
        <v/>
      </c>
      <c r="AI27" s="1448" t="str">
        <f>IFERROR(INDEX(Alimentos!AH$5:AH$310,MATCH($B27,Alimentos!$E$5:$E$310,0))/1,"")</f>
        <v/>
      </c>
      <c r="AJ27" s="1448" t="str">
        <f>IFERROR(INDEX(Alimentos!AI$5:AI$310,MATCH($B27,Alimentos!$E$5:$E$310,0))/1,"")</f>
        <v/>
      </c>
      <c r="AK27" s="1448" t="str">
        <f>IFERROR(INDEX(Alimentos!AJ$5:AJ$310,MATCH($B27,Alimentos!$E$5:$E$310,0))/1,"")</f>
        <v/>
      </c>
      <c r="AL27" s="1448" t="str">
        <f>IFERROR(INDEX(Alimentos!AK$5:AK$310,MATCH($B27,Alimentos!$E$5:$E$310,0))/1,"")</f>
        <v/>
      </c>
      <c r="AM27" s="1448" t="str">
        <f>IFERROR(INDEX(Alimentos!AL$5:AL$310,MATCH($B27,Alimentos!$E$5:$E$310,0))/1,"")</f>
        <v/>
      </c>
      <c r="AN27" s="1448" t="str">
        <f>IFERROR(INDEX(Alimentos!AM$5:AM$310,MATCH($B27,Alimentos!$E$5:$E$310,0))/1,"")</f>
        <v/>
      </c>
      <c r="AO27" s="1448" t="str">
        <f>IFERROR(INDEX(Alimentos!AN$5:AN$310,MATCH($B27,Alimentos!$E$5:$E$310,0))/1,"")</f>
        <v/>
      </c>
      <c r="AP27" s="1448" t="str">
        <f>IFERROR(INDEX(Alimentos!AO$5:AO$310,MATCH($B27,Alimentos!$E$5:$E$310,0))/1,"")</f>
        <v/>
      </c>
      <c r="AQ27" s="1448" t="str">
        <f>IFERROR(INDEX(Alimentos!AP$5:AP$310,MATCH($B27,Alimentos!$E$5:$E$310,0))/1,"")</f>
        <v/>
      </c>
      <c r="AR27" s="1448" t="str">
        <f>IFERROR(INDEX(Alimentos!AQ$5:AQ$310,MATCH($B27,Alimentos!$E$5:$E$310,0))/1,"")</f>
        <v/>
      </c>
      <c r="AS27" s="1448" t="str">
        <f>IFERROR(INDEX(Alimentos!AR$5:AR$310,MATCH($B27,Alimentos!$E$5:$E$310,0))/1,"")</f>
        <v/>
      </c>
      <c r="AT27" s="1448" t="str">
        <f>IFERROR(INDEX(Alimentos!AS$5:AS$310,MATCH($B27,Alimentos!$E$5:$E$310,0))/1,"")</f>
        <v/>
      </c>
      <c r="AU27" s="1448" t="str">
        <f>IFERROR(INDEX(Alimentos!AT$5:AT$310,MATCH($B27,Alimentos!$E$5:$E$310,0))/1,"")</f>
        <v/>
      </c>
      <c r="AV27" s="1448" t="str">
        <f>IFERROR(INDEX(Alimentos!AU$5:AU$310,MATCH($B27,Alimentos!$E$5:$E$310,0))/1,"")</f>
        <v/>
      </c>
      <c r="AW27" s="1448" t="str">
        <f>IFERROR(INDEX(Alimentos!AV$5:AV$310,MATCH($B27,Alimentos!$E$5:$E$310,0))/1,"")</f>
        <v/>
      </c>
      <c r="AX27" s="1448" t="str">
        <f>IFERROR(INDEX(Alimentos!AW$5:AW$310,MATCH($B27,Alimentos!$E$5:$E$310,0))/1,"")</f>
        <v/>
      </c>
      <c r="AY27" s="1448" t="str">
        <f>IFERROR(INDEX(Alimentos!AX$5:AX$310,MATCH($B27,Alimentos!$E$5:$E$310,0))/1,"")</f>
        <v/>
      </c>
      <c r="AZ27" s="841"/>
      <c r="BA27" s="825" t="str">
        <f t="shared" si="0"/>
        <v/>
      </c>
      <c r="BB27" s="826" t="str">
        <f t="shared" si="1"/>
        <v/>
      </c>
      <c r="BC27" s="833" t="str">
        <f t="shared" si="2"/>
        <v/>
      </c>
      <c r="BD27" s="830" t="str">
        <f t="shared" si="3"/>
        <v/>
      </c>
      <c r="BE27" s="830" t="str">
        <f>IFERROR(INDEX(Alimentos!Y$5:Y$310,MATCH($B27,Alimentos!$E$5:$E$310,0))/1000,"")</f>
        <v/>
      </c>
      <c r="BF27" s="842"/>
      <c r="BG27" s="842"/>
      <c r="BH27" s="842"/>
    </row>
    <row r="28" spans="1:60" ht="15.75">
      <c r="A28" s="842"/>
      <c r="B28" s="849"/>
      <c r="C28" s="817">
        <v>0</v>
      </c>
      <c r="D28" s="838">
        <v>0</v>
      </c>
      <c r="E28" s="838">
        <v>0</v>
      </c>
      <c r="F28" s="809"/>
      <c r="G28" s="891" t="str">
        <f>IFERROR(IF(F28&gt;0,F28,INDEX(Alimentos!F$5:F$310,MATCH($B28,Alimentos!$E$5:$E$310,0))),"")</f>
        <v/>
      </c>
      <c r="H28" s="841"/>
      <c r="I28" s="1444" t="str">
        <f>IFERROR(INDEX(Alimentos!H$5:H$310,MATCH($B28,Alimentos!$E$5:$E$310,0))/1,"")</f>
        <v/>
      </c>
      <c r="J28" s="1444" t="str">
        <f>IFERROR(INDEX(Alimentos!I$5:I$310,MATCH($B28,Alimentos!$E$5:$E$310,0))/1,"")</f>
        <v/>
      </c>
      <c r="K28" s="1444" t="str">
        <f>IFERROR(INDEX(Alimentos!J$5:J$310,MATCH($B28,Alimentos!$E$5:$E$310,0))/1,"")</f>
        <v/>
      </c>
      <c r="L28" s="1444" t="str">
        <f>IFERROR(INDEX(Alimentos!K$5:K$310,MATCH($B28,Alimentos!$E$5:$E$310,0))/1,"")</f>
        <v/>
      </c>
      <c r="M28" s="1444" t="str">
        <f>IFERROR(INDEX(Alimentos!L$5:L$310,MATCH($B28,Alimentos!$E$5:$E$310,0))/1,"")</f>
        <v/>
      </c>
      <c r="N28" s="1448" t="str">
        <f>IFERROR(INDEX(Alimentos!M$5:M$310,MATCH($B28,Alimentos!$E$5:$E$310,0))/1,"")</f>
        <v/>
      </c>
      <c r="O28" s="1448" t="str">
        <f>IFERROR(INDEX(Alimentos!N$5:N$310,MATCH($B28,Alimentos!$E$5:$E$310,0))/1,"")</f>
        <v/>
      </c>
      <c r="P28" s="1448" t="str">
        <f>IFERROR(INDEX(Alimentos!O$5:O$310,MATCH($B28,Alimentos!$E$5:$E$310,0))/1,"")</f>
        <v/>
      </c>
      <c r="Q28" s="1444" t="str">
        <f>IFERROR(INDEX(Alimentos!P$5:P$310,MATCH($B28,Alimentos!$E$5:$E$310,0))/1000,"")</f>
        <v/>
      </c>
      <c r="R28" s="1444" t="str">
        <f>IFERROR(INDEX(Alimentos!Q$5:Q$310,MATCH($B28,Alimentos!$E$5:$E$310,0))/1000,"")</f>
        <v/>
      </c>
      <c r="S28" s="1444" t="str">
        <f>IFERROR(INDEX(Alimentos!R$5:R$310,MATCH($B28,Alimentos!$E$5:$E$310,0))/1000,"")</f>
        <v/>
      </c>
      <c r="T28" s="1444" t="str">
        <f>IFERROR(INDEX(Alimentos!S$5:S$310,MATCH($B28,Alimentos!$E$5:$E$310,0))/1000,"")</f>
        <v/>
      </c>
      <c r="U28" s="1444" t="str">
        <f>IFERROR(INDEX(Alimentos!T$5:T$310,MATCH($B28,Alimentos!$E$5:$E$310,0))/1000,"")</f>
        <v/>
      </c>
      <c r="V28" s="1444" t="str">
        <f>IFERROR(INDEX(Alimentos!U$5:U$310,MATCH($B28,Alimentos!$E$5:$E$310,0))/1000,"")</f>
        <v/>
      </c>
      <c r="W28" s="1444" t="str">
        <f>IFERROR(INDEX(Alimentos!V$5:V$310,MATCH($B28,Alimentos!$E$5:$E$310,0))/1000,"")</f>
        <v/>
      </c>
      <c r="X28" s="1444" t="str">
        <f>IFERROR(INDEX(Alimentos!W$5:W$310,MATCH($B28,Alimentos!$E$5:$E$310,0))/1000,"")</f>
        <v/>
      </c>
      <c r="Y28" s="1444" t="str">
        <f>IFERROR(INDEX(Alimentos!X$5:X$310,MATCH($B28,Alimentos!$E$5:$E$310,0))/1000,"")</f>
        <v/>
      </c>
      <c r="Z28" s="1444" t="str">
        <f>IFERROR(INDEX(Alimentos!Y$5:Y$310,MATCH($B28,Alimentos!$E$5:$E$310,0))/1000,"")</f>
        <v/>
      </c>
      <c r="AA28" s="1444" t="str">
        <f>IFERROR(INDEX(Alimentos!Z$5:Z$310,MATCH($B28,Alimentos!$E$5:$E$310,0))/1000,"")</f>
        <v/>
      </c>
      <c r="AB28" s="1444" t="str">
        <f>IFERROR(INDEX(Alimentos!AA$5:AA$310,MATCH($B28,Alimentos!$E$5:$E$310,0))/1000,"")</f>
        <v/>
      </c>
      <c r="AC28" s="1448" t="str">
        <f>IFERROR(INDEX(Alimentos!AB$5:AB$310,MATCH($B28,Alimentos!$E$5:$E$310,0))/1,"")</f>
        <v/>
      </c>
      <c r="AD28" s="1448" t="str">
        <f>IFERROR(INDEX(Alimentos!AC$5:AC$310,MATCH($B28,Alimentos!$E$5:$E$310,0))/1,"")</f>
        <v/>
      </c>
      <c r="AE28" s="1448" t="str">
        <f>IFERROR(INDEX(Alimentos!AD$5:AD$310,MATCH($B28,Alimentos!$E$5:$E$310,0))/1,"")</f>
        <v/>
      </c>
      <c r="AF28" s="1448" t="str">
        <f>IFERROR(INDEX(Alimentos!AE$5:AE$310,MATCH($B28,Alimentos!$E$5:$E$310,0))/1,"")</f>
        <v/>
      </c>
      <c r="AG28" s="1448" t="str">
        <f>IFERROR(INDEX(Alimentos!AF$5:AF$310,MATCH($B28,Alimentos!$E$5:$E$310,0))/1,"")</f>
        <v/>
      </c>
      <c r="AH28" s="1448" t="str">
        <f>IFERROR(INDEX(Alimentos!AG$5:AG$310,MATCH($B28,Alimentos!$E$5:$E$310,0))/1,"")</f>
        <v/>
      </c>
      <c r="AI28" s="1448" t="str">
        <f>IFERROR(INDEX(Alimentos!AH$5:AH$310,MATCH($B28,Alimentos!$E$5:$E$310,0))/1,"")</f>
        <v/>
      </c>
      <c r="AJ28" s="1448" t="str">
        <f>IFERROR(INDEX(Alimentos!AI$5:AI$310,MATCH($B28,Alimentos!$E$5:$E$310,0))/1,"")</f>
        <v/>
      </c>
      <c r="AK28" s="1448" t="str">
        <f>IFERROR(INDEX(Alimentos!AJ$5:AJ$310,MATCH($B28,Alimentos!$E$5:$E$310,0))/1,"")</f>
        <v/>
      </c>
      <c r="AL28" s="1448" t="str">
        <f>IFERROR(INDEX(Alimentos!AK$5:AK$310,MATCH($B28,Alimentos!$E$5:$E$310,0))/1,"")</f>
        <v/>
      </c>
      <c r="AM28" s="1448" t="str">
        <f>IFERROR(INDEX(Alimentos!AL$5:AL$310,MATCH($B28,Alimentos!$E$5:$E$310,0))/1,"")</f>
        <v/>
      </c>
      <c r="AN28" s="1448" t="str">
        <f>IFERROR(INDEX(Alimentos!AM$5:AM$310,MATCH($B28,Alimentos!$E$5:$E$310,0))/1,"")</f>
        <v/>
      </c>
      <c r="AO28" s="1448" t="str">
        <f>IFERROR(INDEX(Alimentos!AN$5:AN$310,MATCH($B28,Alimentos!$E$5:$E$310,0))/1,"")</f>
        <v/>
      </c>
      <c r="AP28" s="1448" t="str">
        <f>IFERROR(INDEX(Alimentos!AO$5:AO$310,MATCH($B28,Alimentos!$E$5:$E$310,0))/1,"")</f>
        <v/>
      </c>
      <c r="AQ28" s="1448" t="str">
        <f>IFERROR(INDEX(Alimentos!AP$5:AP$310,MATCH($B28,Alimentos!$E$5:$E$310,0))/1,"")</f>
        <v/>
      </c>
      <c r="AR28" s="1448" t="str">
        <f>IFERROR(INDEX(Alimentos!AQ$5:AQ$310,MATCH($B28,Alimentos!$E$5:$E$310,0))/1,"")</f>
        <v/>
      </c>
      <c r="AS28" s="1448" t="str">
        <f>IFERROR(INDEX(Alimentos!AR$5:AR$310,MATCH($B28,Alimentos!$E$5:$E$310,0))/1,"")</f>
        <v/>
      </c>
      <c r="AT28" s="1448" t="str">
        <f>IFERROR(INDEX(Alimentos!AS$5:AS$310,MATCH($B28,Alimentos!$E$5:$E$310,0))/1,"")</f>
        <v/>
      </c>
      <c r="AU28" s="1448" t="str">
        <f>IFERROR(INDEX(Alimentos!AT$5:AT$310,MATCH($B28,Alimentos!$E$5:$E$310,0))/1,"")</f>
        <v/>
      </c>
      <c r="AV28" s="1448" t="str">
        <f>IFERROR(INDEX(Alimentos!AU$5:AU$310,MATCH($B28,Alimentos!$E$5:$E$310,0))/1,"")</f>
        <v/>
      </c>
      <c r="AW28" s="1448" t="str">
        <f>IFERROR(INDEX(Alimentos!AV$5:AV$310,MATCH($B28,Alimentos!$E$5:$E$310,0))/1,"")</f>
        <v/>
      </c>
      <c r="AX28" s="1448" t="str">
        <f>IFERROR(INDEX(Alimentos!AW$5:AW$310,MATCH($B28,Alimentos!$E$5:$E$310,0))/1,"")</f>
        <v/>
      </c>
      <c r="AY28" s="1448" t="str">
        <f>IFERROR(INDEX(Alimentos!AX$5:AX$310,MATCH($B28,Alimentos!$E$5:$E$310,0))/1,"")</f>
        <v/>
      </c>
      <c r="AZ28" s="841"/>
      <c r="BA28" s="825" t="str">
        <f t="shared" si="0"/>
        <v/>
      </c>
      <c r="BB28" s="826" t="str">
        <f t="shared" si="1"/>
        <v/>
      </c>
      <c r="BC28" s="833" t="str">
        <f t="shared" si="2"/>
        <v/>
      </c>
      <c r="BD28" s="830" t="str">
        <f t="shared" si="3"/>
        <v/>
      </c>
      <c r="BE28" s="830" t="str">
        <f>IFERROR(INDEX(Alimentos!Y$5:Y$310,MATCH($B28,Alimentos!$E$5:$E$310,0))/1000,"")</f>
        <v/>
      </c>
      <c r="BF28" s="842"/>
      <c r="BG28" s="842"/>
      <c r="BH28" s="842"/>
    </row>
    <row r="29" spans="1:60" ht="15.75">
      <c r="A29" s="842"/>
      <c r="B29" s="849"/>
      <c r="C29" s="818">
        <v>0</v>
      </c>
      <c r="D29" s="838">
        <v>0</v>
      </c>
      <c r="E29" s="838">
        <v>0</v>
      </c>
      <c r="F29" s="809"/>
      <c r="G29" s="891" t="str">
        <f>IFERROR(IF(F29&gt;0,F29,INDEX(Alimentos!F$5:F$310,MATCH($B29,Alimentos!$E$5:$E$310,0))),"")</f>
        <v/>
      </c>
      <c r="H29" s="841"/>
      <c r="I29" s="1444" t="str">
        <f>IFERROR(INDEX(Alimentos!H$5:H$310,MATCH($B29,Alimentos!$E$5:$E$310,0))/1,"")</f>
        <v/>
      </c>
      <c r="J29" s="1444" t="str">
        <f>IFERROR(INDEX(Alimentos!I$5:I$310,MATCH($B29,Alimentos!$E$5:$E$310,0))/1,"")</f>
        <v/>
      </c>
      <c r="K29" s="1444" t="str">
        <f>IFERROR(INDEX(Alimentos!J$5:J$310,MATCH($B29,Alimentos!$E$5:$E$310,0))/1,"")</f>
        <v/>
      </c>
      <c r="L29" s="1444" t="str">
        <f>IFERROR(INDEX(Alimentos!K$5:K$310,MATCH($B29,Alimentos!$E$5:$E$310,0))/1,"")</f>
        <v/>
      </c>
      <c r="M29" s="1444" t="str">
        <f>IFERROR(INDEX(Alimentos!L$5:L$310,MATCH($B29,Alimentos!$E$5:$E$310,0))/1,"")</f>
        <v/>
      </c>
      <c r="N29" s="1448" t="str">
        <f>IFERROR(INDEX(Alimentos!M$5:M$310,MATCH($B29,Alimentos!$E$5:$E$310,0))/1,"")</f>
        <v/>
      </c>
      <c r="O29" s="1448" t="str">
        <f>IFERROR(INDEX(Alimentos!N$5:N$310,MATCH($B29,Alimentos!$E$5:$E$310,0))/1,"")</f>
        <v/>
      </c>
      <c r="P29" s="1448" t="str">
        <f>IFERROR(INDEX(Alimentos!O$5:O$310,MATCH($B29,Alimentos!$E$5:$E$310,0))/1,"")</f>
        <v/>
      </c>
      <c r="Q29" s="1444" t="str">
        <f>IFERROR(INDEX(Alimentos!P$5:P$310,MATCH($B29,Alimentos!$E$5:$E$310,0))/1000,"")</f>
        <v/>
      </c>
      <c r="R29" s="1444" t="str">
        <f>IFERROR(INDEX(Alimentos!Q$5:Q$310,MATCH($B29,Alimentos!$E$5:$E$310,0))/1000,"")</f>
        <v/>
      </c>
      <c r="S29" s="1444" t="str">
        <f>IFERROR(INDEX(Alimentos!R$5:R$310,MATCH($B29,Alimentos!$E$5:$E$310,0))/1000,"")</f>
        <v/>
      </c>
      <c r="T29" s="1444" t="str">
        <f>IFERROR(INDEX(Alimentos!S$5:S$310,MATCH($B29,Alimentos!$E$5:$E$310,0))/1000,"")</f>
        <v/>
      </c>
      <c r="U29" s="1444" t="str">
        <f>IFERROR(INDEX(Alimentos!T$5:T$310,MATCH($B29,Alimentos!$E$5:$E$310,0))/1000,"")</f>
        <v/>
      </c>
      <c r="V29" s="1444" t="str">
        <f>IFERROR(INDEX(Alimentos!U$5:U$310,MATCH($B29,Alimentos!$E$5:$E$310,0))/1000,"")</f>
        <v/>
      </c>
      <c r="W29" s="1444" t="str">
        <f>IFERROR(INDEX(Alimentos!V$5:V$310,MATCH($B29,Alimentos!$E$5:$E$310,0))/1000,"")</f>
        <v/>
      </c>
      <c r="X29" s="1444" t="str">
        <f>IFERROR(INDEX(Alimentos!W$5:W$310,MATCH($B29,Alimentos!$E$5:$E$310,0))/1000,"")</f>
        <v/>
      </c>
      <c r="Y29" s="1444" t="str">
        <f>IFERROR(INDEX(Alimentos!X$5:X$310,MATCH($B29,Alimentos!$E$5:$E$310,0))/1000,"")</f>
        <v/>
      </c>
      <c r="Z29" s="1444" t="str">
        <f>IFERROR(INDEX(Alimentos!Y$5:Y$310,MATCH($B29,Alimentos!$E$5:$E$310,0))/1000,"")</f>
        <v/>
      </c>
      <c r="AA29" s="1444" t="str">
        <f>IFERROR(INDEX(Alimentos!Z$5:Z$310,MATCH($B29,Alimentos!$E$5:$E$310,0))/1000,"")</f>
        <v/>
      </c>
      <c r="AB29" s="1444" t="str">
        <f>IFERROR(INDEX(Alimentos!AA$5:AA$310,MATCH($B29,Alimentos!$E$5:$E$310,0))/1000,"")</f>
        <v/>
      </c>
      <c r="AC29" s="1448" t="str">
        <f>IFERROR(INDEX(Alimentos!AB$5:AB$310,MATCH($B29,Alimentos!$E$5:$E$310,0))/1,"")</f>
        <v/>
      </c>
      <c r="AD29" s="1448" t="str">
        <f>IFERROR(INDEX(Alimentos!AC$5:AC$310,MATCH($B29,Alimentos!$E$5:$E$310,0))/1,"")</f>
        <v/>
      </c>
      <c r="AE29" s="1448" t="str">
        <f>IFERROR(INDEX(Alimentos!AD$5:AD$310,MATCH($B29,Alimentos!$E$5:$E$310,0))/1,"")</f>
        <v/>
      </c>
      <c r="AF29" s="1448" t="str">
        <f>IFERROR(INDEX(Alimentos!AE$5:AE$310,MATCH($B29,Alimentos!$E$5:$E$310,0))/1,"")</f>
        <v/>
      </c>
      <c r="AG29" s="1448" t="str">
        <f>IFERROR(INDEX(Alimentos!AF$5:AF$310,MATCH($B29,Alimentos!$E$5:$E$310,0))/1,"")</f>
        <v/>
      </c>
      <c r="AH29" s="1448" t="str">
        <f>IFERROR(INDEX(Alimentos!AG$5:AG$310,MATCH($B29,Alimentos!$E$5:$E$310,0))/1,"")</f>
        <v/>
      </c>
      <c r="AI29" s="1448" t="str">
        <f>IFERROR(INDEX(Alimentos!AH$5:AH$310,MATCH($B29,Alimentos!$E$5:$E$310,0))/1,"")</f>
        <v/>
      </c>
      <c r="AJ29" s="1448" t="str">
        <f>IFERROR(INDEX(Alimentos!AI$5:AI$310,MATCH($B29,Alimentos!$E$5:$E$310,0))/1,"")</f>
        <v/>
      </c>
      <c r="AK29" s="1448" t="str">
        <f>IFERROR(INDEX(Alimentos!AJ$5:AJ$310,MATCH($B29,Alimentos!$E$5:$E$310,0))/1,"")</f>
        <v/>
      </c>
      <c r="AL29" s="1448" t="str">
        <f>IFERROR(INDEX(Alimentos!AK$5:AK$310,MATCH($B29,Alimentos!$E$5:$E$310,0))/1,"")</f>
        <v/>
      </c>
      <c r="AM29" s="1448" t="str">
        <f>IFERROR(INDEX(Alimentos!AL$5:AL$310,MATCH($B29,Alimentos!$E$5:$E$310,0))/1,"")</f>
        <v/>
      </c>
      <c r="AN29" s="1448" t="str">
        <f>IFERROR(INDEX(Alimentos!AM$5:AM$310,MATCH($B29,Alimentos!$E$5:$E$310,0))/1,"")</f>
        <v/>
      </c>
      <c r="AO29" s="1448" t="str">
        <f>IFERROR(INDEX(Alimentos!AN$5:AN$310,MATCH($B29,Alimentos!$E$5:$E$310,0))/1,"")</f>
        <v/>
      </c>
      <c r="AP29" s="1448" t="str">
        <f>IFERROR(INDEX(Alimentos!AO$5:AO$310,MATCH($B29,Alimentos!$E$5:$E$310,0))/1,"")</f>
        <v/>
      </c>
      <c r="AQ29" s="1448" t="str">
        <f>IFERROR(INDEX(Alimentos!AP$5:AP$310,MATCH($B29,Alimentos!$E$5:$E$310,0))/1,"")</f>
        <v/>
      </c>
      <c r="AR29" s="1448" t="str">
        <f>IFERROR(INDEX(Alimentos!AQ$5:AQ$310,MATCH($B29,Alimentos!$E$5:$E$310,0))/1,"")</f>
        <v/>
      </c>
      <c r="AS29" s="1448" t="str">
        <f>IFERROR(INDEX(Alimentos!AR$5:AR$310,MATCH($B29,Alimentos!$E$5:$E$310,0))/1,"")</f>
        <v/>
      </c>
      <c r="AT29" s="1448" t="str">
        <f>IFERROR(INDEX(Alimentos!AS$5:AS$310,MATCH($B29,Alimentos!$E$5:$E$310,0))/1,"")</f>
        <v/>
      </c>
      <c r="AU29" s="1448" t="str">
        <f>IFERROR(INDEX(Alimentos!AT$5:AT$310,MATCH($B29,Alimentos!$E$5:$E$310,0))/1,"")</f>
        <v/>
      </c>
      <c r="AV29" s="1448" t="str">
        <f>IFERROR(INDEX(Alimentos!AU$5:AU$310,MATCH($B29,Alimentos!$E$5:$E$310,0))/1,"")</f>
        <v/>
      </c>
      <c r="AW29" s="1448" t="str">
        <f>IFERROR(INDEX(Alimentos!AV$5:AV$310,MATCH($B29,Alimentos!$E$5:$E$310,0))/1,"")</f>
        <v/>
      </c>
      <c r="AX29" s="1448" t="str">
        <f>IFERROR(INDEX(Alimentos!AW$5:AW$310,MATCH($B29,Alimentos!$E$5:$E$310,0))/1,"")</f>
        <v/>
      </c>
      <c r="AY29" s="1448" t="str">
        <f>IFERROR(INDEX(Alimentos!AX$5:AX$310,MATCH($B29,Alimentos!$E$5:$E$310,0))/1,"")</f>
        <v/>
      </c>
      <c r="AZ29" s="841"/>
      <c r="BA29" s="825" t="str">
        <f t="shared" si="0"/>
        <v/>
      </c>
      <c r="BB29" s="826" t="str">
        <f t="shared" si="1"/>
        <v/>
      </c>
      <c r="BC29" s="833" t="str">
        <f t="shared" si="2"/>
        <v/>
      </c>
      <c r="BD29" s="830" t="str">
        <f t="shared" si="3"/>
        <v/>
      </c>
      <c r="BE29" s="830" t="str">
        <f>IFERROR(INDEX(Alimentos!Y$5:Y$310,MATCH($B29,Alimentos!$E$5:$E$310,0))/1000,"")</f>
        <v/>
      </c>
      <c r="BF29" s="842"/>
      <c r="BG29" s="842"/>
      <c r="BH29" s="842"/>
    </row>
    <row r="30" spans="1:60" ht="16.5" thickBot="1">
      <c r="A30" s="842"/>
      <c r="B30" s="850"/>
      <c r="C30" s="819">
        <v>0</v>
      </c>
      <c r="D30" s="839">
        <v>0</v>
      </c>
      <c r="E30" s="839">
        <v>0</v>
      </c>
      <c r="F30" s="810"/>
      <c r="G30" s="892" t="str">
        <f>IFERROR(IF(F30&gt;0,F30,INDEX(Alimentos!F$5:F$310,MATCH($B30,Alimentos!$E$5:$E$310,0))),"")</f>
        <v/>
      </c>
      <c r="H30" s="841"/>
      <c r="I30" s="1445" t="str">
        <f>IFERROR(INDEX(Alimentos!H$5:H$310,MATCH($B30,Alimentos!$E$5:$E$310,0))/1,"")</f>
        <v/>
      </c>
      <c r="J30" s="1445" t="str">
        <f>IFERROR(INDEX(Alimentos!I$5:I$310,MATCH($B30,Alimentos!$E$5:$E$310,0))/1,"")</f>
        <v/>
      </c>
      <c r="K30" s="1445" t="str">
        <f>IFERROR(INDEX(Alimentos!J$5:J$310,MATCH($B30,Alimentos!$E$5:$E$310,0))/1,"")</f>
        <v/>
      </c>
      <c r="L30" s="1445" t="str">
        <f>IFERROR(INDEX(Alimentos!K$5:K$310,MATCH($B30,Alimentos!$E$5:$E$310,0))/1,"")</f>
        <v/>
      </c>
      <c r="M30" s="1445" t="str">
        <f>IFERROR(INDEX(Alimentos!L$5:L$310,MATCH($B30,Alimentos!$E$5:$E$310,0))/1,"")</f>
        <v/>
      </c>
      <c r="N30" s="1449" t="str">
        <f>IFERROR(INDEX(Alimentos!M$5:M$310,MATCH($B30,Alimentos!$E$5:$E$310,0))/1,"")</f>
        <v/>
      </c>
      <c r="O30" s="1449" t="str">
        <f>IFERROR(INDEX(Alimentos!N$5:N$310,MATCH($B30,Alimentos!$E$5:$E$310,0))/1,"")</f>
        <v/>
      </c>
      <c r="P30" s="1449" t="str">
        <f>IFERROR(INDEX(Alimentos!O$5:O$310,MATCH($B30,Alimentos!$E$5:$E$310,0))/1,"")</f>
        <v/>
      </c>
      <c r="Q30" s="1445" t="str">
        <f>IFERROR(INDEX(Alimentos!P$5:P$310,MATCH($B30,Alimentos!$E$5:$E$310,0))/1000,"")</f>
        <v/>
      </c>
      <c r="R30" s="1445" t="str">
        <f>IFERROR(INDEX(Alimentos!Q$5:Q$310,MATCH($B30,Alimentos!$E$5:$E$310,0))/1000,"")</f>
        <v/>
      </c>
      <c r="S30" s="1445" t="str">
        <f>IFERROR(INDEX(Alimentos!R$5:R$310,MATCH($B30,Alimentos!$E$5:$E$310,0))/1000,"")</f>
        <v/>
      </c>
      <c r="T30" s="1445" t="str">
        <f>IFERROR(INDEX(Alimentos!S$5:S$310,MATCH($B30,Alimentos!$E$5:$E$310,0))/1000,"")</f>
        <v/>
      </c>
      <c r="U30" s="1445" t="str">
        <f>IFERROR(INDEX(Alimentos!T$5:T$310,MATCH($B30,Alimentos!$E$5:$E$310,0))/1000,"")</f>
        <v/>
      </c>
      <c r="V30" s="1445" t="str">
        <f>IFERROR(INDEX(Alimentos!U$5:U$310,MATCH($B30,Alimentos!$E$5:$E$310,0))/1000,"")</f>
        <v/>
      </c>
      <c r="W30" s="1445" t="str">
        <f>IFERROR(INDEX(Alimentos!V$5:V$310,MATCH($B30,Alimentos!$E$5:$E$310,0))/1000,"")</f>
        <v/>
      </c>
      <c r="X30" s="1445" t="str">
        <f>IFERROR(INDEX(Alimentos!W$5:W$310,MATCH($B30,Alimentos!$E$5:$E$310,0))/1000,"")</f>
        <v/>
      </c>
      <c r="Y30" s="1445" t="str">
        <f>IFERROR(INDEX(Alimentos!X$5:X$310,MATCH($B30,Alimentos!$E$5:$E$310,0))/1000,"")</f>
        <v/>
      </c>
      <c r="Z30" s="1445" t="str">
        <f>IFERROR(INDEX(Alimentos!Y$5:Y$310,MATCH($B30,Alimentos!$E$5:$E$310,0))/1000,"")</f>
        <v/>
      </c>
      <c r="AA30" s="1445" t="str">
        <f>IFERROR(INDEX(Alimentos!Z$5:Z$310,MATCH($B30,Alimentos!$E$5:$E$310,0))/1000,"")</f>
        <v/>
      </c>
      <c r="AB30" s="1445" t="str">
        <f>IFERROR(INDEX(Alimentos!AA$5:AA$310,MATCH($B30,Alimentos!$E$5:$E$310,0))/1000,"")</f>
        <v/>
      </c>
      <c r="AC30" s="1449" t="str">
        <f>IFERROR(INDEX(Alimentos!AB$5:AB$310,MATCH($B30,Alimentos!$E$5:$E$310,0))/1,"")</f>
        <v/>
      </c>
      <c r="AD30" s="1449" t="str">
        <f>IFERROR(INDEX(Alimentos!AC$5:AC$310,MATCH($B30,Alimentos!$E$5:$E$310,0))/1,"")</f>
        <v/>
      </c>
      <c r="AE30" s="1449" t="str">
        <f>IFERROR(INDEX(Alimentos!AD$5:AD$310,MATCH($B30,Alimentos!$E$5:$E$310,0))/1,"")</f>
        <v/>
      </c>
      <c r="AF30" s="1449" t="str">
        <f>IFERROR(INDEX(Alimentos!AE$5:AE$310,MATCH($B30,Alimentos!$E$5:$E$310,0))/1,"")</f>
        <v/>
      </c>
      <c r="AG30" s="1449" t="str">
        <f>IFERROR(INDEX(Alimentos!AF$5:AF$310,MATCH($B30,Alimentos!$E$5:$E$310,0))/1,"")</f>
        <v/>
      </c>
      <c r="AH30" s="1449" t="str">
        <f>IFERROR(INDEX(Alimentos!AG$5:AG$310,MATCH($B30,Alimentos!$E$5:$E$310,0))/1,"")</f>
        <v/>
      </c>
      <c r="AI30" s="1449" t="str">
        <f>IFERROR(INDEX(Alimentos!AH$5:AH$310,MATCH($B30,Alimentos!$E$5:$E$310,0))/1,"")</f>
        <v/>
      </c>
      <c r="AJ30" s="1449" t="str">
        <f>IFERROR(INDEX(Alimentos!AI$5:AI$310,MATCH($B30,Alimentos!$E$5:$E$310,0))/1,"")</f>
        <v/>
      </c>
      <c r="AK30" s="1449" t="str">
        <f>IFERROR(INDEX(Alimentos!AJ$5:AJ$310,MATCH($B30,Alimentos!$E$5:$E$310,0))/1,"")</f>
        <v/>
      </c>
      <c r="AL30" s="1449" t="str">
        <f>IFERROR(INDEX(Alimentos!AK$5:AK$310,MATCH($B30,Alimentos!$E$5:$E$310,0))/1,"")</f>
        <v/>
      </c>
      <c r="AM30" s="1449" t="str">
        <f>IFERROR(INDEX(Alimentos!AL$5:AL$310,MATCH($B30,Alimentos!$E$5:$E$310,0))/1,"")</f>
        <v/>
      </c>
      <c r="AN30" s="1449" t="str">
        <f>IFERROR(INDEX(Alimentos!AM$5:AM$310,MATCH($B30,Alimentos!$E$5:$E$310,0))/1,"")</f>
        <v/>
      </c>
      <c r="AO30" s="1449" t="str">
        <f>IFERROR(INDEX(Alimentos!AN$5:AN$310,MATCH($B30,Alimentos!$E$5:$E$310,0))/1,"")</f>
        <v/>
      </c>
      <c r="AP30" s="1449" t="str">
        <f>IFERROR(INDEX(Alimentos!AO$5:AO$310,MATCH($B30,Alimentos!$E$5:$E$310,0))/1,"")</f>
        <v/>
      </c>
      <c r="AQ30" s="1449" t="str">
        <f>IFERROR(INDEX(Alimentos!AP$5:AP$310,MATCH($B30,Alimentos!$E$5:$E$310,0))/1,"")</f>
        <v/>
      </c>
      <c r="AR30" s="1449" t="str">
        <f>IFERROR(INDEX(Alimentos!AQ$5:AQ$310,MATCH($B30,Alimentos!$E$5:$E$310,0))/1,"")</f>
        <v/>
      </c>
      <c r="AS30" s="1449" t="str">
        <f>IFERROR(INDEX(Alimentos!AR$5:AR$310,MATCH($B30,Alimentos!$E$5:$E$310,0))/1,"")</f>
        <v/>
      </c>
      <c r="AT30" s="1449" t="str">
        <f>IFERROR(INDEX(Alimentos!AS$5:AS$310,MATCH($B30,Alimentos!$E$5:$E$310,0))/1,"")</f>
        <v/>
      </c>
      <c r="AU30" s="1449" t="str">
        <f>IFERROR(INDEX(Alimentos!AT$5:AT$310,MATCH($B30,Alimentos!$E$5:$E$310,0))/1,"")</f>
        <v/>
      </c>
      <c r="AV30" s="1449" t="str">
        <f>IFERROR(INDEX(Alimentos!AU$5:AU$310,MATCH($B30,Alimentos!$E$5:$E$310,0))/1,"")</f>
        <v/>
      </c>
      <c r="AW30" s="1449" t="str">
        <f>IFERROR(INDEX(Alimentos!AV$5:AV$310,MATCH($B30,Alimentos!$E$5:$E$310,0))/1,"")</f>
        <v/>
      </c>
      <c r="AX30" s="1449" t="str">
        <f>IFERROR(INDEX(Alimentos!AW$5:AW$310,MATCH($B30,Alimentos!$E$5:$E$310,0))/1,"")</f>
        <v/>
      </c>
      <c r="AY30" s="1449" t="str">
        <f>IFERROR(INDEX(Alimentos!AX$5:AX$310,MATCH($B30,Alimentos!$E$5:$E$310,0))/1,"")</f>
        <v/>
      </c>
      <c r="AZ30" s="841"/>
      <c r="BA30" s="827" t="str">
        <f t="shared" si="0"/>
        <v/>
      </c>
      <c r="BB30" s="828" t="str">
        <f t="shared" si="1"/>
        <v/>
      </c>
      <c r="BC30" s="834" t="str">
        <f t="shared" si="2"/>
        <v/>
      </c>
      <c r="BD30" s="836" t="str">
        <f t="shared" si="3"/>
        <v/>
      </c>
      <c r="BE30" s="836" t="str">
        <f>IFERROR(INDEX(Alimentos!Y$5:Y$310,MATCH($B30,Alimentos!$E$5:$E$310,0))/1000,"")</f>
        <v/>
      </c>
      <c r="BF30" s="842"/>
      <c r="BG30" s="842"/>
      <c r="BH30" s="842"/>
    </row>
    <row r="31" spans="1:60" ht="6" customHeight="1" thickBot="1">
      <c r="A31" s="842"/>
      <c r="C31" s="820"/>
      <c r="G31" s="98"/>
      <c r="H31" s="841"/>
      <c r="I31" s="98"/>
      <c r="J31" s="98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  <c r="AK31" s="98"/>
      <c r="AL31" s="98"/>
      <c r="AM31" s="98"/>
      <c r="AN31" s="98"/>
      <c r="AO31" s="98"/>
      <c r="AP31" s="98"/>
      <c r="AQ31" s="98"/>
      <c r="AR31" s="98"/>
      <c r="AS31" s="98"/>
      <c r="AT31" s="98"/>
      <c r="AU31" s="98"/>
      <c r="AV31" s="98"/>
      <c r="AW31" s="98"/>
      <c r="AX31" s="98"/>
      <c r="AY31" s="98"/>
      <c r="AZ31" s="841"/>
      <c r="BA31" s="814"/>
      <c r="BB31" s="815"/>
      <c r="BC31" s="840"/>
      <c r="BF31" s="842"/>
      <c r="BG31" s="842"/>
      <c r="BH31" s="842"/>
    </row>
    <row r="32" spans="1:60" ht="16.5" thickBot="1">
      <c r="A32" s="842"/>
      <c r="B32" s="811" t="s">
        <v>1295</v>
      </c>
      <c r="C32" s="821">
        <f>SUBTOTAL(9,C12:C30)</f>
        <v>1.0000000000000062</v>
      </c>
      <c r="D32" s="812"/>
      <c r="E32" s="813"/>
      <c r="F32" s="813"/>
      <c r="G32" s="822"/>
      <c r="H32" s="841"/>
      <c r="I32" s="1450">
        <f>SUMPRODUCT($C$12:$C$30,I12:I30)</f>
        <v>0.94385704252605263</v>
      </c>
      <c r="J32" s="1450">
        <f>SUMPRODUCT($C$12:$C$30,J12:J30)</f>
        <v>5.9833118644377459E-2</v>
      </c>
      <c r="K32" s="1450">
        <f t="shared" ref="K32:AY32" si="4">SUMPRODUCT($C$12:$C$30,K12:K30)</f>
        <v>4.0649769918699195E-2</v>
      </c>
      <c r="L32" s="1450">
        <f t="shared" si="4"/>
        <v>0</v>
      </c>
      <c r="M32" s="1450">
        <f t="shared" si="4"/>
        <v>0.33333333333333337</v>
      </c>
      <c r="N32" s="1450">
        <f t="shared" si="4"/>
        <v>1.4696666666666667</v>
      </c>
      <c r="O32" s="1450">
        <f t="shared" si="4"/>
        <v>0</v>
      </c>
      <c r="P32" s="1450">
        <f t="shared" si="4"/>
        <v>0</v>
      </c>
      <c r="Q32" s="1450">
        <f t="shared" si="4"/>
        <v>4.105956361788619E-3</v>
      </c>
      <c r="R32" s="1450">
        <f>SUMPRODUCT($C$12:$C$30,R12:R30)</f>
        <v>0.29999999999999544</v>
      </c>
      <c r="S32" s="1450">
        <f t="shared" si="4"/>
        <v>0.21835519151828808</v>
      </c>
      <c r="T32" s="1450">
        <f t="shared" si="4"/>
        <v>0</v>
      </c>
      <c r="U32" s="1450">
        <f t="shared" si="4"/>
        <v>0</v>
      </c>
      <c r="V32" s="1450">
        <f>SUMPRODUCT($C$12:$C$30,V12:V30)</f>
        <v>9.0654844918694591E-2</v>
      </c>
      <c r="W32" s="1450">
        <f t="shared" si="4"/>
        <v>9.1480736256182124E-2</v>
      </c>
      <c r="X32" s="1450">
        <f t="shared" si="4"/>
        <v>7.1519274289840007E-2</v>
      </c>
      <c r="Y32" s="1450">
        <f t="shared" si="4"/>
        <v>7.9934055280942128E-3</v>
      </c>
      <c r="Z32" s="1450">
        <f t="shared" si="4"/>
        <v>4.9999999999999933E-2</v>
      </c>
      <c r="AA32" s="1450">
        <f t="shared" si="4"/>
        <v>5.1351949317332158E-3</v>
      </c>
      <c r="AB32" s="1450">
        <f t="shared" si="4"/>
        <v>1.7479349065040652E-3</v>
      </c>
      <c r="AC32" s="1484">
        <f t="shared" si="4"/>
        <v>13.898152203229412</v>
      </c>
      <c r="AD32" s="1484">
        <f t="shared" si="4"/>
        <v>18.30362230494697</v>
      </c>
      <c r="AE32" s="1484">
        <f t="shared" si="4"/>
        <v>49.18610760162602</v>
      </c>
      <c r="AF32" s="1484">
        <f>SUMPRODUCT($C$12:$C$30,AF12:AF30)</f>
        <v>245.23057184461175</v>
      </c>
      <c r="AG32" s="1484">
        <f t="shared" si="4"/>
        <v>6.7071760365853661E-2</v>
      </c>
      <c r="AH32" s="1484">
        <f t="shared" si="4"/>
        <v>0.11178598727642278</v>
      </c>
      <c r="AI32" s="1484">
        <f t="shared" si="4"/>
        <v>0.20731318658536591</v>
      </c>
      <c r="AJ32" s="1450">
        <f t="shared" si="4"/>
        <v>0</v>
      </c>
      <c r="AK32" s="1450">
        <f t="shared" si="4"/>
        <v>0</v>
      </c>
      <c r="AL32" s="1450">
        <f t="shared" si="4"/>
        <v>0</v>
      </c>
      <c r="AM32" s="1450">
        <f t="shared" si="4"/>
        <v>0.01</v>
      </c>
      <c r="AN32" s="1450">
        <f t="shared" si="4"/>
        <v>0</v>
      </c>
      <c r="AO32" s="1450">
        <f t="shared" si="4"/>
        <v>0</v>
      </c>
      <c r="AP32" s="1450">
        <f t="shared" si="4"/>
        <v>0</v>
      </c>
      <c r="AQ32" s="1450">
        <f t="shared" si="4"/>
        <v>0</v>
      </c>
      <c r="AR32" s="1450">
        <f t="shared" si="4"/>
        <v>0</v>
      </c>
      <c r="AS32" s="1450">
        <f t="shared" si="4"/>
        <v>0</v>
      </c>
      <c r="AT32" s="1450">
        <f t="shared" si="4"/>
        <v>0</v>
      </c>
      <c r="AU32" s="1450">
        <f t="shared" si="4"/>
        <v>0</v>
      </c>
      <c r="AV32" s="1450">
        <f>SUMPRODUCT($C$12:$C$30,AV12:AV30)</f>
        <v>0</v>
      </c>
      <c r="AW32" s="1450">
        <f t="shared" si="4"/>
        <v>0</v>
      </c>
      <c r="AX32" s="1450">
        <f t="shared" si="4"/>
        <v>0</v>
      </c>
      <c r="AY32" s="1450">
        <f t="shared" si="4"/>
        <v>0</v>
      </c>
      <c r="AZ32" s="841"/>
      <c r="BA32" s="816">
        <f>SUBTOTAL(9,BA12:BA30)</f>
        <v>1</v>
      </c>
      <c r="BB32" s="831">
        <f>SUMPRODUCT(C12:C30,G12:G30)</f>
        <v>1.9395964810372326</v>
      </c>
      <c r="BC32" s="837">
        <f>SUMPRODUCT(C12:C30,I12:I30)</f>
        <v>0.94385704252605263</v>
      </c>
      <c r="BD32" s="835">
        <f>IFERROR(MPR!B113/100,0)</f>
        <v>0</v>
      </c>
      <c r="BE32" s="835">
        <f>SUMPRODUCT(C12:C30,BE12:BE30)</f>
        <v>4.9999999999999933E-2</v>
      </c>
      <c r="BF32" s="842"/>
      <c r="BG32" s="842"/>
      <c r="BH32" s="842"/>
    </row>
    <row r="33" spans="1:60" ht="15.75">
      <c r="A33" s="842"/>
      <c r="B33" s="1520" t="str">
        <f>IF(B34=0,"Parabéns, Suplemento formulado","Reveja a Formulação")</f>
        <v>Parabéns, Suplemento formulado</v>
      </c>
      <c r="C33" s="1521"/>
      <c r="D33" s="1521"/>
      <c r="E33" s="1521"/>
      <c r="F33" s="1521"/>
      <c r="G33" s="1522" t="s">
        <v>1446</v>
      </c>
      <c r="H33" s="1470"/>
      <c r="I33" s="1471">
        <v>0</v>
      </c>
      <c r="J33" s="1471">
        <v>0</v>
      </c>
      <c r="K33" s="1471">
        <v>0</v>
      </c>
      <c r="L33" s="1471">
        <v>0</v>
      </c>
      <c r="M33" s="1471">
        <v>0</v>
      </c>
      <c r="N33" s="1471">
        <v>0</v>
      </c>
      <c r="O33" s="1471">
        <v>0</v>
      </c>
      <c r="P33" s="1471">
        <v>0</v>
      </c>
      <c r="Q33" s="1471">
        <v>0</v>
      </c>
      <c r="R33" s="1471">
        <v>0.3</v>
      </c>
      <c r="S33" s="1471">
        <v>0</v>
      </c>
      <c r="T33" s="1471">
        <v>0</v>
      </c>
      <c r="U33" s="1471">
        <v>0</v>
      </c>
      <c r="V33" s="1471">
        <v>0</v>
      </c>
      <c r="W33" s="1471">
        <v>0</v>
      </c>
      <c r="X33" s="1471">
        <v>0</v>
      </c>
      <c r="Y33" s="1471">
        <v>0</v>
      </c>
      <c r="Z33" s="1471">
        <v>0.05</v>
      </c>
      <c r="AA33" s="1471">
        <v>0</v>
      </c>
      <c r="AB33" s="1471">
        <v>0</v>
      </c>
      <c r="AC33" s="1472">
        <v>0</v>
      </c>
      <c r="AD33" s="1472">
        <v>0</v>
      </c>
      <c r="AE33" s="1472">
        <v>0</v>
      </c>
      <c r="AF33" s="1472">
        <v>0</v>
      </c>
      <c r="AG33" s="1472">
        <v>0</v>
      </c>
      <c r="AH33" s="1472">
        <v>0</v>
      </c>
      <c r="AI33" s="1472">
        <v>0</v>
      </c>
      <c r="AJ33" s="1471">
        <v>0</v>
      </c>
      <c r="AK33" s="1471">
        <v>0</v>
      </c>
      <c r="AL33" s="1472">
        <v>0</v>
      </c>
      <c r="AM33" s="1472">
        <v>0</v>
      </c>
      <c r="AN33" s="1472">
        <v>0</v>
      </c>
      <c r="AO33" s="1472">
        <v>0</v>
      </c>
      <c r="AP33" s="1472">
        <v>0</v>
      </c>
      <c r="AQ33" s="1472">
        <v>0</v>
      </c>
      <c r="AR33" s="1472">
        <v>0</v>
      </c>
      <c r="AS33" s="1472">
        <v>0</v>
      </c>
      <c r="AT33" s="1472">
        <v>0</v>
      </c>
      <c r="AU33" s="1472">
        <v>0</v>
      </c>
      <c r="AV33" s="1472">
        <v>0</v>
      </c>
      <c r="AW33" s="1472">
        <v>0</v>
      </c>
      <c r="AX33" s="1472">
        <v>0</v>
      </c>
      <c r="AY33" s="1472">
        <v>0</v>
      </c>
      <c r="AZ33" s="841"/>
      <c r="BA33" s="1482"/>
      <c r="BB33" s="1482"/>
      <c r="BC33" s="1482"/>
      <c r="BD33" s="1482"/>
      <c r="BE33" s="1482"/>
      <c r="BF33" s="842"/>
      <c r="BG33" s="842"/>
      <c r="BH33" s="842"/>
    </row>
    <row r="34" spans="1:60" ht="16.5" thickBot="1">
      <c r="A34" s="842"/>
      <c r="B34" s="1523">
        <f>SUM(T48:T54)</f>
        <v>0</v>
      </c>
      <c r="C34" s="1524"/>
      <c r="D34" s="1524"/>
      <c r="E34" s="1524"/>
      <c r="F34" s="1524"/>
      <c r="G34" s="1525" t="s">
        <v>1445</v>
      </c>
      <c r="H34" s="1470"/>
      <c r="I34" s="1501">
        <v>99.99</v>
      </c>
      <c r="J34" s="1501">
        <v>99.99</v>
      </c>
      <c r="K34" s="1501">
        <v>99.99</v>
      </c>
      <c r="L34" s="1501">
        <v>99.99</v>
      </c>
      <c r="M34" s="1501">
        <v>99.99</v>
      </c>
      <c r="N34" s="1501">
        <v>99.99</v>
      </c>
      <c r="O34" s="1501">
        <v>99.99</v>
      </c>
      <c r="P34" s="1501">
        <v>99.99</v>
      </c>
      <c r="Q34" s="1501">
        <v>99.99</v>
      </c>
      <c r="R34" s="1502">
        <f>IF(R33=0,0.9999,R33)</f>
        <v>0.3</v>
      </c>
      <c r="S34" s="1501">
        <v>99.99</v>
      </c>
      <c r="T34" s="1501">
        <v>99.99</v>
      </c>
      <c r="U34" s="1501">
        <v>99.99</v>
      </c>
      <c r="V34" s="1502">
        <f>IF(V33=0,0.9999,V33)</f>
        <v>0.99990000000000001</v>
      </c>
      <c r="W34" s="1502">
        <f>IF(W33=0,0.9999,W33)</f>
        <v>0.99990000000000001</v>
      </c>
      <c r="X34" s="1502">
        <f>IF(X33=0,0.9999,X33)</f>
        <v>0.99990000000000001</v>
      </c>
      <c r="Y34" s="1501">
        <v>99.99</v>
      </c>
      <c r="Z34" s="1502">
        <f>IF(Z33=0,0.9999,Z33)</f>
        <v>0.05</v>
      </c>
      <c r="AA34" s="1501">
        <v>99.99</v>
      </c>
      <c r="AB34" s="1501">
        <v>99.99</v>
      </c>
      <c r="AC34" s="1503">
        <v>9999</v>
      </c>
      <c r="AD34" s="1503">
        <v>9999</v>
      </c>
      <c r="AE34" s="1503">
        <v>9999</v>
      </c>
      <c r="AF34" s="1503">
        <v>9999</v>
      </c>
      <c r="AG34" s="1503">
        <v>9999</v>
      </c>
      <c r="AH34" s="1503">
        <v>9999</v>
      </c>
      <c r="AI34" s="1503">
        <v>9999</v>
      </c>
      <c r="AJ34" s="1501">
        <v>99.99</v>
      </c>
      <c r="AK34" s="1501">
        <v>99.99</v>
      </c>
      <c r="AL34" s="1503">
        <v>0.01</v>
      </c>
      <c r="AM34" s="1503">
        <v>0.01</v>
      </c>
      <c r="AN34" s="1503">
        <v>0.01</v>
      </c>
      <c r="AO34" s="1503">
        <v>0.01</v>
      </c>
      <c r="AP34" s="1503">
        <v>0.01</v>
      </c>
      <c r="AQ34" s="1503">
        <v>0.01</v>
      </c>
      <c r="AR34" s="1503">
        <v>0.01</v>
      </c>
      <c r="AS34" s="1503">
        <v>0.01</v>
      </c>
      <c r="AT34" s="1503">
        <v>0.01</v>
      </c>
      <c r="AU34" s="1503">
        <v>0.01</v>
      </c>
      <c r="AV34" s="1503">
        <v>0.01</v>
      </c>
      <c r="AW34" s="1503">
        <v>0.01</v>
      </c>
      <c r="AX34" s="1503">
        <v>0.01</v>
      </c>
      <c r="AY34" s="1503">
        <v>0.01</v>
      </c>
      <c r="AZ34" s="841"/>
      <c r="BA34" s="1482"/>
      <c r="BB34" s="1482"/>
      <c r="BC34" s="1482"/>
      <c r="BD34" s="1482"/>
      <c r="BE34" s="1482"/>
      <c r="BF34" s="842"/>
      <c r="BG34" s="842"/>
      <c r="BH34" s="842"/>
    </row>
    <row r="35" spans="1:60" ht="16.5" thickBot="1">
      <c r="A35" s="842"/>
      <c r="B35" s="842"/>
      <c r="C35" s="842"/>
      <c r="D35" s="842"/>
      <c r="E35" s="842"/>
      <c r="F35" s="842"/>
      <c r="G35" s="1469"/>
      <c r="H35" s="1470"/>
      <c r="I35" s="1500">
        <f>IF(I32=I33=I34,0,IF(AND(I32&gt;=I33,I32&lt;=I34),0,1))</f>
        <v>0</v>
      </c>
      <c r="J35" s="1500">
        <f t="shared" ref="J35:Q35" si="5">IF(J32=J33=J34,0,IF(AND(J32&gt;=J33,J32&lt;=J34),0,1))</f>
        <v>0</v>
      </c>
      <c r="K35" s="1500">
        <f t="shared" si="5"/>
        <v>0</v>
      </c>
      <c r="L35" s="1500">
        <f t="shared" si="5"/>
        <v>0</v>
      </c>
      <c r="M35" s="1500">
        <f t="shared" si="5"/>
        <v>0</v>
      </c>
      <c r="N35" s="1500">
        <f t="shared" si="5"/>
        <v>0</v>
      </c>
      <c r="O35" s="1500">
        <f t="shared" si="5"/>
        <v>0</v>
      </c>
      <c r="P35" s="1500">
        <f t="shared" si="5"/>
        <v>0</v>
      </c>
      <c r="Q35" s="1500">
        <f t="shared" si="5"/>
        <v>0</v>
      </c>
      <c r="R35" s="1500">
        <f>IF(R32=R33=R34,0,IF(AND(R32&gt;=R33,R32&lt;=R34),0,1))</f>
        <v>1</v>
      </c>
      <c r="S35" s="1500">
        <f t="shared" ref="S35:AY35" si="6">IF(AND(S32&gt;=S33,S32&lt;=S34),0,1)</f>
        <v>0</v>
      </c>
      <c r="T35" s="1500">
        <f t="shared" si="6"/>
        <v>0</v>
      </c>
      <c r="U35" s="1500">
        <f t="shared" si="6"/>
        <v>0</v>
      </c>
      <c r="V35" s="1500">
        <f t="shared" si="6"/>
        <v>0</v>
      </c>
      <c r="W35" s="1500">
        <f t="shared" si="6"/>
        <v>0</v>
      </c>
      <c r="X35" s="1500">
        <f t="shared" si="6"/>
        <v>0</v>
      </c>
      <c r="Y35" s="1500">
        <f t="shared" si="6"/>
        <v>0</v>
      </c>
      <c r="Z35" s="1500">
        <f t="shared" si="6"/>
        <v>1</v>
      </c>
      <c r="AA35" s="1500">
        <f t="shared" si="6"/>
        <v>0</v>
      </c>
      <c r="AB35" s="1500">
        <f t="shared" si="6"/>
        <v>0</v>
      </c>
      <c r="AC35" s="1500">
        <f t="shared" si="6"/>
        <v>0</v>
      </c>
      <c r="AD35" s="1500">
        <f t="shared" si="6"/>
        <v>0</v>
      </c>
      <c r="AE35" s="1500">
        <f t="shared" si="6"/>
        <v>0</v>
      </c>
      <c r="AF35" s="1500">
        <f t="shared" si="6"/>
        <v>0</v>
      </c>
      <c r="AG35" s="1500">
        <f t="shared" si="6"/>
        <v>0</v>
      </c>
      <c r="AH35" s="1500">
        <f t="shared" si="6"/>
        <v>0</v>
      </c>
      <c r="AI35" s="1500">
        <f t="shared" si="6"/>
        <v>0</v>
      </c>
      <c r="AJ35" s="1500">
        <f t="shared" si="6"/>
        <v>0</v>
      </c>
      <c r="AK35" s="1500">
        <f t="shared" si="6"/>
        <v>0</v>
      </c>
      <c r="AL35" s="1500">
        <f t="shared" si="6"/>
        <v>0</v>
      </c>
      <c r="AM35" s="1500">
        <f t="shared" si="6"/>
        <v>0</v>
      </c>
      <c r="AN35" s="1500">
        <f t="shared" si="6"/>
        <v>0</v>
      </c>
      <c r="AO35" s="1500">
        <f t="shared" si="6"/>
        <v>0</v>
      </c>
      <c r="AP35" s="1500">
        <f t="shared" si="6"/>
        <v>0</v>
      </c>
      <c r="AQ35" s="1500">
        <f t="shared" si="6"/>
        <v>0</v>
      </c>
      <c r="AR35" s="1500">
        <f t="shared" si="6"/>
        <v>0</v>
      </c>
      <c r="AS35" s="1500">
        <f t="shared" si="6"/>
        <v>0</v>
      </c>
      <c r="AT35" s="1500">
        <f t="shared" si="6"/>
        <v>0</v>
      </c>
      <c r="AU35" s="1500">
        <f t="shared" si="6"/>
        <v>0</v>
      </c>
      <c r="AV35" s="1500">
        <f t="shared" si="6"/>
        <v>0</v>
      </c>
      <c r="AW35" s="1500">
        <f t="shared" si="6"/>
        <v>0</v>
      </c>
      <c r="AX35" s="1500">
        <f t="shared" si="6"/>
        <v>0</v>
      </c>
      <c r="AY35" s="1500">
        <f t="shared" si="6"/>
        <v>0</v>
      </c>
      <c r="AZ35" s="841"/>
      <c r="BA35" s="1482"/>
      <c r="BB35" s="1482"/>
      <c r="BC35" s="1482"/>
      <c r="BD35" s="1482"/>
      <c r="BE35" s="1482"/>
      <c r="BF35" s="842"/>
      <c r="BG35" s="842"/>
      <c r="BH35" s="842"/>
    </row>
    <row r="36" spans="1:60" ht="21.75" thickTop="1">
      <c r="A36" s="842"/>
      <c r="B36" s="1491" t="s">
        <v>1447</v>
      </c>
      <c r="C36" s="1492"/>
      <c r="D36" s="842"/>
      <c r="E36" s="2151" t="s">
        <v>1459</v>
      </c>
      <c r="F36" s="2152"/>
      <c r="G36" s="2153"/>
      <c r="H36" s="1470"/>
      <c r="I36" s="1585"/>
      <c r="J36" s="1586"/>
      <c r="K36" s="1586"/>
      <c r="L36" s="1587"/>
      <c r="M36" s="1587"/>
      <c r="N36" s="1588"/>
      <c r="O36" s="1526"/>
      <c r="P36" s="1526"/>
      <c r="Q36" s="1526"/>
      <c r="R36" s="1526"/>
      <c r="S36" s="1526"/>
      <c r="T36" s="1526"/>
      <c r="U36" s="1526"/>
      <c r="V36" s="1526"/>
      <c r="W36" s="1526"/>
      <c r="X36" s="1526"/>
      <c r="Y36" s="1526"/>
      <c r="Z36" s="1526"/>
      <c r="AA36" s="1526"/>
      <c r="AB36" s="1526"/>
      <c r="AC36" s="1526"/>
      <c r="AD36" s="1526"/>
      <c r="AE36" s="1526"/>
      <c r="AF36" s="1526"/>
      <c r="AG36" s="1526"/>
      <c r="AH36" s="1526"/>
      <c r="AI36" s="1526"/>
      <c r="AJ36" s="1526"/>
      <c r="AK36" s="1526"/>
      <c r="AL36" s="1526"/>
      <c r="AM36" s="1526"/>
      <c r="AN36" s="1526"/>
      <c r="AO36" s="1526"/>
      <c r="AP36" s="1526"/>
      <c r="AQ36" s="1526"/>
      <c r="AR36" s="1526"/>
      <c r="AS36" s="1526"/>
      <c r="AT36" s="1526"/>
      <c r="AU36" s="1526"/>
      <c r="AV36" s="1526"/>
      <c r="AW36" s="1526"/>
      <c r="AX36" s="1526"/>
      <c r="AY36" s="1526"/>
      <c r="AZ36" s="1482"/>
      <c r="BA36" s="1482"/>
      <c r="BB36" s="1482"/>
      <c r="BC36" s="1482"/>
      <c r="BD36" s="1482"/>
      <c r="BE36" s="1482"/>
      <c r="BF36" s="842"/>
      <c r="BG36" s="842"/>
      <c r="BH36" s="842"/>
    </row>
    <row r="37" spans="1:60" ht="18.75">
      <c r="A37" s="842"/>
      <c r="B37" s="1493" t="s">
        <v>1449</v>
      </c>
      <c r="C37" s="1494">
        <v>300</v>
      </c>
      <c r="D37" s="842"/>
      <c r="E37" s="1486" t="s">
        <v>1450</v>
      </c>
      <c r="F37" s="730"/>
      <c r="G37" s="1488"/>
      <c r="H37" s="1470"/>
      <c r="I37" s="1589"/>
      <c r="J37" s="842"/>
      <c r="K37" s="842"/>
      <c r="L37" s="1482"/>
      <c r="M37" s="1482"/>
      <c r="N37" s="1590"/>
      <c r="O37" s="1482"/>
      <c r="P37" s="1482"/>
      <c r="Q37" s="1482"/>
      <c r="R37" s="1482"/>
      <c r="S37" s="1482"/>
      <c r="T37" s="1482"/>
      <c r="U37" s="1482"/>
      <c r="V37" s="1482"/>
      <c r="W37" s="1482"/>
      <c r="X37" s="1482"/>
      <c r="Y37" s="1482"/>
      <c r="Z37" s="1482"/>
      <c r="AA37" s="1482"/>
      <c r="AB37" s="1482"/>
      <c r="AC37" s="1482"/>
      <c r="AD37" s="1482"/>
      <c r="AE37" s="1482"/>
      <c r="AF37" s="1482"/>
      <c r="AG37" s="1482"/>
      <c r="AH37" s="1482"/>
      <c r="AI37" s="1482"/>
      <c r="AJ37" s="1482"/>
      <c r="AK37" s="1482"/>
      <c r="AL37" s="1482"/>
      <c r="AM37" s="1482"/>
      <c r="AN37" s="1482"/>
      <c r="AO37" s="1482"/>
      <c r="AP37" s="1482"/>
      <c r="AQ37" s="1482"/>
      <c r="AR37" s="1482"/>
      <c r="AS37" s="1482"/>
      <c r="AT37" s="1482"/>
      <c r="AU37" s="1482"/>
      <c r="AV37" s="1482"/>
      <c r="AW37" s="1482"/>
      <c r="AX37" s="1482"/>
      <c r="AY37" s="1482"/>
      <c r="AZ37" s="1482"/>
      <c r="BA37" s="1482"/>
      <c r="BB37" s="1482"/>
      <c r="BC37" s="1482"/>
      <c r="BD37" s="1482"/>
      <c r="BE37" s="1482"/>
      <c r="BF37" s="842"/>
      <c r="BG37" s="842"/>
      <c r="BH37" s="842"/>
    </row>
    <row r="38" spans="1:60" ht="18.75" customHeight="1">
      <c r="A38" s="842"/>
      <c r="B38" s="1493" t="s">
        <v>1448</v>
      </c>
      <c r="C38" s="1495">
        <v>100</v>
      </c>
      <c r="D38" s="842"/>
      <c r="E38" s="2154">
        <v>2000</v>
      </c>
      <c r="F38" s="2155"/>
      <c r="G38" s="2156"/>
      <c r="H38" s="1470"/>
      <c r="I38" s="1589"/>
      <c r="J38" s="842"/>
      <c r="K38" s="842"/>
      <c r="L38" s="1482"/>
      <c r="M38" s="1482"/>
      <c r="N38" s="1590"/>
      <c r="O38" s="1482"/>
      <c r="P38" s="1482"/>
      <c r="Q38" s="1482"/>
      <c r="R38" s="1482"/>
      <c r="S38" s="1482"/>
      <c r="T38" s="1482"/>
      <c r="U38" s="1482"/>
      <c r="V38" s="1482"/>
      <c r="W38" s="1482"/>
      <c r="X38" s="1482"/>
      <c r="Y38" s="1482"/>
      <c r="Z38" s="1482"/>
      <c r="AA38" s="1482"/>
      <c r="AB38" s="1482"/>
      <c r="AC38" s="1482"/>
      <c r="AD38" s="1482"/>
      <c r="AE38" s="1482"/>
      <c r="AF38" s="1482"/>
      <c r="AG38" s="1482"/>
      <c r="AH38" s="1482"/>
      <c r="AI38" s="1482"/>
      <c r="AJ38" s="1482"/>
      <c r="AK38" s="1482"/>
      <c r="AL38" s="1482"/>
      <c r="AM38" s="1482"/>
      <c r="AN38" s="1482"/>
      <c r="AO38" s="1482"/>
      <c r="AP38" s="1482"/>
      <c r="AQ38" s="1482"/>
      <c r="AR38" s="1482"/>
      <c r="AS38" s="1482"/>
      <c r="AT38" s="1482"/>
      <c r="AU38" s="1482"/>
      <c r="AV38" s="1482"/>
      <c r="AW38" s="1482"/>
      <c r="AX38" s="1482"/>
      <c r="AY38" s="1482"/>
      <c r="AZ38" s="1482"/>
      <c r="BA38" s="1482"/>
      <c r="BB38" s="1482"/>
      <c r="BC38" s="1482"/>
      <c r="BD38" s="1482"/>
      <c r="BE38" s="1482"/>
      <c r="BF38" s="842"/>
      <c r="BG38" s="842"/>
      <c r="BH38" s="842"/>
    </row>
    <row r="39" spans="1:60" ht="18.75" customHeight="1">
      <c r="A39" s="842"/>
      <c r="B39" s="1493" t="s">
        <v>1334</v>
      </c>
      <c r="C39" s="1495">
        <v>60</v>
      </c>
      <c r="D39" s="842"/>
      <c r="E39" s="2154"/>
      <c r="F39" s="2155"/>
      <c r="G39" s="2156"/>
      <c r="H39" s="1470"/>
      <c r="I39" s="1589"/>
      <c r="J39" s="842"/>
      <c r="K39" s="842"/>
      <c r="L39" s="1482"/>
      <c r="M39" s="1482"/>
      <c r="N39" s="1590"/>
      <c r="O39" s="1482"/>
      <c r="P39" s="1581"/>
      <c r="Q39" s="1581"/>
      <c r="R39" s="1581"/>
      <c r="S39" s="1581"/>
      <c r="T39" s="1581"/>
      <c r="U39" s="1581"/>
      <c r="V39" s="1482"/>
      <c r="W39" s="1482"/>
      <c r="X39" s="1482"/>
      <c r="Y39" s="1482"/>
      <c r="Z39" s="1482"/>
      <c r="AA39" s="1482"/>
      <c r="AB39" s="1482"/>
      <c r="AC39" s="1482"/>
      <c r="AD39" s="1482"/>
      <c r="AE39" s="1482"/>
      <c r="AF39" s="1482"/>
      <c r="AG39" s="1482"/>
      <c r="AH39" s="1482"/>
      <c r="AI39" s="1482"/>
      <c r="AJ39" s="1482"/>
      <c r="AK39" s="1482"/>
      <c r="AL39" s="1482"/>
      <c r="AM39" s="1482"/>
      <c r="AN39" s="1482"/>
      <c r="AO39" s="1482"/>
      <c r="AP39" s="1482"/>
      <c r="AQ39" s="1482"/>
      <c r="AR39" s="1482"/>
      <c r="AS39" s="1482"/>
      <c r="AT39" s="1482"/>
      <c r="AU39" s="1482"/>
      <c r="AV39" s="1482"/>
      <c r="AW39" s="1482"/>
      <c r="AX39" s="1482"/>
      <c r="AY39" s="1482"/>
      <c r="AZ39" s="1482"/>
      <c r="BA39" s="1482"/>
      <c r="BB39" s="1482"/>
      <c r="BC39" s="1482"/>
      <c r="BD39" s="1482"/>
      <c r="BE39" s="1482"/>
      <c r="BF39" s="842"/>
      <c r="BG39" s="842"/>
      <c r="BH39" s="842"/>
    </row>
    <row r="40" spans="1:60" ht="18.75" customHeight="1">
      <c r="A40" s="842"/>
      <c r="B40" s="1493" t="s">
        <v>1335</v>
      </c>
      <c r="C40" s="1496">
        <v>225</v>
      </c>
      <c r="D40" s="842"/>
      <c r="E40" s="2154"/>
      <c r="F40" s="2155"/>
      <c r="G40" s="2156"/>
      <c r="H40" s="1470"/>
      <c r="I40" s="1589"/>
      <c r="J40" s="842"/>
      <c r="K40" s="842"/>
      <c r="L40" s="1482"/>
      <c r="M40" s="1482"/>
      <c r="N40" s="1590"/>
      <c r="O40" s="1482"/>
      <c r="P40" s="1581"/>
      <c r="Q40" s="1581"/>
      <c r="R40" s="1581"/>
      <c r="S40" s="1581"/>
      <c r="T40" s="1581"/>
      <c r="U40" s="1581"/>
      <c r="V40" s="1482"/>
      <c r="W40" s="1482"/>
      <c r="X40" s="1482"/>
      <c r="Y40" s="1482"/>
      <c r="Z40" s="1482"/>
      <c r="AA40" s="1482"/>
      <c r="AB40" s="1482"/>
      <c r="AC40" s="1482"/>
      <c r="AD40" s="1482"/>
      <c r="AE40" s="1482"/>
      <c r="AF40" s="1482"/>
      <c r="AG40" s="1482"/>
      <c r="AH40" s="1482"/>
      <c r="AI40" s="1482"/>
      <c r="AJ40" s="1482"/>
      <c r="AK40" s="1482"/>
      <c r="AL40" s="1482"/>
      <c r="AM40" s="1482"/>
      <c r="AN40" s="1482"/>
      <c r="AO40" s="1482"/>
      <c r="AP40" s="1482"/>
      <c r="AQ40" s="1482"/>
      <c r="AR40" s="1482"/>
      <c r="AS40" s="1482"/>
      <c r="AT40" s="1482"/>
      <c r="AU40" s="1482"/>
      <c r="AV40" s="1482"/>
      <c r="AW40" s="1482"/>
      <c r="AX40" s="1482"/>
      <c r="AY40" s="1482"/>
      <c r="AZ40" s="1482"/>
      <c r="BA40" s="1482"/>
      <c r="BB40" s="1482"/>
      <c r="BC40" s="1482"/>
      <c r="BD40" s="1482"/>
      <c r="BE40" s="1482"/>
      <c r="BF40" s="842"/>
      <c r="BG40" s="842"/>
      <c r="BH40" s="842"/>
    </row>
    <row r="41" spans="1:60" ht="19.5" thickBot="1">
      <c r="A41" s="842"/>
      <c r="B41" s="1497" t="s">
        <v>1336</v>
      </c>
      <c r="C41" s="1498">
        <v>4</v>
      </c>
      <c r="D41" s="842"/>
      <c r="E41" s="1487"/>
      <c r="F41" s="1490"/>
      <c r="G41" s="1489"/>
      <c r="H41" s="1029"/>
      <c r="I41" s="1591"/>
      <c r="J41" s="1592"/>
      <c r="K41" s="1592"/>
      <c r="L41" s="1593"/>
      <c r="M41" s="1593"/>
      <c r="N41" s="1594"/>
      <c r="O41" s="1482"/>
      <c r="P41" s="1581"/>
      <c r="Q41" s="1581"/>
      <c r="R41" s="1581"/>
      <c r="S41" s="1581"/>
      <c r="T41" s="1581"/>
      <c r="U41" s="1581"/>
      <c r="V41" s="1482"/>
      <c r="W41" s="1482"/>
      <c r="X41" s="1482"/>
      <c r="Y41" s="1482"/>
      <c r="Z41" s="1482"/>
      <c r="AA41" s="1482"/>
      <c r="AB41" s="1482"/>
      <c r="AC41" s="1482"/>
      <c r="AD41" s="1482"/>
      <c r="AE41" s="1482"/>
      <c r="AF41" s="1482"/>
      <c r="AG41" s="1482"/>
      <c r="AH41" s="1482"/>
      <c r="AI41" s="1482"/>
      <c r="AJ41" s="1482"/>
      <c r="AK41" s="1482"/>
      <c r="AL41" s="1482"/>
      <c r="AM41" s="1482"/>
      <c r="AN41" s="1482"/>
      <c r="AO41" s="1482"/>
      <c r="AP41" s="1482"/>
      <c r="AQ41" s="1482"/>
      <c r="AR41" s="1482"/>
      <c r="AS41" s="1482"/>
      <c r="AT41" s="1482"/>
      <c r="AU41" s="1482"/>
      <c r="AV41" s="1482"/>
      <c r="AW41" s="1482"/>
      <c r="AX41" s="1482"/>
      <c r="AY41" s="1482"/>
      <c r="AZ41" s="1482"/>
      <c r="BA41" s="1482"/>
      <c r="BB41" s="1482"/>
      <c r="BC41" s="1482"/>
      <c r="BD41" s="1482"/>
      <c r="BE41" s="1482"/>
      <c r="BF41" s="842"/>
      <c r="BG41" s="842"/>
      <c r="BH41" s="842"/>
    </row>
    <row r="42" spans="1:60" ht="16.5" thickTop="1">
      <c r="A42" s="842"/>
      <c r="B42" s="848"/>
      <c r="C42" s="1485"/>
      <c r="D42" s="842"/>
      <c r="E42" s="842"/>
      <c r="F42" s="842"/>
      <c r="G42" s="1028"/>
      <c r="H42" s="1029"/>
      <c r="I42" s="1482"/>
      <c r="J42" s="1482"/>
      <c r="K42" s="1482"/>
      <c r="L42" s="1482"/>
      <c r="M42" s="1482"/>
      <c r="N42" s="1482"/>
      <c r="O42" s="1482"/>
      <c r="P42" s="1581"/>
      <c r="Q42" s="1581"/>
      <c r="R42" s="1581"/>
      <c r="S42" s="1581"/>
      <c r="T42" s="1581"/>
      <c r="U42" s="1581"/>
      <c r="V42" s="1482"/>
      <c r="W42" s="1482"/>
      <c r="X42" s="1482"/>
      <c r="Y42" s="1482"/>
      <c r="Z42" s="1482"/>
      <c r="AA42" s="1482"/>
      <c r="AB42" s="1482"/>
      <c r="AC42" s="1482"/>
      <c r="AD42" s="1482"/>
      <c r="AE42" s="1482"/>
      <c r="AF42" s="1482"/>
      <c r="AG42" s="1482"/>
      <c r="AH42" s="1482"/>
      <c r="AI42" s="1482"/>
      <c r="AJ42" s="1482"/>
      <c r="AK42" s="1482"/>
      <c r="AL42" s="1482"/>
      <c r="AM42" s="1482"/>
      <c r="AN42" s="1482"/>
      <c r="AO42" s="1482"/>
      <c r="AP42" s="1482"/>
      <c r="AQ42" s="1482"/>
      <c r="AR42" s="1482"/>
      <c r="AS42" s="1482"/>
      <c r="AT42" s="1482"/>
      <c r="AU42" s="1482"/>
      <c r="AV42" s="1482"/>
      <c r="AW42" s="1482"/>
      <c r="AX42" s="1482"/>
      <c r="AY42" s="1482"/>
      <c r="AZ42" s="1482"/>
      <c r="BA42" s="1482"/>
      <c r="BB42" s="1482"/>
      <c r="BC42" s="1482"/>
      <c r="BD42" s="1482"/>
      <c r="BE42" s="1482"/>
      <c r="BF42" s="842"/>
      <c r="BG42" s="842"/>
      <c r="BH42" s="842"/>
    </row>
    <row r="43" spans="1:60" ht="24.75" customHeight="1">
      <c r="A43" s="842"/>
      <c r="B43" s="874" t="str">
        <f>"Ficha de Mistura do Suplemento para "&amp;TEXT(C38,"#.##0")&amp;" animais por "&amp;TEXT(C39,"#.##0")&amp;" dias"</f>
        <v>Ficha de Mistura do Suplemento para 100 animais por 60 dias</v>
      </c>
      <c r="C43" s="875"/>
      <c r="D43" s="875"/>
      <c r="E43" s="875"/>
      <c r="F43" s="875"/>
      <c r="G43" s="875"/>
      <c r="H43" s="841"/>
      <c r="I43" s="887" t="s">
        <v>1340</v>
      </c>
      <c r="J43" s="888"/>
      <c r="K43" s="888"/>
      <c r="L43" s="888"/>
      <c r="M43" s="888"/>
      <c r="N43" s="888"/>
      <c r="O43" s="1482"/>
      <c r="P43" s="1581"/>
      <c r="Q43" s="1581"/>
      <c r="R43" s="1581"/>
      <c r="S43" s="1581"/>
      <c r="T43" s="1581"/>
      <c r="U43" s="1581"/>
      <c r="V43" s="1482"/>
      <c r="W43" s="1482"/>
      <c r="X43" s="1482"/>
      <c r="Y43" s="1482"/>
      <c r="Z43" s="1482"/>
      <c r="AA43" s="1482"/>
      <c r="AB43" s="1482"/>
      <c r="AC43" s="1482"/>
      <c r="AD43" s="1482"/>
      <c r="AE43" s="1482"/>
      <c r="AF43" s="1482"/>
      <c r="AG43" s="1482"/>
      <c r="AH43" s="1482"/>
      <c r="AI43" s="842"/>
      <c r="AJ43" s="842"/>
      <c r="AK43" s="842"/>
      <c r="AL43" s="842"/>
      <c r="AM43" s="842"/>
      <c r="AN43" s="842"/>
      <c r="AO43" s="842"/>
      <c r="AP43" s="842"/>
      <c r="AQ43" s="842"/>
      <c r="AR43" s="842"/>
      <c r="AS43" s="842"/>
      <c r="AT43" s="842"/>
      <c r="AU43" s="842"/>
      <c r="AV43" s="842"/>
      <c r="AW43" s="842"/>
      <c r="AX43" s="842"/>
      <c r="AY43" s="842"/>
      <c r="AZ43" s="841"/>
      <c r="BA43" s="842"/>
      <c r="BB43" s="842"/>
      <c r="BC43" s="842"/>
      <c r="BD43" s="842"/>
      <c r="BE43" s="842"/>
      <c r="BF43" s="842"/>
      <c r="BG43" s="842"/>
      <c r="BH43" s="842"/>
    </row>
    <row r="44" spans="1:60" ht="24.75" customHeight="1">
      <c r="A44" s="842"/>
      <c r="B44" s="876" t="str">
        <f>"Animal com "&amp;C37&amp;" kg/PV e consumo de "&amp;TEXT(C72*1000,"#.##0")&amp;" g/dia"</f>
        <v>Animal com 300 kg/PV e consumo de 1.500 g/dia</v>
      </c>
      <c r="C44" s="854"/>
      <c r="D44" s="854"/>
      <c r="E44" s="854"/>
      <c r="F44" s="854"/>
      <c r="G44" s="854"/>
      <c r="H44" s="841"/>
      <c r="I44" s="889" t="str">
        <f>B44</f>
        <v>Animal com 300 kg/PV e consumo de 1.500 g/dia</v>
      </c>
      <c r="J44" s="890"/>
      <c r="K44" s="890"/>
      <c r="L44" s="890"/>
      <c r="M44" s="890"/>
      <c r="N44" s="890"/>
      <c r="O44" s="1482"/>
      <c r="P44" s="1482"/>
      <c r="Q44" s="1482"/>
      <c r="R44" s="1482"/>
      <c r="S44" s="1482"/>
      <c r="T44" s="1482"/>
      <c r="U44" s="1482"/>
      <c r="V44" s="1482"/>
      <c r="W44" s="1482"/>
      <c r="X44" s="1482"/>
      <c r="Y44" s="1482"/>
      <c r="Z44" s="1482"/>
      <c r="AA44" s="1482"/>
      <c r="AB44" s="1482"/>
      <c r="AC44" s="1482"/>
      <c r="AD44" s="1482"/>
      <c r="AE44" s="1482"/>
      <c r="AF44" s="1482"/>
      <c r="AG44" s="1482"/>
      <c r="AH44" s="1482"/>
      <c r="AI44" s="842"/>
      <c r="AJ44" s="842"/>
      <c r="AK44" s="842"/>
      <c r="AL44" s="842"/>
      <c r="AM44" s="842"/>
      <c r="AN44" s="842"/>
      <c r="AO44" s="842"/>
      <c r="AP44" s="842"/>
      <c r="AQ44" s="842"/>
      <c r="AR44" s="842"/>
      <c r="AS44" s="842"/>
      <c r="AT44" s="842"/>
      <c r="AU44" s="842"/>
      <c r="AV44" s="842"/>
      <c r="AW44" s="842"/>
      <c r="AX44" s="842"/>
      <c r="AY44" s="842"/>
      <c r="AZ44" s="841"/>
      <c r="BA44" s="842"/>
      <c r="BB44" s="842"/>
      <c r="BC44" s="842"/>
      <c r="BD44" s="842"/>
      <c r="BE44" s="842"/>
      <c r="BF44" s="842"/>
      <c r="BG44" s="842"/>
      <c r="BH44" s="842"/>
    </row>
    <row r="45" spans="1:60" ht="6.75" customHeight="1">
      <c r="A45" s="842"/>
      <c r="H45" s="841"/>
      <c r="I45" s="841"/>
      <c r="J45" s="841"/>
      <c r="K45" s="841"/>
      <c r="L45" s="841"/>
      <c r="M45" s="841"/>
      <c r="N45" s="841"/>
      <c r="O45" s="1482"/>
      <c r="P45" s="1029"/>
      <c r="Q45" s="1029"/>
      <c r="R45" s="1029"/>
      <c r="S45" s="1029"/>
      <c r="T45" s="1029"/>
      <c r="U45" s="1029"/>
      <c r="V45" s="1029"/>
      <c r="W45" s="841"/>
      <c r="X45" s="841"/>
      <c r="Y45" s="841"/>
      <c r="Z45" s="841"/>
      <c r="AA45" s="842"/>
      <c r="AB45" s="842"/>
      <c r="AC45" s="842"/>
      <c r="AD45" s="842"/>
      <c r="AE45" s="842"/>
      <c r="AF45" s="842"/>
      <c r="AG45" s="842"/>
      <c r="AH45" s="842"/>
      <c r="AI45" s="842"/>
      <c r="AJ45" s="842"/>
      <c r="AK45" s="842"/>
      <c r="AL45" s="842"/>
      <c r="AM45" s="842"/>
      <c r="AN45" s="842"/>
      <c r="AO45" s="842"/>
      <c r="AP45" s="842"/>
      <c r="AQ45" s="842"/>
      <c r="AR45" s="842"/>
      <c r="AS45" s="842"/>
      <c r="AT45" s="842"/>
      <c r="AU45" s="842"/>
      <c r="AV45" s="842"/>
      <c r="AW45" s="842"/>
      <c r="AX45" s="842"/>
      <c r="AY45" s="842"/>
      <c r="AZ45" s="841"/>
      <c r="BA45" s="842"/>
      <c r="BB45" s="842"/>
      <c r="BC45" s="842"/>
      <c r="BD45" s="842"/>
      <c r="BE45" s="842"/>
      <c r="BF45" s="842"/>
      <c r="BG45" s="842"/>
      <c r="BH45" s="842"/>
    </row>
    <row r="46" spans="1:60" ht="24" customHeight="1">
      <c r="A46" s="842"/>
      <c r="B46" s="897" t="s">
        <v>74</v>
      </c>
      <c r="C46" s="898" t="s">
        <v>754</v>
      </c>
      <c r="D46" s="898" t="s">
        <v>1307</v>
      </c>
      <c r="E46" s="898" t="s">
        <v>1341</v>
      </c>
      <c r="F46" s="2161" t="s">
        <v>1306</v>
      </c>
      <c r="G46" s="2162"/>
      <c r="H46" s="841"/>
      <c r="I46" s="1505" t="s">
        <v>1342</v>
      </c>
      <c r="J46" s="1506"/>
      <c r="K46" s="1506"/>
      <c r="L46" s="893" t="s">
        <v>754</v>
      </c>
      <c r="M46" s="893" t="s">
        <v>1341</v>
      </c>
      <c r="N46" s="894" t="s">
        <v>1306</v>
      </c>
      <c r="O46" s="1482"/>
      <c r="P46" s="922" t="s">
        <v>1457</v>
      </c>
      <c r="Q46" s="922" t="s">
        <v>1458</v>
      </c>
      <c r="R46" s="922" t="s">
        <v>1346</v>
      </c>
      <c r="S46" s="922"/>
      <c r="T46" s="922"/>
      <c r="U46" s="1028"/>
      <c r="V46" s="1028"/>
      <c r="W46" s="842"/>
      <c r="X46" s="842"/>
      <c r="Y46" s="842"/>
      <c r="Z46" s="842"/>
      <c r="AA46" s="842"/>
      <c r="AB46" s="842"/>
      <c r="AC46" s="842"/>
      <c r="AD46" s="842"/>
      <c r="AE46" s="842"/>
      <c r="AF46" s="842"/>
      <c r="AG46" s="842"/>
      <c r="AH46" s="842"/>
      <c r="AI46" s="842"/>
      <c r="AJ46" s="842"/>
      <c r="AK46" s="842"/>
      <c r="AL46" s="842"/>
      <c r="AM46" s="842"/>
      <c r="AN46" s="842"/>
      <c r="AO46" s="842"/>
      <c r="AP46" s="842"/>
      <c r="AQ46" s="842"/>
      <c r="AR46" s="842"/>
      <c r="AS46" s="842"/>
      <c r="AT46" s="842"/>
      <c r="AU46" s="842"/>
      <c r="AV46" s="842"/>
      <c r="AW46" s="842"/>
      <c r="AX46" s="842"/>
      <c r="AY46" s="842"/>
      <c r="AZ46" s="841"/>
      <c r="BA46" s="842"/>
      <c r="BB46" s="842"/>
      <c r="BC46" s="842"/>
      <c r="BD46" s="380" t="s">
        <v>1234</v>
      </c>
      <c r="BE46" s="842"/>
      <c r="BF46" s="842"/>
      <c r="BG46" s="842"/>
      <c r="BH46" s="842"/>
    </row>
    <row r="47" spans="1:60" ht="17.25" customHeight="1" thickBot="1">
      <c r="A47" s="843">
        <v>1</v>
      </c>
      <c r="B47" s="899" t="str">
        <f t="shared" ref="B47:B65" si="7">IF(BD48="","",INDEX($B$12:$B$30,MATCH(BD48,$BD$12:$BD$30,0)))</f>
        <v>SOJA, FARELO (45%)</v>
      </c>
      <c r="C47" s="1476">
        <f t="shared" ref="C47:C65" si="8">IFERROR(IF(BD48="","",INDEX($C$12:$C$30,MATCH(BD48,$BD$12:$BD$30,0)))*$C$38*$C$39*$C$72,"")</f>
        <v>4110.6104412167724</v>
      </c>
      <c r="D47" s="1477">
        <f t="shared" ref="D47:D65" si="9">IF(BD48="","",INDEX($BA$12:$BA$30,MATCH(BD48,$BD$12:$BD$30,0)))</f>
        <v>0.4567344934685274</v>
      </c>
      <c r="E47" s="1478">
        <f t="shared" ref="E47:E65" si="10">IF(BD48="","",INDEX($G$12:$G$30,MATCH(BD48,$BD$12:$BD$30,0)))</f>
        <v>2.7</v>
      </c>
      <c r="F47" s="2157">
        <f>IFERROR(C47*E47,"")</f>
        <v>11098.648191285287</v>
      </c>
      <c r="G47" s="2158"/>
      <c r="H47" s="841"/>
      <c r="I47" s="1483" t="str">
        <f>B47</f>
        <v>SOJA, FARELO (45%)</v>
      </c>
      <c r="J47" s="1499"/>
      <c r="K47" s="1499"/>
      <c r="L47" s="883">
        <f t="shared" ref="L47:L65" si="11">IFERROR(IF(BD48="","",INDEX($C$12:$C$30,MATCH(BD48,$BD$12:$BD$30,0)))*$C$72,"")</f>
        <v>0.68510174020279535</v>
      </c>
      <c r="M47" s="884">
        <f t="shared" ref="M47:M65" si="12">IF(BD48="","",INDEX($G$12:$G$30,MATCH(BD48,$BD$12:$BD$30,0)))</f>
        <v>2.7</v>
      </c>
      <c r="N47" s="895">
        <f>IFERROR(L47*M47,"")</f>
        <v>1.8497746985475476</v>
      </c>
      <c r="O47" s="842"/>
      <c r="P47" s="922"/>
      <c r="Q47" s="922"/>
      <c r="R47" s="922"/>
      <c r="S47" s="922"/>
      <c r="T47" s="922"/>
      <c r="U47" s="1028"/>
      <c r="V47" s="1028"/>
      <c r="W47" s="842"/>
      <c r="X47" s="842"/>
      <c r="Y47" s="842"/>
      <c r="Z47" s="842"/>
      <c r="AA47" s="842"/>
      <c r="AB47" s="842"/>
      <c r="AC47" s="842"/>
      <c r="AD47" s="842"/>
      <c r="AE47" s="842"/>
      <c r="AF47" s="842"/>
      <c r="AG47" s="842"/>
      <c r="AH47" s="842"/>
      <c r="AI47" s="842"/>
      <c r="AJ47" s="842"/>
      <c r="AK47" s="842"/>
      <c r="AL47" s="842"/>
      <c r="AM47" s="842"/>
      <c r="AN47" s="842"/>
      <c r="AO47" s="842"/>
      <c r="AP47" s="842"/>
      <c r="AQ47" s="842"/>
      <c r="AR47" s="842"/>
      <c r="AS47" s="842"/>
      <c r="AT47" s="842"/>
      <c r="AU47" s="842"/>
      <c r="AV47" s="842"/>
      <c r="AW47" s="842"/>
      <c r="AX47" s="842"/>
      <c r="AY47" s="842"/>
      <c r="AZ47" s="841"/>
      <c r="BA47" s="842"/>
      <c r="BB47" s="842"/>
      <c r="BC47" s="842"/>
      <c r="BD47" s="264" t="s">
        <v>755</v>
      </c>
      <c r="BE47" s="842"/>
      <c r="BF47" s="842"/>
      <c r="BG47" s="842"/>
      <c r="BH47" s="842"/>
    </row>
    <row r="48" spans="1:60" ht="16.5" thickTop="1">
      <c r="A48" s="843">
        <v>2</v>
      </c>
      <c r="B48" s="899" t="str">
        <f t="shared" si="7"/>
        <v>FOSFATO BICÁLCICO</v>
      </c>
      <c r="C48" s="1476">
        <f t="shared" si="8"/>
        <v>3404.3810984763595</v>
      </c>
      <c r="D48" s="1477">
        <f t="shared" si="9"/>
        <v>0.378264566497371</v>
      </c>
      <c r="E48" s="1478">
        <f t="shared" si="10"/>
        <v>1</v>
      </c>
      <c r="F48" s="2157">
        <f t="shared" ref="F48:F65" si="13">IFERROR(C48*E48,"")</f>
        <v>3404.3810984763595</v>
      </c>
      <c r="G48" s="2158"/>
      <c r="H48" s="841"/>
      <c r="I48" s="1483" t="str">
        <f t="shared" ref="I48:I66" si="14">B48</f>
        <v>FOSFATO BICÁLCICO</v>
      </c>
      <c r="J48" s="1499"/>
      <c r="K48" s="1499"/>
      <c r="L48" s="883">
        <f t="shared" si="11"/>
        <v>0.56739684974605997</v>
      </c>
      <c r="M48" s="884">
        <f t="shared" si="12"/>
        <v>1</v>
      </c>
      <c r="N48" s="895">
        <f t="shared" ref="N48:N65" si="15">IFERROR(L48*M48,"")</f>
        <v>0.56739684974605997</v>
      </c>
      <c r="O48" s="842"/>
      <c r="P48" s="1517" t="s">
        <v>269</v>
      </c>
      <c r="Q48" s="1518">
        <f>R33</f>
        <v>0.3</v>
      </c>
      <c r="R48" s="1603">
        <f>R32</f>
        <v>0.29999999999999544</v>
      </c>
      <c r="S48" s="1583">
        <f>IF(Q48=0,0,ROUND(Q48-R48,2))</f>
        <v>0</v>
      </c>
      <c r="T48" s="1600">
        <f>IF(S48=0,0,1)</f>
        <v>0</v>
      </c>
      <c r="U48" s="1028"/>
      <c r="V48" s="1028"/>
      <c r="W48" s="842"/>
      <c r="X48" s="842"/>
      <c r="Y48" s="842"/>
      <c r="Z48" s="842"/>
      <c r="AA48" s="842"/>
      <c r="AB48" s="842"/>
      <c r="AC48" s="842"/>
      <c r="AD48" s="842"/>
      <c r="AE48" s="842"/>
      <c r="AF48" s="842"/>
      <c r="AG48" s="842"/>
      <c r="AH48" s="842"/>
      <c r="AI48" s="842"/>
      <c r="AJ48" s="842"/>
      <c r="AK48" s="842"/>
      <c r="AL48" s="842"/>
      <c r="AM48" s="842"/>
      <c r="AN48" s="842"/>
      <c r="AO48" s="842"/>
      <c r="AP48" s="842"/>
      <c r="AQ48" s="842"/>
      <c r="AR48" s="842"/>
      <c r="AS48" s="842"/>
      <c r="AT48" s="842"/>
      <c r="AU48" s="842"/>
      <c r="AV48" s="842"/>
      <c r="AW48" s="842"/>
      <c r="AX48" s="842"/>
      <c r="AY48" s="842"/>
      <c r="AZ48" s="841"/>
      <c r="BA48" s="842"/>
      <c r="BB48" s="842"/>
      <c r="BC48" s="842"/>
      <c r="BD48" s="829">
        <f t="shared" ref="BD48:BD66" si="16">IFERROR(IF(LARGE($BD$12:$BD$30,A47)=0,"",LARGE($BD$12:$BD$30,A47)),"")</f>
        <v>0.45675049346853025</v>
      </c>
      <c r="BE48" s="842"/>
      <c r="BF48" s="842"/>
      <c r="BG48" s="842"/>
      <c r="BH48" s="842"/>
    </row>
    <row r="49" spans="1:60" ht="15.75">
      <c r="A49" s="843">
        <v>3</v>
      </c>
      <c r="B49" s="899" t="str">
        <f t="shared" si="7"/>
        <v>SAL COMUM (NACL)</v>
      </c>
      <c r="C49" s="1476">
        <f t="shared" si="8"/>
        <v>1194.553740886417</v>
      </c>
      <c r="D49" s="1477">
        <f t="shared" si="9"/>
        <v>0.13272819343182329</v>
      </c>
      <c r="E49" s="1478">
        <f t="shared" si="10"/>
        <v>1.5</v>
      </c>
      <c r="F49" s="2157">
        <f t="shared" si="13"/>
        <v>1791.8306113296255</v>
      </c>
      <c r="G49" s="2158"/>
      <c r="H49" s="841"/>
      <c r="I49" s="1483" t="str">
        <f t="shared" si="14"/>
        <v>SAL COMUM (NACL)</v>
      </c>
      <c r="J49" s="1499"/>
      <c r="K49" s="1499"/>
      <c r="L49" s="883">
        <f t="shared" si="11"/>
        <v>0.19909229014773619</v>
      </c>
      <c r="M49" s="884">
        <f t="shared" si="12"/>
        <v>1.5</v>
      </c>
      <c r="N49" s="895">
        <f t="shared" si="15"/>
        <v>0.29863843522160427</v>
      </c>
      <c r="O49" s="842"/>
      <c r="P49" s="1517" t="s">
        <v>1463</v>
      </c>
      <c r="Q49" s="1518">
        <f>V33</f>
        <v>0</v>
      </c>
      <c r="R49" s="1603">
        <f>V32</f>
        <v>9.0654844918694591E-2</v>
      </c>
      <c r="S49" s="1583">
        <f t="shared" ref="S49:S52" si="17">IF(Q49=0,0,ROUND(Q49-R49,2))</f>
        <v>0</v>
      </c>
      <c r="T49" s="1600">
        <f t="shared" ref="T49:T53" si="18">IF(S49=0,0,1)</f>
        <v>0</v>
      </c>
      <c r="U49" s="1028"/>
      <c r="V49" s="1028"/>
      <c r="W49" s="842"/>
      <c r="X49" s="842"/>
      <c r="Y49" s="842"/>
      <c r="Z49" s="842"/>
      <c r="AA49" s="842"/>
      <c r="AB49" s="842"/>
      <c r="AC49" s="842"/>
      <c r="AD49" s="842"/>
      <c r="AE49" s="842"/>
      <c r="AF49" s="842"/>
      <c r="AG49" s="842"/>
      <c r="AH49" s="842"/>
      <c r="AI49" s="842"/>
      <c r="AJ49" s="842"/>
      <c r="AK49" s="842"/>
      <c r="AL49" s="842"/>
      <c r="AM49" s="842"/>
      <c r="AN49" s="842"/>
      <c r="AO49" s="842"/>
      <c r="AP49" s="842"/>
      <c r="AQ49" s="842"/>
      <c r="AR49" s="842"/>
      <c r="AS49" s="842"/>
      <c r="AT49" s="842"/>
      <c r="AU49" s="842"/>
      <c r="AV49" s="842"/>
      <c r="AW49" s="842"/>
      <c r="AX49" s="842"/>
      <c r="AY49" s="842"/>
      <c r="AZ49" s="841"/>
      <c r="BA49" s="842"/>
      <c r="BB49" s="842"/>
      <c r="BC49" s="842"/>
      <c r="BD49" s="830">
        <f t="shared" si="16"/>
        <v>0.37828156649737332</v>
      </c>
      <c r="BE49" s="842"/>
      <c r="BF49" s="842"/>
      <c r="BG49" s="842"/>
      <c r="BH49" s="842"/>
    </row>
    <row r="50" spans="1:60" ht="15.75">
      <c r="A50" s="843">
        <v>4</v>
      </c>
      <c r="B50" s="899" t="str">
        <f t="shared" si="7"/>
        <v>UREIA</v>
      </c>
      <c r="C50" s="1476">
        <f t="shared" si="8"/>
        <v>290.35359582500047</v>
      </c>
      <c r="D50" s="1477">
        <f t="shared" si="9"/>
        <v>3.2261510647222075E-2</v>
      </c>
      <c r="E50" s="1478">
        <f t="shared" si="10"/>
        <v>4</v>
      </c>
      <c r="F50" s="2157">
        <f t="shared" si="13"/>
        <v>1161.4143833000019</v>
      </c>
      <c r="G50" s="2158"/>
      <c r="H50" s="841"/>
      <c r="I50" s="1483" t="str">
        <f t="shared" si="14"/>
        <v>UREIA</v>
      </c>
      <c r="J50" s="1499"/>
      <c r="K50" s="1499"/>
      <c r="L50" s="883">
        <f t="shared" si="11"/>
        <v>4.8392265970833417E-2</v>
      </c>
      <c r="M50" s="884">
        <f t="shared" si="12"/>
        <v>4</v>
      </c>
      <c r="N50" s="895">
        <f t="shared" si="15"/>
        <v>0.19356906388333367</v>
      </c>
      <c r="O50" s="842"/>
      <c r="P50" s="1517" t="s">
        <v>277</v>
      </c>
      <c r="Q50" s="1518">
        <f>W33</f>
        <v>0</v>
      </c>
      <c r="R50" s="1603">
        <f>W32</f>
        <v>9.1480736256182124E-2</v>
      </c>
      <c r="S50" s="1583">
        <f>IF(Q50=0,0,ROUND(Q50-R50,2))</f>
        <v>0</v>
      </c>
      <c r="T50" s="1600">
        <f t="shared" si="18"/>
        <v>0</v>
      </c>
      <c r="U50" s="1028"/>
      <c r="V50" s="1028"/>
      <c r="W50" s="842"/>
      <c r="X50" s="842"/>
      <c r="Y50" s="842"/>
      <c r="Z50" s="842"/>
      <c r="AA50" s="842"/>
      <c r="AB50" s="842"/>
      <c r="AC50" s="842"/>
      <c r="AD50" s="842"/>
      <c r="AE50" s="842"/>
      <c r="AF50" s="842"/>
      <c r="AG50" s="842"/>
      <c r="AH50" s="842"/>
      <c r="AI50" s="842"/>
      <c r="AJ50" s="842"/>
      <c r="AK50" s="842"/>
      <c r="AL50" s="842"/>
      <c r="AM50" s="842"/>
      <c r="AN50" s="842"/>
      <c r="AO50" s="842"/>
      <c r="AP50" s="842"/>
      <c r="AQ50" s="842"/>
      <c r="AR50" s="842"/>
      <c r="AS50" s="842"/>
      <c r="AT50" s="842"/>
      <c r="AU50" s="842"/>
      <c r="AV50" s="842"/>
      <c r="AW50" s="842"/>
      <c r="AX50" s="842"/>
      <c r="AY50" s="842"/>
      <c r="AZ50" s="841"/>
      <c r="BA50" s="842"/>
      <c r="BB50" s="842"/>
      <c r="BC50" s="842"/>
      <c r="BD50" s="830">
        <f t="shared" si="16"/>
        <v>0.13274119343182414</v>
      </c>
      <c r="BE50" s="842"/>
      <c r="BF50" s="842"/>
      <c r="BG50" s="842"/>
      <c r="BH50" s="842"/>
    </row>
    <row r="51" spans="1:60" ht="15.75">
      <c r="A51" s="843">
        <v>5</v>
      </c>
      <c r="B51" s="899" t="str">
        <f t="shared" si="7"/>
        <v>MILHO, GRÃO (MOIDO)</v>
      </c>
      <c r="C51" s="1476">
        <f t="shared" si="8"/>
        <v>0.101123595505618</v>
      </c>
      <c r="D51" s="1477">
        <f t="shared" si="9"/>
        <v>1.1235955056179707E-5</v>
      </c>
      <c r="E51" s="1478">
        <f t="shared" si="10"/>
        <v>0.93</v>
      </c>
      <c r="F51" s="2157">
        <f t="shared" si="13"/>
        <v>9.4044943820224741E-2</v>
      </c>
      <c r="G51" s="2158"/>
      <c r="H51" s="841"/>
      <c r="I51" s="1483" t="str">
        <f t="shared" si="14"/>
        <v>MILHO, GRÃO (MOIDO)</v>
      </c>
      <c r="J51" s="1499"/>
      <c r="K51" s="1499"/>
      <c r="L51" s="883">
        <f t="shared" si="11"/>
        <v>1.6853932584269665E-5</v>
      </c>
      <c r="M51" s="884">
        <f t="shared" si="12"/>
        <v>0.93</v>
      </c>
      <c r="N51" s="895">
        <f t="shared" si="15"/>
        <v>1.5674157303370788E-5</v>
      </c>
      <c r="O51" s="842"/>
      <c r="P51" s="1517" t="s">
        <v>1456</v>
      </c>
      <c r="Q51" s="1518">
        <f>X33</f>
        <v>0</v>
      </c>
      <c r="R51" s="1603">
        <f>X32</f>
        <v>7.1519274289840007E-2</v>
      </c>
      <c r="S51" s="1583">
        <f t="shared" si="17"/>
        <v>0</v>
      </c>
      <c r="T51" s="1600">
        <f t="shared" si="18"/>
        <v>0</v>
      </c>
      <c r="U51" s="1028"/>
      <c r="V51" s="1028"/>
      <c r="W51" s="842"/>
      <c r="X51" s="842"/>
      <c r="Y51" s="842"/>
      <c r="Z51" s="842"/>
      <c r="AA51" s="842"/>
      <c r="AB51" s="842"/>
      <c r="AC51" s="842"/>
      <c r="AD51" s="842"/>
      <c r="AE51" s="842"/>
      <c r="AF51" s="842"/>
      <c r="AG51" s="842"/>
      <c r="AH51" s="842"/>
      <c r="AI51" s="842"/>
      <c r="AJ51" s="842"/>
      <c r="AK51" s="842"/>
      <c r="AL51" s="842"/>
      <c r="AM51" s="842"/>
      <c r="AN51" s="842"/>
      <c r="AO51" s="842"/>
      <c r="AP51" s="842"/>
      <c r="AQ51" s="842"/>
      <c r="AR51" s="842"/>
      <c r="AS51" s="842"/>
      <c r="AT51" s="842"/>
      <c r="AU51" s="842"/>
      <c r="AV51" s="842"/>
      <c r="AW51" s="842"/>
      <c r="AX51" s="842"/>
      <c r="AY51" s="842"/>
      <c r="AZ51" s="841"/>
      <c r="BA51" s="842"/>
      <c r="BB51" s="842"/>
      <c r="BC51" s="842"/>
      <c r="BD51" s="830">
        <f t="shared" si="16"/>
        <v>3.2273510647222274E-2</v>
      </c>
      <c r="BE51" s="842"/>
      <c r="BF51" s="842"/>
      <c r="BG51" s="842"/>
      <c r="BH51" s="842"/>
    </row>
    <row r="52" spans="1:60" ht="15.75">
      <c r="A52" s="843">
        <v>6</v>
      </c>
      <c r="B52" s="899" t="str">
        <f t="shared" si="7"/>
        <v/>
      </c>
      <c r="C52" s="1476" t="str">
        <f t="shared" si="8"/>
        <v/>
      </c>
      <c r="D52" s="1477" t="str">
        <f t="shared" si="9"/>
        <v/>
      </c>
      <c r="E52" s="1478" t="str">
        <f t="shared" si="10"/>
        <v/>
      </c>
      <c r="F52" s="2157" t="str">
        <f t="shared" si="13"/>
        <v/>
      </c>
      <c r="G52" s="2158"/>
      <c r="H52" s="841"/>
      <c r="I52" s="1483" t="str">
        <f t="shared" si="14"/>
        <v/>
      </c>
      <c r="J52" s="1499"/>
      <c r="K52" s="1499"/>
      <c r="L52" s="883" t="str">
        <f t="shared" si="11"/>
        <v/>
      </c>
      <c r="M52" s="884" t="str">
        <f t="shared" si="12"/>
        <v/>
      </c>
      <c r="N52" s="895" t="str">
        <f t="shared" si="15"/>
        <v/>
      </c>
      <c r="O52" s="842"/>
      <c r="P52" s="1517" t="s">
        <v>285</v>
      </c>
      <c r="Q52" s="1518">
        <f>Z33</f>
        <v>0.05</v>
      </c>
      <c r="R52" s="1603">
        <f>Z32</f>
        <v>4.9999999999999933E-2</v>
      </c>
      <c r="S52" s="1583">
        <f t="shared" si="17"/>
        <v>0</v>
      </c>
      <c r="T52" s="1600">
        <f t="shared" si="18"/>
        <v>0</v>
      </c>
      <c r="U52" s="1028"/>
      <c r="V52" s="1028"/>
      <c r="W52" s="842"/>
      <c r="X52" s="842"/>
      <c r="Y52" s="842"/>
      <c r="Z52" s="842"/>
      <c r="AA52" s="842"/>
      <c r="AB52" s="842"/>
      <c r="AC52" s="842"/>
      <c r="AD52" s="842"/>
      <c r="AE52" s="842"/>
      <c r="AF52" s="842"/>
      <c r="AG52" s="842"/>
      <c r="AH52" s="842"/>
      <c r="AI52" s="842"/>
      <c r="AJ52" s="842"/>
      <c r="AK52" s="842"/>
      <c r="AL52" s="842"/>
      <c r="AM52" s="842"/>
      <c r="AN52" s="842"/>
      <c r="AO52" s="842"/>
      <c r="AP52" s="842"/>
      <c r="AQ52" s="842"/>
      <c r="AR52" s="842"/>
      <c r="AS52" s="842"/>
      <c r="AT52" s="842"/>
      <c r="AU52" s="842"/>
      <c r="AV52" s="842"/>
      <c r="AW52" s="842"/>
      <c r="AX52" s="842"/>
      <c r="AY52" s="842"/>
      <c r="AZ52" s="841"/>
      <c r="BA52" s="842"/>
      <c r="BB52" s="842"/>
      <c r="BC52" s="842"/>
      <c r="BD52" s="830">
        <f t="shared" si="16"/>
        <v>2.6235955056179776E-5</v>
      </c>
      <c r="BE52" s="842"/>
      <c r="BF52" s="842"/>
      <c r="BG52" s="842"/>
      <c r="BH52" s="842"/>
    </row>
    <row r="53" spans="1:60" ht="15.75">
      <c r="A53" s="843">
        <v>7</v>
      </c>
      <c r="B53" s="899" t="str">
        <f t="shared" si="7"/>
        <v/>
      </c>
      <c r="C53" s="1476" t="str">
        <f t="shared" si="8"/>
        <v/>
      </c>
      <c r="D53" s="1477" t="str">
        <f t="shared" si="9"/>
        <v/>
      </c>
      <c r="E53" s="1478" t="str">
        <f t="shared" si="10"/>
        <v/>
      </c>
      <c r="F53" s="2157" t="str">
        <f t="shared" si="13"/>
        <v/>
      </c>
      <c r="G53" s="2158"/>
      <c r="H53" s="841"/>
      <c r="I53" s="1483" t="str">
        <f t="shared" si="14"/>
        <v/>
      </c>
      <c r="J53" s="1499"/>
      <c r="K53" s="1499"/>
      <c r="L53" s="883" t="str">
        <f t="shared" si="11"/>
        <v/>
      </c>
      <c r="M53" s="884" t="str">
        <f t="shared" si="12"/>
        <v/>
      </c>
      <c r="N53" s="895" t="str">
        <f t="shared" si="15"/>
        <v/>
      </c>
      <c r="O53" s="842"/>
      <c r="P53" s="1517" t="s">
        <v>1454</v>
      </c>
      <c r="Q53" s="1601">
        <v>40</v>
      </c>
      <c r="R53" s="1519">
        <f>C80</f>
        <v>16.13075532361114</v>
      </c>
      <c r="S53" s="1583">
        <f>IF(R53&gt;40,1,0)</f>
        <v>0</v>
      </c>
      <c r="T53" s="1600">
        <f t="shared" si="18"/>
        <v>0</v>
      </c>
      <c r="U53" s="1028"/>
      <c r="V53" s="1028"/>
      <c r="W53" s="842"/>
      <c r="X53" s="842"/>
      <c r="Y53" s="842"/>
      <c r="Z53" s="842"/>
      <c r="AA53" s="842"/>
      <c r="AB53" s="842"/>
      <c r="AC53" s="842"/>
      <c r="AD53" s="842"/>
      <c r="AE53" s="842"/>
      <c r="AF53" s="842"/>
      <c r="AG53" s="842"/>
      <c r="AH53" s="842"/>
      <c r="AI53" s="842"/>
      <c r="AJ53" s="842"/>
      <c r="AK53" s="842"/>
      <c r="AL53" s="842"/>
      <c r="AM53" s="842"/>
      <c r="AN53" s="842"/>
      <c r="AO53" s="842"/>
      <c r="AP53" s="842"/>
      <c r="AQ53" s="842"/>
      <c r="AR53" s="842"/>
      <c r="AS53" s="842"/>
      <c r="AT53" s="842"/>
      <c r="AU53" s="842"/>
      <c r="AV53" s="842"/>
      <c r="AW53" s="842"/>
      <c r="AX53" s="842"/>
      <c r="AY53" s="842"/>
      <c r="AZ53" s="841"/>
      <c r="BA53" s="842"/>
      <c r="BB53" s="842"/>
      <c r="BC53" s="842"/>
      <c r="BD53" s="830" t="str">
        <f t="shared" si="16"/>
        <v/>
      </c>
      <c r="BE53" s="842"/>
      <c r="BF53" s="842"/>
      <c r="BG53" s="842"/>
      <c r="BH53" s="842"/>
    </row>
    <row r="54" spans="1:60" ht="15.75">
      <c r="A54" s="843">
        <v>8</v>
      </c>
      <c r="B54" s="899" t="str">
        <f t="shared" si="7"/>
        <v/>
      </c>
      <c r="C54" s="1476" t="str">
        <f t="shared" si="8"/>
        <v/>
      </c>
      <c r="D54" s="1477" t="str">
        <f t="shared" si="9"/>
        <v/>
      </c>
      <c r="E54" s="1478" t="str">
        <f t="shared" si="10"/>
        <v/>
      </c>
      <c r="F54" s="2157" t="str">
        <f t="shared" si="13"/>
        <v/>
      </c>
      <c r="G54" s="2158"/>
      <c r="H54" s="841"/>
      <c r="I54" s="1483" t="str">
        <f t="shared" si="14"/>
        <v/>
      </c>
      <c r="J54" s="1499"/>
      <c r="K54" s="1499"/>
      <c r="L54" s="883" t="str">
        <f t="shared" si="11"/>
        <v/>
      </c>
      <c r="M54" s="884" t="str">
        <f t="shared" si="12"/>
        <v/>
      </c>
      <c r="N54" s="895" t="str">
        <f t="shared" si="15"/>
        <v/>
      </c>
      <c r="O54" s="842"/>
      <c r="P54" s="1517" t="s">
        <v>1455</v>
      </c>
      <c r="Q54" s="1602">
        <f>D81</f>
        <v>0</v>
      </c>
      <c r="R54" s="1519">
        <f>C81</f>
        <v>0</v>
      </c>
      <c r="S54" s="1583">
        <f>IF(Q54=0,0,ROUND(R54-Q54,1))</f>
        <v>0</v>
      </c>
      <c r="T54" s="1600">
        <f>IF(S54&lt;0,1,0)</f>
        <v>0</v>
      </c>
      <c r="U54" s="1028"/>
      <c r="V54" s="1028"/>
      <c r="W54" s="842"/>
      <c r="X54" s="842"/>
      <c r="Y54" s="842"/>
      <c r="Z54" s="842"/>
      <c r="AA54" s="842"/>
      <c r="AB54" s="842"/>
      <c r="AC54" s="842"/>
      <c r="AD54" s="842"/>
      <c r="AE54" s="842"/>
      <c r="AF54" s="842"/>
      <c r="AG54" s="842"/>
      <c r="AH54" s="842"/>
      <c r="AI54" s="842"/>
      <c r="AJ54" s="842"/>
      <c r="AK54" s="842"/>
      <c r="AL54" s="842"/>
      <c r="AM54" s="842"/>
      <c r="AN54" s="842"/>
      <c r="AO54" s="842"/>
      <c r="AP54" s="842"/>
      <c r="AQ54" s="842"/>
      <c r="AR54" s="842"/>
      <c r="AS54" s="842"/>
      <c r="AT54" s="842"/>
      <c r="AU54" s="842"/>
      <c r="AV54" s="842"/>
      <c r="AW54" s="842"/>
      <c r="AX54" s="842"/>
      <c r="AY54" s="842"/>
      <c r="AZ54" s="841"/>
      <c r="BA54" s="842"/>
      <c r="BB54" s="842"/>
      <c r="BC54" s="842"/>
      <c r="BD54" s="830" t="str">
        <f t="shared" si="16"/>
        <v/>
      </c>
      <c r="BE54" s="842"/>
      <c r="BF54" s="842"/>
      <c r="BG54" s="842"/>
      <c r="BH54" s="842"/>
    </row>
    <row r="55" spans="1:60" ht="15.75">
      <c r="A55" s="843">
        <v>9</v>
      </c>
      <c r="B55" s="899" t="str">
        <f t="shared" si="7"/>
        <v/>
      </c>
      <c r="C55" s="1476" t="str">
        <f t="shared" si="8"/>
        <v/>
      </c>
      <c r="D55" s="1477" t="str">
        <f t="shared" si="9"/>
        <v/>
      </c>
      <c r="E55" s="1478" t="str">
        <f t="shared" si="10"/>
        <v/>
      </c>
      <c r="F55" s="2157" t="str">
        <f t="shared" si="13"/>
        <v/>
      </c>
      <c r="G55" s="2158"/>
      <c r="H55" s="841"/>
      <c r="I55" s="1483" t="str">
        <f t="shared" si="14"/>
        <v/>
      </c>
      <c r="J55" s="1499"/>
      <c r="K55" s="1499"/>
      <c r="L55" s="883" t="str">
        <f t="shared" si="11"/>
        <v/>
      </c>
      <c r="M55" s="884" t="str">
        <f t="shared" si="12"/>
        <v/>
      </c>
      <c r="N55" s="895" t="str">
        <f t="shared" si="15"/>
        <v/>
      </c>
      <c r="O55" s="842"/>
      <c r="P55" s="922"/>
      <c r="Q55" s="1584"/>
      <c r="R55" s="922"/>
      <c r="S55" s="922"/>
      <c r="T55" s="922"/>
      <c r="U55" s="1028"/>
      <c r="V55" s="1028"/>
      <c r="W55" s="842"/>
      <c r="X55" s="842"/>
      <c r="Y55" s="842"/>
      <c r="Z55" s="842"/>
      <c r="AA55" s="842"/>
      <c r="AB55" s="842"/>
      <c r="AC55" s="842"/>
      <c r="AD55" s="842"/>
      <c r="AE55" s="842"/>
      <c r="AF55" s="842"/>
      <c r="AG55" s="842"/>
      <c r="AH55" s="842"/>
      <c r="AI55" s="842"/>
      <c r="AJ55" s="842"/>
      <c r="AK55" s="842"/>
      <c r="AL55" s="842"/>
      <c r="AM55" s="842"/>
      <c r="AN55" s="842"/>
      <c r="AO55" s="842"/>
      <c r="AP55" s="842"/>
      <c r="AQ55" s="842"/>
      <c r="AR55" s="842"/>
      <c r="AS55" s="842"/>
      <c r="AT55" s="842"/>
      <c r="AU55" s="842"/>
      <c r="AV55" s="842"/>
      <c r="AW55" s="842"/>
      <c r="AX55" s="842"/>
      <c r="AY55" s="842"/>
      <c r="AZ55" s="841"/>
      <c r="BA55" s="842"/>
      <c r="BB55" s="842"/>
      <c r="BC55" s="842"/>
      <c r="BD55" s="830" t="str">
        <f t="shared" si="16"/>
        <v/>
      </c>
      <c r="BE55" s="842"/>
      <c r="BF55" s="842"/>
      <c r="BG55" s="842"/>
      <c r="BH55" s="842"/>
    </row>
    <row r="56" spans="1:60" ht="15.75">
      <c r="A56" s="843">
        <v>10</v>
      </c>
      <c r="B56" s="899" t="str">
        <f t="shared" si="7"/>
        <v/>
      </c>
      <c r="C56" s="1476" t="str">
        <f t="shared" si="8"/>
        <v/>
      </c>
      <c r="D56" s="1477" t="str">
        <f t="shared" si="9"/>
        <v/>
      </c>
      <c r="E56" s="1478" t="str">
        <f t="shared" si="10"/>
        <v/>
      </c>
      <c r="F56" s="2157" t="str">
        <f t="shared" si="13"/>
        <v/>
      </c>
      <c r="G56" s="2158"/>
      <c r="H56" s="841"/>
      <c r="I56" s="1483" t="str">
        <f t="shared" si="14"/>
        <v/>
      </c>
      <c r="J56" s="1499"/>
      <c r="K56" s="1499"/>
      <c r="L56" s="883" t="str">
        <f t="shared" si="11"/>
        <v/>
      </c>
      <c r="M56" s="884" t="str">
        <f t="shared" si="12"/>
        <v/>
      </c>
      <c r="N56" s="895" t="str">
        <f t="shared" si="15"/>
        <v/>
      </c>
      <c r="O56" s="842"/>
      <c r="P56" s="1028"/>
      <c r="Q56" s="1028"/>
      <c r="R56" s="1028"/>
      <c r="S56" s="1028"/>
      <c r="T56" s="1028"/>
      <c r="U56" s="1028"/>
      <c r="V56" s="1028"/>
      <c r="W56" s="842"/>
      <c r="X56" s="842"/>
      <c r="Y56" s="842"/>
      <c r="Z56" s="842"/>
      <c r="AA56" s="842"/>
      <c r="AB56" s="842"/>
      <c r="AC56" s="842"/>
      <c r="AD56" s="842"/>
      <c r="AE56" s="842"/>
      <c r="AF56" s="842"/>
      <c r="AG56" s="842"/>
      <c r="AH56" s="842"/>
      <c r="AI56" s="842"/>
      <c r="AJ56" s="842"/>
      <c r="AK56" s="842"/>
      <c r="AL56" s="842"/>
      <c r="AM56" s="842"/>
      <c r="AN56" s="842"/>
      <c r="AO56" s="842"/>
      <c r="AP56" s="842"/>
      <c r="AQ56" s="842"/>
      <c r="AR56" s="842"/>
      <c r="AS56" s="842"/>
      <c r="AT56" s="842"/>
      <c r="AU56" s="842"/>
      <c r="AV56" s="842"/>
      <c r="AW56" s="842"/>
      <c r="AX56" s="842"/>
      <c r="AY56" s="842"/>
      <c r="AZ56" s="841"/>
      <c r="BA56" s="842"/>
      <c r="BB56" s="842"/>
      <c r="BC56" s="842"/>
      <c r="BD56" s="830" t="str">
        <f t="shared" si="16"/>
        <v/>
      </c>
      <c r="BE56" s="842"/>
      <c r="BF56" s="842"/>
      <c r="BG56" s="842"/>
      <c r="BH56" s="842"/>
    </row>
    <row r="57" spans="1:60" ht="15.75">
      <c r="A57" s="843">
        <v>11</v>
      </c>
      <c r="B57" s="899" t="str">
        <f t="shared" si="7"/>
        <v/>
      </c>
      <c r="C57" s="1476" t="str">
        <f t="shared" si="8"/>
        <v/>
      </c>
      <c r="D57" s="1477" t="str">
        <f t="shared" si="9"/>
        <v/>
      </c>
      <c r="E57" s="1478" t="str">
        <f t="shared" si="10"/>
        <v/>
      </c>
      <c r="F57" s="2157" t="str">
        <f t="shared" si="13"/>
        <v/>
      </c>
      <c r="G57" s="2158"/>
      <c r="H57" s="841"/>
      <c r="I57" s="1483" t="str">
        <f t="shared" si="14"/>
        <v/>
      </c>
      <c r="J57" s="1499"/>
      <c r="K57" s="1499"/>
      <c r="L57" s="883" t="str">
        <f t="shared" si="11"/>
        <v/>
      </c>
      <c r="M57" s="884" t="str">
        <f t="shared" si="12"/>
        <v/>
      </c>
      <c r="N57" s="895" t="str">
        <f t="shared" si="15"/>
        <v/>
      </c>
      <c r="O57" s="842"/>
      <c r="P57" s="1028"/>
      <c r="Q57" s="1599"/>
      <c r="R57" s="1028"/>
      <c r="S57" s="1028"/>
      <c r="T57" s="1028"/>
      <c r="U57" s="1028"/>
      <c r="V57" s="1028"/>
      <c r="W57" s="842"/>
      <c r="X57" s="842"/>
      <c r="Y57" s="842"/>
      <c r="Z57" s="842"/>
      <c r="AA57" s="842"/>
      <c r="AB57" s="842"/>
      <c r="AC57" s="842"/>
      <c r="AD57" s="842"/>
      <c r="AE57" s="842"/>
      <c r="AF57" s="842"/>
      <c r="AG57" s="842"/>
      <c r="AH57" s="842"/>
      <c r="AI57" s="842"/>
      <c r="AJ57" s="842"/>
      <c r="AK57" s="842"/>
      <c r="AL57" s="842"/>
      <c r="AM57" s="842"/>
      <c r="AN57" s="842"/>
      <c r="AO57" s="842"/>
      <c r="AP57" s="842"/>
      <c r="AQ57" s="842"/>
      <c r="AR57" s="842"/>
      <c r="AS57" s="842"/>
      <c r="AT57" s="842"/>
      <c r="AU57" s="842"/>
      <c r="AV57" s="842"/>
      <c r="AW57" s="842"/>
      <c r="AX57" s="842"/>
      <c r="AY57" s="842"/>
      <c r="AZ57" s="841"/>
      <c r="BA57" s="842"/>
      <c r="BB57" s="842"/>
      <c r="BC57" s="842"/>
      <c r="BD57" s="830" t="str">
        <f t="shared" si="16"/>
        <v/>
      </c>
      <c r="BE57" s="842"/>
      <c r="BF57" s="842"/>
      <c r="BG57" s="842"/>
      <c r="BH57" s="842"/>
    </row>
    <row r="58" spans="1:60" ht="15.75">
      <c r="A58" s="843">
        <v>12</v>
      </c>
      <c r="B58" s="899" t="str">
        <f t="shared" si="7"/>
        <v/>
      </c>
      <c r="C58" s="1476" t="str">
        <f t="shared" si="8"/>
        <v/>
      </c>
      <c r="D58" s="1477" t="str">
        <f t="shared" si="9"/>
        <v/>
      </c>
      <c r="E58" s="1478" t="str">
        <f t="shared" si="10"/>
        <v/>
      </c>
      <c r="F58" s="2157" t="str">
        <f t="shared" si="13"/>
        <v/>
      </c>
      <c r="G58" s="2158"/>
      <c r="H58" s="841"/>
      <c r="I58" s="1483" t="str">
        <f t="shared" si="14"/>
        <v/>
      </c>
      <c r="J58" s="1499"/>
      <c r="K58" s="1499"/>
      <c r="L58" s="883" t="str">
        <f t="shared" si="11"/>
        <v/>
      </c>
      <c r="M58" s="884" t="str">
        <f t="shared" si="12"/>
        <v/>
      </c>
      <c r="N58" s="895" t="str">
        <f t="shared" si="15"/>
        <v/>
      </c>
      <c r="O58" s="842"/>
      <c r="P58" s="1028"/>
      <c r="Q58" s="1028"/>
      <c r="R58" s="1028"/>
      <c r="S58" s="1028"/>
      <c r="T58" s="1028"/>
      <c r="U58" s="1028"/>
      <c r="V58" s="1028"/>
      <c r="W58" s="842"/>
      <c r="X58" s="842"/>
      <c r="Y58" s="842"/>
      <c r="Z58" s="842"/>
      <c r="AA58" s="842"/>
      <c r="AB58" s="842"/>
      <c r="AC58" s="842"/>
      <c r="AD58" s="842"/>
      <c r="AE58" s="842"/>
      <c r="AF58" s="842"/>
      <c r="AG58" s="842"/>
      <c r="AH58" s="842"/>
      <c r="AI58" s="842"/>
      <c r="AJ58" s="842"/>
      <c r="AK58" s="842"/>
      <c r="AL58" s="842"/>
      <c r="AM58" s="842"/>
      <c r="AN58" s="842"/>
      <c r="AO58" s="842"/>
      <c r="AP58" s="842"/>
      <c r="AQ58" s="842"/>
      <c r="AR58" s="842"/>
      <c r="AS58" s="842"/>
      <c r="AT58" s="842"/>
      <c r="AU58" s="842"/>
      <c r="AV58" s="842"/>
      <c r="AW58" s="842"/>
      <c r="AX58" s="842"/>
      <c r="AY58" s="842"/>
      <c r="AZ58" s="841"/>
      <c r="BA58" s="842"/>
      <c r="BB58" s="842"/>
      <c r="BC58" s="842"/>
      <c r="BD58" s="830" t="str">
        <f t="shared" si="16"/>
        <v/>
      </c>
      <c r="BE58" s="842"/>
      <c r="BF58" s="842"/>
      <c r="BG58" s="842"/>
      <c r="BH58" s="842"/>
    </row>
    <row r="59" spans="1:60" ht="15.75">
      <c r="A59" s="843">
        <v>13</v>
      </c>
      <c r="B59" s="899" t="str">
        <f t="shared" si="7"/>
        <v/>
      </c>
      <c r="C59" s="1476" t="str">
        <f t="shared" si="8"/>
        <v/>
      </c>
      <c r="D59" s="1477" t="str">
        <f t="shared" si="9"/>
        <v/>
      </c>
      <c r="E59" s="1478" t="str">
        <f t="shared" si="10"/>
        <v/>
      </c>
      <c r="F59" s="2157" t="str">
        <f t="shared" si="13"/>
        <v/>
      </c>
      <c r="G59" s="2158"/>
      <c r="H59" s="841"/>
      <c r="I59" s="1483" t="str">
        <f t="shared" si="14"/>
        <v/>
      </c>
      <c r="J59" s="1499"/>
      <c r="K59" s="1499"/>
      <c r="L59" s="883" t="str">
        <f t="shared" si="11"/>
        <v/>
      </c>
      <c r="M59" s="884" t="str">
        <f t="shared" si="12"/>
        <v/>
      </c>
      <c r="N59" s="895" t="str">
        <f t="shared" si="15"/>
        <v/>
      </c>
      <c r="O59" s="842"/>
      <c r="P59" s="1028"/>
      <c r="Q59" s="1028"/>
      <c r="R59" s="1028"/>
      <c r="S59" s="1028"/>
      <c r="T59" s="1028"/>
      <c r="U59" s="1028"/>
      <c r="V59" s="1028"/>
      <c r="W59" s="842"/>
      <c r="X59" s="842"/>
      <c r="Y59" s="842"/>
      <c r="Z59" s="842"/>
      <c r="AA59" s="842"/>
      <c r="AB59" s="842"/>
      <c r="AC59" s="842"/>
      <c r="AD59" s="842"/>
      <c r="AE59" s="842"/>
      <c r="AF59" s="842"/>
      <c r="AG59" s="842"/>
      <c r="AH59" s="842"/>
      <c r="AI59" s="842"/>
      <c r="AJ59" s="842"/>
      <c r="AK59" s="842"/>
      <c r="AL59" s="842"/>
      <c r="AM59" s="842"/>
      <c r="AN59" s="842"/>
      <c r="AO59" s="842"/>
      <c r="AP59" s="842"/>
      <c r="AQ59" s="842"/>
      <c r="AR59" s="842"/>
      <c r="AS59" s="842"/>
      <c r="AT59" s="842"/>
      <c r="AU59" s="842"/>
      <c r="AV59" s="842"/>
      <c r="AW59" s="842"/>
      <c r="AX59" s="842"/>
      <c r="AY59" s="842"/>
      <c r="AZ59" s="841"/>
      <c r="BA59" s="842"/>
      <c r="BB59" s="842"/>
      <c r="BC59" s="842"/>
      <c r="BD59" s="830" t="str">
        <f t="shared" si="16"/>
        <v/>
      </c>
      <c r="BE59" s="842"/>
      <c r="BF59" s="842"/>
      <c r="BG59" s="842"/>
      <c r="BH59" s="842"/>
    </row>
    <row r="60" spans="1:60" ht="15.75">
      <c r="A60" s="843">
        <v>14</v>
      </c>
      <c r="B60" s="899" t="str">
        <f t="shared" si="7"/>
        <v/>
      </c>
      <c r="C60" s="1476" t="str">
        <f t="shared" si="8"/>
        <v/>
      </c>
      <c r="D60" s="1477" t="str">
        <f t="shared" si="9"/>
        <v/>
      </c>
      <c r="E60" s="1478" t="str">
        <f t="shared" si="10"/>
        <v/>
      </c>
      <c r="F60" s="2157" t="str">
        <f t="shared" si="13"/>
        <v/>
      </c>
      <c r="G60" s="2158"/>
      <c r="H60" s="841"/>
      <c r="I60" s="1483" t="str">
        <f t="shared" si="14"/>
        <v/>
      </c>
      <c r="J60" s="1499"/>
      <c r="K60" s="1499"/>
      <c r="L60" s="883" t="str">
        <f t="shared" si="11"/>
        <v/>
      </c>
      <c r="M60" s="884" t="str">
        <f t="shared" si="12"/>
        <v/>
      </c>
      <c r="N60" s="895" t="str">
        <f t="shared" si="15"/>
        <v/>
      </c>
      <c r="O60" s="842"/>
      <c r="P60" s="1028"/>
      <c r="Q60" s="1028"/>
      <c r="R60" s="1028"/>
      <c r="S60" s="1028"/>
      <c r="T60" s="1028"/>
      <c r="U60" s="1028"/>
      <c r="V60" s="1028"/>
      <c r="W60" s="842"/>
      <c r="X60" s="842"/>
      <c r="Y60" s="842"/>
      <c r="Z60" s="842"/>
      <c r="AA60" s="842"/>
      <c r="AB60" s="842"/>
      <c r="AC60" s="842"/>
      <c r="AD60" s="842"/>
      <c r="AE60" s="842"/>
      <c r="AF60" s="842"/>
      <c r="AG60" s="842"/>
      <c r="AH60" s="842"/>
      <c r="AI60" s="842"/>
      <c r="AJ60" s="842"/>
      <c r="AK60" s="842"/>
      <c r="AL60" s="842"/>
      <c r="AM60" s="842"/>
      <c r="AN60" s="842"/>
      <c r="AO60" s="842"/>
      <c r="AP60" s="842"/>
      <c r="AQ60" s="842"/>
      <c r="AR60" s="842"/>
      <c r="AS60" s="842"/>
      <c r="AT60" s="842"/>
      <c r="AU60" s="842"/>
      <c r="AV60" s="842"/>
      <c r="AW60" s="842"/>
      <c r="AX60" s="842"/>
      <c r="AY60" s="842"/>
      <c r="AZ60" s="841"/>
      <c r="BA60" s="842"/>
      <c r="BB60" s="842"/>
      <c r="BC60" s="842"/>
      <c r="BD60" s="830" t="str">
        <f t="shared" si="16"/>
        <v/>
      </c>
      <c r="BE60" s="842"/>
      <c r="BF60" s="842"/>
      <c r="BG60" s="842"/>
      <c r="BH60" s="842"/>
    </row>
    <row r="61" spans="1:60" ht="15.75">
      <c r="A61" s="843">
        <v>15</v>
      </c>
      <c r="B61" s="899" t="str">
        <f t="shared" si="7"/>
        <v/>
      </c>
      <c r="C61" s="1476" t="str">
        <f t="shared" si="8"/>
        <v/>
      </c>
      <c r="D61" s="1477" t="str">
        <f t="shared" si="9"/>
        <v/>
      </c>
      <c r="E61" s="1478" t="str">
        <f t="shared" si="10"/>
        <v/>
      </c>
      <c r="F61" s="2157" t="str">
        <f t="shared" si="13"/>
        <v/>
      </c>
      <c r="G61" s="2158"/>
      <c r="H61" s="841"/>
      <c r="I61" s="1483" t="str">
        <f t="shared" si="14"/>
        <v/>
      </c>
      <c r="J61" s="1499"/>
      <c r="K61" s="1499"/>
      <c r="L61" s="883" t="str">
        <f t="shared" si="11"/>
        <v/>
      </c>
      <c r="M61" s="884" t="str">
        <f t="shared" si="12"/>
        <v/>
      </c>
      <c r="N61" s="895" t="str">
        <f t="shared" si="15"/>
        <v/>
      </c>
      <c r="O61" s="842"/>
      <c r="P61" s="1028"/>
      <c r="Q61" s="1028"/>
      <c r="R61" s="1028"/>
      <c r="S61" s="1028"/>
      <c r="T61" s="1028"/>
      <c r="U61" s="1028"/>
      <c r="V61" s="1028"/>
      <c r="W61" s="842"/>
      <c r="X61" s="842"/>
      <c r="Y61" s="842"/>
      <c r="Z61" s="842"/>
      <c r="AA61" s="842"/>
      <c r="AB61" s="842"/>
      <c r="AC61" s="842"/>
      <c r="AD61" s="842"/>
      <c r="AE61" s="842"/>
      <c r="AF61" s="842"/>
      <c r="AG61" s="842"/>
      <c r="AH61" s="842"/>
      <c r="AI61" s="842"/>
      <c r="AJ61" s="842"/>
      <c r="AK61" s="842"/>
      <c r="AL61" s="842"/>
      <c r="AM61" s="842"/>
      <c r="AN61" s="842"/>
      <c r="AO61" s="842"/>
      <c r="AP61" s="842"/>
      <c r="AQ61" s="842"/>
      <c r="AR61" s="842"/>
      <c r="AS61" s="842"/>
      <c r="AT61" s="842"/>
      <c r="AU61" s="842"/>
      <c r="AV61" s="842"/>
      <c r="AW61" s="842"/>
      <c r="AX61" s="842"/>
      <c r="AY61" s="842"/>
      <c r="AZ61" s="841"/>
      <c r="BA61" s="842"/>
      <c r="BB61" s="842"/>
      <c r="BC61" s="842"/>
      <c r="BD61" s="830" t="str">
        <f t="shared" si="16"/>
        <v/>
      </c>
      <c r="BE61" s="842"/>
      <c r="BF61" s="842"/>
      <c r="BG61" s="842"/>
      <c r="BH61" s="842"/>
    </row>
    <row r="62" spans="1:60" ht="15.75">
      <c r="A62" s="843">
        <v>16</v>
      </c>
      <c r="B62" s="899" t="str">
        <f t="shared" si="7"/>
        <v/>
      </c>
      <c r="C62" s="1476" t="str">
        <f t="shared" si="8"/>
        <v/>
      </c>
      <c r="D62" s="1477" t="str">
        <f t="shared" si="9"/>
        <v/>
      </c>
      <c r="E62" s="1478" t="str">
        <f t="shared" si="10"/>
        <v/>
      </c>
      <c r="F62" s="2157" t="str">
        <f t="shared" si="13"/>
        <v/>
      </c>
      <c r="G62" s="2158"/>
      <c r="H62" s="841"/>
      <c r="I62" s="1483" t="str">
        <f t="shared" si="14"/>
        <v/>
      </c>
      <c r="J62" s="1499"/>
      <c r="K62" s="1499"/>
      <c r="L62" s="883" t="str">
        <f t="shared" si="11"/>
        <v/>
      </c>
      <c r="M62" s="884" t="str">
        <f t="shared" si="12"/>
        <v/>
      </c>
      <c r="N62" s="895" t="str">
        <f t="shared" si="15"/>
        <v/>
      </c>
      <c r="O62" s="842"/>
      <c r="P62" s="1028"/>
      <c r="Q62" s="1028"/>
      <c r="R62" s="1028"/>
      <c r="S62" s="1028"/>
      <c r="T62" s="1028"/>
      <c r="U62" s="1028"/>
      <c r="V62" s="1028"/>
      <c r="W62" s="842"/>
      <c r="X62" s="842"/>
      <c r="Y62" s="842"/>
      <c r="Z62" s="842"/>
      <c r="AA62" s="842"/>
      <c r="AB62" s="842"/>
      <c r="AC62" s="842"/>
      <c r="AD62" s="842"/>
      <c r="AE62" s="842"/>
      <c r="AF62" s="842"/>
      <c r="AG62" s="842"/>
      <c r="AH62" s="842"/>
      <c r="AI62" s="842"/>
      <c r="AJ62" s="842"/>
      <c r="AK62" s="842"/>
      <c r="AL62" s="842"/>
      <c r="AM62" s="842"/>
      <c r="AN62" s="842"/>
      <c r="AO62" s="842"/>
      <c r="AP62" s="842"/>
      <c r="AQ62" s="842"/>
      <c r="AR62" s="842"/>
      <c r="AS62" s="842"/>
      <c r="AT62" s="842"/>
      <c r="AU62" s="842"/>
      <c r="AV62" s="842"/>
      <c r="AW62" s="842"/>
      <c r="AX62" s="842"/>
      <c r="AY62" s="842"/>
      <c r="AZ62" s="841"/>
      <c r="BA62" s="842"/>
      <c r="BB62" s="842"/>
      <c r="BC62" s="842"/>
      <c r="BD62" s="830" t="str">
        <f t="shared" si="16"/>
        <v/>
      </c>
      <c r="BE62" s="842"/>
      <c r="BF62" s="842"/>
      <c r="BG62" s="842"/>
      <c r="BH62" s="842"/>
    </row>
    <row r="63" spans="1:60" ht="15.75">
      <c r="A63" s="843">
        <v>17</v>
      </c>
      <c r="B63" s="899" t="str">
        <f t="shared" si="7"/>
        <v/>
      </c>
      <c r="C63" s="1476" t="str">
        <f t="shared" si="8"/>
        <v/>
      </c>
      <c r="D63" s="1477" t="str">
        <f t="shared" si="9"/>
        <v/>
      </c>
      <c r="E63" s="1478" t="str">
        <f t="shared" si="10"/>
        <v/>
      </c>
      <c r="F63" s="2157" t="str">
        <f t="shared" si="13"/>
        <v/>
      </c>
      <c r="G63" s="2158"/>
      <c r="H63" s="841"/>
      <c r="I63" s="1483" t="str">
        <f t="shared" si="14"/>
        <v/>
      </c>
      <c r="J63" s="1499"/>
      <c r="K63" s="1499"/>
      <c r="L63" s="883" t="str">
        <f t="shared" si="11"/>
        <v/>
      </c>
      <c r="M63" s="884" t="str">
        <f t="shared" si="12"/>
        <v/>
      </c>
      <c r="N63" s="895" t="str">
        <f t="shared" si="15"/>
        <v/>
      </c>
      <c r="O63" s="842"/>
      <c r="P63" s="1028"/>
      <c r="Q63" s="1028"/>
      <c r="R63" s="1028"/>
      <c r="S63" s="1028"/>
      <c r="T63" s="1028"/>
      <c r="U63" s="1028"/>
      <c r="V63" s="1028"/>
      <c r="W63" s="842"/>
      <c r="X63" s="842"/>
      <c r="Y63" s="842"/>
      <c r="Z63" s="842"/>
      <c r="AA63" s="842"/>
      <c r="AB63" s="842"/>
      <c r="AC63" s="842"/>
      <c r="AD63" s="842"/>
      <c r="AE63" s="842"/>
      <c r="AF63" s="842"/>
      <c r="AG63" s="842"/>
      <c r="AH63" s="842"/>
      <c r="AI63" s="842"/>
      <c r="AJ63" s="842"/>
      <c r="AK63" s="842"/>
      <c r="AL63" s="842"/>
      <c r="AM63" s="842"/>
      <c r="AN63" s="842"/>
      <c r="AO63" s="842"/>
      <c r="AP63" s="842"/>
      <c r="AQ63" s="842"/>
      <c r="AR63" s="842"/>
      <c r="AS63" s="842"/>
      <c r="AT63" s="842"/>
      <c r="AU63" s="842"/>
      <c r="AV63" s="842"/>
      <c r="AW63" s="842"/>
      <c r="AX63" s="842"/>
      <c r="AY63" s="842"/>
      <c r="AZ63" s="841"/>
      <c r="BA63" s="842"/>
      <c r="BB63" s="842"/>
      <c r="BC63" s="842"/>
      <c r="BD63" s="830" t="str">
        <f t="shared" si="16"/>
        <v/>
      </c>
      <c r="BE63" s="842"/>
      <c r="BF63" s="842"/>
      <c r="BG63" s="842"/>
      <c r="BH63" s="842"/>
    </row>
    <row r="64" spans="1:60" ht="15.75">
      <c r="A64" s="843">
        <v>18</v>
      </c>
      <c r="B64" s="899" t="str">
        <f t="shared" si="7"/>
        <v/>
      </c>
      <c r="C64" s="1476" t="str">
        <f t="shared" si="8"/>
        <v/>
      </c>
      <c r="D64" s="1477" t="str">
        <f t="shared" si="9"/>
        <v/>
      </c>
      <c r="E64" s="1478" t="str">
        <f t="shared" si="10"/>
        <v/>
      </c>
      <c r="F64" s="2157" t="str">
        <f t="shared" si="13"/>
        <v/>
      </c>
      <c r="G64" s="2158"/>
      <c r="H64" s="841"/>
      <c r="I64" s="1483" t="str">
        <f t="shared" si="14"/>
        <v/>
      </c>
      <c r="J64" s="1499"/>
      <c r="K64" s="1499"/>
      <c r="L64" s="883" t="str">
        <f t="shared" si="11"/>
        <v/>
      </c>
      <c r="M64" s="884" t="str">
        <f t="shared" si="12"/>
        <v/>
      </c>
      <c r="N64" s="895" t="str">
        <f t="shared" si="15"/>
        <v/>
      </c>
      <c r="O64" s="842"/>
      <c r="P64" s="1028"/>
      <c r="Q64" s="1028"/>
      <c r="R64" s="1028"/>
      <c r="S64" s="1028"/>
      <c r="T64" s="1028"/>
      <c r="U64" s="1028"/>
      <c r="V64" s="1028"/>
      <c r="W64" s="842"/>
      <c r="X64" s="842"/>
      <c r="Y64" s="842"/>
      <c r="Z64" s="842"/>
      <c r="AA64" s="842"/>
      <c r="AB64" s="842"/>
      <c r="AC64" s="842"/>
      <c r="AD64" s="842"/>
      <c r="AE64" s="842"/>
      <c r="AF64" s="842"/>
      <c r="AG64" s="842"/>
      <c r="AH64" s="842"/>
      <c r="AI64" s="842"/>
      <c r="AJ64" s="842"/>
      <c r="AK64" s="842"/>
      <c r="AL64" s="842"/>
      <c r="AM64" s="842"/>
      <c r="AN64" s="842"/>
      <c r="AO64" s="842"/>
      <c r="AP64" s="842"/>
      <c r="AQ64" s="842"/>
      <c r="AR64" s="842"/>
      <c r="AS64" s="842"/>
      <c r="AT64" s="842"/>
      <c r="AU64" s="842"/>
      <c r="AV64" s="842"/>
      <c r="AW64" s="842"/>
      <c r="AX64" s="842"/>
      <c r="AY64" s="842"/>
      <c r="AZ64" s="841"/>
      <c r="BA64" s="842"/>
      <c r="BB64" s="842"/>
      <c r="BC64" s="842"/>
      <c r="BD64" s="830" t="str">
        <f t="shared" si="16"/>
        <v/>
      </c>
      <c r="BE64" s="842"/>
      <c r="BF64" s="842"/>
      <c r="BG64" s="842"/>
      <c r="BH64" s="842"/>
    </row>
    <row r="65" spans="1:60" ht="15.75">
      <c r="A65" s="843">
        <v>19</v>
      </c>
      <c r="B65" s="899" t="str">
        <f t="shared" si="7"/>
        <v/>
      </c>
      <c r="C65" s="1476" t="str">
        <f t="shared" si="8"/>
        <v/>
      </c>
      <c r="D65" s="1477" t="str">
        <f t="shared" si="9"/>
        <v/>
      </c>
      <c r="E65" s="1478" t="str">
        <f t="shared" si="10"/>
        <v/>
      </c>
      <c r="F65" s="2157" t="str">
        <f t="shared" si="13"/>
        <v/>
      </c>
      <c r="G65" s="2158"/>
      <c r="H65" s="841"/>
      <c r="I65" s="1483" t="str">
        <f t="shared" si="14"/>
        <v/>
      </c>
      <c r="J65" s="1499"/>
      <c r="K65" s="1499"/>
      <c r="L65" s="883" t="str">
        <f t="shared" si="11"/>
        <v/>
      </c>
      <c r="M65" s="884" t="str">
        <f t="shared" si="12"/>
        <v/>
      </c>
      <c r="N65" s="895" t="str">
        <f t="shared" si="15"/>
        <v/>
      </c>
      <c r="O65" s="842"/>
      <c r="P65" s="1028"/>
      <c r="Q65" s="1028"/>
      <c r="R65" s="1028"/>
      <c r="S65" s="1028"/>
      <c r="T65" s="1028"/>
      <c r="U65" s="1028"/>
      <c r="V65" s="1028"/>
      <c r="W65" s="842"/>
      <c r="X65" s="842"/>
      <c r="Y65" s="842"/>
      <c r="Z65" s="842"/>
      <c r="AA65" s="842"/>
      <c r="AB65" s="842"/>
      <c r="AC65" s="842"/>
      <c r="AD65" s="842"/>
      <c r="AE65" s="842"/>
      <c r="AF65" s="842"/>
      <c r="AG65" s="842"/>
      <c r="AH65" s="842"/>
      <c r="AI65" s="842"/>
      <c r="AJ65" s="842"/>
      <c r="AK65" s="842"/>
      <c r="AL65" s="842"/>
      <c r="AM65" s="842"/>
      <c r="AN65" s="842"/>
      <c r="AO65" s="842"/>
      <c r="AP65" s="842"/>
      <c r="AQ65" s="842"/>
      <c r="AR65" s="842"/>
      <c r="AS65" s="842"/>
      <c r="AT65" s="842"/>
      <c r="AU65" s="842"/>
      <c r="AV65" s="842"/>
      <c r="AW65" s="842"/>
      <c r="AX65" s="842"/>
      <c r="AY65" s="842"/>
      <c r="AZ65" s="841"/>
      <c r="BA65" s="842"/>
      <c r="BB65" s="842"/>
      <c r="BC65" s="842"/>
      <c r="BD65" s="830" t="str">
        <f t="shared" si="16"/>
        <v/>
      </c>
      <c r="BE65" s="842"/>
      <c r="BF65" s="842"/>
      <c r="BG65" s="842"/>
      <c r="BH65" s="842"/>
    </row>
    <row r="66" spans="1:60" ht="15.75">
      <c r="A66" s="843">
        <v>20</v>
      </c>
      <c r="B66" s="903" t="s">
        <v>1295</v>
      </c>
      <c r="C66" s="1479">
        <f>SUM(C47:C65)</f>
        <v>9000.0000000000546</v>
      </c>
      <c r="D66" s="1480">
        <f>SUM(D47:D65)</f>
        <v>0.99999999999999989</v>
      </c>
      <c r="E66" s="1481">
        <f>BB32</f>
        <v>1.9395964810372326</v>
      </c>
      <c r="F66" s="2159">
        <f>C66*E66</f>
        <v>17456.368329335201</v>
      </c>
      <c r="G66" s="2160"/>
      <c r="H66" s="841"/>
      <c r="I66" s="1507" t="str">
        <f t="shared" si="14"/>
        <v>TOTAL</v>
      </c>
      <c r="J66" s="1506"/>
      <c r="K66" s="1506"/>
      <c r="L66" s="885">
        <f>SUM(L47:L65)</f>
        <v>1.5000000000000089</v>
      </c>
      <c r="M66" s="886">
        <f>E66</f>
        <v>1.9395964810372326</v>
      </c>
      <c r="N66" s="896">
        <f>SUM(N47:N65)</f>
        <v>2.9093947215558487</v>
      </c>
      <c r="O66" s="842"/>
      <c r="P66" s="1028"/>
      <c r="Q66" s="1028"/>
      <c r="R66" s="1028"/>
      <c r="S66" s="1028"/>
      <c r="T66" s="1028"/>
      <c r="U66" s="1028"/>
      <c r="V66" s="1028"/>
      <c r="W66" s="842"/>
      <c r="X66" s="842"/>
      <c r="Y66" s="842"/>
      <c r="Z66" s="842"/>
      <c r="AA66" s="842"/>
      <c r="AB66" s="842"/>
      <c r="AC66" s="842"/>
      <c r="AD66" s="842"/>
      <c r="AE66" s="842"/>
      <c r="AF66" s="842"/>
      <c r="AG66" s="842"/>
      <c r="AH66" s="842"/>
      <c r="AI66" s="842"/>
      <c r="AJ66" s="842"/>
      <c r="AK66" s="842"/>
      <c r="AL66" s="842"/>
      <c r="AM66" s="842"/>
      <c r="AN66" s="842"/>
      <c r="AO66" s="842"/>
      <c r="AP66" s="842"/>
      <c r="AQ66" s="842"/>
      <c r="AR66" s="842"/>
      <c r="AS66" s="842"/>
      <c r="AT66" s="842"/>
      <c r="AU66" s="842"/>
      <c r="AV66" s="842"/>
      <c r="AW66" s="842"/>
      <c r="AX66" s="842"/>
      <c r="AY66" s="842"/>
      <c r="AZ66" s="841"/>
      <c r="BA66" s="842"/>
      <c r="BB66" s="842"/>
      <c r="BC66" s="842"/>
      <c r="BD66" s="1595" t="str">
        <f t="shared" si="16"/>
        <v/>
      </c>
      <c r="BE66" s="842"/>
      <c r="BF66" s="842"/>
      <c r="BG66" s="842"/>
      <c r="BH66" s="842"/>
    </row>
    <row r="67" spans="1:60" ht="5.25" customHeight="1">
      <c r="A67" s="843"/>
      <c r="B67" s="814"/>
      <c r="H67" s="841"/>
      <c r="I67" s="841"/>
      <c r="J67" s="841"/>
      <c r="K67" s="841"/>
      <c r="L67" s="841"/>
      <c r="M67" s="841"/>
      <c r="N67" s="841"/>
      <c r="O67" s="841"/>
      <c r="P67" s="1029"/>
      <c r="Q67" s="1029"/>
      <c r="R67" s="1029"/>
      <c r="S67" s="1029"/>
      <c r="T67" s="1029"/>
      <c r="U67" s="1029"/>
      <c r="V67" s="1029"/>
      <c r="W67" s="841"/>
      <c r="X67" s="841"/>
      <c r="Y67" s="841"/>
      <c r="Z67" s="841"/>
      <c r="AA67" s="842"/>
      <c r="AB67" s="842"/>
      <c r="AC67" s="842"/>
      <c r="AD67" s="842"/>
      <c r="AE67" s="842"/>
      <c r="AF67" s="842"/>
      <c r="AG67" s="842"/>
      <c r="AH67" s="842"/>
      <c r="AI67" s="842"/>
      <c r="AJ67" s="842"/>
      <c r="AK67" s="842"/>
      <c r="AL67" s="842"/>
      <c r="AM67" s="842"/>
      <c r="AN67" s="842"/>
      <c r="AO67" s="842"/>
      <c r="AP67" s="842"/>
      <c r="AQ67" s="842"/>
      <c r="AR67" s="842"/>
      <c r="AS67" s="842"/>
      <c r="AT67" s="842"/>
      <c r="AU67" s="842"/>
      <c r="AV67" s="842"/>
      <c r="AW67" s="842"/>
      <c r="AX67" s="842"/>
      <c r="AY67" s="842"/>
      <c r="AZ67" s="841"/>
      <c r="BA67" s="842"/>
      <c r="BB67" s="842"/>
      <c r="BC67" s="842"/>
      <c r="BD67" s="1596" t="str">
        <f>IFERROR(IF(LARGE($BD$12:$BD$30,#REF!)=0,"",LARGE($BD$12:$BD$30,#REF!)),"")</f>
        <v/>
      </c>
      <c r="BE67" s="842"/>
      <c r="BF67" s="842"/>
      <c r="BG67" s="842"/>
      <c r="BH67" s="842"/>
    </row>
    <row r="68" spans="1:60" ht="8.25" customHeight="1">
      <c r="A68" s="843"/>
      <c r="H68" s="841"/>
      <c r="I68" s="841"/>
      <c r="J68" s="841"/>
      <c r="K68" s="841"/>
      <c r="L68" s="841"/>
      <c r="M68" s="841"/>
      <c r="N68" s="841"/>
      <c r="O68" s="841"/>
      <c r="P68" s="1029"/>
      <c r="Q68" s="1029"/>
      <c r="R68" s="1029"/>
      <c r="S68" s="1029"/>
      <c r="T68" s="1029"/>
      <c r="U68" s="1029"/>
      <c r="V68" s="1029"/>
      <c r="W68" s="841"/>
      <c r="X68" s="841"/>
      <c r="Y68" s="841"/>
      <c r="Z68" s="841"/>
      <c r="AA68" s="842"/>
      <c r="AB68" s="842"/>
      <c r="AC68" s="842"/>
      <c r="AD68" s="842"/>
      <c r="AE68" s="842"/>
      <c r="AF68" s="842"/>
      <c r="AG68" s="842"/>
      <c r="AH68" s="842"/>
      <c r="AI68" s="842"/>
      <c r="AJ68" s="842"/>
      <c r="AK68" s="842"/>
      <c r="AL68" s="842"/>
      <c r="AM68" s="842"/>
      <c r="AN68" s="842"/>
      <c r="AO68" s="842"/>
      <c r="AP68" s="842"/>
      <c r="AQ68" s="842"/>
      <c r="AR68" s="842"/>
      <c r="AS68" s="842"/>
      <c r="AT68" s="842"/>
      <c r="AU68" s="842"/>
      <c r="AV68" s="842"/>
      <c r="AW68" s="842"/>
      <c r="AX68" s="842"/>
      <c r="AY68" s="842"/>
      <c r="AZ68" s="841"/>
      <c r="BA68" s="842"/>
      <c r="BB68" s="842"/>
      <c r="BC68" s="842"/>
      <c r="BD68" s="1596" t="str">
        <f>IFERROR(IF(LARGE($BD$12:$BD$30,#REF!)=0,"",LARGE($BD$12:$BD$30,#REF!)),"")</f>
        <v/>
      </c>
      <c r="BE68" s="842"/>
      <c r="BF68" s="842"/>
      <c r="BG68" s="842"/>
      <c r="BH68" s="842"/>
    </row>
    <row r="69" spans="1:60" ht="20.25" customHeight="1">
      <c r="A69" s="843"/>
      <c r="B69" s="853" t="s">
        <v>1316</v>
      </c>
      <c r="C69" s="852"/>
      <c r="D69" s="852"/>
      <c r="E69" s="852"/>
      <c r="F69" s="852"/>
      <c r="G69" s="852"/>
      <c r="H69" s="841"/>
      <c r="I69" s="842"/>
      <c r="J69" s="842"/>
      <c r="K69" s="842"/>
      <c r="L69" s="842"/>
      <c r="M69" s="841"/>
      <c r="N69" s="841"/>
      <c r="O69" s="841"/>
      <c r="P69" s="1029"/>
      <c r="Q69" s="1029"/>
      <c r="R69" s="1029"/>
      <c r="S69" s="1029"/>
      <c r="T69" s="1029"/>
      <c r="U69" s="1029"/>
      <c r="V69" s="1029"/>
      <c r="W69" s="841"/>
      <c r="X69" s="841"/>
      <c r="Y69" s="841"/>
      <c r="Z69" s="841"/>
      <c r="AA69" s="842"/>
      <c r="AB69" s="842"/>
      <c r="AC69" s="842"/>
      <c r="AD69" s="842"/>
      <c r="AE69" s="842"/>
      <c r="AF69" s="842"/>
      <c r="AG69" s="842"/>
      <c r="AH69" s="842"/>
      <c r="AI69" s="842"/>
      <c r="AJ69" s="842"/>
      <c r="AK69" s="842"/>
      <c r="AL69" s="842"/>
      <c r="AM69" s="842"/>
      <c r="AN69" s="842"/>
      <c r="AO69" s="842"/>
      <c r="AP69" s="842"/>
      <c r="AQ69" s="842"/>
      <c r="AR69" s="842"/>
      <c r="AS69" s="842"/>
      <c r="AT69" s="842"/>
      <c r="AU69" s="842"/>
      <c r="AV69" s="842"/>
      <c r="AW69" s="842"/>
      <c r="AX69" s="842"/>
      <c r="AY69" s="842"/>
      <c r="AZ69" s="841"/>
      <c r="BA69" s="842"/>
      <c r="BB69" s="842"/>
      <c r="BC69" s="842"/>
      <c r="BD69" s="1596" t="str">
        <f>IFERROR(IF(LARGE($BD$12:$BD$30,#REF!)=0,"",LARGE($BD$12:$BD$30,#REF!)),"")</f>
        <v/>
      </c>
      <c r="BE69" s="842"/>
      <c r="BF69" s="842"/>
      <c r="BG69" s="842"/>
      <c r="BH69" s="842"/>
    </row>
    <row r="70" spans="1:60" ht="4.5" customHeight="1">
      <c r="A70" s="843"/>
      <c r="H70" s="841"/>
      <c r="I70" s="842"/>
      <c r="J70" s="842"/>
      <c r="K70" s="842"/>
      <c r="L70" s="842"/>
      <c r="M70" s="841"/>
      <c r="N70" s="841"/>
      <c r="O70" s="841"/>
      <c r="P70" s="841"/>
      <c r="Q70" s="841"/>
      <c r="R70" s="841"/>
      <c r="S70" s="841"/>
      <c r="T70" s="841"/>
      <c r="U70" s="841"/>
      <c r="V70" s="841"/>
      <c r="W70" s="841"/>
      <c r="X70" s="841"/>
      <c r="Y70" s="841"/>
      <c r="Z70" s="841"/>
      <c r="AA70" s="842"/>
      <c r="AB70" s="842"/>
      <c r="AC70" s="842"/>
      <c r="AD70" s="842"/>
      <c r="AE70" s="842"/>
      <c r="AF70" s="842"/>
      <c r="AG70" s="842"/>
      <c r="AH70" s="842"/>
      <c r="AI70" s="842"/>
      <c r="AJ70" s="842"/>
      <c r="AK70" s="842"/>
      <c r="AL70" s="842"/>
      <c r="AM70" s="842"/>
      <c r="AN70" s="842"/>
      <c r="AO70" s="842"/>
      <c r="AP70" s="842"/>
      <c r="AQ70" s="842"/>
      <c r="AR70" s="842"/>
      <c r="AS70" s="842"/>
      <c r="AT70" s="842"/>
      <c r="AU70" s="842"/>
      <c r="AV70" s="842"/>
      <c r="AW70" s="842"/>
      <c r="AX70" s="842"/>
      <c r="AY70" s="842"/>
      <c r="AZ70" s="841"/>
      <c r="BA70" s="842"/>
      <c r="BB70" s="842"/>
      <c r="BC70" s="842"/>
      <c r="BD70" s="1596" t="str">
        <f>IFERROR(IF(LARGE($BD$12:$BD$30,#REF!)=0,"",LARGE($BD$12:$BD$30,#REF!)),"")</f>
        <v/>
      </c>
      <c r="BE70" s="842"/>
      <c r="BF70" s="842"/>
      <c r="BG70" s="842"/>
      <c r="BH70" s="842"/>
    </row>
    <row r="71" spans="1:60" ht="15.75">
      <c r="A71" s="843"/>
      <c r="B71" s="862" t="s">
        <v>1315</v>
      </c>
      <c r="C71" s="861"/>
      <c r="E71" s="863" t="s">
        <v>1314</v>
      </c>
      <c r="F71" s="860"/>
      <c r="G71" s="860"/>
      <c r="H71" s="841"/>
      <c r="I71" s="842"/>
      <c r="J71" s="842"/>
      <c r="K71" s="1028"/>
      <c r="L71" s="1028"/>
      <c r="M71" s="1029"/>
      <c r="N71" s="1029"/>
      <c r="O71" s="1029"/>
      <c r="P71" s="841"/>
      <c r="Q71" s="841"/>
      <c r="R71" s="841"/>
      <c r="S71" s="841"/>
      <c r="T71" s="841"/>
      <c r="U71" s="841"/>
      <c r="V71" s="841"/>
      <c r="W71" s="841"/>
      <c r="X71" s="841"/>
      <c r="Y71" s="841"/>
      <c r="Z71" s="841"/>
      <c r="AA71" s="842"/>
      <c r="AB71" s="842"/>
      <c r="AC71" s="842"/>
      <c r="AD71" s="842"/>
      <c r="AE71" s="842"/>
      <c r="AF71" s="842"/>
      <c r="AG71" s="842"/>
      <c r="AH71" s="842"/>
      <c r="AI71" s="842"/>
      <c r="AJ71" s="842"/>
      <c r="AK71" s="842"/>
      <c r="AL71" s="842"/>
      <c r="AM71" s="842"/>
      <c r="AN71" s="842"/>
      <c r="AO71" s="842"/>
      <c r="AP71" s="842"/>
      <c r="AQ71" s="842"/>
      <c r="AR71" s="842"/>
      <c r="AS71" s="842"/>
      <c r="AT71" s="842"/>
      <c r="AU71" s="842"/>
      <c r="AV71" s="842"/>
      <c r="AW71" s="842"/>
      <c r="AX71" s="842"/>
      <c r="AY71" s="842"/>
      <c r="AZ71" s="841"/>
      <c r="BA71" s="842"/>
      <c r="BB71" s="842"/>
      <c r="BC71" s="842"/>
      <c r="BD71" s="1596" t="str">
        <f>IFERROR(IF(LARGE($BD$12:$BD$30,#REF!)=0,"",LARGE($BD$12:$BD$30,#REF!)),"")</f>
        <v/>
      </c>
      <c r="BE71" s="842"/>
      <c r="BF71" s="842"/>
      <c r="BG71" s="842"/>
      <c r="BH71" s="842"/>
    </row>
    <row r="72" spans="1:60" ht="15.75">
      <c r="A72" s="843"/>
      <c r="B72" s="865" t="s">
        <v>1308</v>
      </c>
      <c r="C72" s="855">
        <f>MPR!B120*Proteinado!C37</f>
        <v>1.5</v>
      </c>
      <c r="E72" s="858" t="s">
        <v>1310</v>
      </c>
      <c r="F72" s="859"/>
      <c r="G72" s="1442">
        <f>C72*BB32</f>
        <v>2.9093947215558487</v>
      </c>
      <c r="H72" s="841"/>
      <c r="I72" s="1028"/>
      <c r="J72" s="1028"/>
      <c r="K72" s="1028"/>
      <c r="L72" s="1028"/>
      <c r="M72" s="1029"/>
      <c r="N72" s="1029"/>
      <c r="O72" s="1029"/>
      <c r="P72" s="841"/>
      <c r="Q72" s="841"/>
      <c r="R72" s="841"/>
      <c r="S72" s="841"/>
      <c r="T72" s="841"/>
      <c r="U72" s="841"/>
      <c r="V72" s="841"/>
      <c r="W72" s="841"/>
      <c r="X72" s="841"/>
      <c r="Y72" s="841"/>
      <c r="Z72" s="841"/>
      <c r="AA72" s="842"/>
      <c r="AB72" s="842"/>
      <c r="AC72" s="842"/>
      <c r="AD72" s="842"/>
      <c r="AE72" s="842"/>
      <c r="AF72" s="842"/>
      <c r="AG72" s="842"/>
      <c r="AH72" s="842"/>
      <c r="AI72" s="842"/>
      <c r="AJ72" s="842"/>
      <c r="AK72" s="842"/>
      <c r="AL72" s="842"/>
      <c r="AM72" s="842"/>
      <c r="AN72" s="842"/>
      <c r="AO72" s="842"/>
      <c r="AP72" s="842"/>
      <c r="AQ72" s="842"/>
      <c r="AR72" s="842"/>
      <c r="AS72" s="842"/>
      <c r="AT72" s="842"/>
      <c r="AU72" s="842"/>
      <c r="AV72" s="842"/>
      <c r="AW72" s="842"/>
      <c r="AX72" s="842"/>
      <c r="AY72" s="842"/>
      <c r="AZ72" s="841"/>
      <c r="BA72" s="842"/>
      <c r="BB72" s="842"/>
      <c r="BC72" s="842"/>
      <c r="BD72" s="842"/>
      <c r="BE72" s="842"/>
      <c r="BF72" s="842"/>
      <c r="BG72" s="842"/>
      <c r="BH72" s="842"/>
    </row>
    <row r="73" spans="1:60" ht="15.75">
      <c r="A73" s="843"/>
      <c r="B73" s="865" t="s">
        <v>1309</v>
      </c>
      <c r="C73" s="856">
        <f>C72*C38</f>
        <v>150</v>
      </c>
      <c r="E73" s="858" t="s">
        <v>1311</v>
      </c>
      <c r="F73" s="859"/>
      <c r="G73" s="864">
        <f>G72*C38</f>
        <v>290.93947215558489</v>
      </c>
      <c r="H73" s="841"/>
      <c r="I73" s="1028"/>
      <c r="J73" s="1028"/>
      <c r="K73" s="1028"/>
      <c r="L73" s="1028"/>
      <c r="M73" s="1029"/>
      <c r="N73" s="1029"/>
      <c r="O73" s="1029"/>
      <c r="P73" s="841"/>
      <c r="Q73" s="841"/>
      <c r="R73" s="841"/>
      <c r="S73" s="841"/>
      <c r="T73" s="841"/>
      <c r="U73" s="841"/>
      <c r="V73" s="841"/>
      <c r="W73" s="841"/>
      <c r="X73" s="841"/>
      <c r="Y73" s="841"/>
      <c r="Z73" s="841"/>
      <c r="AA73" s="842"/>
      <c r="AB73" s="842"/>
      <c r="AC73" s="842"/>
      <c r="AD73" s="842"/>
      <c r="AE73" s="842"/>
      <c r="AF73" s="842"/>
      <c r="AG73" s="842"/>
      <c r="AH73" s="842"/>
      <c r="AI73" s="842"/>
      <c r="AJ73" s="842"/>
      <c r="AK73" s="842"/>
      <c r="AL73" s="842"/>
      <c r="AM73" s="842"/>
      <c r="AN73" s="842"/>
      <c r="AO73" s="842"/>
      <c r="AP73" s="842"/>
      <c r="AQ73" s="842"/>
      <c r="AR73" s="842"/>
      <c r="AS73" s="842"/>
      <c r="AT73" s="842"/>
      <c r="AU73" s="842"/>
      <c r="AV73" s="842"/>
      <c r="AW73" s="842"/>
      <c r="AX73" s="842"/>
      <c r="AY73" s="842"/>
      <c r="AZ73" s="841"/>
      <c r="BA73" s="842"/>
      <c r="BB73" s="842"/>
      <c r="BC73" s="842"/>
      <c r="BD73" s="842"/>
      <c r="BE73" s="842"/>
      <c r="BF73" s="842"/>
      <c r="BG73" s="842"/>
      <c r="BH73" s="842"/>
    </row>
    <row r="74" spans="1:60" ht="15.75">
      <c r="A74" s="843"/>
      <c r="B74" s="866" t="s">
        <v>1313</v>
      </c>
      <c r="C74" s="1475">
        <f>C73*C39</f>
        <v>9000</v>
      </c>
      <c r="E74" s="858" t="s">
        <v>1312</v>
      </c>
      <c r="F74" s="859"/>
      <c r="G74" s="1441">
        <f>G73*C39</f>
        <v>17456.368329335095</v>
      </c>
      <c r="H74" s="841"/>
      <c r="I74" s="1028"/>
      <c r="J74" s="1028"/>
      <c r="K74" s="1028"/>
      <c r="L74" s="1028"/>
      <c r="M74" s="1597"/>
      <c r="N74" s="1597"/>
      <c r="O74" s="1597"/>
      <c r="P74" s="871"/>
      <c r="Q74" s="871"/>
      <c r="R74" s="871"/>
      <c r="S74" s="871"/>
      <c r="T74" s="871"/>
      <c r="U74" s="871"/>
      <c r="V74" s="841"/>
      <c r="W74" s="841"/>
      <c r="X74" s="841"/>
      <c r="Y74" s="841"/>
      <c r="Z74" s="841"/>
      <c r="AA74" s="842"/>
      <c r="AB74" s="842"/>
      <c r="AC74" s="842"/>
      <c r="AD74" s="842"/>
      <c r="AE74" s="842"/>
      <c r="AF74" s="842"/>
      <c r="AG74" s="842"/>
      <c r="AH74" s="842"/>
      <c r="AI74" s="842"/>
      <c r="AJ74" s="842"/>
      <c r="AK74" s="842"/>
      <c r="AL74" s="842"/>
      <c r="AM74" s="842"/>
      <c r="AN74" s="842"/>
      <c r="AO74" s="842"/>
      <c r="AP74" s="842"/>
      <c r="AQ74" s="842"/>
      <c r="AR74" s="842"/>
      <c r="AS74" s="842"/>
      <c r="AT74" s="842"/>
      <c r="AU74" s="842"/>
      <c r="AV74" s="842"/>
      <c r="AW74" s="842"/>
      <c r="AX74" s="842"/>
      <c r="AY74" s="842"/>
      <c r="AZ74" s="841"/>
      <c r="BA74" s="842"/>
      <c r="BB74" s="842"/>
      <c r="BC74" s="842"/>
      <c r="BD74" s="842"/>
      <c r="BE74" s="842"/>
      <c r="BF74" s="842"/>
      <c r="BG74" s="842"/>
      <c r="BH74" s="842"/>
    </row>
    <row r="75" spans="1:60" ht="13.5" customHeight="1">
      <c r="A75" s="843"/>
      <c r="B75" s="857"/>
      <c r="H75" s="841"/>
      <c r="I75" s="1029"/>
      <c r="J75" s="1028"/>
      <c r="K75" s="1028"/>
      <c r="L75" s="1028"/>
      <c r="M75" s="1029"/>
      <c r="N75" s="1029"/>
      <c r="O75" s="1029"/>
      <c r="P75" s="841"/>
      <c r="Q75" s="841"/>
      <c r="R75" s="841"/>
      <c r="S75" s="841"/>
      <c r="T75" s="841"/>
      <c r="U75" s="841"/>
      <c r="V75" s="841"/>
      <c r="W75" s="841"/>
      <c r="X75" s="841"/>
      <c r="Y75" s="841"/>
      <c r="Z75" s="841"/>
      <c r="AA75" s="842"/>
      <c r="AB75" s="842"/>
      <c r="AC75" s="842"/>
      <c r="AD75" s="842"/>
      <c r="AE75" s="842"/>
      <c r="AF75" s="842"/>
      <c r="AG75" s="842"/>
      <c r="AH75" s="842"/>
      <c r="AI75" s="842"/>
      <c r="AJ75" s="842"/>
      <c r="AK75" s="842"/>
      <c r="AL75" s="842"/>
      <c r="AM75" s="842"/>
      <c r="AN75" s="842"/>
      <c r="AO75" s="842"/>
      <c r="AP75" s="842"/>
      <c r="AQ75" s="842"/>
      <c r="AR75" s="842"/>
      <c r="AS75" s="842"/>
      <c r="AT75" s="842"/>
      <c r="AU75" s="842"/>
      <c r="AV75" s="842"/>
      <c r="AW75" s="842"/>
      <c r="AX75" s="842"/>
      <c r="AY75" s="842"/>
      <c r="AZ75" s="841"/>
      <c r="BA75" s="842"/>
      <c r="BB75" s="842"/>
      <c r="BC75" s="842"/>
      <c r="BD75" s="842"/>
      <c r="BE75" s="842"/>
      <c r="BF75" s="842"/>
      <c r="BG75" s="842"/>
      <c r="BH75" s="842"/>
    </row>
    <row r="76" spans="1:60" ht="20.25" customHeight="1">
      <c r="A76" s="843"/>
      <c r="B76" s="853" t="s">
        <v>1317</v>
      </c>
      <c r="C76" s="852"/>
      <c r="D76" s="852"/>
      <c r="E76" s="852"/>
      <c r="F76" s="852"/>
      <c r="G76" s="852"/>
      <c r="H76" s="841"/>
      <c r="I76" s="1029"/>
      <c r="J76" s="1029"/>
      <c r="K76" s="1029"/>
      <c r="L76" s="1029"/>
      <c r="M76" s="1029"/>
      <c r="N76" s="1029"/>
      <c r="O76" s="1029"/>
      <c r="P76" s="841"/>
      <c r="Q76" s="841"/>
      <c r="R76" s="841"/>
      <c r="S76" s="841"/>
      <c r="T76" s="841"/>
      <c r="U76" s="841"/>
      <c r="V76" s="841"/>
      <c r="W76" s="841"/>
      <c r="X76" s="841"/>
      <c r="Y76" s="841"/>
      <c r="Z76" s="841"/>
      <c r="AA76" s="842"/>
      <c r="AB76" s="842"/>
      <c r="AC76" s="842"/>
      <c r="AD76" s="842"/>
      <c r="AE76" s="842"/>
      <c r="AF76" s="842"/>
      <c r="AG76" s="842"/>
      <c r="AH76" s="842"/>
      <c r="AI76" s="842"/>
      <c r="AJ76" s="842"/>
      <c r="AK76" s="842"/>
      <c r="AL76" s="842"/>
      <c r="AM76" s="842"/>
      <c r="AN76" s="842"/>
      <c r="AO76" s="842"/>
      <c r="AP76" s="842"/>
      <c r="AQ76" s="842"/>
      <c r="AR76" s="842"/>
      <c r="AS76" s="842"/>
      <c r="AT76" s="842"/>
      <c r="AU76" s="842"/>
      <c r="AV76" s="842"/>
      <c r="AW76" s="842"/>
      <c r="AX76" s="842"/>
      <c r="AY76" s="842"/>
      <c r="AZ76" s="841"/>
      <c r="BA76" s="842"/>
      <c r="BB76" s="842"/>
      <c r="BC76" s="842"/>
      <c r="BD76" s="842"/>
      <c r="BE76" s="842"/>
      <c r="BF76" s="842"/>
      <c r="BG76" s="842"/>
      <c r="BH76" s="842"/>
    </row>
    <row r="77" spans="1:60" ht="5.25" customHeight="1">
      <c r="A77" s="843"/>
      <c r="H77" s="841"/>
      <c r="I77" s="1029"/>
      <c r="J77" s="1029"/>
      <c r="K77" s="1029"/>
      <c r="L77" s="1029"/>
      <c r="M77" s="1029"/>
      <c r="N77" s="1029"/>
      <c r="O77" s="1029"/>
      <c r="P77" s="841"/>
      <c r="Q77" s="841"/>
      <c r="R77" s="841"/>
      <c r="S77" s="841"/>
      <c r="T77" s="841"/>
      <c r="U77" s="841"/>
      <c r="V77" s="841"/>
      <c r="W77" s="841"/>
      <c r="X77" s="841"/>
      <c r="Y77" s="841"/>
      <c r="Z77" s="841"/>
      <c r="AA77" s="842"/>
      <c r="AB77" s="842"/>
      <c r="AC77" s="842"/>
      <c r="AD77" s="842"/>
      <c r="AE77" s="842"/>
      <c r="AF77" s="842"/>
      <c r="AG77" s="842"/>
      <c r="AH77" s="842"/>
      <c r="AI77" s="842"/>
      <c r="AJ77" s="842"/>
      <c r="AK77" s="842"/>
      <c r="AL77" s="842"/>
      <c r="AM77" s="842"/>
      <c r="AN77" s="842"/>
      <c r="AO77" s="842"/>
      <c r="AP77" s="842"/>
      <c r="AQ77" s="842"/>
      <c r="AR77" s="842"/>
      <c r="AS77" s="842"/>
      <c r="AT77" s="842"/>
      <c r="AU77" s="842"/>
      <c r="AV77" s="842"/>
      <c r="AW77" s="842"/>
      <c r="AX77" s="842"/>
      <c r="AY77" s="842"/>
      <c r="AZ77" s="841"/>
      <c r="BA77" s="842"/>
      <c r="BB77" s="842"/>
      <c r="BC77" s="842"/>
      <c r="BD77" s="842"/>
      <c r="BE77" s="842"/>
      <c r="BF77" s="842"/>
      <c r="BG77" s="842"/>
      <c r="BH77" s="842"/>
    </row>
    <row r="78" spans="1:60" ht="15.75">
      <c r="A78" s="843"/>
      <c r="B78" s="862" t="s">
        <v>1321</v>
      </c>
      <c r="C78" s="861"/>
      <c r="E78" s="869" t="s">
        <v>1318</v>
      </c>
      <c r="F78" s="860"/>
      <c r="G78" s="860"/>
      <c r="H78" s="841"/>
      <c r="I78" s="1029"/>
      <c r="J78" s="1029"/>
      <c r="K78" s="1029"/>
      <c r="L78" s="1029"/>
      <c r="M78" s="1029"/>
      <c r="N78" s="1029"/>
      <c r="O78" s="1029"/>
      <c r="P78" s="841"/>
      <c r="Q78" s="841"/>
      <c r="R78" s="841"/>
      <c r="S78" s="841"/>
      <c r="T78" s="841"/>
      <c r="U78" s="841"/>
      <c r="V78" s="841"/>
      <c r="W78" s="841"/>
      <c r="X78" s="841"/>
      <c r="Y78" s="841"/>
      <c r="Z78" s="841"/>
      <c r="AA78" s="842"/>
      <c r="AB78" s="842"/>
      <c r="AC78" s="842"/>
      <c r="AD78" s="842"/>
      <c r="AE78" s="842"/>
      <c r="AF78" s="842"/>
      <c r="AG78" s="842"/>
      <c r="AH78" s="842"/>
      <c r="AI78" s="842"/>
      <c r="AJ78" s="842"/>
      <c r="AK78" s="842"/>
      <c r="AL78" s="842"/>
      <c r="AM78" s="842"/>
      <c r="AN78" s="842"/>
      <c r="AO78" s="842"/>
      <c r="AP78" s="842"/>
      <c r="AQ78" s="842"/>
      <c r="AR78" s="842"/>
      <c r="AS78" s="842"/>
      <c r="AT78" s="842"/>
      <c r="AU78" s="842"/>
      <c r="AV78" s="842"/>
      <c r="AW78" s="842"/>
      <c r="AX78" s="842"/>
      <c r="AY78" s="842"/>
      <c r="AZ78" s="841"/>
      <c r="BA78" s="842"/>
      <c r="BB78" s="842"/>
      <c r="BC78" s="842"/>
      <c r="BD78" s="842"/>
      <c r="BE78" s="842"/>
      <c r="BF78" s="842"/>
      <c r="BG78" s="842"/>
      <c r="BH78" s="842"/>
    </row>
    <row r="79" spans="1:60" ht="15.75">
      <c r="A79" s="843"/>
      <c r="B79" s="873" t="s">
        <v>1331</v>
      </c>
      <c r="C79" s="872">
        <f>IFERROR(C72*C12*1000,0)</f>
        <v>48.392265970833421</v>
      </c>
      <c r="D79" s="1516"/>
      <c r="E79" s="867" t="s">
        <v>1325</v>
      </c>
      <c r="F79" s="868"/>
      <c r="G79" s="872">
        <f>IFERROR(C6*C72*1000,0)</f>
        <v>0</v>
      </c>
      <c r="H79" s="841"/>
      <c r="I79" s="1029"/>
      <c r="J79" s="1029"/>
      <c r="K79" s="1029"/>
      <c r="L79" s="1029"/>
      <c r="M79" s="1029"/>
      <c r="N79" s="1029"/>
      <c r="O79" s="1029"/>
      <c r="P79" s="841"/>
      <c r="Q79" s="841"/>
      <c r="R79" s="841"/>
      <c r="S79" s="841"/>
      <c r="T79" s="841"/>
      <c r="U79" s="841"/>
      <c r="V79" s="841"/>
      <c r="W79" s="841"/>
      <c r="X79" s="841"/>
      <c r="Y79" s="841"/>
      <c r="Z79" s="841"/>
      <c r="AA79" s="842"/>
      <c r="AB79" s="842"/>
      <c r="AC79" s="842"/>
      <c r="AD79" s="842"/>
      <c r="AE79" s="842"/>
      <c r="AF79" s="842"/>
      <c r="AG79" s="842"/>
      <c r="AH79" s="842"/>
      <c r="AI79" s="842"/>
      <c r="AJ79" s="842"/>
      <c r="AK79" s="842"/>
      <c r="AL79" s="842"/>
      <c r="AM79" s="842"/>
      <c r="AN79" s="842"/>
      <c r="AO79" s="842"/>
      <c r="AP79" s="842"/>
      <c r="AQ79" s="842"/>
      <c r="AR79" s="842"/>
      <c r="AS79" s="842"/>
      <c r="AT79" s="842"/>
      <c r="AU79" s="842"/>
      <c r="AV79" s="842"/>
      <c r="AW79" s="842"/>
      <c r="AX79" s="842"/>
      <c r="AY79" s="842"/>
      <c r="AZ79" s="841"/>
      <c r="BA79" s="842"/>
      <c r="BB79" s="842"/>
      <c r="BC79" s="842"/>
      <c r="BD79" s="842"/>
      <c r="BE79" s="842"/>
      <c r="BF79" s="842"/>
      <c r="BG79" s="842"/>
      <c r="BH79" s="842"/>
    </row>
    <row r="80" spans="1:60" ht="15.75">
      <c r="A80" s="843"/>
      <c r="B80" s="873" t="s">
        <v>1330</v>
      </c>
      <c r="C80" s="872">
        <f>IFERROR(C72*C12*1000/(C37/100),0)</f>
        <v>16.13075532361114</v>
      </c>
      <c r="D80" s="1582">
        <v>40</v>
      </c>
      <c r="E80" s="867" t="s">
        <v>1326</v>
      </c>
      <c r="F80" s="868"/>
      <c r="G80" s="872">
        <f>IFERROR(C72*R32*1000,0)</f>
        <v>449.99999999999318</v>
      </c>
      <c r="H80" s="841"/>
      <c r="I80" s="1029"/>
      <c r="J80" s="1029"/>
      <c r="K80" s="1029"/>
      <c r="L80" s="1029"/>
      <c r="M80" s="1029"/>
      <c r="N80" s="1029"/>
      <c r="O80" s="1029"/>
      <c r="P80" s="841"/>
      <c r="Q80" s="841"/>
      <c r="R80" s="841"/>
      <c r="S80" s="841"/>
      <c r="T80" s="841"/>
      <c r="U80" s="841"/>
      <c r="V80" s="841"/>
      <c r="W80" s="841"/>
      <c r="X80" s="841"/>
      <c r="Y80" s="841"/>
      <c r="Z80" s="841"/>
      <c r="AA80" s="842"/>
      <c r="AB80" s="842"/>
      <c r="AC80" s="842"/>
      <c r="AD80" s="842"/>
      <c r="AE80" s="842"/>
      <c r="AF80" s="842"/>
      <c r="AG80" s="842"/>
      <c r="AH80" s="842"/>
      <c r="AI80" s="842"/>
      <c r="AJ80" s="842"/>
      <c r="AK80" s="842"/>
      <c r="AL80" s="842"/>
      <c r="AM80" s="842"/>
      <c r="AN80" s="842"/>
      <c r="AO80" s="842"/>
      <c r="AP80" s="842"/>
      <c r="AQ80" s="842"/>
      <c r="AR80" s="842"/>
      <c r="AS80" s="842"/>
      <c r="AT80" s="842"/>
      <c r="AU80" s="842"/>
      <c r="AV80" s="842"/>
      <c r="AW80" s="842"/>
      <c r="AX80" s="842"/>
      <c r="AY80" s="842"/>
      <c r="AZ80" s="841"/>
      <c r="BA80" s="842"/>
      <c r="BB80" s="842"/>
      <c r="BC80" s="842"/>
      <c r="BD80" s="842"/>
      <c r="BE80" s="842"/>
      <c r="BF80" s="842"/>
      <c r="BG80" s="842"/>
      <c r="BH80" s="842"/>
    </row>
    <row r="81" spans="1:60" ht="15.75">
      <c r="A81" s="843"/>
      <c r="B81" s="873" t="s">
        <v>1339</v>
      </c>
      <c r="C81" s="872">
        <f>IF(D81=0,0,C72*M32*1000/(C37/100))</f>
        <v>0</v>
      </c>
      <c r="D81" s="1582">
        <f>MPR!B113</f>
        <v>0</v>
      </c>
      <c r="E81" s="867" t="s">
        <v>1327</v>
      </c>
      <c r="F81" s="868"/>
      <c r="G81" s="872">
        <f>IFERROR(G80-G82,0)</f>
        <v>409.20531978658124</v>
      </c>
      <c r="H81" s="841"/>
      <c r="I81" s="1029"/>
      <c r="J81" s="1029"/>
      <c r="K81" s="1029"/>
      <c r="L81" s="1029"/>
      <c r="M81" s="1029"/>
      <c r="N81" s="1029"/>
      <c r="O81" s="1029"/>
      <c r="P81" s="841"/>
      <c r="Q81" s="841"/>
      <c r="R81" s="841"/>
      <c r="S81" s="841"/>
      <c r="T81" s="841"/>
      <c r="U81" s="841"/>
      <c r="V81" s="841"/>
      <c r="W81" s="841"/>
      <c r="X81" s="841"/>
      <c r="Y81" s="841"/>
      <c r="Z81" s="841"/>
      <c r="AA81" s="842"/>
      <c r="AB81" s="842"/>
      <c r="AC81" s="842"/>
      <c r="AD81" s="842"/>
      <c r="AE81" s="842"/>
      <c r="AF81" s="842"/>
      <c r="AG81" s="842"/>
      <c r="AH81" s="842"/>
      <c r="AI81" s="842"/>
      <c r="AJ81" s="842"/>
      <c r="AK81" s="842"/>
      <c r="AL81" s="842"/>
      <c r="AM81" s="842"/>
      <c r="AN81" s="842"/>
      <c r="AO81" s="842"/>
      <c r="AP81" s="842"/>
      <c r="AQ81" s="842"/>
      <c r="AR81" s="842"/>
      <c r="AS81" s="842"/>
      <c r="AT81" s="842"/>
      <c r="AU81" s="842"/>
      <c r="AV81" s="842"/>
      <c r="AW81" s="842"/>
      <c r="AX81" s="842"/>
      <c r="AY81" s="842"/>
      <c r="AZ81" s="841"/>
      <c r="BA81" s="842"/>
      <c r="BB81" s="842"/>
      <c r="BC81" s="842"/>
      <c r="BD81" s="842"/>
      <c r="BE81" s="842"/>
      <c r="BF81" s="842"/>
      <c r="BG81" s="842"/>
      <c r="BH81" s="842"/>
    </row>
    <row r="82" spans="1:60" ht="15.75">
      <c r="A82" s="843"/>
      <c r="B82" s="873" t="s">
        <v>1332</v>
      </c>
      <c r="C82" s="872">
        <f>IFERROR(IF(MPR!A114&lt;3,0,C72*M32*1000),0)</f>
        <v>0</v>
      </c>
      <c r="D82" s="1582">
        <f>IF(C80&lt;=D80,0,1)</f>
        <v>0</v>
      </c>
      <c r="E82" s="867" t="s">
        <v>1328</v>
      </c>
      <c r="F82" s="868"/>
      <c r="G82" s="872">
        <f>IFERROR(G80*V32,0)</f>
        <v>40.794680213411951</v>
      </c>
      <c r="H82" s="841"/>
      <c r="I82" s="1029"/>
      <c r="J82" s="1029"/>
      <c r="K82" s="1029"/>
      <c r="L82" s="1029"/>
      <c r="M82" s="1029"/>
      <c r="N82" s="1029"/>
      <c r="O82" s="1029"/>
      <c r="P82" s="841"/>
      <c r="Q82" s="841"/>
      <c r="R82" s="841"/>
      <c r="S82" s="841"/>
      <c r="T82" s="841"/>
      <c r="U82" s="841"/>
      <c r="V82" s="841"/>
      <c r="W82" s="841"/>
      <c r="X82" s="841"/>
      <c r="Y82" s="841"/>
      <c r="Z82" s="841"/>
      <c r="AA82" s="842"/>
      <c r="AB82" s="842"/>
      <c r="AC82" s="842"/>
      <c r="AD82" s="842"/>
      <c r="AE82" s="842"/>
      <c r="AF82" s="842"/>
      <c r="AG82" s="842"/>
      <c r="AH82" s="842"/>
      <c r="AI82" s="842"/>
      <c r="AJ82" s="842"/>
      <c r="AK82" s="842"/>
      <c r="AL82" s="842"/>
      <c r="AM82" s="842"/>
      <c r="AN82" s="842"/>
      <c r="AO82" s="842"/>
      <c r="AP82" s="842"/>
      <c r="AQ82" s="842"/>
      <c r="AR82" s="842"/>
      <c r="AS82" s="842"/>
      <c r="AT82" s="842"/>
      <c r="AU82" s="842"/>
      <c r="AV82" s="842"/>
      <c r="AW82" s="842"/>
      <c r="AX82" s="842"/>
      <c r="AY82" s="842"/>
      <c r="AZ82" s="841"/>
      <c r="BA82" s="842"/>
      <c r="BB82" s="842"/>
      <c r="BC82" s="842"/>
      <c r="BD82" s="842"/>
      <c r="BE82" s="842"/>
      <c r="BF82" s="842"/>
      <c r="BG82" s="842"/>
      <c r="BH82" s="842"/>
    </row>
    <row r="83" spans="1:60" ht="15.75">
      <c r="A83" s="843"/>
      <c r="B83" s="873" t="s">
        <v>1333</v>
      </c>
      <c r="C83" s="872">
        <f>C72*Z32*1000</f>
        <v>74.999999999999901</v>
      </c>
      <c r="D83" s="1582">
        <f>IF(C81&gt;=D81,0,1)</f>
        <v>0</v>
      </c>
      <c r="E83" s="867" t="s">
        <v>1329</v>
      </c>
      <c r="F83" s="868"/>
      <c r="G83" s="872">
        <f>IFERROR(C72*BC32*1000/(C37/100),0)</f>
        <v>471.92852126302637</v>
      </c>
      <c r="H83" s="841"/>
      <c r="I83" s="1029"/>
      <c r="J83" s="1029"/>
      <c r="K83" s="1029"/>
      <c r="L83" s="1029"/>
      <c r="M83" s="1029"/>
      <c r="N83" s="1029"/>
      <c r="O83" s="1029"/>
      <c r="P83" s="841"/>
      <c r="Q83" s="841"/>
      <c r="R83" s="841"/>
      <c r="S83" s="841"/>
      <c r="T83" s="841"/>
      <c r="U83" s="841"/>
      <c r="V83" s="841"/>
      <c r="W83" s="841"/>
      <c r="X83" s="841"/>
      <c r="Y83" s="841"/>
      <c r="Z83" s="841"/>
      <c r="AA83" s="842"/>
      <c r="AB83" s="842"/>
      <c r="AC83" s="842"/>
      <c r="AD83" s="842"/>
      <c r="AE83" s="842"/>
      <c r="AF83" s="842"/>
      <c r="AG83" s="842"/>
      <c r="AH83" s="842"/>
      <c r="AI83" s="842"/>
      <c r="AJ83" s="842"/>
      <c r="AK83" s="842"/>
      <c r="AL83" s="842"/>
      <c r="AM83" s="842"/>
      <c r="AN83" s="842"/>
      <c r="AO83" s="842"/>
      <c r="AP83" s="842"/>
      <c r="AQ83" s="842"/>
      <c r="AR83" s="842"/>
      <c r="AS83" s="842"/>
      <c r="AT83" s="842"/>
      <c r="AU83" s="842"/>
      <c r="AV83" s="842"/>
      <c r="AW83" s="842"/>
      <c r="AX83" s="842"/>
      <c r="AY83" s="842"/>
      <c r="AZ83" s="841"/>
      <c r="BA83" s="842"/>
      <c r="BB83" s="842"/>
      <c r="BC83" s="842"/>
      <c r="BD83" s="842"/>
      <c r="BE83" s="842"/>
      <c r="BF83" s="842"/>
      <c r="BG83" s="842"/>
      <c r="BH83" s="842"/>
    </row>
    <row r="84" spans="1:60" ht="15.75">
      <c r="A84" s="843"/>
      <c r="H84" s="841"/>
      <c r="I84" s="1029"/>
      <c r="J84" s="1029"/>
      <c r="K84" s="1029"/>
      <c r="L84" s="1029"/>
      <c r="M84" s="1029"/>
      <c r="N84" s="1029"/>
      <c r="O84" s="1029"/>
      <c r="P84" s="841"/>
      <c r="Q84" s="841"/>
      <c r="R84" s="841"/>
      <c r="S84" s="841"/>
      <c r="T84" s="841"/>
      <c r="U84" s="841"/>
      <c r="V84" s="841"/>
      <c r="W84" s="841"/>
      <c r="X84" s="841"/>
      <c r="Y84" s="841"/>
      <c r="Z84" s="841"/>
      <c r="AA84" s="842"/>
      <c r="AB84" s="842"/>
      <c r="AC84" s="842"/>
      <c r="AD84" s="842"/>
      <c r="AE84" s="842"/>
      <c r="AF84" s="842"/>
      <c r="AG84" s="842"/>
      <c r="AH84" s="842"/>
      <c r="AI84" s="842"/>
      <c r="AJ84" s="842"/>
      <c r="AK84" s="842"/>
      <c r="AL84" s="842"/>
      <c r="AM84" s="842"/>
      <c r="AN84" s="842"/>
      <c r="AO84" s="842"/>
      <c r="AP84" s="842"/>
      <c r="AQ84" s="842"/>
      <c r="AR84" s="842"/>
      <c r="AS84" s="842"/>
      <c r="AT84" s="842"/>
      <c r="AU84" s="842"/>
      <c r="AV84" s="842"/>
      <c r="AW84" s="842"/>
      <c r="AX84" s="842"/>
      <c r="AY84" s="842"/>
      <c r="AZ84" s="841"/>
      <c r="BA84" s="842"/>
      <c r="BB84" s="842"/>
      <c r="BC84" s="842"/>
      <c r="BD84" s="842"/>
      <c r="BE84" s="842"/>
      <c r="BF84" s="842"/>
      <c r="BG84" s="842"/>
      <c r="BH84" s="842"/>
    </row>
    <row r="85" spans="1:60" ht="20.25" customHeight="1">
      <c r="A85" s="843"/>
      <c r="B85" s="853" t="s">
        <v>1323</v>
      </c>
      <c r="C85" s="852"/>
      <c r="D85" s="852"/>
      <c r="E85" s="852"/>
      <c r="F85" s="852"/>
      <c r="G85" s="852"/>
      <c r="H85" s="841"/>
      <c r="I85" s="1029"/>
      <c r="J85" s="1029"/>
      <c r="K85" s="1029"/>
      <c r="L85" s="1029"/>
      <c r="M85" s="1029"/>
      <c r="N85" s="1029"/>
      <c r="O85" s="1029"/>
      <c r="P85" s="841"/>
      <c r="Q85" s="841"/>
      <c r="R85" s="841"/>
      <c r="S85" s="841"/>
      <c r="T85" s="841"/>
      <c r="U85" s="841"/>
      <c r="V85" s="841"/>
      <c r="W85" s="841"/>
      <c r="X85" s="841"/>
      <c r="Y85" s="841"/>
      <c r="Z85" s="841"/>
      <c r="AA85" s="842"/>
      <c r="AB85" s="842"/>
      <c r="AC85" s="842"/>
      <c r="AD85" s="842"/>
      <c r="AE85" s="842"/>
      <c r="AF85" s="842"/>
      <c r="AG85" s="842"/>
      <c r="AH85" s="842"/>
      <c r="AI85" s="842"/>
      <c r="AJ85" s="842"/>
      <c r="AK85" s="842"/>
      <c r="AL85" s="842"/>
      <c r="AM85" s="842"/>
      <c r="AN85" s="842"/>
      <c r="AO85" s="842"/>
      <c r="AP85" s="842"/>
      <c r="AQ85" s="842"/>
      <c r="AR85" s="842"/>
      <c r="AS85" s="842"/>
      <c r="AT85" s="842"/>
      <c r="AU85" s="842"/>
      <c r="AV85" s="842"/>
      <c r="AW85" s="842"/>
      <c r="AX85" s="842"/>
      <c r="AY85" s="842"/>
      <c r="AZ85" s="841"/>
      <c r="BA85" s="842"/>
      <c r="BB85" s="842"/>
      <c r="BC85" s="842"/>
      <c r="BD85" s="842"/>
      <c r="BE85" s="842"/>
      <c r="BF85" s="842"/>
      <c r="BG85" s="842"/>
      <c r="BH85" s="842"/>
    </row>
    <row r="86" spans="1:60" ht="5.25" customHeight="1">
      <c r="A86" s="843"/>
      <c r="H86" s="841"/>
      <c r="I86" s="1029"/>
      <c r="J86" s="1029"/>
      <c r="K86" s="1029"/>
      <c r="L86" s="1029"/>
      <c r="M86" s="1029"/>
      <c r="N86" s="1029"/>
      <c r="O86" s="1029"/>
      <c r="P86" s="841"/>
      <c r="Q86" s="841"/>
      <c r="R86" s="841"/>
      <c r="S86" s="841"/>
      <c r="T86" s="841"/>
      <c r="U86" s="841"/>
      <c r="V86" s="841"/>
      <c r="W86" s="841"/>
      <c r="X86" s="841"/>
      <c r="Y86" s="841"/>
      <c r="Z86" s="841"/>
      <c r="AA86" s="842"/>
      <c r="AB86" s="842"/>
      <c r="AC86" s="842"/>
      <c r="AD86" s="842"/>
      <c r="AE86" s="842"/>
      <c r="AF86" s="842"/>
      <c r="AG86" s="842"/>
      <c r="AH86" s="842"/>
      <c r="AI86" s="842"/>
      <c r="AJ86" s="842"/>
      <c r="AK86" s="842"/>
      <c r="AL86" s="842"/>
      <c r="AM86" s="842"/>
      <c r="AN86" s="842"/>
      <c r="AO86" s="842"/>
      <c r="AP86" s="842"/>
      <c r="AQ86" s="842"/>
      <c r="AR86" s="842"/>
      <c r="AS86" s="842"/>
      <c r="AT86" s="842"/>
      <c r="AU86" s="842"/>
      <c r="AV86" s="842"/>
      <c r="AW86" s="842"/>
      <c r="AX86" s="842"/>
      <c r="AY86" s="842"/>
      <c r="AZ86" s="841"/>
      <c r="BA86" s="842"/>
      <c r="BB86" s="842"/>
      <c r="BC86" s="842"/>
      <c r="BD86" s="842"/>
      <c r="BE86" s="842"/>
      <c r="BF86" s="842"/>
      <c r="BG86" s="842"/>
      <c r="BH86" s="842"/>
    </row>
    <row r="87" spans="1:60" ht="15.75">
      <c r="A87" s="843"/>
      <c r="B87" s="862" t="s">
        <v>1324</v>
      </c>
      <c r="C87" s="861"/>
      <c r="E87" s="869" t="s">
        <v>1338</v>
      </c>
      <c r="F87" s="860"/>
      <c r="G87" s="860"/>
      <c r="H87" s="841"/>
      <c r="I87" s="1029"/>
      <c r="J87" s="1029"/>
      <c r="K87" s="1029"/>
      <c r="L87" s="1029"/>
      <c r="M87" s="1029"/>
      <c r="N87" s="1029"/>
      <c r="O87" s="1029"/>
      <c r="P87" s="841"/>
      <c r="Q87" s="841"/>
      <c r="R87" s="841"/>
      <c r="S87" s="841"/>
      <c r="T87" s="841"/>
      <c r="U87" s="841"/>
      <c r="V87" s="841"/>
      <c r="W87" s="841"/>
      <c r="X87" s="841"/>
      <c r="Y87" s="841"/>
      <c r="Z87" s="841"/>
      <c r="AA87" s="842"/>
      <c r="AB87" s="842"/>
      <c r="AC87" s="842"/>
      <c r="AD87" s="842"/>
      <c r="AE87" s="842"/>
      <c r="AF87" s="842"/>
      <c r="AG87" s="842"/>
      <c r="AH87" s="842"/>
      <c r="AI87" s="842"/>
      <c r="AJ87" s="842"/>
      <c r="AK87" s="842"/>
      <c r="AL87" s="842"/>
      <c r="AM87" s="842"/>
      <c r="AN87" s="842"/>
      <c r="AO87" s="842"/>
      <c r="AP87" s="842"/>
      <c r="AQ87" s="842"/>
      <c r="AR87" s="842"/>
      <c r="AS87" s="842"/>
      <c r="AT87" s="842"/>
      <c r="AU87" s="842"/>
      <c r="AV87" s="842"/>
      <c r="AW87" s="842"/>
      <c r="AX87" s="842"/>
      <c r="AY87" s="842"/>
      <c r="AZ87" s="841"/>
      <c r="BA87" s="842"/>
      <c r="BB87" s="842"/>
      <c r="BC87" s="842"/>
      <c r="BD87" s="842"/>
      <c r="BE87" s="842"/>
      <c r="BF87" s="842"/>
      <c r="BG87" s="842"/>
      <c r="BH87" s="842"/>
    </row>
    <row r="88" spans="1:60" ht="15.75">
      <c r="A88" s="843"/>
      <c r="B88" s="870" t="s">
        <v>1319</v>
      </c>
      <c r="C88" s="881" t="str">
        <f>IFERROR(TEXT((G72/(C40/30)*1000),"#.##0")&amp;" g","valor da @?")</f>
        <v>388 g</v>
      </c>
      <c r="H88" s="841"/>
      <c r="I88" s="1029"/>
      <c r="J88" s="1029"/>
      <c r="K88" s="1029"/>
      <c r="L88" s="1029"/>
      <c r="M88" s="1029"/>
      <c r="N88" s="1029"/>
      <c r="O88" s="1029"/>
      <c r="P88" s="841"/>
      <c r="Q88" s="841"/>
      <c r="R88" s="841"/>
      <c r="S88" s="841"/>
      <c r="T88" s="841"/>
      <c r="U88" s="841"/>
      <c r="V88" s="841"/>
      <c r="W88" s="841"/>
      <c r="X88" s="841"/>
      <c r="Y88" s="841"/>
      <c r="Z88" s="841"/>
      <c r="AA88" s="842"/>
      <c r="AB88" s="842"/>
      <c r="AC88" s="842"/>
      <c r="AD88" s="842"/>
      <c r="AE88" s="842"/>
      <c r="AF88" s="842"/>
      <c r="AG88" s="842"/>
      <c r="AH88" s="842"/>
      <c r="AI88" s="842"/>
      <c r="AJ88" s="842"/>
      <c r="AK88" s="842"/>
      <c r="AL88" s="842"/>
      <c r="AM88" s="842"/>
      <c r="AN88" s="842"/>
      <c r="AO88" s="842"/>
      <c r="AP88" s="842"/>
      <c r="AQ88" s="842"/>
      <c r="AR88" s="842"/>
      <c r="AS88" s="842"/>
      <c r="AT88" s="842"/>
      <c r="AU88" s="842"/>
      <c r="AV88" s="842"/>
      <c r="AW88" s="842"/>
      <c r="AX88" s="842"/>
      <c r="AY88" s="842"/>
      <c r="AZ88" s="841"/>
      <c r="BA88" s="842"/>
      <c r="BB88" s="842"/>
      <c r="BC88" s="842"/>
      <c r="BD88" s="842"/>
      <c r="BE88" s="842"/>
      <c r="BF88" s="842"/>
      <c r="BG88" s="842"/>
      <c r="BH88" s="842"/>
    </row>
    <row r="89" spans="1:60" ht="15.75">
      <c r="A89" s="843"/>
      <c r="B89" s="870" t="s">
        <v>1322</v>
      </c>
      <c r="C89" s="882" t="str">
        <f>IFERROR(TEXT((G72/(C41)),"#.##0,000")&amp;" litro(s)","Valor kg Leite?")</f>
        <v>0,727 litro(s)</v>
      </c>
      <c r="H89" s="841"/>
      <c r="I89" s="841"/>
      <c r="J89" s="841"/>
      <c r="K89" s="1029"/>
      <c r="L89" s="1029"/>
      <c r="M89" s="1029"/>
      <c r="N89" s="1029"/>
      <c r="O89" s="1029"/>
      <c r="P89" s="841"/>
      <c r="Q89" s="841"/>
      <c r="R89" s="841"/>
      <c r="S89" s="841"/>
      <c r="T89" s="841"/>
      <c r="U89" s="841"/>
      <c r="V89" s="841"/>
      <c r="W89" s="841"/>
      <c r="X89" s="841"/>
      <c r="Y89" s="841"/>
      <c r="Z89" s="841"/>
      <c r="AA89" s="842"/>
      <c r="AB89" s="842"/>
      <c r="AC89" s="842"/>
      <c r="AD89" s="842"/>
      <c r="AE89" s="842"/>
      <c r="AF89" s="842"/>
      <c r="AG89" s="842"/>
      <c r="AH89" s="842"/>
      <c r="AI89" s="842"/>
      <c r="AJ89" s="842"/>
      <c r="AK89" s="842"/>
      <c r="AL89" s="842"/>
      <c r="AM89" s="842"/>
      <c r="AN89" s="842"/>
      <c r="AO89" s="842"/>
      <c r="AP89" s="842"/>
      <c r="AQ89" s="842"/>
      <c r="AR89" s="842"/>
      <c r="AS89" s="842"/>
      <c r="AT89" s="842"/>
      <c r="AU89" s="842"/>
      <c r="AV89" s="842"/>
      <c r="AW89" s="842"/>
      <c r="AX89" s="842"/>
      <c r="AY89" s="842"/>
      <c r="AZ89" s="841"/>
      <c r="BA89" s="842"/>
      <c r="BB89" s="842"/>
      <c r="BC89" s="842"/>
      <c r="BD89" s="842"/>
      <c r="BE89" s="842"/>
      <c r="BF89" s="842"/>
      <c r="BG89" s="842"/>
      <c r="BH89" s="842"/>
    </row>
    <row r="90" spans="1:60" ht="15.75">
      <c r="A90" s="843"/>
      <c r="B90" s="870" t="s">
        <v>1320</v>
      </c>
      <c r="C90" s="881">
        <f>G73*30</f>
        <v>8728.1841646675475</v>
      </c>
      <c r="E90" s="845" t="s">
        <v>1337</v>
      </c>
      <c r="H90" s="841"/>
      <c r="I90" s="841"/>
      <c r="J90" s="841"/>
      <c r="K90" s="1029"/>
      <c r="L90" s="1029"/>
      <c r="M90" s="1029"/>
      <c r="N90" s="1029"/>
      <c r="O90" s="1029"/>
      <c r="P90" s="841"/>
      <c r="Q90" s="841"/>
      <c r="R90" s="841"/>
      <c r="S90" s="841"/>
      <c r="T90" s="841"/>
      <c r="U90" s="841"/>
      <c r="V90" s="841"/>
      <c r="W90" s="841"/>
      <c r="X90" s="841"/>
      <c r="Y90" s="841"/>
      <c r="Z90" s="841"/>
      <c r="AA90" s="842"/>
      <c r="AB90" s="842"/>
      <c r="AC90" s="842"/>
      <c r="AD90" s="842"/>
      <c r="AE90" s="842"/>
      <c r="AF90" s="842"/>
      <c r="AG90" s="842"/>
      <c r="AH90" s="842"/>
      <c r="AI90" s="842"/>
      <c r="AJ90" s="842"/>
      <c r="AK90" s="842"/>
      <c r="AL90" s="842"/>
      <c r="AM90" s="842"/>
      <c r="AN90" s="842"/>
      <c r="AO90" s="842"/>
      <c r="AP90" s="842"/>
      <c r="AQ90" s="842"/>
      <c r="AR90" s="842"/>
      <c r="AS90" s="842"/>
      <c r="AT90" s="842"/>
      <c r="AU90" s="842"/>
      <c r="AV90" s="842"/>
      <c r="AW90" s="842"/>
      <c r="AX90" s="842"/>
      <c r="AY90" s="842"/>
      <c r="AZ90" s="841"/>
      <c r="BA90" s="842"/>
      <c r="BB90" s="842"/>
      <c r="BC90" s="842"/>
      <c r="BD90" s="842"/>
      <c r="BE90" s="842"/>
      <c r="BF90" s="842"/>
      <c r="BG90" s="842"/>
      <c r="BH90" s="842"/>
    </row>
    <row r="91" spans="1:60" ht="15.75">
      <c r="A91" s="843"/>
      <c r="E91" s="877" t="str">
        <f>Usuário</f>
        <v>Iomar Bezerra da Silva</v>
      </c>
      <c r="F91" s="851"/>
      <c r="G91" s="851"/>
      <c r="H91" s="841"/>
      <c r="I91" s="841"/>
      <c r="J91" s="841"/>
      <c r="K91" s="1029"/>
      <c r="L91" s="1029"/>
      <c r="M91" s="1029"/>
      <c r="N91" s="1029"/>
      <c r="O91" s="1029"/>
      <c r="P91" s="841"/>
      <c r="Q91" s="841"/>
      <c r="R91" s="841"/>
      <c r="S91" s="841"/>
      <c r="T91" s="841"/>
      <c r="U91" s="841"/>
      <c r="V91" s="841"/>
      <c r="W91" s="841"/>
      <c r="X91" s="841"/>
      <c r="Y91" s="841"/>
      <c r="Z91" s="841"/>
      <c r="AA91" s="842"/>
      <c r="AB91" s="842"/>
      <c r="AC91" s="842"/>
      <c r="AD91" s="842"/>
      <c r="AE91" s="842"/>
      <c r="AF91" s="842"/>
      <c r="AG91" s="842"/>
      <c r="AH91" s="842"/>
      <c r="AI91" s="842"/>
      <c r="AJ91" s="842"/>
      <c r="AK91" s="842"/>
      <c r="AL91" s="842"/>
      <c r="AM91" s="842"/>
      <c r="AN91" s="842"/>
      <c r="AO91" s="842"/>
      <c r="AP91" s="842"/>
      <c r="AQ91" s="842"/>
      <c r="AR91" s="842"/>
      <c r="AS91" s="842"/>
      <c r="AT91" s="842"/>
      <c r="AU91" s="842"/>
      <c r="AV91" s="842"/>
      <c r="AW91" s="842"/>
      <c r="AX91" s="842"/>
      <c r="AY91" s="842"/>
      <c r="AZ91" s="841"/>
      <c r="BA91" s="842"/>
      <c r="BB91" s="842"/>
      <c r="BC91" s="842"/>
      <c r="BD91" s="842"/>
      <c r="BE91" s="842"/>
      <c r="BF91" s="842"/>
      <c r="BG91" s="842"/>
      <c r="BH91" s="842"/>
    </row>
    <row r="92" spans="1:60" ht="15.75">
      <c r="A92" s="843"/>
      <c r="B92" s="880">
        <f ca="1">TODAY()</f>
        <v>45298</v>
      </c>
      <c r="E92" s="878" t="str">
        <f>Profissão</f>
        <v>Técnico</v>
      </c>
      <c r="F92" s="879"/>
      <c r="G92" s="878"/>
      <c r="H92" s="841"/>
      <c r="I92" s="841"/>
      <c r="J92" s="841"/>
      <c r="K92" s="1029"/>
      <c r="L92" s="1029"/>
      <c r="M92" s="1029"/>
      <c r="N92" s="1029"/>
      <c r="O92" s="1029"/>
      <c r="P92" s="841"/>
      <c r="Q92" s="841"/>
      <c r="R92" s="841"/>
      <c r="S92" s="841"/>
      <c r="T92" s="841"/>
      <c r="U92" s="841"/>
      <c r="V92" s="841"/>
      <c r="W92" s="841"/>
      <c r="X92" s="841"/>
      <c r="Y92" s="841"/>
      <c r="Z92" s="841"/>
      <c r="AA92" s="842"/>
      <c r="AB92" s="842"/>
      <c r="AC92" s="842"/>
      <c r="AD92" s="842"/>
      <c r="AE92" s="842"/>
      <c r="AF92" s="842"/>
      <c r="AG92" s="842"/>
      <c r="AH92" s="842"/>
      <c r="AI92" s="842"/>
      <c r="AJ92" s="842"/>
      <c r="AK92" s="842"/>
      <c r="AL92" s="842"/>
      <c r="AM92" s="842"/>
      <c r="AN92" s="842"/>
      <c r="AO92" s="842"/>
      <c r="AP92" s="842"/>
      <c r="AQ92" s="842"/>
      <c r="AR92" s="842"/>
      <c r="AS92" s="842"/>
      <c r="AT92" s="842"/>
      <c r="AU92" s="842"/>
      <c r="AV92" s="842"/>
      <c r="AW92" s="842"/>
      <c r="AX92" s="842"/>
      <c r="AY92" s="842"/>
      <c r="AZ92" s="841"/>
      <c r="BA92" s="842"/>
      <c r="BB92" s="842"/>
      <c r="BC92" s="842"/>
      <c r="BD92" s="842"/>
      <c r="BE92" s="842"/>
      <c r="BF92" s="842"/>
      <c r="BG92" s="842"/>
      <c r="BH92" s="842"/>
    </row>
    <row r="93" spans="1:60" ht="15.75">
      <c r="A93" s="843"/>
      <c r="E93" s="878" t="str">
        <f>RGProfissional</f>
        <v>MA-00259-ZP</v>
      </c>
      <c r="F93" s="879"/>
      <c r="G93" s="878"/>
      <c r="H93" s="841"/>
      <c r="I93" s="841"/>
      <c r="J93" s="841"/>
      <c r="K93" s="1029"/>
      <c r="L93" s="1029"/>
      <c r="M93" s="1029"/>
      <c r="N93" s="1029"/>
      <c r="O93" s="1029"/>
      <c r="P93" s="841"/>
      <c r="Q93" s="841"/>
      <c r="R93" s="841"/>
      <c r="S93" s="841"/>
      <c r="T93" s="841"/>
      <c r="U93" s="841"/>
      <c r="V93" s="841"/>
      <c r="W93" s="841"/>
      <c r="X93" s="841"/>
      <c r="Y93" s="841"/>
      <c r="Z93" s="841"/>
      <c r="AA93" s="842"/>
      <c r="AB93" s="842"/>
      <c r="AC93" s="842"/>
      <c r="AD93" s="842"/>
      <c r="AE93" s="842"/>
      <c r="AF93" s="842"/>
      <c r="AG93" s="842"/>
      <c r="AH93" s="842"/>
      <c r="AI93" s="842"/>
      <c r="AJ93" s="842"/>
      <c r="AK93" s="842"/>
      <c r="AL93" s="842"/>
      <c r="AM93" s="842"/>
      <c r="AN93" s="842"/>
      <c r="AO93" s="842"/>
      <c r="AP93" s="842"/>
      <c r="AQ93" s="842"/>
      <c r="AR93" s="842"/>
      <c r="AS93" s="842"/>
      <c r="AT93" s="842"/>
      <c r="AU93" s="842"/>
      <c r="AV93" s="842"/>
      <c r="AW93" s="842"/>
      <c r="AX93" s="842"/>
      <c r="AY93" s="842"/>
      <c r="AZ93" s="841"/>
      <c r="BA93" s="842"/>
      <c r="BB93" s="842"/>
      <c r="BC93" s="842"/>
      <c r="BD93" s="842"/>
      <c r="BE93" s="842"/>
      <c r="BF93" s="842"/>
      <c r="BG93" s="842"/>
      <c r="BH93" s="842"/>
    </row>
    <row r="94" spans="1:60" ht="15.75">
      <c r="A94" s="843"/>
      <c r="B94" s="921"/>
      <c r="C94" s="921"/>
      <c r="D94" s="921"/>
      <c r="E94" s="921"/>
      <c r="F94" s="921"/>
      <c r="G94" s="921"/>
      <c r="H94" s="843"/>
      <c r="I94" s="843"/>
      <c r="J94" s="843"/>
      <c r="K94" s="1598"/>
      <c r="L94" s="1598"/>
      <c r="M94" s="1598"/>
      <c r="N94" s="1598"/>
      <c r="O94" s="1598"/>
      <c r="P94" s="843"/>
      <c r="Q94" s="843"/>
      <c r="R94" s="843"/>
      <c r="S94" s="843"/>
      <c r="T94" s="843"/>
      <c r="U94" s="843"/>
      <c r="V94" s="843"/>
      <c r="W94" s="843"/>
      <c r="X94" s="841"/>
      <c r="Y94" s="841"/>
      <c r="Z94" s="841"/>
      <c r="AA94" s="842"/>
      <c r="AB94" s="842"/>
      <c r="AC94" s="842"/>
      <c r="AD94" s="842"/>
      <c r="AE94" s="842"/>
      <c r="AF94" s="842"/>
      <c r="AG94" s="842"/>
      <c r="AH94" s="842"/>
      <c r="AI94" s="842"/>
      <c r="AJ94" s="842"/>
      <c r="AK94" s="842"/>
      <c r="AL94" s="842"/>
      <c r="AM94" s="842"/>
      <c r="AN94" s="842"/>
      <c r="AO94" s="842"/>
      <c r="AP94" s="842"/>
      <c r="AQ94" s="842"/>
      <c r="AR94" s="842"/>
      <c r="AS94" s="842"/>
      <c r="AT94" s="842"/>
      <c r="AU94" s="842"/>
      <c r="AV94" s="842"/>
      <c r="AW94" s="842"/>
      <c r="AX94" s="842"/>
      <c r="AY94" s="842"/>
      <c r="AZ94" s="841"/>
      <c r="BA94" s="842"/>
      <c r="BB94" s="842"/>
      <c r="BC94" s="842"/>
      <c r="BD94" s="842"/>
      <c r="BE94" s="842"/>
      <c r="BF94" s="842"/>
      <c r="BG94" s="842"/>
      <c r="BH94" s="842"/>
    </row>
    <row r="95" spans="1:60" ht="15.75">
      <c r="A95" s="843"/>
      <c r="B95" s="921"/>
      <c r="C95" s="921"/>
      <c r="D95" s="921"/>
      <c r="E95" s="921"/>
      <c r="F95" s="921"/>
      <c r="G95" s="921"/>
      <c r="H95" s="843"/>
      <c r="I95" s="843"/>
      <c r="J95" s="843"/>
      <c r="K95" s="1598"/>
      <c r="L95" s="1598"/>
      <c r="M95" s="1598"/>
      <c r="N95" s="1598"/>
      <c r="O95" s="1598"/>
      <c r="P95" s="843"/>
      <c r="Q95" s="843"/>
      <c r="R95" s="843"/>
      <c r="S95" s="843"/>
      <c r="T95" s="843"/>
      <c r="U95" s="843"/>
      <c r="V95" s="843"/>
      <c r="W95" s="843"/>
      <c r="X95" s="841"/>
      <c r="Y95" s="841"/>
      <c r="Z95" s="841"/>
      <c r="AA95" s="842"/>
      <c r="AB95" s="842"/>
      <c r="AC95" s="842"/>
      <c r="AD95" s="842"/>
      <c r="AE95" s="842"/>
      <c r="AF95" s="842"/>
      <c r="AG95" s="842"/>
      <c r="AH95" s="842"/>
      <c r="AI95" s="842"/>
      <c r="AJ95" s="842"/>
      <c r="AK95" s="842"/>
      <c r="AL95" s="842"/>
      <c r="AM95" s="842"/>
      <c r="AN95" s="842"/>
      <c r="AO95" s="842"/>
      <c r="AP95" s="842"/>
      <c r="AQ95" s="842"/>
      <c r="AR95" s="842"/>
      <c r="AS95" s="842"/>
      <c r="AT95" s="842"/>
      <c r="AU95" s="842"/>
      <c r="AV95" s="842"/>
      <c r="AW95" s="842"/>
      <c r="AX95" s="842"/>
      <c r="AY95" s="842"/>
      <c r="AZ95" s="841"/>
      <c r="BA95" s="842"/>
      <c r="BB95" s="842"/>
      <c r="BC95" s="842"/>
      <c r="BD95" s="842"/>
      <c r="BE95" s="842"/>
      <c r="BF95" s="842"/>
      <c r="BG95" s="842"/>
      <c r="BH95" s="842"/>
    </row>
    <row r="96" spans="1:60" ht="15.75">
      <c r="A96" s="843"/>
      <c r="B96" s="921"/>
      <c r="C96" s="921"/>
      <c r="D96" s="921"/>
      <c r="E96" s="921"/>
      <c r="F96" s="921"/>
      <c r="G96" s="921"/>
      <c r="H96" s="843"/>
      <c r="I96" s="843"/>
      <c r="J96" s="843"/>
      <c r="K96" s="843"/>
      <c r="L96" s="843"/>
      <c r="M96" s="843"/>
      <c r="N96" s="843"/>
      <c r="O96" s="843"/>
      <c r="P96" s="843"/>
      <c r="Q96" s="843"/>
      <c r="R96" s="843"/>
      <c r="S96" s="843"/>
      <c r="T96" s="843"/>
      <c r="U96" s="843"/>
      <c r="V96" s="843"/>
      <c r="W96" s="843"/>
      <c r="X96" s="841"/>
      <c r="Y96" s="841"/>
      <c r="Z96" s="841"/>
      <c r="AA96" s="842"/>
      <c r="AB96" s="842"/>
      <c r="AC96" s="842"/>
      <c r="AD96" s="842"/>
      <c r="AE96" s="842"/>
      <c r="AF96" s="842"/>
      <c r="AG96" s="842"/>
      <c r="AH96" s="842"/>
      <c r="AI96" s="842"/>
      <c r="AJ96" s="842"/>
      <c r="AK96" s="842"/>
      <c r="AL96" s="842"/>
      <c r="AM96" s="842"/>
      <c r="AN96" s="842"/>
      <c r="AO96" s="842"/>
      <c r="AP96" s="842"/>
      <c r="AQ96" s="842"/>
      <c r="AR96" s="842"/>
      <c r="AS96" s="842"/>
      <c r="AT96" s="842"/>
      <c r="AU96" s="842"/>
      <c r="AV96" s="842"/>
      <c r="AW96" s="842"/>
      <c r="AX96" s="842"/>
      <c r="AY96" s="842"/>
      <c r="AZ96" s="841"/>
      <c r="BA96" s="842"/>
      <c r="BB96" s="842"/>
      <c r="BC96" s="842"/>
      <c r="BD96" s="842"/>
      <c r="BE96" s="842"/>
      <c r="BF96" s="842"/>
      <c r="BG96" s="842"/>
      <c r="BH96" s="842"/>
    </row>
    <row r="97" spans="1:60" ht="15.75">
      <c r="A97" s="843"/>
      <c r="B97" s="921"/>
      <c r="C97" s="921"/>
      <c r="D97" s="921"/>
      <c r="E97" s="921"/>
      <c r="F97" s="921"/>
      <c r="G97" s="921"/>
      <c r="H97" s="843"/>
      <c r="I97" s="843"/>
      <c r="J97" s="843"/>
      <c r="K97" s="843"/>
      <c r="L97" s="843"/>
      <c r="M97" s="843"/>
      <c r="N97" s="843"/>
      <c r="O97" s="843"/>
      <c r="P97" s="843"/>
      <c r="Q97" s="843"/>
      <c r="R97" s="843"/>
      <c r="S97" s="843"/>
      <c r="T97" s="843"/>
      <c r="U97" s="843"/>
      <c r="V97" s="843"/>
      <c r="W97" s="843"/>
      <c r="X97" s="841"/>
      <c r="Y97" s="841"/>
      <c r="Z97" s="841"/>
      <c r="AA97" s="842"/>
      <c r="AB97" s="842"/>
      <c r="AC97" s="842"/>
      <c r="AD97" s="842"/>
      <c r="AE97" s="842"/>
      <c r="AF97" s="842"/>
      <c r="AG97" s="842"/>
      <c r="AH97" s="842"/>
      <c r="AI97" s="842"/>
      <c r="AJ97" s="842"/>
      <c r="AK97" s="842"/>
      <c r="AL97" s="842"/>
      <c r="AM97" s="842"/>
      <c r="AN97" s="842"/>
      <c r="AO97" s="842"/>
      <c r="AP97" s="842"/>
      <c r="AQ97" s="842"/>
      <c r="AR97" s="842"/>
      <c r="AS97" s="842"/>
      <c r="AT97" s="842"/>
      <c r="AU97" s="842"/>
      <c r="AV97" s="842"/>
      <c r="AW97" s="842"/>
      <c r="AX97" s="842"/>
      <c r="AY97" s="842"/>
      <c r="AZ97" s="841"/>
      <c r="BA97" s="842"/>
      <c r="BB97" s="842"/>
      <c r="BC97" s="842"/>
      <c r="BD97" s="842"/>
      <c r="BE97" s="842"/>
      <c r="BF97" s="842"/>
      <c r="BG97" s="842"/>
      <c r="BH97" s="842"/>
    </row>
    <row r="98" spans="1:60" ht="26.25">
      <c r="A98" s="843"/>
      <c r="B98" s="874" t="str">
        <f>"Ficha de Mistura do Suplemento para "&amp;G67&amp;"uma batida de "&amp;TEXT(E38,"#.##0")&amp;" Kg"</f>
        <v>Ficha de Mistura do Suplemento para uma batida de 2.000 Kg</v>
      </c>
      <c r="C98" s="875"/>
      <c r="D98" s="875"/>
      <c r="E98" s="875"/>
      <c r="F98" s="875"/>
      <c r="G98" s="875"/>
      <c r="H98" s="843"/>
      <c r="I98" s="843"/>
      <c r="J98" s="843"/>
      <c r="K98" s="843"/>
      <c r="L98" s="843"/>
      <c r="M98" s="843"/>
      <c r="N98" s="843"/>
      <c r="O98" s="843"/>
      <c r="P98" s="843"/>
      <c r="Q98" s="843"/>
      <c r="R98" s="843"/>
      <c r="S98" s="843"/>
      <c r="T98" s="843"/>
      <c r="U98" s="843"/>
      <c r="V98" s="843"/>
      <c r="W98" s="843"/>
      <c r="X98" s="843"/>
      <c r="Y98" s="843"/>
      <c r="Z98" s="843"/>
      <c r="AA98" s="842"/>
      <c r="AB98" s="842"/>
      <c r="AC98" s="842"/>
      <c r="AD98" s="842"/>
      <c r="AE98" s="842"/>
      <c r="AF98" s="842"/>
      <c r="AG98" s="842"/>
      <c r="AH98" s="842"/>
      <c r="AI98" s="842"/>
      <c r="AJ98" s="842"/>
      <c r="AK98" s="842"/>
      <c r="AL98" s="842"/>
      <c r="AM98" s="842"/>
      <c r="AN98" s="842"/>
      <c r="AO98" s="842"/>
      <c r="AP98" s="842"/>
      <c r="AQ98" s="842"/>
      <c r="AR98" s="842"/>
      <c r="AS98" s="842"/>
      <c r="AT98" s="842"/>
      <c r="AU98" s="842"/>
      <c r="AV98" s="842"/>
      <c r="AW98" s="842"/>
      <c r="AX98" s="842"/>
      <c r="AY98" s="842"/>
      <c r="AZ98" s="841"/>
      <c r="BA98" s="842"/>
      <c r="BB98" s="842"/>
      <c r="BC98" s="842"/>
      <c r="BD98" s="842"/>
      <c r="BE98" s="842"/>
      <c r="BF98" s="842"/>
      <c r="BG98" s="842"/>
      <c r="BH98" s="842"/>
    </row>
    <row r="99" spans="1:60" ht="26.25">
      <c r="A99" s="843"/>
      <c r="B99" s="876" t="str">
        <f>B44</f>
        <v>Animal com 300 kg/PV e consumo de 1.500 g/dia</v>
      </c>
      <c r="C99" s="854"/>
      <c r="D99" s="854"/>
      <c r="E99" s="854"/>
      <c r="F99" s="854"/>
      <c r="G99" s="854"/>
      <c r="H99" s="843"/>
      <c r="I99" s="843"/>
      <c r="J99" s="843"/>
      <c r="K99" s="843"/>
      <c r="L99" s="843"/>
      <c r="M99" s="843"/>
      <c r="N99" s="843"/>
      <c r="O99" s="843"/>
      <c r="P99" s="843"/>
      <c r="Q99" s="843"/>
      <c r="R99" s="843"/>
      <c r="S99" s="843"/>
      <c r="T99" s="843"/>
      <c r="U99" s="843"/>
      <c r="V99" s="843"/>
      <c r="W99" s="843"/>
      <c r="X99" s="841"/>
      <c r="Y99" s="841"/>
      <c r="Z99" s="841"/>
      <c r="AA99" s="842"/>
      <c r="AB99" s="842"/>
      <c r="AC99" s="842"/>
      <c r="AD99" s="842"/>
      <c r="AE99" s="842"/>
      <c r="AF99" s="842"/>
      <c r="AG99" s="842"/>
      <c r="AH99" s="842"/>
      <c r="AI99" s="842"/>
      <c r="AJ99" s="842"/>
      <c r="AK99" s="842"/>
      <c r="AL99" s="842"/>
      <c r="AM99" s="842"/>
      <c r="AN99" s="842"/>
      <c r="AO99" s="842"/>
      <c r="AP99" s="842"/>
      <c r="AQ99" s="842"/>
      <c r="AR99" s="842"/>
      <c r="AS99" s="842"/>
      <c r="AT99" s="842"/>
      <c r="AU99" s="842"/>
      <c r="AV99" s="842"/>
      <c r="AW99" s="842"/>
      <c r="AX99" s="842"/>
      <c r="AY99" s="842"/>
      <c r="AZ99" s="841"/>
      <c r="BA99" s="842"/>
      <c r="BB99" s="842"/>
      <c r="BC99" s="842"/>
      <c r="BD99" s="842"/>
      <c r="BE99" s="842"/>
      <c r="BF99" s="842"/>
      <c r="BG99" s="842"/>
      <c r="BH99" s="842"/>
    </row>
    <row r="100" spans="1:60" ht="9" customHeight="1">
      <c r="A100" s="843"/>
      <c r="H100" s="843"/>
      <c r="I100" s="843"/>
      <c r="J100" s="843"/>
      <c r="K100" s="843"/>
      <c r="L100" s="843"/>
      <c r="M100" s="843"/>
      <c r="N100" s="843"/>
      <c r="O100" s="843"/>
      <c r="P100" s="843"/>
      <c r="Q100" s="843"/>
      <c r="R100" s="843"/>
      <c r="S100" s="843"/>
      <c r="T100" s="843"/>
      <c r="U100" s="843"/>
      <c r="V100" s="843"/>
      <c r="W100" s="843"/>
      <c r="X100" s="841"/>
      <c r="Y100" s="841"/>
      <c r="Z100" s="841"/>
      <c r="AA100" s="842"/>
      <c r="AB100" s="842"/>
      <c r="AC100" s="842"/>
      <c r="AD100" s="842"/>
      <c r="AE100" s="842"/>
      <c r="AF100" s="842"/>
      <c r="AG100" s="842"/>
      <c r="AH100" s="842"/>
      <c r="AI100" s="842"/>
      <c r="AJ100" s="842"/>
      <c r="AK100" s="842"/>
      <c r="AL100" s="842"/>
      <c r="AM100" s="842"/>
      <c r="AN100" s="842"/>
      <c r="AO100" s="842"/>
      <c r="AP100" s="842"/>
      <c r="AQ100" s="842"/>
      <c r="AR100" s="842"/>
      <c r="AS100" s="842"/>
      <c r="AT100" s="842"/>
      <c r="AU100" s="842"/>
      <c r="AV100" s="842"/>
      <c r="AW100" s="842"/>
      <c r="AX100" s="842"/>
      <c r="AY100" s="842"/>
      <c r="AZ100" s="841"/>
      <c r="BA100" s="842"/>
      <c r="BB100" s="842"/>
      <c r="BC100" s="842"/>
      <c r="BD100" s="842"/>
      <c r="BE100" s="842"/>
      <c r="BF100" s="842"/>
      <c r="BG100" s="842"/>
      <c r="BH100" s="842"/>
    </row>
    <row r="101" spans="1:60" ht="18.75">
      <c r="A101" s="843"/>
      <c r="B101" s="897" t="s">
        <v>74</v>
      </c>
      <c r="C101" s="898" t="s">
        <v>754</v>
      </c>
      <c r="D101" s="898" t="s">
        <v>1307</v>
      </c>
      <c r="E101" s="898" t="s">
        <v>1341</v>
      </c>
      <c r="F101" s="2161" t="s">
        <v>1306</v>
      </c>
      <c r="G101" s="2162"/>
      <c r="H101" s="843"/>
      <c r="I101" s="843"/>
      <c r="J101" s="843"/>
      <c r="K101" s="843"/>
      <c r="L101" s="843"/>
      <c r="M101" s="843"/>
      <c r="N101" s="843"/>
      <c r="O101" s="843"/>
      <c r="P101" s="843"/>
      <c r="Q101" s="843"/>
      <c r="R101" s="843"/>
      <c r="S101" s="843"/>
      <c r="T101" s="843"/>
      <c r="U101" s="843"/>
      <c r="V101" s="843"/>
      <c r="W101" s="843"/>
      <c r="X101" s="841"/>
      <c r="Y101" s="841"/>
      <c r="Z101" s="841"/>
      <c r="AA101" s="842"/>
      <c r="AB101" s="842"/>
      <c r="AC101" s="842"/>
      <c r="AD101" s="842"/>
      <c r="AE101" s="842"/>
      <c r="AF101" s="842"/>
      <c r="AG101" s="842"/>
      <c r="AH101" s="842"/>
      <c r="AI101" s="842"/>
      <c r="AJ101" s="842"/>
      <c r="AK101" s="842"/>
      <c r="AL101" s="842"/>
      <c r="AM101" s="842"/>
      <c r="AN101" s="842"/>
      <c r="AO101" s="842"/>
      <c r="AP101" s="842"/>
      <c r="AQ101" s="842"/>
      <c r="AR101" s="842"/>
      <c r="AS101" s="842"/>
      <c r="AT101" s="842"/>
      <c r="AU101" s="842"/>
      <c r="AV101" s="842"/>
      <c r="AW101" s="842"/>
      <c r="AX101" s="842"/>
      <c r="AY101" s="842"/>
      <c r="AZ101" s="841"/>
      <c r="BA101" s="842"/>
      <c r="BB101" s="842"/>
      <c r="BC101" s="842"/>
      <c r="BD101" s="842"/>
      <c r="BE101" s="842"/>
      <c r="BF101" s="842"/>
      <c r="BG101" s="842"/>
      <c r="BH101" s="842"/>
    </row>
    <row r="102" spans="1:60" ht="15.75">
      <c r="A102" s="843"/>
      <c r="B102" s="899" t="str">
        <f t="shared" ref="B102:B120" si="19">B47</f>
        <v>SOJA, FARELO (45%)</v>
      </c>
      <c r="C102" s="900">
        <f t="shared" ref="C102:C120" si="20">IFERROR($E$38*D102,"")</f>
        <v>913.46898693705475</v>
      </c>
      <c r="D102" s="901">
        <f t="shared" ref="D102:E102" si="21">D47</f>
        <v>0.4567344934685274</v>
      </c>
      <c r="E102" s="902">
        <f t="shared" si="21"/>
        <v>2.7</v>
      </c>
      <c r="F102" s="2163">
        <f>IFERROR(C102*E102,"")</f>
        <v>2466.366264730048</v>
      </c>
      <c r="G102" s="2164"/>
      <c r="H102" s="843"/>
      <c r="I102" s="843"/>
      <c r="J102" s="843"/>
      <c r="K102" s="843"/>
      <c r="L102" s="843"/>
      <c r="M102" s="843"/>
      <c r="N102" s="843"/>
      <c r="O102" s="843"/>
      <c r="P102" s="843"/>
      <c r="Q102" s="843"/>
      <c r="R102" s="843"/>
      <c r="S102" s="843"/>
      <c r="T102" s="843"/>
      <c r="U102" s="843"/>
      <c r="V102" s="843"/>
      <c r="W102" s="843"/>
      <c r="X102" s="841"/>
      <c r="Y102" s="841"/>
      <c r="Z102" s="841"/>
      <c r="AA102" s="842"/>
      <c r="AB102" s="842"/>
      <c r="AC102" s="842"/>
      <c r="AD102" s="842"/>
      <c r="AE102" s="842"/>
      <c r="AF102" s="842"/>
      <c r="AG102" s="842"/>
      <c r="AH102" s="842"/>
      <c r="AI102" s="842"/>
      <c r="AJ102" s="842"/>
      <c r="AK102" s="842"/>
      <c r="AL102" s="842"/>
      <c r="AM102" s="842"/>
      <c r="AN102" s="842"/>
      <c r="AO102" s="842"/>
      <c r="AP102" s="842"/>
      <c r="AQ102" s="842"/>
      <c r="AR102" s="842"/>
      <c r="AS102" s="842"/>
      <c r="AT102" s="842"/>
      <c r="AU102" s="842"/>
      <c r="AV102" s="842"/>
      <c r="AW102" s="842"/>
      <c r="AX102" s="842"/>
      <c r="AY102" s="842"/>
      <c r="AZ102" s="841"/>
      <c r="BA102" s="842"/>
      <c r="BB102" s="842"/>
      <c r="BC102" s="842"/>
      <c r="BD102" s="842"/>
      <c r="BE102" s="842"/>
      <c r="BF102" s="842"/>
      <c r="BG102" s="842"/>
      <c r="BH102" s="842"/>
    </row>
    <row r="103" spans="1:60" ht="15.75">
      <c r="A103" s="842"/>
      <c r="B103" s="899" t="str">
        <f t="shared" si="19"/>
        <v>FOSFATO BICÁLCICO</v>
      </c>
      <c r="C103" s="900">
        <f t="shared" si="20"/>
        <v>756.52913299474199</v>
      </c>
      <c r="D103" s="901">
        <f t="shared" ref="D103" si="22">D48</f>
        <v>0.378264566497371</v>
      </c>
      <c r="E103" s="902">
        <f t="shared" ref="E103" si="23">E48</f>
        <v>1</v>
      </c>
      <c r="F103" s="2163">
        <f t="shared" ref="F103:F120" si="24">IFERROR(C103*E103,"")</f>
        <v>756.52913299474199</v>
      </c>
      <c r="G103" s="2164"/>
      <c r="H103" s="843"/>
      <c r="I103" s="843"/>
      <c r="J103" s="843"/>
      <c r="K103" s="843"/>
      <c r="L103" s="843"/>
      <c r="M103" s="843"/>
      <c r="N103" s="843"/>
      <c r="O103" s="843"/>
      <c r="P103" s="843"/>
      <c r="Q103" s="843"/>
      <c r="R103" s="843"/>
      <c r="S103" s="843"/>
      <c r="T103" s="843"/>
      <c r="U103" s="843"/>
      <c r="V103" s="843"/>
      <c r="W103" s="843"/>
      <c r="X103" s="841"/>
      <c r="Y103" s="841"/>
      <c r="Z103" s="841"/>
      <c r="AA103" s="842"/>
      <c r="AB103" s="842"/>
      <c r="AC103" s="842"/>
      <c r="AD103" s="842"/>
      <c r="AE103" s="842"/>
      <c r="AF103" s="842"/>
      <c r="AG103" s="842"/>
      <c r="AH103" s="842"/>
      <c r="AI103" s="842"/>
      <c r="AJ103" s="842"/>
      <c r="AK103" s="842"/>
      <c r="AL103" s="842"/>
      <c r="AM103" s="842"/>
      <c r="AN103" s="842"/>
      <c r="AO103" s="842"/>
      <c r="AP103" s="842"/>
      <c r="AQ103" s="842"/>
      <c r="AR103" s="842"/>
      <c r="AS103" s="842"/>
      <c r="AT103" s="842"/>
      <c r="AU103" s="842"/>
      <c r="AV103" s="842"/>
      <c r="AW103" s="842"/>
      <c r="AX103" s="842"/>
      <c r="AY103" s="842"/>
      <c r="AZ103" s="841"/>
      <c r="BA103" s="842"/>
      <c r="BB103" s="842"/>
      <c r="BC103" s="842"/>
      <c r="BD103" s="842"/>
      <c r="BE103" s="842"/>
      <c r="BF103" s="842"/>
      <c r="BG103" s="842"/>
      <c r="BH103" s="842"/>
    </row>
    <row r="104" spans="1:60" ht="15.75">
      <c r="A104" s="842"/>
      <c r="B104" s="899" t="str">
        <f t="shared" si="19"/>
        <v>SAL COMUM (NACL)</v>
      </c>
      <c r="C104" s="900">
        <f t="shared" si="20"/>
        <v>265.45638686364657</v>
      </c>
      <c r="D104" s="901">
        <f t="shared" ref="D104" si="25">D49</f>
        <v>0.13272819343182329</v>
      </c>
      <c r="E104" s="902">
        <f t="shared" ref="E104" si="26">E49</f>
        <v>1.5</v>
      </c>
      <c r="F104" s="2163">
        <f t="shared" si="24"/>
        <v>398.18458029546986</v>
      </c>
      <c r="G104" s="2164"/>
      <c r="H104" s="843"/>
      <c r="I104" s="843"/>
      <c r="J104" s="843"/>
      <c r="K104" s="843"/>
      <c r="L104" s="843"/>
      <c r="M104" s="843"/>
      <c r="N104" s="843"/>
      <c r="O104" s="843"/>
      <c r="P104" s="843"/>
      <c r="Q104" s="843"/>
      <c r="R104" s="843"/>
      <c r="S104" s="843"/>
      <c r="T104" s="843"/>
      <c r="U104" s="843"/>
      <c r="V104" s="843"/>
      <c r="W104" s="843"/>
      <c r="X104" s="841"/>
      <c r="Y104" s="841"/>
      <c r="Z104" s="841"/>
      <c r="AA104" s="842"/>
      <c r="AB104" s="842"/>
      <c r="AC104" s="842"/>
      <c r="AD104" s="842"/>
      <c r="AE104" s="842"/>
      <c r="AF104" s="842"/>
      <c r="AG104" s="842"/>
      <c r="AH104" s="842"/>
      <c r="AI104" s="842"/>
      <c r="AJ104" s="842"/>
      <c r="AK104" s="842"/>
      <c r="AL104" s="842"/>
      <c r="AM104" s="842"/>
      <c r="AN104" s="842"/>
      <c r="AO104" s="842"/>
      <c r="AP104" s="842"/>
      <c r="AQ104" s="842"/>
      <c r="AR104" s="842"/>
      <c r="AS104" s="842"/>
      <c r="AT104" s="842"/>
      <c r="AU104" s="842"/>
      <c r="AV104" s="842"/>
      <c r="AW104" s="842"/>
      <c r="AX104" s="842"/>
      <c r="AY104" s="842"/>
      <c r="AZ104" s="841"/>
      <c r="BA104" s="842"/>
      <c r="BB104" s="842"/>
      <c r="BC104" s="842"/>
      <c r="BD104" s="842"/>
      <c r="BE104" s="842"/>
      <c r="BF104" s="842"/>
      <c r="BG104" s="842"/>
      <c r="BH104" s="842"/>
    </row>
    <row r="105" spans="1:60" ht="15.75">
      <c r="A105" s="842"/>
      <c r="B105" s="899" t="str">
        <f t="shared" si="19"/>
        <v>UREIA</v>
      </c>
      <c r="C105" s="900">
        <f t="shared" si="20"/>
        <v>64.523021294444149</v>
      </c>
      <c r="D105" s="901">
        <f t="shared" ref="D105" si="27">D50</f>
        <v>3.2261510647222075E-2</v>
      </c>
      <c r="E105" s="902">
        <f t="shared" ref="E105" si="28">E50</f>
        <v>4</v>
      </c>
      <c r="F105" s="2163">
        <f t="shared" si="24"/>
        <v>258.0920851777766</v>
      </c>
      <c r="G105" s="2164"/>
      <c r="H105" s="843"/>
      <c r="I105" s="843"/>
      <c r="J105" s="843"/>
      <c r="K105" s="843"/>
      <c r="L105" s="843"/>
      <c r="M105" s="843"/>
      <c r="N105" s="843"/>
      <c r="O105" s="843"/>
      <c r="P105" s="843"/>
      <c r="Q105" s="843"/>
      <c r="R105" s="843"/>
      <c r="S105" s="843"/>
      <c r="T105" s="843"/>
      <c r="U105" s="843"/>
      <c r="V105" s="843"/>
      <c r="W105" s="843"/>
      <c r="X105" s="841"/>
      <c r="Y105" s="841"/>
      <c r="Z105" s="841"/>
      <c r="AA105" s="842"/>
      <c r="AB105" s="842"/>
      <c r="AC105" s="842"/>
      <c r="AD105" s="842"/>
      <c r="AE105" s="842"/>
      <c r="AF105" s="842"/>
      <c r="AG105" s="842"/>
      <c r="AH105" s="842"/>
      <c r="AI105" s="842"/>
      <c r="AJ105" s="842"/>
      <c r="AK105" s="842"/>
      <c r="AL105" s="842"/>
      <c r="AM105" s="842"/>
      <c r="AN105" s="842"/>
      <c r="AO105" s="842"/>
      <c r="AP105" s="842"/>
      <c r="AQ105" s="842"/>
      <c r="AR105" s="842"/>
      <c r="AS105" s="842"/>
      <c r="AT105" s="842"/>
      <c r="AU105" s="842"/>
      <c r="AV105" s="842"/>
      <c r="AW105" s="842"/>
      <c r="AX105" s="842"/>
      <c r="AY105" s="842"/>
      <c r="AZ105" s="842"/>
      <c r="BA105" s="842"/>
      <c r="BB105" s="842"/>
      <c r="BC105" s="842"/>
      <c r="BD105" s="842"/>
      <c r="BE105" s="842"/>
      <c r="BF105" s="842"/>
      <c r="BG105" s="842"/>
      <c r="BH105" s="842"/>
    </row>
    <row r="106" spans="1:60" ht="15.75">
      <c r="A106" s="842"/>
      <c r="B106" s="899" t="str">
        <f t="shared" si="19"/>
        <v>MILHO, GRÃO (MOIDO)</v>
      </c>
      <c r="C106" s="900">
        <f t="shared" si="20"/>
        <v>2.2471910112359415E-2</v>
      </c>
      <c r="D106" s="901">
        <f t="shared" ref="D106" si="29">D51</f>
        <v>1.1235955056179707E-5</v>
      </c>
      <c r="E106" s="902">
        <f t="shared" ref="E106" si="30">E51</f>
        <v>0.93</v>
      </c>
      <c r="F106" s="2163">
        <f t="shared" si="24"/>
        <v>2.0898876404494258E-2</v>
      </c>
      <c r="G106" s="2164"/>
      <c r="H106" s="843"/>
      <c r="I106" s="843"/>
      <c r="J106" s="843"/>
      <c r="K106" s="843"/>
      <c r="L106" s="843"/>
      <c r="M106" s="843"/>
      <c r="N106" s="843"/>
      <c r="O106" s="843"/>
      <c r="P106" s="843"/>
      <c r="Q106" s="843"/>
      <c r="R106" s="843"/>
      <c r="S106" s="843"/>
      <c r="T106" s="843"/>
      <c r="U106" s="843"/>
      <c r="V106" s="843"/>
      <c r="W106" s="843"/>
      <c r="X106" s="841"/>
      <c r="Y106" s="841"/>
      <c r="Z106" s="841"/>
      <c r="AA106" s="842"/>
      <c r="AB106" s="842"/>
      <c r="AC106" s="842"/>
      <c r="AD106" s="842"/>
      <c r="AE106" s="842"/>
      <c r="AF106" s="842"/>
      <c r="AG106" s="842"/>
      <c r="AH106" s="842"/>
      <c r="AI106" s="842"/>
      <c r="AJ106" s="842"/>
      <c r="AK106" s="842"/>
      <c r="AL106" s="842"/>
      <c r="AM106" s="842"/>
      <c r="AN106" s="842"/>
      <c r="AO106" s="842"/>
      <c r="AP106" s="842"/>
      <c r="AQ106" s="842"/>
      <c r="AR106" s="842"/>
      <c r="AS106" s="842"/>
      <c r="AT106" s="842"/>
      <c r="AU106" s="842"/>
      <c r="AV106" s="842"/>
      <c r="AW106" s="842"/>
      <c r="AX106" s="842"/>
      <c r="AY106" s="842"/>
      <c r="AZ106" s="842"/>
      <c r="BA106" s="842"/>
      <c r="BB106" s="842"/>
      <c r="BC106" s="842"/>
      <c r="BD106" s="842"/>
      <c r="BE106" s="842"/>
      <c r="BF106" s="842"/>
      <c r="BG106" s="842"/>
      <c r="BH106" s="842"/>
    </row>
    <row r="107" spans="1:60" ht="15.75">
      <c r="A107" s="842"/>
      <c r="B107" s="899" t="str">
        <f t="shared" si="19"/>
        <v/>
      </c>
      <c r="C107" s="900" t="str">
        <f t="shared" si="20"/>
        <v/>
      </c>
      <c r="D107" s="901" t="str">
        <f t="shared" ref="D107" si="31">D52</f>
        <v/>
      </c>
      <c r="E107" s="902" t="str">
        <f t="shared" ref="E107" si="32">E52</f>
        <v/>
      </c>
      <c r="F107" s="2163" t="str">
        <f t="shared" si="24"/>
        <v/>
      </c>
      <c r="G107" s="2164"/>
      <c r="H107" s="843"/>
      <c r="I107" s="843"/>
      <c r="J107" s="843"/>
      <c r="K107" s="843"/>
      <c r="L107" s="843"/>
      <c r="M107" s="843"/>
      <c r="N107" s="843"/>
      <c r="O107" s="843"/>
      <c r="P107" s="843"/>
      <c r="Q107" s="843"/>
      <c r="R107" s="843"/>
      <c r="S107" s="843"/>
      <c r="T107" s="843"/>
      <c r="U107" s="843"/>
      <c r="V107" s="843"/>
      <c r="W107" s="843"/>
      <c r="X107" s="841"/>
      <c r="Y107" s="841"/>
      <c r="Z107" s="841"/>
      <c r="AA107" s="842"/>
      <c r="AB107" s="842"/>
      <c r="AC107" s="842"/>
      <c r="AD107" s="842"/>
      <c r="AE107" s="842"/>
      <c r="AF107" s="842"/>
      <c r="AG107" s="842"/>
      <c r="AH107" s="842"/>
      <c r="AI107" s="842"/>
      <c r="AJ107" s="842"/>
      <c r="AK107" s="842"/>
      <c r="AL107" s="842"/>
      <c r="AM107" s="842"/>
      <c r="AN107" s="842"/>
      <c r="AO107" s="842"/>
      <c r="AP107" s="842"/>
      <c r="AQ107" s="842"/>
      <c r="AR107" s="842"/>
      <c r="AS107" s="842"/>
      <c r="AT107" s="842"/>
      <c r="AU107" s="842"/>
      <c r="AV107" s="842"/>
      <c r="AW107" s="842"/>
      <c r="AX107" s="842"/>
      <c r="AY107" s="842"/>
      <c r="AZ107" s="842"/>
      <c r="BA107" s="842"/>
      <c r="BB107" s="842"/>
      <c r="BC107" s="842"/>
      <c r="BD107" s="842"/>
      <c r="BE107" s="842"/>
      <c r="BF107" s="842"/>
      <c r="BG107" s="842"/>
      <c r="BH107" s="842"/>
    </row>
    <row r="108" spans="1:60" ht="15.75">
      <c r="A108" s="842"/>
      <c r="B108" s="899" t="str">
        <f t="shared" si="19"/>
        <v/>
      </c>
      <c r="C108" s="900" t="str">
        <f t="shared" si="20"/>
        <v/>
      </c>
      <c r="D108" s="901" t="str">
        <f t="shared" ref="D108" si="33">D53</f>
        <v/>
      </c>
      <c r="E108" s="902" t="str">
        <f t="shared" ref="E108" si="34">E53</f>
        <v/>
      </c>
      <c r="F108" s="2163" t="str">
        <f t="shared" si="24"/>
        <v/>
      </c>
      <c r="G108" s="2164"/>
      <c r="H108" s="843"/>
      <c r="I108" s="843"/>
      <c r="J108" s="843"/>
      <c r="K108" s="843"/>
      <c r="L108" s="843"/>
      <c r="M108" s="843"/>
      <c r="N108" s="843"/>
      <c r="O108" s="843"/>
      <c r="P108" s="843"/>
      <c r="Q108" s="843"/>
      <c r="R108" s="843"/>
      <c r="S108" s="843"/>
      <c r="T108" s="843"/>
      <c r="U108" s="843"/>
      <c r="V108" s="843"/>
      <c r="W108" s="843"/>
      <c r="X108" s="841"/>
      <c r="Y108" s="841"/>
      <c r="Z108" s="841"/>
      <c r="AA108" s="842"/>
      <c r="AB108" s="842"/>
      <c r="AC108" s="842"/>
      <c r="AD108" s="842"/>
      <c r="AE108" s="842"/>
      <c r="AF108" s="842"/>
      <c r="AG108" s="842"/>
      <c r="AH108" s="842"/>
      <c r="AI108" s="842"/>
      <c r="AJ108" s="842"/>
      <c r="AK108" s="842"/>
      <c r="AL108" s="842"/>
      <c r="AM108" s="842"/>
      <c r="AN108" s="842"/>
      <c r="AO108" s="842"/>
      <c r="AP108" s="842"/>
      <c r="AQ108" s="842"/>
      <c r="AR108" s="842"/>
      <c r="AS108" s="842"/>
      <c r="AT108" s="842"/>
      <c r="AU108" s="842"/>
      <c r="AV108" s="842"/>
      <c r="AW108" s="842"/>
      <c r="AX108" s="842"/>
      <c r="AY108" s="842"/>
      <c r="AZ108" s="842"/>
      <c r="BA108" s="842"/>
      <c r="BB108" s="842"/>
      <c r="BC108" s="842"/>
      <c r="BD108" s="842"/>
      <c r="BE108" s="842"/>
      <c r="BF108" s="842"/>
      <c r="BG108" s="842"/>
      <c r="BH108" s="842"/>
    </row>
    <row r="109" spans="1:60" ht="15.75">
      <c r="A109" s="842"/>
      <c r="B109" s="899" t="str">
        <f t="shared" si="19"/>
        <v/>
      </c>
      <c r="C109" s="900" t="str">
        <f t="shared" si="20"/>
        <v/>
      </c>
      <c r="D109" s="901" t="str">
        <f t="shared" ref="D109" si="35">D54</f>
        <v/>
      </c>
      <c r="E109" s="902" t="str">
        <f t="shared" ref="E109" si="36">E54</f>
        <v/>
      </c>
      <c r="F109" s="2163" t="str">
        <f t="shared" si="24"/>
        <v/>
      </c>
      <c r="G109" s="2164"/>
      <c r="H109" s="843"/>
      <c r="I109" s="843"/>
      <c r="J109" s="843"/>
      <c r="K109" s="843"/>
      <c r="L109" s="843"/>
      <c r="M109" s="843"/>
      <c r="N109" s="843"/>
      <c r="O109" s="843"/>
      <c r="P109" s="843"/>
      <c r="Q109" s="843"/>
      <c r="R109" s="843"/>
      <c r="S109" s="843"/>
      <c r="T109" s="843"/>
      <c r="U109" s="843"/>
      <c r="V109" s="843"/>
      <c r="W109" s="843"/>
      <c r="X109" s="841"/>
      <c r="Y109" s="841"/>
      <c r="Z109" s="841"/>
      <c r="AA109" s="842"/>
      <c r="AB109" s="842"/>
      <c r="AC109" s="842"/>
      <c r="AD109" s="842"/>
      <c r="AE109" s="842"/>
      <c r="AF109" s="842"/>
      <c r="AG109" s="842"/>
      <c r="AH109" s="842"/>
      <c r="AI109" s="842"/>
      <c r="AJ109" s="842"/>
      <c r="AK109" s="842"/>
      <c r="AL109" s="842"/>
      <c r="AM109" s="842"/>
      <c r="AN109" s="842"/>
      <c r="AO109" s="842"/>
      <c r="AP109" s="842"/>
      <c r="AQ109" s="842"/>
      <c r="AR109" s="842"/>
      <c r="AS109" s="842"/>
      <c r="AT109" s="842"/>
      <c r="AU109" s="842"/>
      <c r="AV109" s="842"/>
      <c r="AW109" s="842"/>
      <c r="AX109" s="842"/>
      <c r="AY109" s="842"/>
      <c r="AZ109" s="842"/>
      <c r="BA109" s="842"/>
      <c r="BB109" s="842"/>
      <c r="BC109" s="842"/>
      <c r="BD109" s="842"/>
      <c r="BE109" s="842"/>
      <c r="BF109" s="842"/>
      <c r="BG109" s="842"/>
      <c r="BH109" s="842"/>
    </row>
    <row r="110" spans="1:60" ht="15.75">
      <c r="A110" s="842"/>
      <c r="B110" s="899" t="str">
        <f t="shared" si="19"/>
        <v/>
      </c>
      <c r="C110" s="900" t="str">
        <f t="shared" si="20"/>
        <v/>
      </c>
      <c r="D110" s="901" t="str">
        <f t="shared" ref="D110" si="37">D55</f>
        <v/>
      </c>
      <c r="E110" s="902" t="str">
        <f t="shared" ref="E110" si="38">E55</f>
        <v/>
      </c>
      <c r="F110" s="2163" t="str">
        <f t="shared" si="24"/>
        <v/>
      </c>
      <c r="G110" s="2164"/>
      <c r="H110" s="843"/>
      <c r="I110" s="843"/>
      <c r="J110" s="843"/>
      <c r="K110" s="843"/>
      <c r="L110" s="843"/>
      <c r="M110" s="843"/>
      <c r="N110" s="843"/>
      <c r="O110" s="843"/>
      <c r="P110" s="843"/>
      <c r="Q110" s="843"/>
      <c r="R110" s="843"/>
      <c r="S110" s="843"/>
      <c r="T110" s="843"/>
      <c r="U110" s="843"/>
      <c r="V110" s="843"/>
      <c r="W110" s="843"/>
      <c r="X110" s="841"/>
      <c r="Y110" s="841"/>
      <c r="Z110" s="841"/>
      <c r="AA110" s="842"/>
      <c r="AB110" s="842"/>
      <c r="AC110" s="842"/>
      <c r="AD110" s="842"/>
      <c r="AE110" s="842"/>
      <c r="AF110" s="842"/>
      <c r="AG110" s="842"/>
      <c r="AH110" s="842"/>
      <c r="AI110" s="842"/>
      <c r="AJ110" s="842"/>
      <c r="AK110" s="842"/>
      <c r="AL110" s="842"/>
      <c r="AM110" s="842"/>
      <c r="AN110" s="842"/>
      <c r="AO110" s="842"/>
      <c r="AP110" s="842"/>
      <c r="AQ110" s="842"/>
      <c r="AR110" s="842"/>
      <c r="AS110" s="842"/>
      <c r="AT110" s="842"/>
      <c r="AU110" s="842"/>
      <c r="AV110" s="842"/>
      <c r="AW110" s="842"/>
      <c r="AX110" s="842"/>
      <c r="AY110" s="842"/>
      <c r="AZ110" s="842"/>
      <c r="BA110" s="842"/>
      <c r="BB110" s="842"/>
      <c r="BC110" s="842"/>
      <c r="BD110" s="842"/>
      <c r="BE110" s="842"/>
      <c r="BF110" s="842"/>
      <c r="BG110" s="842"/>
      <c r="BH110" s="842"/>
    </row>
    <row r="111" spans="1:60" ht="15.75">
      <c r="A111" s="842"/>
      <c r="B111" s="899" t="str">
        <f t="shared" si="19"/>
        <v/>
      </c>
      <c r="C111" s="900" t="str">
        <f t="shared" si="20"/>
        <v/>
      </c>
      <c r="D111" s="901" t="str">
        <f t="shared" ref="D111" si="39">D56</f>
        <v/>
      </c>
      <c r="E111" s="902" t="str">
        <f t="shared" ref="E111" si="40">E56</f>
        <v/>
      </c>
      <c r="F111" s="2163" t="str">
        <f t="shared" si="24"/>
        <v/>
      </c>
      <c r="G111" s="2164"/>
      <c r="H111" s="843"/>
      <c r="I111" s="843"/>
      <c r="J111" s="843"/>
      <c r="K111" s="843"/>
      <c r="L111" s="843"/>
      <c r="M111" s="843"/>
      <c r="N111" s="843"/>
      <c r="O111" s="843"/>
      <c r="P111" s="843"/>
      <c r="Q111" s="843"/>
      <c r="R111" s="843"/>
      <c r="S111" s="843"/>
      <c r="T111" s="843"/>
      <c r="U111" s="843"/>
      <c r="V111" s="843"/>
      <c r="W111" s="843"/>
      <c r="X111" s="841"/>
      <c r="Y111" s="841"/>
      <c r="Z111" s="841"/>
      <c r="AA111" s="842"/>
      <c r="AB111" s="842"/>
      <c r="AC111" s="842"/>
      <c r="AD111" s="842"/>
      <c r="AE111" s="842"/>
      <c r="AF111" s="842"/>
      <c r="AG111" s="842"/>
      <c r="AH111" s="842"/>
      <c r="AI111" s="842"/>
      <c r="AJ111" s="842"/>
      <c r="AK111" s="842"/>
      <c r="AL111" s="842"/>
      <c r="AM111" s="842"/>
      <c r="AN111" s="842"/>
      <c r="AO111" s="842"/>
      <c r="AP111" s="842"/>
      <c r="AQ111" s="842"/>
      <c r="AR111" s="842"/>
      <c r="AS111" s="842"/>
      <c r="AT111" s="842"/>
      <c r="AU111" s="842"/>
      <c r="AV111" s="842"/>
      <c r="AW111" s="842"/>
      <c r="AX111" s="842"/>
      <c r="AY111" s="842"/>
      <c r="AZ111" s="842"/>
      <c r="BA111" s="842"/>
      <c r="BB111" s="842"/>
      <c r="BC111" s="842"/>
      <c r="BD111" s="842"/>
      <c r="BE111" s="842"/>
      <c r="BF111" s="842"/>
      <c r="BG111" s="842"/>
      <c r="BH111" s="842"/>
    </row>
    <row r="112" spans="1:60" ht="15.75">
      <c r="A112" s="842"/>
      <c r="B112" s="899" t="str">
        <f t="shared" si="19"/>
        <v/>
      </c>
      <c r="C112" s="900" t="str">
        <f t="shared" si="20"/>
        <v/>
      </c>
      <c r="D112" s="901" t="str">
        <f t="shared" ref="D112" si="41">D57</f>
        <v/>
      </c>
      <c r="E112" s="902" t="str">
        <f t="shared" ref="E112" si="42">E57</f>
        <v/>
      </c>
      <c r="F112" s="2163" t="str">
        <f t="shared" si="24"/>
        <v/>
      </c>
      <c r="G112" s="2164"/>
      <c r="H112" s="843"/>
      <c r="I112" s="843"/>
      <c r="J112" s="843"/>
      <c r="K112" s="843"/>
      <c r="L112" s="843"/>
      <c r="M112" s="843"/>
      <c r="N112" s="843"/>
      <c r="O112" s="843"/>
      <c r="P112" s="843"/>
      <c r="Q112" s="843"/>
      <c r="R112" s="843"/>
      <c r="S112" s="843"/>
      <c r="T112" s="843"/>
      <c r="U112" s="843"/>
      <c r="V112" s="843"/>
      <c r="W112" s="843"/>
      <c r="X112" s="841"/>
      <c r="Y112" s="841"/>
      <c r="Z112" s="841"/>
      <c r="AA112" s="842"/>
      <c r="AB112" s="842"/>
      <c r="AC112" s="842"/>
      <c r="AD112" s="842"/>
      <c r="AE112" s="842"/>
      <c r="AF112" s="842"/>
      <c r="AG112" s="842"/>
      <c r="AH112" s="842"/>
      <c r="AI112" s="842"/>
      <c r="AJ112" s="842"/>
      <c r="AK112" s="842"/>
      <c r="AL112" s="842"/>
      <c r="AM112" s="842"/>
      <c r="AN112" s="842"/>
      <c r="AO112" s="842"/>
      <c r="AP112" s="842"/>
      <c r="AQ112" s="842"/>
      <c r="AR112" s="842"/>
      <c r="AS112" s="842"/>
      <c r="AT112" s="842"/>
      <c r="AU112" s="842"/>
      <c r="AV112" s="842"/>
      <c r="AW112" s="842"/>
      <c r="AX112" s="842"/>
      <c r="AY112" s="842"/>
      <c r="AZ112" s="842"/>
      <c r="BA112" s="842"/>
      <c r="BB112" s="842"/>
      <c r="BC112" s="842"/>
      <c r="BD112" s="842"/>
      <c r="BE112" s="842"/>
      <c r="BF112" s="842"/>
      <c r="BG112" s="842"/>
      <c r="BH112" s="842"/>
    </row>
    <row r="113" spans="1:60" ht="15.75">
      <c r="A113" s="842"/>
      <c r="B113" s="899" t="str">
        <f t="shared" si="19"/>
        <v/>
      </c>
      <c r="C113" s="900" t="str">
        <f t="shared" si="20"/>
        <v/>
      </c>
      <c r="D113" s="901" t="str">
        <f t="shared" ref="D113" si="43">D58</f>
        <v/>
      </c>
      <c r="E113" s="902" t="str">
        <f t="shared" ref="E113" si="44">E58</f>
        <v/>
      </c>
      <c r="F113" s="2163" t="str">
        <f t="shared" si="24"/>
        <v/>
      </c>
      <c r="G113" s="2164"/>
      <c r="H113" s="843"/>
      <c r="I113" s="843"/>
      <c r="J113" s="843"/>
      <c r="K113" s="843"/>
      <c r="L113" s="843"/>
      <c r="M113" s="843"/>
      <c r="N113" s="843"/>
      <c r="O113" s="843"/>
      <c r="P113" s="843"/>
      <c r="Q113" s="843"/>
      <c r="R113" s="843"/>
      <c r="S113" s="843"/>
      <c r="T113" s="843"/>
      <c r="U113" s="843"/>
      <c r="V113" s="843"/>
      <c r="W113" s="843"/>
      <c r="X113" s="841"/>
      <c r="Y113" s="841"/>
      <c r="Z113" s="841"/>
      <c r="AA113" s="842"/>
      <c r="AB113" s="842"/>
      <c r="AC113" s="842"/>
      <c r="AD113" s="842"/>
      <c r="AE113" s="842"/>
      <c r="AF113" s="842"/>
      <c r="AG113" s="842"/>
      <c r="AH113" s="842"/>
      <c r="AI113" s="842"/>
      <c r="AJ113" s="842"/>
      <c r="AK113" s="842"/>
      <c r="AL113" s="842"/>
      <c r="AM113" s="842"/>
      <c r="AN113" s="842"/>
      <c r="AO113" s="842"/>
      <c r="AP113" s="842"/>
      <c r="AQ113" s="842"/>
      <c r="AR113" s="842"/>
      <c r="AS113" s="842"/>
      <c r="AT113" s="842"/>
      <c r="AU113" s="842"/>
      <c r="AV113" s="842"/>
      <c r="AW113" s="842"/>
      <c r="AX113" s="842"/>
      <c r="AY113" s="842"/>
      <c r="AZ113" s="842"/>
      <c r="BA113" s="842"/>
      <c r="BB113" s="842"/>
      <c r="BC113" s="842"/>
      <c r="BD113" s="842"/>
      <c r="BE113" s="842"/>
      <c r="BF113" s="842"/>
      <c r="BG113" s="842"/>
      <c r="BH113" s="842"/>
    </row>
    <row r="114" spans="1:60" ht="15.75">
      <c r="A114" s="842"/>
      <c r="B114" s="899" t="str">
        <f t="shared" si="19"/>
        <v/>
      </c>
      <c r="C114" s="900" t="str">
        <f t="shared" si="20"/>
        <v/>
      </c>
      <c r="D114" s="901" t="str">
        <f t="shared" ref="D114" si="45">D59</f>
        <v/>
      </c>
      <c r="E114" s="902" t="str">
        <f t="shared" ref="E114" si="46">E59</f>
        <v/>
      </c>
      <c r="F114" s="2163" t="str">
        <f t="shared" si="24"/>
        <v/>
      </c>
      <c r="G114" s="2164"/>
      <c r="H114" s="843"/>
      <c r="I114" s="843"/>
      <c r="J114" s="843"/>
      <c r="K114" s="843"/>
      <c r="L114" s="843"/>
      <c r="M114" s="843"/>
      <c r="N114" s="843"/>
      <c r="O114" s="843"/>
      <c r="P114" s="843"/>
      <c r="Q114" s="843"/>
      <c r="R114" s="843"/>
      <c r="S114" s="843"/>
      <c r="T114" s="843"/>
      <c r="U114" s="843"/>
      <c r="V114" s="843"/>
      <c r="W114" s="843"/>
      <c r="X114" s="841"/>
      <c r="Y114" s="841"/>
      <c r="Z114" s="841"/>
      <c r="AA114" s="842"/>
      <c r="AB114" s="842"/>
      <c r="AC114" s="842"/>
      <c r="AD114" s="842"/>
      <c r="AE114" s="842"/>
      <c r="AF114" s="842"/>
      <c r="AG114" s="842"/>
      <c r="AH114" s="842"/>
      <c r="AI114" s="842"/>
      <c r="AJ114" s="842"/>
      <c r="AK114" s="842"/>
      <c r="AL114" s="842"/>
      <c r="AM114" s="842"/>
      <c r="AN114" s="842"/>
      <c r="AO114" s="842"/>
      <c r="AP114" s="842"/>
      <c r="AQ114" s="842"/>
      <c r="AR114" s="842"/>
      <c r="AS114" s="842"/>
      <c r="AT114" s="842"/>
      <c r="AU114" s="842"/>
      <c r="AV114" s="842"/>
      <c r="AW114" s="842"/>
      <c r="AX114" s="842"/>
      <c r="AY114" s="842"/>
      <c r="AZ114" s="842"/>
      <c r="BA114" s="842"/>
      <c r="BB114" s="842"/>
      <c r="BC114" s="842"/>
      <c r="BD114" s="842"/>
      <c r="BE114" s="842"/>
      <c r="BF114" s="842"/>
      <c r="BG114" s="842"/>
      <c r="BH114" s="842"/>
    </row>
    <row r="115" spans="1:60" ht="15.75">
      <c r="A115" s="842"/>
      <c r="B115" s="899" t="str">
        <f t="shared" si="19"/>
        <v/>
      </c>
      <c r="C115" s="900" t="str">
        <f t="shared" si="20"/>
        <v/>
      </c>
      <c r="D115" s="901" t="str">
        <f t="shared" ref="D115" si="47">D60</f>
        <v/>
      </c>
      <c r="E115" s="902" t="str">
        <f t="shared" ref="E115" si="48">E60</f>
        <v/>
      </c>
      <c r="F115" s="2163" t="str">
        <f t="shared" si="24"/>
        <v/>
      </c>
      <c r="G115" s="2164"/>
      <c r="H115" s="843"/>
      <c r="I115" s="843"/>
      <c r="J115" s="843"/>
      <c r="K115" s="843"/>
      <c r="L115" s="843"/>
      <c r="M115" s="843"/>
      <c r="N115" s="843"/>
      <c r="O115" s="843"/>
      <c r="P115" s="843"/>
      <c r="Q115" s="843"/>
      <c r="R115" s="843"/>
      <c r="S115" s="843"/>
      <c r="T115" s="843"/>
      <c r="U115" s="843"/>
      <c r="V115" s="843"/>
      <c r="W115" s="843"/>
      <c r="X115" s="841"/>
      <c r="Y115" s="841"/>
      <c r="Z115" s="841"/>
      <c r="AA115" s="842"/>
      <c r="AB115" s="842"/>
      <c r="AC115" s="842"/>
      <c r="AD115" s="842"/>
      <c r="AE115" s="842"/>
      <c r="AF115" s="842"/>
      <c r="AG115" s="842"/>
      <c r="AH115" s="842"/>
      <c r="AI115" s="842"/>
      <c r="AJ115" s="842"/>
      <c r="AK115" s="842"/>
      <c r="AL115" s="842"/>
      <c r="AM115" s="842"/>
      <c r="AN115" s="842"/>
      <c r="AO115" s="842"/>
      <c r="AP115" s="842"/>
      <c r="AQ115" s="842"/>
      <c r="AR115" s="842"/>
      <c r="AS115" s="842"/>
      <c r="AT115" s="842"/>
      <c r="AU115" s="842"/>
      <c r="AV115" s="842"/>
      <c r="AW115" s="842"/>
      <c r="AX115" s="842"/>
      <c r="AY115" s="842"/>
      <c r="AZ115" s="842"/>
      <c r="BA115" s="842"/>
      <c r="BB115" s="842"/>
      <c r="BC115" s="842"/>
      <c r="BD115" s="842"/>
      <c r="BE115" s="842"/>
      <c r="BF115" s="842"/>
      <c r="BG115" s="842"/>
      <c r="BH115" s="842"/>
    </row>
    <row r="116" spans="1:60" ht="15.75">
      <c r="A116" s="842"/>
      <c r="B116" s="899" t="str">
        <f t="shared" si="19"/>
        <v/>
      </c>
      <c r="C116" s="900" t="str">
        <f t="shared" si="20"/>
        <v/>
      </c>
      <c r="D116" s="901" t="str">
        <f t="shared" ref="D116" si="49">D61</f>
        <v/>
      </c>
      <c r="E116" s="902" t="str">
        <f t="shared" ref="E116" si="50">E61</f>
        <v/>
      </c>
      <c r="F116" s="2163" t="str">
        <f t="shared" si="24"/>
        <v/>
      </c>
      <c r="G116" s="2164"/>
      <c r="H116" s="843"/>
      <c r="I116" s="843"/>
      <c r="J116" s="843"/>
      <c r="K116" s="843"/>
      <c r="L116" s="843"/>
      <c r="M116" s="843"/>
      <c r="N116" s="843"/>
      <c r="O116" s="843"/>
      <c r="P116" s="843"/>
      <c r="Q116" s="843"/>
      <c r="R116" s="843"/>
      <c r="S116" s="843"/>
      <c r="T116" s="843"/>
      <c r="U116" s="843"/>
      <c r="V116" s="843"/>
      <c r="W116" s="843"/>
      <c r="X116" s="841"/>
      <c r="Y116" s="841"/>
      <c r="Z116" s="841"/>
      <c r="AA116" s="842"/>
      <c r="AB116" s="842"/>
      <c r="AC116" s="842"/>
      <c r="AD116" s="842"/>
      <c r="AE116" s="842"/>
      <c r="AF116" s="842"/>
      <c r="AG116" s="842"/>
      <c r="AH116" s="842"/>
      <c r="AI116" s="842"/>
      <c r="AJ116" s="842"/>
      <c r="AK116" s="842"/>
      <c r="AL116" s="842"/>
      <c r="AM116" s="842"/>
      <c r="AN116" s="842"/>
      <c r="AO116" s="842"/>
      <c r="AP116" s="842"/>
      <c r="AQ116" s="842"/>
      <c r="AR116" s="842"/>
      <c r="AS116" s="842"/>
      <c r="AT116" s="842"/>
      <c r="AU116" s="842"/>
      <c r="AV116" s="842"/>
      <c r="AW116" s="842"/>
      <c r="AX116" s="842"/>
      <c r="AY116" s="842"/>
      <c r="AZ116" s="842"/>
      <c r="BA116" s="842"/>
      <c r="BB116" s="842"/>
      <c r="BC116" s="842"/>
      <c r="BD116" s="842"/>
      <c r="BE116" s="842"/>
      <c r="BF116" s="842"/>
      <c r="BG116" s="842"/>
      <c r="BH116" s="842"/>
    </row>
    <row r="117" spans="1:60" ht="15.75">
      <c r="A117" s="842"/>
      <c r="B117" s="899" t="str">
        <f t="shared" si="19"/>
        <v/>
      </c>
      <c r="C117" s="900" t="str">
        <f t="shared" si="20"/>
        <v/>
      </c>
      <c r="D117" s="901" t="str">
        <f t="shared" ref="D117" si="51">D62</f>
        <v/>
      </c>
      <c r="E117" s="902" t="str">
        <f t="shared" ref="E117" si="52">E62</f>
        <v/>
      </c>
      <c r="F117" s="2163" t="str">
        <f t="shared" si="24"/>
        <v/>
      </c>
      <c r="G117" s="2164"/>
      <c r="H117" s="843"/>
      <c r="I117" s="843"/>
      <c r="J117" s="843"/>
      <c r="K117" s="843"/>
      <c r="L117" s="843"/>
      <c r="M117" s="843"/>
      <c r="N117" s="843"/>
      <c r="O117" s="843"/>
      <c r="P117" s="843"/>
      <c r="Q117" s="843"/>
      <c r="R117" s="843"/>
      <c r="S117" s="843"/>
      <c r="T117" s="843"/>
      <c r="U117" s="843"/>
      <c r="V117" s="843"/>
      <c r="W117" s="843"/>
      <c r="X117" s="841"/>
      <c r="Y117" s="841"/>
      <c r="Z117" s="841"/>
      <c r="AA117" s="842"/>
      <c r="AB117" s="842"/>
      <c r="AC117" s="842"/>
      <c r="AD117" s="842"/>
      <c r="AE117" s="842"/>
      <c r="AF117" s="842"/>
      <c r="AG117" s="842"/>
      <c r="AH117" s="842"/>
      <c r="AI117" s="842"/>
      <c r="AJ117" s="842"/>
      <c r="AK117" s="842"/>
      <c r="AL117" s="842"/>
      <c r="AM117" s="842"/>
      <c r="AN117" s="842"/>
      <c r="AO117" s="842"/>
      <c r="AP117" s="842"/>
      <c r="AQ117" s="842"/>
      <c r="AR117" s="842"/>
      <c r="AS117" s="842"/>
      <c r="AT117" s="842"/>
      <c r="AU117" s="842"/>
      <c r="AV117" s="842"/>
      <c r="AW117" s="842"/>
      <c r="AX117" s="842"/>
      <c r="AY117" s="842"/>
      <c r="AZ117" s="842"/>
      <c r="BA117" s="842"/>
      <c r="BB117" s="842"/>
      <c r="BC117" s="842"/>
      <c r="BD117" s="842"/>
      <c r="BE117" s="842"/>
      <c r="BF117" s="842"/>
      <c r="BG117" s="842"/>
      <c r="BH117" s="842"/>
    </row>
    <row r="118" spans="1:60" ht="15.75">
      <c r="A118" s="842"/>
      <c r="B118" s="899" t="str">
        <f t="shared" si="19"/>
        <v/>
      </c>
      <c r="C118" s="900" t="str">
        <f t="shared" si="20"/>
        <v/>
      </c>
      <c r="D118" s="901" t="str">
        <f t="shared" ref="D118" si="53">D63</f>
        <v/>
      </c>
      <c r="E118" s="902" t="str">
        <f t="shared" ref="E118" si="54">E63</f>
        <v/>
      </c>
      <c r="F118" s="2163" t="str">
        <f t="shared" si="24"/>
        <v/>
      </c>
      <c r="G118" s="2164"/>
      <c r="H118" s="843"/>
      <c r="I118" s="843"/>
      <c r="J118" s="843"/>
      <c r="K118" s="843"/>
      <c r="L118" s="843"/>
      <c r="M118" s="843"/>
      <c r="N118" s="843"/>
      <c r="O118" s="843"/>
      <c r="P118" s="843"/>
      <c r="Q118" s="843"/>
      <c r="R118" s="843"/>
      <c r="S118" s="843"/>
      <c r="T118" s="843"/>
      <c r="U118" s="843"/>
      <c r="V118" s="843"/>
      <c r="W118" s="843"/>
      <c r="X118" s="841"/>
      <c r="Y118" s="841"/>
      <c r="Z118" s="841"/>
      <c r="AA118" s="842"/>
      <c r="AB118" s="842"/>
      <c r="AC118" s="842"/>
      <c r="AD118" s="842"/>
      <c r="AE118" s="842"/>
      <c r="AF118" s="842"/>
      <c r="AG118" s="842"/>
      <c r="AH118" s="842"/>
      <c r="AI118" s="842"/>
      <c r="AJ118" s="842"/>
      <c r="AK118" s="842"/>
      <c r="AL118" s="842"/>
      <c r="AM118" s="842"/>
      <c r="AN118" s="842"/>
      <c r="AO118" s="842"/>
      <c r="AP118" s="842"/>
      <c r="AQ118" s="842"/>
      <c r="AR118" s="842"/>
      <c r="AS118" s="842"/>
      <c r="AT118" s="842"/>
      <c r="AU118" s="842"/>
      <c r="AV118" s="842"/>
      <c r="AW118" s="842"/>
      <c r="AX118" s="842"/>
      <c r="AY118" s="842"/>
      <c r="AZ118" s="842"/>
      <c r="BA118" s="842"/>
      <c r="BB118" s="842"/>
      <c r="BC118" s="842"/>
      <c r="BD118" s="842"/>
      <c r="BE118" s="842"/>
      <c r="BF118" s="842"/>
      <c r="BG118" s="842"/>
      <c r="BH118" s="842"/>
    </row>
    <row r="119" spans="1:60" ht="15.75">
      <c r="A119" s="842"/>
      <c r="B119" s="899" t="str">
        <f t="shared" si="19"/>
        <v/>
      </c>
      <c r="C119" s="900" t="str">
        <f t="shared" si="20"/>
        <v/>
      </c>
      <c r="D119" s="901" t="str">
        <f t="shared" ref="D119" si="55">D64</f>
        <v/>
      </c>
      <c r="E119" s="902" t="str">
        <f t="shared" ref="E119" si="56">E64</f>
        <v/>
      </c>
      <c r="F119" s="2163" t="str">
        <f t="shared" si="24"/>
        <v/>
      </c>
      <c r="G119" s="2164"/>
      <c r="H119" s="843"/>
      <c r="I119" s="843"/>
      <c r="J119" s="843"/>
      <c r="K119" s="843"/>
      <c r="L119" s="843"/>
      <c r="M119" s="843"/>
      <c r="N119" s="843"/>
      <c r="O119" s="843"/>
      <c r="P119" s="843"/>
      <c r="Q119" s="843"/>
      <c r="R119" s="843"/>
      <c r="S119" s="843"/>
      <c r="T119" s="843"/>
      <c r="U119" s="843"/>
      <c r="V119" s="843"/>
      <c r="W119" s="843"/>
      <c r="X119" s="841"/>
      <c r="Y119" s="841"/>
      <c r="Z119" s="841"/>
      <c r="AA119" s="842"/>
      <c r="AB119" s="842"/>
      <c r="AC119" s="842"/>
      <c r="AD119" s="842"/>
      <c r="AE119" s="842"/>
      <c r="AF119" s="842"/>
      <c r="AG119" s="842"/>
      <c r="AH119" s="842"/>
      <c r="AI119" s="842"/>
      <c r="AJ119" s="842"/>
      <c r="AK119" s="842"/>
      <c r="AL119" s="842"/>
      <c r="AM119" s="842"/>
      <c r="AN119" s="842"/>
      <c r="AO119" s="842"/>
      <c r="AP119" s="842"/>
      <c r="AQ119" s="842"/>
      <c r="AR119" s="842"/>
      <c r="AS119" s="842"/>
      <c r="AT119" s="842"/>
      <c r="AU119" s="842"/>
      <c r="AV119" s="842"/>
      <c r="AW119" s="842"/>
      <c r="AX119" s="842"/>
      <c r="AY119" s="842"/>
      <c r="AZ119" s="842"/>
      <c r="BA119" s="842"/>
      <c r="BB119" s="842"/>
      <c r="BC119" s="842"/>
      <c r="BD119" s="842"/>
      <c r="BE119" s="842"/>
      <c r="BF119" s="842"/>
      <c r="BG119" s="842"/>
      <c r="BH119" s="842"/>
    </row>
    <row r="120" spans="1:60" ht="15.75">
      <c r="A120" s="842"/>
      <c r="B120" s="899" t="str">
        <f t="shared" si="19"/>
        <v/>
      </c>
      <c r="C120" s="900" t="str">
        <f t="shared" si="20"/>
        <v/>
      </c>
      <c r="D120" s="901" t="str">
        <f t="shared" ref="D120" si="57">D65</f>
        <v/>
      </c>
      <c r="E120" s="902" t="str">
        <f t="shared" ref="E120" si="58">E65</f>
        <v/>
      </c>
      <c r="F120" s="2163" t="str">
        <f t="shared" si="24"/>
        <v/>
      </c>
      <c r="G120" s="2164"/>
      <c r="H120" s="843"/>
      <c r="I120" s="843"/>
      <c r="J120" s="843"/>
      <c r="K120" s="843"/>
      <c r="L120" s="843"/>
      <c r="M120" s="843"/>
      <c r="N120" s="843"/>
      <c r="O120" s="843"/>
      <c r="P120" s="843"/>
      <c r="Q120" s="843"/>
      <c r="R120" s="843"/>
      <c r="S120" s="843"/>
      <c r="T120" s="843"/>
      <c r="U120" s="843"/>
      <c r="V120" s="843"/>
      <c r="W120" s="843"/>
      <c r="X120" s="841"/>
      <c r="Y120" s="841"/>
      <c r="Z120" s="841"/>
      <c r="AA120" s="842"/>
      <c r="AB120" s="842"/>
      <c r="AC120" s="842"/>
      <c r="AD120" s="842"/>
      <c r="AE120" s="842"/>
      <c r="AF120" s="842"/>
      <c r="AG120" s="842"/>
      <c r="AH120" s="842"/>
      <c r="AI120" s="842"/>
      <c r="AJ120" s="842"/>
      <c r="AK120" s="842"/>
      <c r="AL120" s="842"/>
      <c r="AM120" s="842"/>
      <c r="AN120" s="842"/>
      <c r="AO120" s="842"/>
      <c r="AP120" s="842"/>
      <c r="AQ120" s="842"/>
      <c r="AR120" s="842"/>
      <c r="AS120" s="842"/>
      <c r="AT120" s="842"/>
      <c r="AU120" s="842"/>
      <c r="AV120" s="842"/>
      <c r="AW120" s="842"/>
      <c r="AX120" s="842"/>
      <c r="AY120" s="842"/>
      <c r="AZ120" s="842"/>
      <c r="BA120" s="842"/>
      <c r="BB120" s="842"/>
      <c r="BC120" s="842"/>
      <c r="BD120" s="842"/>
      <c r="BE120" s="842"/>
      <c r="BF120" s="842"/>
      <c r="BG120" s="842"/>
      <c r="BH120" s="842"/>
    </row>
    <row r="121" spans="1:60" ht="15.75">
      <c r="A121" s="842"/>
      <c r="B121" s="903" t="s">
        <v>1295</v>
      </c>
      <c r="C121" s="904">
        <f>SUM(C102:C120)</f>
        <v>1999.9999999999998</v>
      </c>
      <c r="D121" s="905">
        <f>SUM(D102:D120)</f>
        <v>0.99999999999999989</v>
      </c>
      <c r="E121" s="906">
        <f>E66</f>
        <v>1.9395964810372326</v>
      </c>
      <c r="F121" s="2171">
        <f>SUM(F102:G120)</f>
        <v>3879.1929620744409</v>
      </c>
      <c r="G121" s="2172"/>
      <c r="H121" s="843"/>
      <c r="I121" s="843"/>
      <c r="J121" s="843"/>
      <c r="K121" s="843"/>
      <c r="L121" s="843"/>
      <c r="M121" s="843"/>
      <c r="N121" s="843"/>
      <c r="O121" s="843"/>
      <c r="P121" s="843"/>
      <c r="Q121" s="843"/>
      <c r="R121" s="843"/>
      <c r="S121" s="843"/>
      <c r="T121" s="843"/>
      <c r="U121" s="843"/>
      <c r="V121" s="843"/>
      <c r="W121" s="843"/>
      <c r="X121" s="841"/>
      <c r="Y121" s="841"/>
      <c r="Z121" s="841"/>
      <c r="AA121" s="842"/>
      <c r="AB121" s="842"/>
      <c r="AC121" s="842"/>
      <c r="AD121" s="842"/>
      <c r="AE121" s="842"/>
      <c r="AF121" s="842"/>
      <c r="AG121" s="842"/>
      <c r="AH121" s="842"/>
      <c r="AI121" s="842"/>
      <c r="AJ121" s="842"/>
      <c r="AK121" s="842"/>
      <c r="AL121" s="842"/>
      <c r="AM121" s="842"/>
      <c r="AN121" s="842"/>
      <c r="AO121" s="842"/>
      <c r="AP121" s="842"/>
      <c r="AQ121" s="842"/>
      <c r="AR121" s="842"/>
      <c r="AS121" s="842"/>
      <c r="AT121" s="842"/>
      <c r="AU121" s="842"/>
      <c r="AV121" s="842"/>
      <c r="AW121" s="842"/>
      <c r="AX121" s="842"/>
      <c r="AY121" s="842"/>
      <c r="AZ121" s="842"/>
      <c r="BA121" s="842"/>
      <c r="BB121" s="842"/>
      <c r="BC121" s="842"/>
      <c r="BD121" s="842"/>
      <c r="BE121" s="842"/>
      <c r="BF121" s="842"/>
      <c r="BG121" s="842"/>
      <c r="BH121" s="842"/>
    </row>
    <row r="122" spans="1:60">
      <c r="A122" s="842"/>
      <c r="H122" s="842"/>
      <c r="I122" s="842"/>
      <c r="J122" s="842"/>
      <c r="K122" s="842"/>
      <c r="L122" s="842"/>
      <c r="M122" s="842"/>
      <c r="N122" s="842"/>
      <c r="O122" s="842"/>
      <c r="P122" s="842"/>
      <c r="Q122" s="842"/>
      <c r="R122" s="842"/>
      <c r="S122" s="842"/>
      <c r="T122" s="842"/>
      <c r="U122" s="842"/>
      <c r="V122" s="842"/>
      <c r="W122" s="842"/>
      <c r="X122" s="842"/>
      <c r="Y122" s="842"/>
      <c r="Z122" s="842"/>
      <c r="AA122" s="842"/>
      <c r="AB122" s="842"/>
      <c r="AC122" s="842"/>
      <c r="AD122" s="842"/>
      <c r="AE122" s="842"/>
      <c r="AF122" s="842"/>
      <c r="AG122" s="842"/>
      <c r="AH122" s="842"/>
      <c r="AI122" s="842"/>
      <c r="AJ122" s="842"/>
      <c r="AK122" s="842"/>
      <c r="AL122" s="842"/>
      <c r="AM122" s="842"/>
      <c r="AN122" s="842"/>
      <c r="AO122" s="842"/>
      <c r="AP122" s="842"/>
      <c r="AQ122" s="842"/>
      <c r="AR122" s="842"/>
      <c r="AS122" s="842"/>
      <c r="AT122" s="842"/>
      <c r="AU122" s="842"/>
      <c r="AV122" s="842"/>
      <c r="AW122" s="842"/>
      <c r="AX122" s="842"/>
      <c r="AY122" s="842"/>
      <c r="AZ122" s="842"/>
      <c r="BA122" s="842"/>
      <c r="BB122" s="842"/>
      <c r="BC122" s="842"/>
      <c r="BD122" s="842"/>
      <c r="BE122" s="842"/>
      <c r="BF122" s="842"/>
      <c r="BG122" s="842"/>
      <c r="BH122" s="842"/>
    </row>
    <row r="123" spans="1:60" ht="15" thickBot="1">
      <c r="A123" s="842"/>
      <c r="H123" s="842"/>
      <c r="I123" s="842"/>
      <c r="J123" s="842"/>
      <c r="K123" s="842"/>
      <c r="L123" s="842"/>
      <c r="M123" s="842"/>
      <c r="N123" s="842"/>
      <c r="O123" s="842"/>
      <c r="P123" s="842"/>
      <c r="Q123" s="842"/>
      <c r="R123" s="842"/>
      <c r="S123" s="842"/>
      <c r="T123" s="842"/>
      <c r="U123" s="842"/>
      <c r="V123" s="842"/>
      <c r="W123" s="842"/>
      <c r="X123" s="842"/>
      <c r="Y123" s="842"/>
      <c r="Z123" s="842"/>
      <c r="AA123" s="842"/>
      <c r="AB123" s="842"/>
      <c r="AC123" s="842"/>
      <c r="AD123" s="842"/>
      <c r="AE123" s="842"/>
      <c r="AF123" s="842"/>
      <c r="AG123" s="842"/>
      <c r="AH123" s="842"/>
      <c r="AI123" s="842"/>
      <c r="AJ123" s="842"/>
      <c r="AK123" s="842"/>
      <c r="AL123" s="842"/>
      <c r="AM123" s="842"/>
      <c r="AN123" s="842"/>
      <c r="AO123" s="842"/>
      <c r="AP123" s="842"/>
      <c r="AQ123" s="842"/>
      <c r="AR123" s="842"/>
      <c r="AS123" s="842"/>
      <c r="AT123" s="842"/>
      <c r="AU123" s="842"/>
      <c r="AV123" s="842"/>
      <c r="AW123" s="842"/>
      <c r="AX123" s="842"/>
      <c r="AY123" s="842"/>
      <c r="AZ123" s="842"/>
      <c r="BA123" s="842"/>
      <c r="BB123" s="842"/>
      <c r="BC123" s="842"/>
      <c r="BD123" s="842"/>
      <c r="BE123" s="842"/>
      <c r="BF123" s="842"/>
      <c r="BG123" s="842"/>
      <c r="BH123" s="842"/>
    </row>
    <row r="124" spans="1:60">
      <c r="A124" s="842"/>
      <c r="B124" s="907"/>
      <c r="C124" s="908"/>
      <c r="D124" s="908"/>
      <c r="E124" s="908"/>
      <c r="F124" s="908"/>
      <c r="G124" s="909"/>
      <c r="H124" s="842"/>
      <c r="I124" s="842"/>
      <c r="J124" s="842"/>
      <c r="K124" s="842"/>
      <c r="L124" s="842"/>
      <c r="M124" s="842"/>
      <c r="N124" s="842"/>
      <c r="O124" s="842"/>
      <c r="P124" s="842"/>
      <c r="Q124" s="842"/>
      <c r="R124" s="842"/>
      <c r="S124" s="842"/>
      <c r="T124" s="842"/>
      <c r="U124" s="842"/>
      <c r="V124" s="842"/>
      <c r="W124" s="842"/>
      <c r="X124" s="842"/>
      <c r="Y124" s="842"/>
      <c r="Z124" s="842"/>
      <c r="AA124" s="842"/>
      <c r="AB124" s="842"/>
      <c r="AC124" s="842"/>
      <c r="AD124" s="842"/>
      <c r="AE124" s="842"/>
      <c r="AF124" s="842"/>
      <c r="AG124" s="842"/>
      <c r="AH124" s="842"/>
      <c r="AI124" s="842"/>
      <c r="AJ124" s="842"/>
      <c r="AK124" s="842"/>
      <c r="AL124" s="842"/>
      <c r="AM124" s="842"/>
      <c r="AN124" s="842"/>
      <c r="AO124" s="842"/>
      <c r="AP124" s="842"/>
      <c r="AQ124" s="842"/>
      <c r="AR124" s="842"/>
      <c r="AS124" s="842"/>
      <c r="AT124" s="842"/>
      <c r="AU124" s="842"/>
      <c r="AV124" s="842"/>
      <c r="AW124" s="842"/>
      <c r="AX124" s="842"/>
      <c r="AY124" s="842"/>
      <c r="AZ124" s="842"/>
      <c r="BA124" s="842"/>
      <c r="BB124" s="842"/>
      <c r="BC124" s="842"/>
      <c r="BD124" s="842"/>
      <c r="BE124" s="842"/>
      <c r="BF124" s="842"/>
      <c r="BG124" s="842"/>
      <c r="BH124" s="842"/>
    </row>
    <row r="125" spans="1:60" ht="15">
      <c r="A125" s="842"/>
      <c r="B125" s="2173" t="s">
        <v>1344</v>
      </c>
      <c r="C125" s="2174"/>
      <c r="D125" s="2174"/>
      <c r="E125" s="2174"/>
      <c r="F125" s="2174"/>
      <c r="G125" s="2175"/>
      <c r="H125" s="842"/>
      <c r="I125" s="842"/>
      <c r="J125" s="842"/>
      <c r="K125" s="842"/>
      <c r="L125" s="842"/>
      <c r="M125" s="842"/>
      <c r="N125" s="842"/>
      <c r="O125" s="842"/>
      <c r="P125" s="842"/>
      <c r="Q125" s="842"/>
      <c r="R125" s="842"/>
      <c r="S125" s="842"/>
      <c r="T125" s="842"/>
      <c r="U125" s="842"/>
      <c r="V125" s="842"/>
      <c r="W125" s="842"/>
      <c r="X125" s="842"/>
      <c r="Y125" s="842"/>
      <c r="Z125" s="842"/>
      <c r="AA125" s="842"/>
      <c r="AB125" s="842"/>
      <c r="AC125" s="842"/>
      <c r="AD125" s="842"/>
      <c r="AE125" s="842"/>
      <c r="AF125" s="842"/>
      <c r="AG125" s="842"/>
      <c r="AH125" s="842"/>
      <c r="AI125" s="842"/>
      <c r="AJ125" s="842"/>
      <c r="AK125" s="842"/>
      <c r="AL125" s="842"/>
      <c r="AM125" s="842"/>
      <c r="AN125" s="842"/>
      <c r="AO125" s="842"/>
      <c r="AP125" s="842"/>
      <c r="AQ125" s="842"/>
      <c r="AR125" s="842"/>
      <c r="AS125" s="842"/>
      <c r="AT125" s="842"/>
      <c r="AU125" s="842"/>
      <c r="AV125" s="842"/>
      <c r="AW125" s="842"/>
      <c r="AX125" s="842"/>
      <c r="AY125" s="842"/>
      <c r="AZ125" s="842"/>
      <c r="BA125" s="842"/>
      <c r="BB125" s="842"/>
      <c r="BC125" s="842"/>
      <c r="BD125" s="842"/>
      <c r="BE125" s="842"/>
      <c r="BF125" s="842"/>
      <c r="BG125" s="842"/>
      <c r="BH125" s="842"/>
    </row>
    <row r="126" spans="1:60">
      <c r="A126" s="842"/>
      <c r="B126" s="2176"/>
      <c r="C126" s="2177"/>
      <c r="D126" s="2177"/>
      <c r="E126" s="2177"/>
      <c r="F126" s="2177"/>
      <c r="G126" s="2178"/>
      <c r="H126" s="842"/>
      <c r="I126" s="842"/>
      <c r="J126" s="842"/>
      <c r="K126" s="842"/>
      <c r="L126" s="842"/>
      <c r="M126" s="842"/>
      <c r="N126" s="842"/>
      <c r="O126" s="842"/>
      <c r="P126" s="842"/>
      <c r="Q126" s="842"/>
      <c r="R126" s="842"/>
      <c r="S126" s="842"/>
      <c r="T126" s="842"/>
      <c r="U126" s="842"/>
      <c r="V126" s="842"/>
      <c r="W126" s="842"/>
      <c r="X126" s="842"/>
      <c r="Y126" s="842"/>
      <c r="Z126" s="842"/>
      <c r="AA126" s="842"/>
      <c r="AB126" s="842"/>
      <c r="AC126" s="842"/>
      <c r="AD126" s="842"/>
      <c r="AE126" s="842"/>
      <c r="AF126" s="842"/>
      <c r="AG126" s="842"/>
      <c r="AH126" s="842"/>
      <c r="AI126" s="842"/>
      <c r="AJ126" s="842"/>
      <c r="AK126" s="842"/>
      <c r="AL126" s="842"/>
      <c r="AM126" s="842"/>
      <c r="AN126" s="842"/>
      <c r="AO126" s="842"/>
      <c r="AP126" s="842"/>
      <c r="AQ126" s="842"/>
      <c r="AR126" s="842"/>
      <c r="AS126" s="842"/>
      <c r="AT126" s="842"/>
      <c r="AU126" s="842"/>
      <c r="AV126" s="842"/>
      <c r="AW126" s="842"/>
      <c r="AX126" s="842"/>
      <c r="AY126" s="842"/>
      <c r="AZ126" s="842"/>
      <c r="BA126" s="842"/>
      <c r="BB126" s="842"/>
      <c r="BC126" s="842"/>
      <c r="BD126" s="842"/>
      <c r="BE126" s="842"/>
      <c r="BF126" s="842"/>
      <c r="BG126" s="842"/>
      <c r="BH126" s="842"/>
    </row>
    <row r="127" spans="1:60">
      <c r="A127" s="842"/>
      <c r="B127" s="2167"/>
      <c r="C127" s="2168"/>
      <c r="D127" s="2168"/>
      <c r="E127" s="2168"/>
      <c r="F127" s="2168"/>
      <c r="G127" s="2169"/>
      <c r="H127" s="842"/>
      <c r="I127" s="842"/>
      <c r="J127" s="842"/>
      <c r="K127" s="842"/>
      <c r="L127" s="842"/>
      <c r="M127" s="842"/>
      <c r="N127" s="842"/>
      <c r="O127" s="842"/>
      <c r="P127" s="842"/>
      <c r="Q127" s="842"/>
      <c r="R127" s="842"/>
      <c r="S127" s="842"/>
      <c r="T127" s="842"/>
      <c r="U127" s="842"/>
      <c r="V127" s="842"/>
      <c r="W127" s="842"/>
      <c r="X127" s="842"/>
      <c r="Y127" s="842"/>
      <c r="Z127" s="842"/>
      <c r="AA127" s="842"/>
      <c r="AB127" s="842"/>
      <c r="AC127" s="842"/>
      <c r="AD127" s="842"/>
      <c r="AE127" s="842"/>
      <c r="AF127" s="842"/>
      <c r="AG127" s="842"/>
      <c r="AH127" s="842"/>
      <c r="AI127" s="842"/>
      <c r="AJ127" s="842"/>
      <c r="AK127" s="842"/>
      <c r="AL127" s="842"/>
      <c r="AM127" s="842"/>
      <c r="AN127" s="842"/>
      <c r="AO127" s="842"/>
      <c r="AP127" s="842"/>
      <c r="AQ127" s="842"/>
      <c r="AR127" s="842"/>
      <c r="AS127" s="842"/>
      <c r="AT127" s="842"/>
      <c r="AU127" s="842"/>
      <c r="AV127" s="842"/>
      <c r="AW127" s="842"/>
      <c r="AX127" s="842"/>
      <c r="AY127" s="842"/>
      <c r="AZ127" s="842"/>
      <c r="BA127" s="842"/>
      <c r="BB127" s="842"/>
      <c r="BC127" s="842"/>
      <c r="BD127" s="842"/>
      <c r="BE127" s="842"/>
      <c r="BF127" s="842"/>
      <c r="BG127" s="842"/>
      <c r="BH127" s="842"/>
    </row>
    <row r="128" spans="1:60">
      <c r="A128" s="842"/>
      <c r="B128" s="2167"/>
      <c r="C128" s="2168"/>
      <c r="D128" s="2168"/>
      <c r="E128" s="2168"/>
      <c r="F128" s="2168"/>
      <c r="G128" s="2169"/>
      <c r="H128" s="842"/>
      <c r="I128" s="842"/>
      <c r="J128" s="842"/>
      <c r="K128" s="842"/>
      <c r="L128" s="842"/>
      <c r="M128" s="842"/>
      <c r="N128" s="842"/>
      <c r="O128" s="842"/>
      <c r="P128" s="842"/>
      <c r="Q128" s="842"/>
      <c r="R128" s="842"/>
      <c r="S128" s="842"/>
      <c r="T128" s="842"/>
      <c r="U128" s="842"/>
      <c r="V128" s="842"/>
      <c r="W128" s="842"/>
      <c r="X128" s="842"/>
      <c r="Y128" s="842"/>
      <c r="Z128" s="842"/>
      <c r="AA128" s="842"/>
      <c r="AB128" s="842"/>
      <c r="AC128" s="842"/>
      <c r="AD128" s="842"/>
      <c r="AE128" s="842"/>
      <c r="AF128" s="842"/>
      <c r="AG128" s="842"/>
      <c r="AH128" s="842"/>
      <c r="AI128" s="842"/>
      <c r="AJ128" s="842"/>
      <c r="AK128" s="842"/>
      <c r="AL128" s="842"/>
      <c r="AM128" s="842"/>
      <c r="AN128" s="842"/>
      <c r="AO128" s="842"/>
      <c r="AP128" s="842"/>
      <c r="AQ128" s="842"/>
      <c r="AR128" s="842"/>
      <c r="AS128" s="842"/>
      <c r="AT128" s="842"/>
      <c r="AU128" s="842"/>
      <c r="AV128" s="842"/>
      <c r="AW128" s="842"/>
      <c r="AX128" s="842"/>
      <c r="AY128" s="842"/>
      <c r="AZ128" s="842"/>
      <c r="BA128" s="842"/>
      <c r="BB128" s="842"/>
      <c r="BC128" s="842"/>
      <c r="BD128" s="842"/>
      <c r="BE128" s="842"/>
      <c r="BF128" s="842"/>
      <c r="BG128" s="842"/>
      <c r="BH128" s="842"/>
    </row>
    <row r="129" spans="1:60">
      <c r="A129" s="842"/>
      <c r="B129" s="2167"/>
      <c r="C129" s="2168"/>
      <c r="D129" s="2168"/>
      <c r="E129" s="2168"/>
      <c r="F129" s="2168"/>
      <c r="G129" s="2169"/>
      <c r="H129" s="842"/>
      <c r="I129" s="842"/>
      <c r="J129" s="842"/>
      <c r="K129" s="842"/>
      <c r="L129" s="842"/>
      <c r="M129" s="842"/>
      <c r="N129" s="842"/>
      <c r="O129" s="842"/>
      <c r="P129" s="842"/>
      <c r="Q129" s="842"/>
      <c r="R129" s="842"/>
      <c r="S129" s="842"/>
      <c r="T129" s="842"/>
      <c r="U129" s="842"/>
      <c r="V129" s="842"/>
      <c r="W129" s="842"/>
      <c r="X129" s="842"/>
      <c r="Y129" s="842"/>
      <c r="Z129" s="842"/>
      <c r="AA129" s="842"/>
      <c r="AB129" s="842"/>
      <c r="AC129" s="842"/>
      <c r="AD129" s="842"/>
      <c r="AE129" s="842"/>
      <c r="AF129" s="842"/>
      <c r="AG129" s="842"/>
      <c r="AH129" s="842"/>
      <c r="AI129" s="842"/>
      <c r="AJ129" s="842"/>
      <c r="AK129" s="842"/>
      <c r="AL129" s="842"/>
      <c r="AM129" s="842"/>
      <c r="AN129" s="842"/>
      <c r="AO129" s="842"/>
      <c r="AP129" s="842"/>
      <c r="AQ129" s="842"/>
      <c r="AR129" s="842"/>
      <c r="AS129" s="842"/>
      <c r="AT129" s="842"/>
      <c r="AU129" s="842"/>
      <c r="AV129" s="842"/>
      <c r="AW129" s="842"/>
      <c r="AX129" s="842"/>
      <c r="AY129" s="842"/>
      <c r="AZ129" s="842"/>
      <c r="BA129" s="842"/>
      <c r="BB129" s="842"/>
      <c r="BC129" s="842"/>
      <c r="BD129" s="842"/>
      <c r="BE129" s="842"/>
      <c r="BF129" s="842"/>
      <c r="BG129" s="842"/>
      <c r="BH129" s="842"/>
    </row>
    <row r="130" spans="1:60">
      <c r="A130" s="842"/>
      <c r="B130" s="2167"/>
      <c r="C130" s="2168"/>
      <c r="D130" s="2168"/>
      <c r="E130" s="2168"/>
      <c r="F130" s="2168"/>
      <c r="G130" s="2169"/>
      <c r="H130" s="842"/>
      <c r="I130" s="842"/>
      <c r="J130" s="842"/>
      <c r="K130" s="842"/>
      <c r="L130" s="842"/>
      <c r="M130" s="842"/>
      <c r="N130" s="842"/>
      <c r="O130" s="842"/>
      <c r="P130" s="842"/>
      <c r="Q130" s="842"/>
      <c r="R130" s="842"/>
      <c r="S130" s="842"/>
      <c r="T130" s="842"/>
      <c r="U130" s="842"/>
      <c r="V130" s="842"/>
      <c r="W130" s="842"/>
      <c r="X130" s="842"/>
      <c r="Y130" s="842"/>
      <c r="Z130" s="842"/>
      <c r="AA130" s="842"/>
      <c r="AB130" s="842"/>
      <c r="AC130" s="842"/>
      <c r="AD130" s="842"/>
      <c r="AE130" s="842"/>
      <c r="AF130" s="842"/>
      <c r="AG130" s="842"/>
      <c r="AH130" s="842"/>
      <c r="AI130" s="842"/>
      <c r="AJ130" s="842"/>
      <c r="AK130" s="842"/>
      <c r="AL130" s="842"/>
      <c r="AM130" s="842"/>
      <c r="AN130" s="842"/>
      <c r="AO130" s="842"/>
      <c r="AP130" s="842"/>
      <c r="AQ130" s="842"/>
      <c r="AR130" s="842"/>
      <c r="AS130" s="842"/>
      <c r="AT130" s="842"/>
      <c r="AU130" s="842"/>
      <c r="AV130" s="842"/>
      <c r="AW130" s="842"/>
      <c r="AX130" s="842"/>
      <c r="AY130" s="842"/>
      <c r="AZ130" s="842"/>
      <c r="BA130" s="842"/>
      <c r="BB130" s="842"/>
      <c r="BC130" s="842"/>
      <c r="BD130" s="842"/>
      <c r="BE130" s="842"/>
      <c r="BF130" s="842"/>
      <c r="BG130" s="842"/>
      <c r="BH130" s="842"/>
    </row>
    <row r="131" spans="1:60">
      <c r="A131" s="842"/>
      <c r="B131" s="2167"/>
      <c r="C131" s="2168"/>
      <c r="D131" s="2168"/>
      <c r="E131" s="2168"/>
      <c r="F131" s="2168"/>
      <c r="G131" s="2169"/>
      <c r="H131" s="842"/>
      <c r="I131" s="842"/>
      <c r="J131" s="842"/>
      <c r="K131" s="842"/>
      <c r="L131" s="842"/>
      <c r="M131" s="842"/>
      <c r="N131" s="842"/>
      <c r="O131" s="842"/>
      <c r="P131" s="842"/>
      <c r="Q131" s="842"/>
      <c r="R131" s="842"/>
      <c r="S131" s="842"/>
      <c r="T131" s="842"/>
      <c r="U131" s="842"/>
      <c r="V131" s="842"/>
      <c r="W131" s="842"/>
      <c r="X131" s="842"/>
      <c r="Y131" s="842"/>
      <c r="Z131" s="842"/>
      <c r="AA131" s="842"/>
      <c r="AB131" s="842"/>
      <c r="AC131" s="842"/>
      <c r="AD131" s="842"/>
      <c r="AE131" s="842"/>
      <c r="AF131" s="842"/>
      <c r="AG131" s="842"/>
      <c r="AH131" s="842"/>
      <c r="AI131" s="842"/>
      <c r="AJ131" s="842"/>
      <c r="AK131" s="842"/>
      <c r="AL131" s="842"/>
      <c r="AM131" s="842"/>
      <c r="AN131" s="842"/>
      <c r="AO131" s="842"/>
      <c r="AP131" s="842"/>
      <c r="AQ131" s="842"/>
      <c r="AR131" s="842"/>
      <c r="AS131" s="842"/>
      <c r="AT131" s="842"/>
      <c r="AU131" s="842"/>
      <c r="AV131" s="842"/>
      <c r="AW131" s="842"/>
      <c r="AX131" s="842"/>
      <c r="AY131" s="842"/>
      <c r="AZ131" s="842"/>
      <c r="BA131" s="842"/>
      <c r="BB131" s="842"/>
      <c r="BC131" s="842"/>
      <c r="BD131" s="842"/>
      <c r="BE131" s="842"/>
      <c r="BF131" s="842"/>
      <c r="BG131" s="842"/>
      <c r="BH131" s="842"/>
    </row>
    <row r="132" spans="1:60">
      <c r="A132" s="842"/>
      <c r="B132" s="2167"/>
      <c r="C132" s="2168"/>
      <c r="D132" s="2168"/>
      <c r="E132" s="2168"/>
      <c r="F132" s="2168"/>
      <c r="G132" s="2169"/>
      <c r="H132" s="842"/>
      <c r="I132" s="842"/>
      <c r="J132" s="842"/>
      <c r="K132" s="842"/>
      <c r="L132" s="842"/>
      <c r="M132" s="842"/>
      <c r="N132" s="842"/>
      <c r="O132" s="842"/>
      <c r="P132" s="842"/>
      <c r="Q132" s="842"/>
      <c r="R132" s="842"/>
      <c r="S132" s="842"/>
      <c r="T132" s="842"/>
      <c r="U132" s="842"/>
      <c r="V132" s="842"/>
      <c r="W132" s="842"/>
      <c r="X132" s="842"/>
      <c r="Y132" s="842"/>
      <c r="Z132" s="842"/>
      <c r="AA132" s="842"/>
      <c r="AB132" s="842"/>
      <c r="AC132" s="842"/>
      <c r="AD132" s="842"/>
      <c r="AE132" s="842"/>
      <c r="AF132" s="842"/>
      <c r="AG132" s="842"/>
      <c r="AH132" s="842"/>
      <c r="AI132" s="842"/>
      <c r="AJ132" s="842"/>
      <c r="AK132" s="842"/>
      <c r="AL132" s="842"/>
      <c r="AM132" s="842"/>
      <c r="AN132" s="842"/>
      <c r="AO132" s="842"/>
      <c r="AP132" s="842"/>
      <c r="AQ132" s="842"/>
      <c r="AR132" s="842"/>
      <c r="AS132" s="842"/>
      <c r="AT132" s="842"/>
      <c r="AU132" s="842"/>
      <c r="AV132" s="842"/>
      <c r="AW132" s="842"/>
      <c r="AX132" s="842"/>
      <c r="AY132" s="842"/>
      <c r="AZ132" s="842"/>
      <c r="BA132" s="842"/>
      <c r="BB132" s="842"/>
      <c r="BC132" s="842"/>
      <c r="BD132" s="842"/>
      <c r="BE132" s="842"/>
      <c r="BF132" s="842"/>
      <c r="BG132" s="842"/>
      <c r="BH132" s="842"/>
    </row>
    <row r="133" spans="1:60">
      <c r="A133" s="842"/>
      <c r="B133" s="2167"/>
      <c r="C133" s="2168"/>
      <c r="D133" s="2168"/>
      <c r="E133" s="2168"/>
      <c r="F133" s="2168"/>
      <c r="G133" s="2169"/>
      <c r="H133" s="842"/>
      <c r="I133" s="842"/>
      <c r="J133" s="842"/>
      <c r="K133" s="842"/>
      <c r="L133" s="842"/>
      <c r="M133" s="842"/>
      <c r="N133" s="842"/>
      <c r="O133" s="842"/>
      <c r="P133" s="842"/>
      <c r="Q133" s="842"/>
      <c r="R133" s="842"/>
      <c r="S133" s="842"/>
      <c r="T133" s="842"/>
      <c r="U133" s="842"/>
      <c r="V133" s="842"/>
      <c r="W133" s="842"/>
      <c r="X133" s="842"/>
      <c r="Y133" s="842"/>
      <c r="Z133" s="842"/>
      <c r="AA133" s="842"/>
      <c r="AB133" s="842"/>
      <c r="AC133" s="842"/>
      <c r="AD133" s="842"/>
      <c r="AE133" s="842"/>
      <c r="AF133" s="842"/>
      <c r="AG133" s="842"/>
      <c r="AH133" s="842"/>
      <c r="AI133" s="842"/>
      <c r="AJ133" s="842"/>
      <c r="AK133" s="842"/>
      <c r="AL133" s="842"/>
      <c r="AM133" s="842"/>
      <c r="AN133" s="842"/>
      <c r="AO133" s="842"/>
      <c r="AP133" s="842"/>
      <c r="AQ133" s="842"/>
      <c r="AR133" s="842"/>
      <c r="AS133" s="842"/>
      <c r="AT133" s="842"/>
      <c r="AU133" s="842"/>
      <c r="AV133" s="842"/>
      <c r="AW133" s="842"/>
      <c r="AX133" s="842"/>
      <c r="AY133" s="842"/>
      <c r="AZ133" s="842"/>
      <c r="BA133" s="842"/>
      <c r="BB133" s="842"/>
      <c r="BC133" s="842"/>
      <c r="BD133" s="842"/>
      <c r="BE133" s="842"/>
      <c r="BF133" s="842"/>
      <c r="BG133" s="842"/>
      <c r="BH133" s="842"/>
    </row>
    <row r="134" spans="1:60">
      <c r="A134" s="842"/>
      <c r="B134" s="924"/>
      <c r="C134" s="511"/>
      <c r="D134" s="511"/>
      <c r="E134" s="511"/>
      <c r="F134" s="511"/>
      <c r="G134" s="925"/>
      <c r="H134" s="842"/>
      <c r="I134" s="842"/>
      <c r="J134" s="842"/>
      <c r="K134" s="842"/>
      <c r="L134" s="842"/>
      <c r="M134" s="842"/>
      <c r="N134" s="842"/>
      <c r="O134" s="842"/>
      <c r="P134" s="842"/>
      <c r="Q134" s="842"/>
      <c r="R134" s="842"/>
      <c r="S134" s="842"/>
      <c r="T134" s="842"/>
      <c r="U134" s="842"/>
      <c r="V134" s="842"/>
      <c r="W134" s="842"/>
      <c r="X134" s="842"/>
      <c r="Y134" s="842"/>
      <c r="Z134" s="842"/>
      <c r="AA134" s="842"/>
      <c r="AB134" s="842"/>
      <c r="AC134" s="842"/>
      <c r="AD134" s="842"/>
      <c r="AE134" s="842"/>
      <c r="AF134" s="842"/>
      <c r="AG134" s="842"/>
      <c r="AH134" s="842"/>
      <c r="AI134" s="842"/>
      <c r="AJ134" s="842"/>
      <c r="AK134" s="842"/>
      <c r="AL134" s="842"/>
      <c r="AM134" s="842"/>
      <c r="AN134" s="842"/>
      <c r="AO134" s="842"/>
      <c r="AP134" s="842"/>
      <c r="AQ134" s="842"/>
      <c r="AR134" s="842"/>
      <c r="AS134" s="842"/>
      <c r="AT134" s="842"/>
      <c r="AU134" s="842"/>
      <c r="AV134" s="842"/>
      <c r="AW134" s="842"/>
      <c r="AX134" s="842"/>
      <c r="AY134" s="842"/>
      <c r="AZ134" s="842"/>
      <c r="BA134" s="842"/>
      <c r="BB134" s="842"/>
      <c r="BC134" s="842"/>
      <c r="BD134" s="842"/>
      <c r="BE134" s="842"/>
      <c r="BF134" s="842"/>
      <c r="BG134" s="842"/>
      <c r="BH134" s="842"/>
    </row>
    <row r="135" spans="1:60">
      <c r="A135" s="842"/>
      <c r="B135" s="910"/>
      <c r="G135" s="911"/>
      <c r="H135" s="842"/>
      <c r="I135" s="842"/>
      <c r="J135" s="842"/>
      <c r="K135" s="842"/>
      <c r="L135" s="842"/>
      <c r="M135" s="842"/>
      <c r="N135" s="842"/>
      <c r="O135" s="842"/>
      <c r="P135" s="842"/>
      <c r="Q135" s="842"/>
      <c r="R135" s="842"/>
      <c r="S135" s="842"/>
      <c r="T135" s="842"/>
      <c r="U135" s="842"/>
      <c r="V135" s="842"/>
      <c r="W135" s="842"/>
      <c r="X135" s="842"/>
      <c r="Y135" s="842"/>
      <c r="Z135" s="842"/>
      <c r="AA135" s="842"/>
      <c r="AB135" s="842"/>
      <c r="AC135" s="842"/>
      <c r="AD135" s="842"/>
      <c r="AE135" s="842"/>
      <c r="AF135" s="842"/>
      <c r="AG135" s="842"/>
      <c r="AH135" s="842"/>
      <c r="AI135" s="842"/>
      <c r="AJ135" s="842"/>
      <c r="AK135" s="842"/>
      <c r="AL135" s="842"/>
      <c r="AM135" s="842"/>
      <c r="AN135" s="842"/>
      <c r="AO135" s="842"/>
      <c r="AP135" s="842"/>
      <c r="AQ135" s="842"/>
      <c r="AR135" s="842"/>
      <c r="AS135" s="842"/>
      <c r="AT135" s="842"/>
      <c r="AU135" s="842"/>
      <c r="AV135" s="842"/>
      <c r="AW135" s="842"/>
      <c r="AX135" s="842"/>
      <c r="AY135" s="842"/>
      <c r="AZ135" s="842"/>
      <c r="BA135" s="842"/>
      <c r="BB135" s="842"/>
      <c r="BC135" s="842"/>
      <c r="BD135" s="842"/>
      <c r="BE135" s="842"/>
      <c r="BF135" s="842"/>
      <c r="BG135" s="842"/>
      <c r="BH135" s="842"/>
    </row>
    <row r="136" spans="1:60">
      <c r="A136" s="842"/>
      <c r="B136" s="910"/>
      <c r="G136" s="911"/>
      <c r="H136" s="842"/>
      <c r="I136" s="842"/>
      <c r="J136" s="842"/>
      <c r="K136" s="842"/>
      <c r="L136" s="842"/>
      <c r="M136" s="842"/>
      <c r="N136" s="842"/>
      <c r="O136" s="842"/>
      <c r="P136" s="842"/>
      <c r="Q136" s="842"/>
      <c r="R136" s="842"/>
      <c r="S136" s="842"/>
      <c r="T136" s="842"/>
      <c r="U136" s="842"/>
      <c r="V136" s="842"/>
      <c r="W136" s="842"/>
      <c r="X136" s="842"/>
      <c r="Y136" s="842"/>
      <c r="Z136" s="842"/>
      <c r="AA136" s="842"/>
      <c r="AB136" s="842"/>
      <c r="AC136" s="842"/>
      <c r="AD136" s="842"/>
      <c r="AE136" s="842"/>
      <c r="AF136" s="842"/>
      <c r="AG136" s="842"/>
      <c r="AH136" s="842"/>
      <c r="AI136" s="842"/>
      <c r="AJ136" s="842"/>
      <c r="AK136" s="842"/>
      <c r="AL136" s="842"/>
      <c r="AM136" s="842"/>
      <c r="AN136" s="842"/>
      <c r="AO136" s="842"/>
      <c r="AP136" s="842"/>
      <c r="AQ136" s="842"/>
      <c r="AR136" s="842"/>
      <c r="AS136" s="842"/>
      <c r="AT136" s="842"/>
      <c r="AU136" s="842"/>
      <c r="AV136" s="842"/>
      <c r="AW136" s="842"/>
      <c r="AX136" s="842"/>
      <c r="AY136" s="842"/>
      <c r="AZ136" s="842"/>
      <c r="BA136" s="842"/>
      <c r="BB136" s="842"/>
      <c r="BC136" s="842"/>
      <c r="BD136" s="842"/>
      <c r="BE136" s="842"/>
      <c r="BF136" s="842"/>
      <c r="BG136" s="842"/>
      <c r="BH136" s="842"/>
    </row>
    <row r="137" spans="1:60">
      <c r="A137" s="842"/>
      <c r="B137" s="918" t="s">
        <v>1343</v>
      </c>
      <c r="C137" s="919"/>
      <c r="D137" s="919"/>
      <c r="E137" s="919"/>
      <c r="F137" s="919"/>
      <c r="G137" s="920"/>
      <c r="H137" s="842"/>
      <c r="I137" s="842"/>
      <c r="J137" s="842"/>
      <c r="K137" s="842"/>
      <c r="L137" s="842"/>
      <c r="M137" s="842"/>
      <c r="N137" s="842"/>
      <c r="O137" s="842"/>
      <c r="P137" s="842"/>
      <c r="Q137" s="842"/>
      <c r="R137" s="842"/>
      <c r="S137" s="842"/>
      <c r="T137" s="842"/>
      <c r="U137" s="842"/>
      <c r="V137" s="842"/>
      <c r="W137" s="842"/>
      <c r="X137" s="842"/>
      <c r="Y137" s="842"/>
      <c r="Z137" s="842"/>
      <c r="AA137" s="842"/>
      <c r="AB137" s="842"/>
      <c r="AC137" s="842"/>
      <c r="AD137" s="842"/>
      <c r="AE137" s="842"/>
      <c r="AF137" s="842"/>
      <c r="AG137" s="842"/>
      <c r="AH137" s="842"/>
      <c r="AI137" s="842"/>
      <c r="AJ137" s="842"/>
      <c r="AK137" s="842"/>
      <c r="AL137" s="842"/>
      <c r="AM137" s="842"/>
      <c r="AN137" s="842"/>
      <c r="AO137" s="842"/>
      <c r="AP137" s="842"/>
      <c r="AQ137" s="842"/>
      <c r="AR137" s="842"/>
      <c r="AS137" s="842"/>
      <c r="AT137" s="842"/>
      <c r="AU137" s="842"/>
      <c r="AV137" s="842"/>
      <c r="AW137" s="842"/>
      <c r="AX137" s="842"/>
      <c r="AY137" s="842"/>
      <c r="AZ137" s="842"/>
      <c r="BA137" s="842"/>
      <c r="BB137" s="842"/>
      <c r="BC137" s="842"/>
      <c r="BD137" s="842"/>
      <c r="BE137" s="842"/>
      <c r="BF137" s="842"/>
      <c r="BG137" s="842"/>
      <c r="BH137" s="842"/>
    </row>
    <row r="138" spans="1:60" ht="15">
      <c r="A138" s="842"/>
      <c r="B138" s="917" t="str">
        <f>Usuário</f>
        <v>Iomar Bezerra da Silva</v>
      </c>
      <c r="C138" s="851"/>
      <c r="D138" s="851"/>
      <c r="E138" s="851"/>
      <c r="F138" s="851"/>
      <c r="G138" s="916"/>
      <c r="H138" s="842"/>
      <c r="I138" s="842"/>
      <c r="J138" s="842"/>
      <c r="K138" s="842"/>
      <c r="L138" s="842"/>
      <c r="M138" s="842"/>
      <c r="N138" s="842"/>
      <c r="O138" s="842"/>
      <c r="P138" s="842"/>
      <c r="Q138" s="842"/>
      <c r="R138" s="842"/>
      <c r="S138" s="842"/>
      <c r="T138" s="842"/>
      <c r="U138" s="842"/>
      <c r="V138" s="842"/>
      <c r="W138" s="842"/>
      <c r="X138" s="842"/>
      <c r="Y138" s="842"/>
      <c r="Z138" s="842"/>
      <c r="AA138" s="842"/>
      <c r="AB138" s="842"/>
      <c r="AC138" s="842"/>
      <c r="AD138" s="842"/>
      <c r="AE138" s="842"/>
      <c r="AF138" s="842"/>
      <c r="AG138" s="842"/>
      <c r="AH138" s="842"/>
      <c r="AI138" s="842"/>
      <c r="AJ138" s="842"/>
      <c r="AK138" s="842"/>
      <c r="AL138" s="842"/>
      <c r="AM138" s="842"/>
      <c r="AN138" s="842"/>
      <c r="AO138" s="842"/>
      <c r="AP138" s="842"/>
      <c r="AQ138" s="842"/>
      <c r="AR138" s="842"/>
      <c r="AS138" s="842"/>
      <c r="AT138" s="842"/>
      <c r="AU138" s="842"/>
      <c r="AV138" s="842"/>
      <c r="AW138" s="842"/>
      <c r="AX138" s="842"/>
      <c r="AY138" s="842"/>
      <c r="AZ138" s="842"/>
      <c r="BA138" s="842"/>
      <c r="BB138" s="842"/>
      <c r="BC138" s="842"/>
      <c r="BD138" s="842"/>
      <c r="BE138" s="842"/>
      <c r="BF138" s="842"/>
      <c r="BG138" s="842"/>
      <c r="BH138" s="842"/>
    </row>
    <row r="139" spans="1:60">
      <c r="A139" s="842"/>
      <c r="B139" s="915" t="str">
        <f>Profissão</f>
        <v>Técnico</v>
      </c>
      <c r="C139" s="851"/>
      <c r="D139" s="851"/>
      <c r="E139" s="851"/>
      <c r="F139" s="851"/>
      <c r="G139" s="916"/>
      <c r="H139" s="842"/>
      <c r="I139" s="842"/>
      <c r="J139" s="842"/>
      <c r="K139" s="842"/>
      <c r="L139" s="842"/>
      <c r="M139" s="842"/>
      <c r="N139" s="842"/>
      <c r="O139" s="842"/>
      <c r="P139" s="842"/>
      <c r="Q139" s="842"/>
      <c r="R139" s="842"/>
      <c r="S139" s="842"/>
      <c r="T139" s="842"/>
      <c r="U139" s="842"/>
      <c r="V139" s="842"/>
      <c r="W139" s="842"/>
      <c r="X139" s="842"/>
      <c r="Y139" s="842"/>
      <c r="Z139" s="842"/>
      <c r="AA139" s="842"/>
      <c r="AB139" s="842"/>
      <c r="AC139" s="842"/>
      <c r="AD139" s="842"/>
      <c r="AE139" s="842"/>
      <c r="AF139" s="842"/>
      <c r="AG139" s="842"/>
      <c r="AH139" s="842"/>
      <c r="AI139" s="842"/>
      <c r="AJ139" s="842"/>
      <c r="AK139" s="842"/>
      <c r="AL139" s="842"/>
      <c r="AM139" s="842"/>
      <c r="AN139" s="842"/>
      <c r="AO139" s="842"/>
      <c r="AP139" s="842"/>
      <c r="AQ139" s="842"/>
      <c r="AR139" s="842"/>
      <c r="AS139" s="842"/>
      <c r="AT139" s="842"/>
      <c r="AU139" s="842"/>
      <c r="AV139" s="842"/>
      <c r="AW139" s="842"/>
      <c r="AX139" s="842"/>
      <c r="AY139" s="842"/>
      <c r="AZ139" s="842"/>
      <c r="BA139" s="842"/>
      <c r="BB139" s="842"/>
      <c r="BC139" s="842"/>
      <c r="BD139" s="842"/>
      <c r="BE139" s="842"/>
      <c r="BF139" s="842"/>
      <c r="BG139" s="842"/>
      <c r="BH139" s="842"/>
    </row>
    <row r="140" spans="1:60">
      <c r="A140" s="842"/>
      <c r="B140" s="915" t="str">
        <f>RGProfissional</f>
        <v>MA-00259-ZP</v>
      </c>
      <c r="C140" s="851"/>
      <c r="D140" s="851"/>
      <c r="E140" s="851"/>
      <c r="F140" s="851"/>
      <c r="G140" s="916"/>
      <c r="H140" s="842"/>
      <c r="I140" s="842"/>
      <c r="J140" s="842"/>
      <c r="K140" s="842"/>
      <c r="L140" s="842"/>
      <c r="M140" s="842"/>
      <c r="N140" s="842"/>
      <c r="O140" s="842"/>
      <c r="P140" s="842"/>
      <c r="Q140" s="842"/>
      <c r="R140" s="842"/>
      <c r="S140" s="842"/>
      <c r="T140" s="842"/>
      <c r="U140" s="842"/>
      <c r="V140" s="842"/>
      <c r="W140" s="842"/>
      <c r="X140" s="842"/>
      <c r="Y140" s="842"/>
      <c r="Z140" s="842"/>
      <c r="AA140" s="842"/>
      <c r="AB140" s="842"/>
      <c r="AC140" s="842"/>
      <c r="AD140" s="842"/>
      <c r="AE140" s="842"/>
      <c r="AF140" s="842"/>
      <c r="AG140" s="842"/>
      <c r="AH140" s="842"/>
      <c r="AI140" s="842"/>
      <c r="AJ140" s="842"/>
      <c r="AK140" s="842"/>
      <c r="AL140" s="842"/>
      <c r="AM140" s="842"/>
      <c r="AN140" s="842"/>
      <c r="AO140" s="842"/>
      <c r="AP140" s="842"/>
      <c r="AQ140" s="842"/>
      <c r="AR140" s="842"/>
      <c r="AS140" s="842"/>
      <c r="AT140" s="842"/>
      <c r="AU140" s="842"/>
      <c r="AV140" s="842"/>
      <c r="AW140" s="842"/>
      <c r="AX140" s="842"/>
      <c r="AY140" s="842"/>
      <c r="AZ140" s="842"/>
      <c r="BA140" s="842"/>
      <c r="BB140" s="842"/>
      <c r="BC140" s="842"/>
      <c r="BD140" s="842"/>
      <c r="BE140" s="842"/>
      <c r="BF140" s="842"/>
      <c r="BG140" s="842"/>
      <c r="BH140" s="842"/>
    </row>
    <row r="141" spans="1:60" ht="15" thickBot="1">
      <c r="A141" s="842"/>
      <c r="B141" s="912"/>
      <c r="C141" s="913"/>
      <c r="D141" s="913"/>
      <c r="E141" s="913"/>
      <c r="F141" s="913"/>
      <c r="G141" s="914"/>
      <c r="H141" s="842"/>
      <c r="I141" s="842"/>
      <c r="J141" s="842"/>
      <c r="K141" s="842"/>
      <c r="L141" s="842"/>
      <c r="M141" s="842"/>
      <c r="N141" s="842"/>
      <c r="O141" s="842"/>
      <c r="P141" s="842"/>
      <c r="Q141" s="842"/>
      <c r="R141" s="842"/>
      <c r="S141" s="842"/>
      <c r="T141" s="842"/>
      <c r="U141" s="842"/>
      <c r="V141" s="842"/>
      <c r="W141" s="842"/>
      <c r="X141" s="842"/>
      <c r="Y141" s="842"/>
      <c r="Z141" s="842"/>
      <c r="AA141" s="842"/>
      <c r="AB141" s="842"/>
      <c r="AC141" s="842"/>
      <c r="AD141" s="842"/>
      <c r="AE141" s="842"/>
      <c r="AF141" s="842"/>
      <c r="AG141" s="842"/>
      <c r="AH141" s="842"/>
      <c r="AI141" s="842"/>
      <c r="AJ141" s="842"/>
      <c r="AK141" s="842"/>
      <c r="AL141" s="842"/>
      <c r="AM141" s="842"/>
      <c r="AN141" s="842"/>
      <c r="AO141" s="842"/>
      <c r="AP141" s="842"/>
      <c r="AQ141" s="842"/>
      <c r="AR141" s="842"/>
      <c r="AS141" s="842"/>
      <c r="AT141" s="842"/>
      <c r="AU141" s="842"/>
      <c r="AV141" s="842"/>
      <c r="AW141" s="842"/>
      <c r="AX141" s="842"/>
      <c r="AY141" s="842"/>
      <c r="AZ141" s="842"/>
      <c r="BA141" s="842"/>
      <c r="BB141" s="842"/>
      <c r="BC141" s="842"/>
      <c r="BD141" s="842"/>
      <c r="BE141" s="842"/>
      <c r="BF141" s="842"/>
      <c r="BG141" s="842"/>
      <c r="BH141" s="842"/>
    </row>
    <row r="142" spans="1:60">
      <c r="A142" s="842"/>
      <c r="H142" s="842"/>
      <c r="I142" s="842"/>
      <c r="J142" s="842"/>
      <c r="K142" s="842"/>
      <c r="L142" s="842"/>
      <c r="M142" s="842"/>
      <c r="N142" s="842"/>
      <c r="O142" s="842"/>
      <c r="P142" s="842"/>
      <c r="Q142" s="842"/>
      <c r="R142" s="842"/>
      <c r="S142" s="842"/>
      <c r="T142" s="842"/>
      <c r="U142" s="842"/>
      <c r="V142" s="842"/>
      <c r="W142" s="842"/>
      <c r="X142" s="842"/>
      <c r="Y142" s="842"/>
      <c r="Z142" s="842"/>
      <c r="AA142" s="842"/>
      <c r="AB142" s="842"/>
      <c r="AC142" s="842"/>
      <c r="AD142" s="645"/>
      <c r="AE142" s="645"/>
      <c r="AF142" s="842"/>
      <c r="AG142" s="842"/>
      <c r="AH142" s="842"/>
      <c r="AI142" s="842"/>
      <c r="AJ142" s="842"/>
      <c r="AK142" s="842"/>
      <c r="AL142" s="842"/>
      <c r="AM142" s="842"/>
      <c r="AN142" s="842"/>
      <c r="AO142" s="842"/>
      <c r="AP142" s="842"/>
      <c r="AQ142" s="842"/>
      <c r="AR142" s="842"/>
      <c r="AS142" s="842"/>
      <c r="AT142" s="842"/>
      <c r="AU142" s="842"/>
      <c r="AV142" s="842"/>
      <c r="AW142" s="842"/>
      <c r="AX142" s="842"/>
      <c r="AY142" s="842"/>
      <c r="AZ142" s="842"/>
      <c r="BA142" s="842"/>
      <c r="BB142" s="842"/>
      <c r="BC142" s="842"/>
      <c r="BD142" s="842"/>
      <c r="BE142" s="842"/>
      <c r="BF142" s="842"/>
      <c r="BG142" s="842"/>
      <c r="BH142" s="842"/>
    </row>
    <row r="143" spans="1:60">
      <c r="A143" s="842"/>
      <c r="C143" s="2170">
        <f ca="1">TODAY()</f>
        <v>45298</v>
      </c>
      <c r="D143" s="2170"/>
      <c r="E143" s="2170"/>
      <c r="F143" s="2170"/>
      <c r="G143" s="2170"/>
      <c r="H143" s="842"/>
      <c r="I143" s="842"/>
      <c r="J143" s="842"/>
      <c r="K143" s="842"/>
      <c r="L143" s="842"/>
      <c r="M143" s="842"/>
      <c r="N143" s="842"/>
      <c r="O143" s="842"/>
      <c r="P143" s="842"/>
      <c r="Q143" s="842"/>
      <c r="R143" s="842"/>
      <c r="S143" s="842"/>
      <c r="T143" s="842"/>
      <c r="U143" s="842"/>
      <c r="V143" s="842"/>
      <c r="W143" s="842"/>
      <c r="X143" s="842"/>
      <c r="Y143" s="842"/>
      <c r="Z143" s="842"/>
      <c r="AA143" s="842"/>
      <c r="AB143" s="842"/>
      <c r="AC143" s="842"/>
      <c r="AD143" s="842"/>
      <c r="AE143" s="842"/>
      <c r="AF143" s="842"/>
      <c r="AG143" s="842"/>
      <c r="AH143" s="842"/>
      <c r="AI143" s="842"/>
      <c r="AJ143" s="842"/>
      <c r="AK143" s="842"/>
      <c r="AL143" s="842"/>
      <c r="AM143" s="842"/>
      <c r="AN143" s="842"/>
      <c r="AO143" s="842"/>
      <c r="AP143" s="842"/>
      <c r="AQ143" s="842"/>
      <c r="AR143" s="842"/>
      <c r="AS143" s="842"/>
      <c r="AT143" s="842"/>
      <c r="AU143" s="842"/>
      <c r="AV143" s="842"/>
      <c r="AW143" s="842"/>
      <c r="AX143" s="842"/>
      <c r="AY143" s="842"/>
      <c r="AZ143" s="842"/>
      <c r="BA143" s="842"/>
      <c r="BB143" s="842"/>
      <c r="BC143" s="842"/>
      <c r="BD143" s="842"/>
      <c r="BE143" s="842"/>
      <c r="BF143" s="842"/>
      <c r="BG143" s="842"/>
      <c r="BH143" s="842"/>
    </row>
    <row r="144" spans="1:60">
      <c r="A144" s="842"/>
      <c r="B144" s="842"/>
      <c r="C144" s="842"/>
      <c r="D144" s="842"/>
      <c r="E144" s="842"/>
      <c r="F144" s="842"/>
      <c r="G144" s="842"/>
      <c r="H144" s="842"/>
      <c r="I144" s="842"/>
      <c r="J144" s="842"/>
      <c r="K144" s="842"/>
      <c r="L144" s="842"/>
      <c r="M144" s="842"/>
      <c r="N144" s="842"/>
      <c r="O144" s="842"/>
      <c r="P144" s="842"/>
      <c r="Q144" s="842"/>
      <c r="R144" s="842"/>
      <c r="S144" s="842"/>
      <c r="T144" s="842"/>
      <c r="U144" s="842"/>
      <c r="V144" s="842"/>
      <c r="W144" s="842"/>
      <c r="X144" s="842"/>
      <c r="Y144" s="842"/>
      <c r="Z144" s="842"/>
      <c r="AA144" s="842"/>
      <c r="AB144" s="842"/>
      <c r="AC144" s="842"/>
      <c r="AD144" s="645"/>
      <c r="AE144" s="645"/>
      <c r="AF144" s="842"/>
      <c r="AG144" s="842"/>
      <c r="AH144" s="842"/>
      <c r="AI144" s="842"/>
      <c r="AJ144" s="842"/>
      <c r="AK144" s="842"/>
      <c r="AL144" s="842"/>
      <c r="AM144" s="842"/>
      <c r="AN144" s="842"/>
      <c r="AO144" s="842"/>
      <c r="AP144" s="842"/>
      <c r="AQ144" s="842"/>
      <c r="AR144" s="842"/>
      <c r="AS144" s="842"/>
      <c r="AT144" s="842"/>
      <c r="AU144" s="842"/>
      <c r="AV144" s="842"/>
      <c r="AW144" s="842"/>
      <c r="AX144" s="842"/>
      <c r="AY144" s="842"/>
      <c r="AZ144" s="842"/>
      <c r="BA144" s="842"/>
      <c r="BB144" s="842"/>
      <c r="BC144" s="842"/>
      <c r="BD144" s="842"/>
      <c r="BE144" s="842"/>
      <c r="BF144" s="842"/>
      <c r="BG144" s="842"/>
      <c r="BH144" s="842"/>
    </row>
  </sheetData>
  <sheetProtection algorithmName="SHA-512" hashValue="JbIpibdxVpfljRyCV8i0T9GZOqKzDE+RG3dqEnoSmke7SVRlJWhWvnPSKxPD6dkOCe8uzkl+m+wISK33c2sirw==" saltValue="qKURQZxFtI1niVeNZNelBw==" spinCount="100000" sheet="1" scenarios="1" formatRows="0" autoFilter="0"/>
  <mergeCells count="61">
    <mergeCell ref="BA9:BA10"/>
    <mergeCell ref="BB9:BB10"/>
    <mergeCell ref="BC9:BC10"/>
    <mergeCell ref="BD9:BD10"/>
    <mergeCell ref="B9:G9"/>
    <mergeCell ref="B10:G10"/>
    <mergeCell ref="BE9:BE10"/>
    <mergeCell ref="B133:G133"/>
    <mergeCell ref="C143:G143"/>
    <mergeCell ref="B128:G128"/>
    <mergeCell ref="B129:G129"/>
    <mergeCell ref="B130:G130"/>
    <mergeCell ref="B131:G131"/>
    <mergeCell ref="B132:G132"/>
    <mergeCell ref="F121:G121"/>
    <mergeCell ref="B125:G125"/>
    <mergeCell ref="B126:G126"/>
    <mergeCell ref="B127:G127"/>
    <mergeCell ref="F116:G116"/>
    <mergeCell ref="F117:G117"/>
    <mergeCell ref="F118:G118"/>
    <mergeCell ref="F119:G119"/>
    <mergeCell ref="F109:G109"/>
    <mergeCell ref="F110:G110"/>
    <mergeCell ref="F120:G120"/>
    <mergeCell ref="F111:G111"/>
    <mergeCell ref="F112:G112"/>
    <mergeCell ref="F113:G113"/>
    <mergeCell ref="F114:G114"/>
    <mergeCell ref="F115:G115"/>
    <mergeCell ref="F104:G104"/>
    <mergeCell ref="F105:G105"/>
    <mergeCell ref="F106:G106"/>
    <mergeCell ref="F107:G107"/>
    <mergeCell ref="F108:G108"/>
    <mergeCell ref="F55:G55"/>
    <mergeCell ref="F56:G56"/>
    <mergeCell ref="F101:G101"/>
    <mergeCell ref="F102:G102"/>
    <mergeCell ref="F103:G103"/>
    <mergeCell ref="F50:G50"/>
    <mergeCell ref="F51:G51"/>
    <mergeCell ref="F52:G52"/>
    <mergeCell ref="F53:G53"/>
    <mergeCell ref="F54:G54"/>
    <mergeCell ref="E36:G36"/>
    <mergeCell ref="E38:G40"/>
    <mergeCell ref="F64:G64"/>
    <mergeCell ref="F65:G65"/>
    <mergeCell ref="F66:G66"/>
    <mergeCell ref="F58:G58"/>
    <mergeCell ref="F59:G59"/>
    <mergeCell ref="F60:G60"/>
    <mergeCell ref="F61:G61"/>
    <mergeCell ref="F62:G62"/>
    <mergeCell ref="F63:G63"/>
    <mergeCell ref="F57:G57"/>
    <mergeCell ref="F46:G46"/>
    <mergeCell ref="F47:G47"/>
    <mergeCell ref="F48:G48"/>
    <mergeCell ref="F49:G49"/>
  </mergeCells>
  <phoneticPr fontId="14" type="noConversion"/>
  <conditionalFormatting sqref="C12:C30">
    <cfRule type="cellIs" dxfId="56" priority="35" operator="between">
      <formula>1E-28</formula>
      <formula>0.00005</formula>
    </cfRule>
    <cfRule type="cellIs" dxfId="55" priority="36" stopIfTrue="1" operator="equal">
      <formula>0</formula>
    </cfRule>
  </conditionalFormatting>
  <conditionalFormatting sqref="G11">
    <cfRule type="expression" dxfId="54" priority="37">
      <formula>#REF!=0</formula>
    </cfRule>
  </conditionalFormatting>
  <conditionalFormatting sqref="D12:E30">
    <cfRule type="cellIs" dxfId="53" priority="33" operator="equal">
      <formula>0</formula>
    </cfRule>
  </conditionalFormatting>
  <conditionalFormatting sqref="E71:G71 E78:G78 E87:G87 E46:F46 E101:F101">
    <cfRule type="expression" dxfId="52" priority="131">
      <formula>AF46="S"</formula>
    </cfRule>
    <cfRule type="expression" dxfId="51" priority="132">
      <formula>AF46="D"</formula>
    </cfRule>
  </conditionalFormatting>
  <conditionalFormatting sqref="B47:B66 BD48:BD71 I12:AY30 BA12:BD30">
    <cfRule type="cellIs" dxfId="50" priority="30" operator="equal">
      <formula>0</formula>
    </cfRule>
  </conditionalFormatting>
  <conditionalFormatting sqref="BD11:BE11">
    <cfRule type="expression" dxfId="49" priority="28">
      <formula>BD46="S"</formula>
    </cfRule>
    <cfRule type="expression" dxfId="48" priority="29">
      <formula>BD46="D"</formula>
    </cfRule>
  </conditionalFormatting>
  <conditionalFormatting sqref="BD47">
    <cfRule type="expression" dxfId="47" priority="22">
      <formula>BD73="S"</formula>
    </cfRule>
    <cfRule type="expression" dxfId="46" priority="23">
      <formula>BD73="D"</formula>
    </cfRule>
  </conditionalFormatting>
  <conditionalFormatting sqref="C47:F66">
    <cfRule type="cellIs" dxfId="45" priority="19" operator="equal">
      <formula>0</formula>
    </cfRule>
  </conditionalFormatting>
  <conditionalFormatting sqref="B46 B71 B78 B87 B101">
    <cfRule type="expression" dxfId="44" priority="17">
      <formula>AA46="S"</formula>
    </cfRule>
    <cfRule type="expression" dxfId="43" priority="18">
      <formula>AA46="D"</formula>
    </cfRule>
  </conditionalFormatting>
  <conditionalFormatting sqref="B12:B30">
    <cfRule type="duplicateValues" dxfId="42" priority="137"/>
  </conditionalFormatting>
  <conditionalFormatting sqref="L46:N46">
    <cfRule type="expression" dxfId="41" priority="9">
      <formula>AN46="S"</formula>
    </cfRule>
    <cfRule type="expression" dxfId="40" priority="10">
      <formula>AN46="D"</formula>
    </cfRule>
  </conditionalFormatting>
  <conditionalFormatting sqref="L47:L66">
    <cfRule type="cellIs" dxfId="39" priority="8" operator="equal">
      <formula>0</formula>
    </cfRule>
  </conditionalFormatting>
  <conditionalFormatting sqref="M47:M66 N66">
    <cfRule type="cellIs" dxfId="38" priority="7" operator="equal">
      <formula>0</formula>
    </cfRule>
  </conditionalFormatting>
  <conditionalFormatting sqref="N47:N65">
    <cfRule type="cellIs" dxfId="37" priority="6" operator="equal">
      <formula>0</formula>
    </cfRule>
  </conditionalFormatting>
  <conditionalFormatting sqref="B102:B121">
    <cfRule type="cellIs" dxfId="36" priority="3" operator="equal">
      <formula>0</formula>
    </cfRule>
  </conditionalFormatting>
  <conditionalFormatting sqref="C102:F121">
    <cfRule type="cellIs" dxfId="35" priority="2" operator="equal">
      <formula>0</formula>
    </cfRule>
  </conditionalFormatting>
  <conditionalFormatting sqref="I11:Z11">
    <cfRule type="expression" dxfId="34" priority="144">
      <formula>AH46="S"</formula>
    </cfRule>
    <cfRule type="expression" dxfId="33" priority="145">
      <formula>AH46="D"</formula>
    </cfRule>
  </conditionalFormatting>
  <conditionalFormatting sqref="BE12:BE30">
    <cfRule type="cellIs" dxfId="32" priority="1" operator="equal">
      <formula>0</formula>
    </cfRule>
  </conditionalFormatting>
  <conditionalFormatting sqref="C46:D46 C71 C78 C87 C101:D101">
    <cfRule type="expression" dxfId="31" priority="148">
      <formula>BD46="S"</formula>
    </cfRule>
    <cfRule type="expression" dxfId="30" priority="149">
      <formula>BD46="D"</formula>
    </cfRule>
  </conditionalFormatting>
  <conditionalFormatting sqref="BA11:BC11">
    <cfRule type="expression" dxfId="29" priority="150">
      <formula>W46="S"</formula>
    </cfRule>
    <cfRule type="expression" dxfId="28" priority="151">
      <formula>W46="D"</formula>
    </cfRule>
  </conditionalFormatting>
  <conditionalFormatting sqref="AA11:AY11">
    <cfRule type="expression" dxfId="27" priority="156">
      <formula>#REF!="S"</formula>
    </cfRule>
    <cfRule type="expression" dxfId="26" priority="157">
      <formula>#REF!="D"</formula>
    </cfRule>
  </conditionalFormatting>
  <dataValidations count="1">
    <dataValidation type="list" allowBlank="1" showInputMessage="1" sqref="B12:B30" xr:uid="{B71C7351-F8D7-4859-B96C-46A9AEBC1843}">
      <formula1>Filtrar.Alimento</formula1>
    </dataValidation>
  </dataValidations>
  <pageMargins left="0.23622047244094491" right="0.23622047244094491" top="0.55118110236220474" bottom="0.35433070866141736" header="0.31496062992125984" footer="0.31496062992125984"/>
  <pageSetup paperSize="9" scale="92" fitToHeight="0" orientation="portrait" r:id="rId1"/>
  <headerFooter>
    <oddHeader>&amp;CPROGRAMA DE FORMULAÇÃO DE DIETAS PARA RUMINANTES</oddHeader>
    <oddFooter>&amp;CBy Iomar Bezerra da Silva</oddFooter>
  </headerFooter>
  <ignoredErrors>
    <ignoredError sqref="C102:C120" formula="1"/>
  </ignoredError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0" id="{1BB22658-6FAC-4DC4-B9F1-DBF40D40A140}">
            <xm:f>MPR!$A$113=1</xm:f>
            <x14:dxf>
              <fill>
                <patternFill>
                  <bgColor theme="5"/>
                </patternFill>
              </fill>
            </x14:dxf>
          </x14:cfRule>
          <xm:sqref>B9:G10</xm:sqref>
        </x14:conditionalFormatting>
        <x14:conditionalFormatting xmlns:xm="http://schemas.microsoft.com/office/excel/2006/main">
          <x14:cfRule type="iconSet" priority="16" id="{1838CC48-232D-4F95-BCCF-01D8E2F5D579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40</xm:f>
              </x14:cfvo>
              <x14:cfIcon iconSet="NoIcons" iconId="0"/>
              <x14:cfIcon iconSet="3Symbols2" iconId="2"/>
              <x14:cfIcon iconSet="3Symbols" iconId="0"/>
            </x14:iconSet>
          </x14:cfRule>
          <xm:sqref>C80</xm:sqref>
        </x14:conditionalFormatting>
        <x14:conditionalFormatting xmlns:xm="http://schemas.microsoft.com/office/excel/2006/main">
          <x14:cfRule type="iconSet" priority="15" id="{848D2987-3924-4805-9F4E-C1F8A9858CCE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99.9</xm:f>
              </x14:cfvo>
              <x14:cfIcon iconSet="NoIcons" iconId="0"/>
              <x14:cfIcon iconSet="3Arrows" iconId="0"/>
              <x14:cfIcon iconSet="3Symbols2" iconId="2"/>
            </x14:iconSet>
          </x14:cfRule>
          <xm:sqref>C81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304A4-A05E-4411-A760-8A6D3EE1F5F0}">
  <sheetPr codeName="Planilha11">
    <tabColor rgb="FFFFFF00"/>
    <pageSetUpPr fitToPage="1"/>
  </sheetPr>
  <dimension ref="A1:BS1032"/>
  <sheetViews>
    <sheetView showGridLines="0" showRowColHeaders="0" zoomScaleNormal="100" workbookViewId="0">
      <pane xSplit="7" ySplit="8" topLeftCell="BC9" activePane="bottomRight" state="frozen"/>
      <selection activeCell="G2" sqref="G2"/>
      <selection pane="topRight" activeCell="G2" sqref="G2"/>
      <selection pane="bottomLeft" activeCell="G2" sqref="G2"/>
      <selection pane="bottomRight" activeCell="BL8" sqref="BL8"/>
    </sheetView>
  </sheetViews>
  <sheetFormatPr defaultColWidth="0" defaultRowHeight="0" customHeight="1" zeroHeight="1"/>
  <cols>
    <col min="1" max="1" width="1.75" style="4" customWidth="1"/>
    <col min="2" max="2" width="38.375" style="4" customWidth="1"/>
    <col min="3" max="3" width="9.25" style="4" customWidth="1"/>
    <col min="4" max="5" width="7.875" style="4" customWidth="1"/>
    <col min="6" max="6" width="8.5" style="4" customWidth="1"/>
    <col min="7" max="7" width="7.25" style="4" customWidth="1"/>
    <col min="8" max="8" width="1.25" style="381" customWidth="1"/>
    <col min="9" max="54" width="12.375" style="4" customWidth="1"/>
    <col min="55" max="55" width="1.75" style="4" customWidth="1"/>
    <col min="56" max="56" width="8.5" style="4" customWidth="1"/>
    <col min="57" max="57" width="10.5" style="4" customWidth="1"/>
    <col min="58" max="58" width="8.375" style="4" customWidth="1"/>
    <col min="59" max="59" width="9.75" style="4" customWidth="1"/>
    <col min="60" max="60" width="9.125" style="4" customWidth="1"/>
    <col min="61" max="61" width="10.25" style="4" customWidth="1"/>
    <col min="62" max="62" width="8.125" style="4" customWidth="1"/>
    <col min="63" max="63" width="9.25" style="4" customWidth="1"/>
    <col min="64" max="64" width="11.5" style="4" customWidth="1"/>
    <col min="65" max="65" width="1.125" style="4" customWidth="1"/>
    <col min="66" max="66" width="3.875" style="263" hidden="1" customWidth="1"/>
    <col min="67" max="71" width="7.625" style="4" hidden="1" customWidth="1"/>
    <col min="72" max="16384" width="12.625" style="4" hidden="1"/>
  </cols>
  <sheetData>
    <row r="1" spans="1:69" ht="8.25" customHeight="1">
      <c r="A1" s="1527" t="str">
        <f>Atendimento!A$53</f>
        <v>Parabéns, Dieta Atendida!</v>
      </c>
      <c r="B1" s="1528" t="s">
        <v>889</v>
      </c>
      <c r="C1" s="407"/>
      <c r="D1" s="407"/>
      <c r="E1" s="407"/>
      <c r="F1" s="407"/>
      <c r="G1" s="408"/>
      <c r="H1" s="262"/>
      <c r="I1" s="438"/>
      <c r="J1" s="439"/>
      <c r="K1" s="439"/>
      <c r="L1" s="439"/>
      <c r="M1" s="439"/>
      <c r="N1" s="439"/>
      <c r="O1" s="439"/>
      <c r="P1" s="439"/>
      <c r="Q1" s="439"/>
      <c r="R1" s="439"/>
      <c r="S1" s="439"/>
      <c r="T1" s="439"/>
      <c r="U1" s="439"/>
      <c r="V1" s="439"/>
      <c r="W1" s="439"/>
      <c r="X1" s="439"/>
      <c r="Y1" s="439"/>
      <c r="Z1" s="439"/>
      <c r="AA1" s="439"/>
      <c r="AB1" s="439"/>
      <c r="AC1" s="439"/>
      <c r="AD1" s="439"/>
      <c r="AE1" s="439"/>
      <c r="AF1" s="439"/>
      <c r="AG1" s="439"/>
      <c r="AH1" s="439"/>
      <c r="AI1" s="439"/>
      <c r="AJ1" s="439"/>
      <c r="AK1" s="439"/>
      <c r="AL1" s="439"/>
      <c r="AM1" s="439"/>
      <c r="AN1" s="439"/>
      <c r="AO1" s="439"/>
      <c r="AP1" s="439"/>
      <c r="AQ1" s="439"/>
      <c r="AR1" s="439"/>
      <c r="AS1" s="439"/>
      <c r="AT1" s="439"/>
      <c r="AU1" s="439"/>
      <c r="AV1" s="439"/>
      <c r="AW1" s="439"/>
      <c r="AX1" s="439"/>
      <c r="AY1" s="439"/>
      <c r="AZ1" s="439"/>
      <c r="BA1" s="439"/>
      <c r="BB1" s="440"/>
      <c r="BC1" s="262"/>
      <c r="BD1" s="376"/>
      <c r="BE1" s="376"/>
      <c r="BF1" s="376"/>
      <c r="BG1" s="376"/>
      <c r="BH1" s="376"/>
      <c r="BI1" s="376"/>
      <c r="BJ1" s="376"/>
      <c r="BK1" s="376"/>
      <c r="BL1" s="376"/>
      <c r="BM1" s="262"/>
    </row>
    <row r="2" spans="1:69" ht="8.25" customHeight="1">
      <c r="A2" s="1527"/>
      <c r="B2" s="1528" t="s">
        <v>889</v>
      </c>
      <c r="C2" s="409"/>
      <c r="D2" s="409"/>
      <c r="E2" s="409"/>
      <c r="F2" s="409"/>
      <c r="G2" s="410"/>
      <c r="H2" s="476"/>
      <c r="I2" s="481"/>
      <c r="J2" s="481"/>
      <c r="K2" s="481"/>
      <c r="L2" s="481"/>
      <c r="M2" s="481"/>
      <c r="N2" s="481"/>
      <c r="O2" s="481"/>
      <c r="P2" s="481"/>
      <c r="Q2" s="481"/>
      <c r="R2" s="481"/>
      <c r="S2" s="481"/>
      <c r="T2" s="481"/>
      <c r="U2" s="481"/>
      <c r="V2" s="481"/>
      <c r="W2" s="481"/>
      <c r="X2" s="481"/>
      <c r="Y2" s="481"/>
      <c r="Z2" s="481"/>
      <c r="AA2" s="481"/>
      <c r="AB2" s="481"/>
      <c r="AC2" s="481"/>
      <c r="AD2" s="481"/>
      <c r="AE2" s="481"/>
      <c r="AF2" s="481"/>
      <c r="AG2" s="481"/>
      <c r="AH2" s="481"/>
      <c r="AI2" s="481"/>
      <c r="AJ2" s="481"/>
      <c r="AK2" s="481"/>
      <c r="AL2" s="481"/>
      <c r="AM2" s="481"/>
      <c r="AN2" s="481"/>
      <c r="AO2" s="481"/>
      <c r="AP2" s="481"/>
      <c r="AQ2" s="481"/>
      <c r="AR2" s="481"/>
      <c r="AS2" s="481"/>
      <c r="AT2" s="481"/>
      <c r="AU2" s="481"/>
      <c r="AV2" s="481"/>
      <c r="AW2" s="481"/>
      <c r="AX2" s="481"/>
      <c r="AY2" s="481"/>
      <c r="AZ2" s="481"/>
      <c r="BA2" s="481"/>
      <c r="BB2" s="482"/>
      <c r="BC2" s="262"/>
      <c r="BD2" s="376"/>
      <c r="BE2" s="376"/>
      <c r="BF2" s="376"/>
      <c r="BG2" s="376"/>
      <c r="BH2" s="376"/>
      <c r="BI2" s="376"/>
      <c r="BJ2" s="376"/>
      <c r="BK2" s="376"/>
      <c r="BL2" s="376"/>
      <c r="BM2" s="262"/>
    </row>
    <row r="3" spans="1:69" ht="8.25" customHeight="1">
      <c r="A3" s="1529" t="str">
        <f ca="1">IF(CELL("conteúdo")&lt;&gt;0,CELL("conteúdo"),"*")</f>
        <v>*</v>
      </c>
      <c r="B3" s="1530" t="s">
        <v>889</v>
      </c>
      <c r="C3" s="737" t="s">
        <v>1480</v>
      </c>
      <c r="D3" s="733"/>
      <c r="E3" s="409"/>
      <c r="F3" s="409"/>
      <c r="G3" s="411"/>
      <c r="H3" s="477"/>
      <c r="I3" s="1579">
        <f>I43</f>
        <v>5.9198823287864855E-8</v>
      </c>
      <c r="J3" s="1579" t="str">
        <f t="shared" ref="J3:BB3" si="0">J43</f>
        <v>OK</v>
      </c>
      <c r="K3" s="1579" t="str">
        <f t="shared" si="0"/>
        <v>OK</v>
      </c>
      <c r="L3" s="1579" t="str">
        <f t="shared" si="0"/>
        <v>OK</v>
      </c>
      <c r="M3" s="1579" t="str">
        <f t="shared" si="0"/>
        <v>OK</v>
      </c>
      <c r="N3" s="1579" t="str">
        <f t="shared" si="0"/>
        <v>OK</v>
      </c>
      <c r="O3" s="1579" t="str">
        <f t="shared" si="0"/>
        <v>OK</v>
      </c>
      <c r="P3" s="1579" t="str">
        <f t="shared" si="0"/>
        <v>OK</v>
      </c>
      <c r="Q3" s="1579" t="str">
        <f t="shared" si="0"/>
        <v>OK</v>
      </c>
      <c r="R3" s="1579" t="str">
        <f t="shared" si="0"/>
        <v>OK</v>
      </c>
      <c r="S3" s="1579" t="str">
        <f t="shared" si="0"/>
        <v>OK</v>
      </c>
      <c r="T3" s="1579" t="str">
        <f t="shared" si="0"/>
        <v>OK</v>
      </c>
      <c r="U3" s="1579" t="str">
        <f t="shared" si="0"/>
        <v>OK</v>
      </c>
      <c r="V3" s="1579" t="str">
        <f t="shared" si="0"/>
        <v>OK</v>
      </c>
      <c r="W3" s="1579" t="str">
        <f t="shared" si="0"/>
        <v>OK</v>
      </c>
      <c r="X3" s="1579" t="str">
        <f t="shared" si="0"/>
        <v>OK</v>
      </c>
      <c r="Y3" s="1579" t="str">
        <f t="shared" si="0"/>
        <v>OK</v>
      </c>
      <c r="Z3" s="1579">
        <f t="shared" si="0"/>
        <v>3.0150056625496141E-14</v>
      </c>
      <c r="AA3" s="1579" t="str">
        <f t="shared" si="0"/>
        <v>OK</v>
      </c>
      <c r="AB3" s="1579" t="str">
        <f t="shared" si="0"/>
        <v>OK</v>
      </c>
      <c r="AC3" s="1579">
        <f t="shared" si="0"/>
        <v>9.9995812599925937E-7</v>
      </c>
      <c r="AD3" s="1579" t="str">
        <f t="shared" si="0"/>
        <v>OK</v>
      </c>
      <c r="AE3" s="1579" t="str">
        <f t="shared" si="0"/>
        <v>OK</v>
      </c>
      <c r="AF3" s="1579" t="str">
        <f t="shared" si="0"/>
        <v>OK</v>
      </c>
      <c r="AG3" s="1579" t="str">
        <f t="shared" si="0"/>
        <v>OK</v>
      </c>
      <c r="AH3" s="1579" t="str">
        <f t="shared" si="0"/>
        <v>OK</v>
      </c>
      <c r="AI3" s="1579" t="str">
        <f t="shared" si="0"/>
        <v>OK</v>
      </c>
      <c r="AJ3" s="1579" t="str">
        <f t="shared" si="0"/>
        <v>OK</v>
      </c>
      <c r="AK3" s="1579" t="str">
        <f t="shared" si="0"/>
        <v>OK</v>
      </c>
      <c r="AL3" s="1579" t="str">
        <f t="shared" si="0"/>
        <v>OK</v>
      </c>
      <c r="AM3" s="1579" t="str">
        <f t="shared" si="0"/>
        <v>OK</v>
      </c>
      <c r="AN3" s="1579" t="str">
        <f t="shared" si="0"/>
        <v>OK</v>
      </c>
      <c r="AO3" s="1579" t="str">
        <f t="shared" si="0"/>
        <v>OK</v>
      </c>
      <c r="AP3" s="1579" t="str">
        <f t="shared" si="0"/>
        <v>OK</v>
      </c>
      <c r="AQ3" s="1579" t="str">
        <f t="shared" si="0"/>
        <v>OK</v>
      </c>
      <c r="AR3" s="1579" t="str">
        <f t="shared" si="0"/>
        <v>OK</v>
      </c>
      <c r="AS3" s="1579" t="str">
        <f t="shared" si="0"/>
        <v>OK</v>
      </c>
      <c r="AT3" s="1579" t="str">
        <f t="shared" si="0"/>
        <v>OK</v>
      </c>
      <c r="AU3" s="1579" t="str">
        <f t="shared" si="0"/>
        <v>OK</v>
      </c>
      <c r="AV3" s="1579" t="str">
        <f t="shared" si="0"/>
        <v>OK</v>
      </c>
      <c r="AW3" s="1579" t="str">
        <f t="shared" si="0"/>
        <v>OK</v>
      </c>
      <c r="AX3" s="1579" t="str">
        <f t="shared" si="0"/>
        <v>OK</v>
      </c>
      <c r="AY3" s="1579" t="str">
        <f t="shared" si="0"/>
        <v>OK</v>
      </c>
      <c r="AZ3" s="1579" t="str">
        <f t="shared" si="0"/>
        <v>OK</v>
      </c>
      <c r="BA3" s="1579" t="str">
        <f t="shared" si="0"/>
        <v>OK</v>
      </c>
      <c r="BB3" s="1580" t="str">
        <f t="shared" si="0"/>
        <v>OK</v>
      </c>
      <c r="BC3" s="262"/>
      <c r="BD3" s="376"/>
      <c r="BE3" s="376"/>
      <c r="BF3" s="376"/>
      <c r="BG3" s="376"/>
      <c r="BH3" s="376"/>
      <c r="BI3" s="376"/>
      <c r="BJ3" s="376"/>
      <c r="BK3" s="376"/>
      <c r="BL3" s="376"/>
      <c r="BM3" s="262"/>
    </row>
    <row r="4" spans="1:69" ht="15" customHeight="1">
      <c r="A4" s="1531" t="str">
        <f>MPR!F60</f>
        <v>04 - Suplemento  Mineral</v>
      </c>
      <c r="B4" s="1530" t="s">
        <v>889</v>
      </c>
      <c r="C4" s="733"/>
      <c r="D4" s="733"/>
      <c r="E4" s="409"/>
      <c r="F4" s="409"/>
      <c r="G4" s="412"/>
      <c r="H4" s="478"/>
      <c r="I4" s="479"/>
      <c r="J4" s="479"/>
      <c r="K4" s="479"/>
      <c r="L4" s="479"/>
      <c r="M4" s="479"/>
      <c r="N4" s="479"/>
      <c r="O4" s="479"/>
      <c r="P4" s="479"/>
      <c r="Q4" s="479"/>
      <c r="R4" s="479"/>
      <c r="S4" s="479"/>
      <c r="T4" s="479"/>
      <c r="U4" s="479"/>
      <c r="V4" s="479"/>
      <c r="W4" s="479"/>
      <c r="X4" s="479"/>
      <c r="Y4" s="479"/>
      <c r="Z4" s="479"/>
      <c r="AA4" s="479"/>
      <c r="AB4" s="479"/>
      <c r="AC4" s="479"/>
      <c r="AD4" s="479"/>
      <c r="AE4" s="479"/>
      <c r="AF4" s="479"/>
      <c r="AG4" s="479"/>
      <c r="AH4" s="479"/>
      <c r="AI4" s="479"/>
      <c r="AJ4" s="479"/>
      <c r="AK4" s="479"/>
      <c r="AL4" s="479"/>
      <c r="AM4" s="479"/>
      <c r="AN4" s="479"/>
      <c r="AO4" s="479"/>
      <c r="AP4" s="479"/>
      <c r="AQ4" s="479"/>
      <c r="AR4" s="479"/>
      <c r="AS4" s="479"/>
      <c r="AT4" s="479"/>
      <c r="AU4" s="479"/>
      <c r="AV4" s="479"/>
      <c r="AW4" s="479"/>
      <c r="AX4" s="479"/>
      <c r="AY4" s="479"/>
      <c r="AZ4" s="479"/>
      <c r="BA4" s="479"/>
      <c r="BB4" s="480"/>
      <c r="BC4" s="262"/>
      <c r="BD4" s="376"/>
      <c r="BE4" s="376"/>
      <c r="BF4" s="376"/>
      <c r="BG4" s="376"/>
      <c r="BH4" s="376"/>
      <c r="BI4" s="376"/>
      <c r="BJ4" s="376"/>
      <c r="BK4" s="376"/>
      <c r="BL4" s="376"/>
      <c r="BM4" s="262"/>
    </row>
    <row r="5" spans="1:69" ht="14.25" customHeight="1" thickBot="1">
      <c r="A5" s="1527"/>
      <c r="B5" s="1530" t="s">
        <v>889</v>
      </c>
      <c r="C5" s="409"/>
      <c r="D5" s="409"/>
      <c r="E5" s="409"/>
      <c r="F5" s="409"/>
      <c r="G5" s="501">
        <v>0</v>
      </c>
      <c r="H5" s="383"/>
      <c r="I5" s="441" t="str">
        <f>IFERROR(INDEX(Apoio_Gráf!$I$24:$I$26,MATCH(Alimentos!F3,Apoio_Gráf!$H$24:$H$26,0)),"-")</f>
        <v>-</v>
      </c>
      <c r="J5" s="442">
        <f>IFERROR(INDEX(Apoio_Gráf!$I$24:$I$26,MATCH(Alimentos!H3,Apoio_Gráf!$H$24:$H$26,0)),"-")</f>
        <v>1</v>
      </c>
      <c r="K5" s="442">
        <f>IFERROR(INDEX(Apoio_Gráf!$I$24:$I$26,MATCH(Alimentos!I3,Apoio_Gráf!$H$24:$H$26,0)),"-")</f>
        <v>1</v>
      </c>
      <c r="L5" s="442">
        <f>IFERROR(INDEX(Apoio_Gráf!$I$24:$I$26,MATCH(Alimentos!J3,Apoio_Gráf!$H$24:$H$26,0)),"-")</f>
        <v>1</v>
      </c>
      <c r="M5" s="442">
        <f>IFERROR(INDEX(Apoio_Gráf!$I$24:$I$26,MATCH(Alimentos!K3,Apoio_Gráf!$H$24:$H$26,0)),"-")</f>
        <v>1</v>
      </c>
      <c r="N5" s="442">
        <f>IFERROR(INDEX(Apoio_Gráf!$I$24:$I$26,MATCH(Alimentos!L3,Apoio_Gráf!$H$24:$H$26,0)),"-")</f>
        <v>1</v>
      </c>
      <c r="O5" s="442" t="str">
        <f>IFERROR(INDEX(Apoio_Gráf!$I$24:$I$26,MATCH(Alimentos!M3,Apoio_Gráf!$H$24:$H$26,0)),"-")</f>
        <v>-</v>
      </c>
      <c r="P5" s="442" t="str">
        <f>IFERROR(INDEX(Apoio_Gráf!$I$24:$I$26,MATCH(Alimentos!N3,Apoio_Gráf!$H$24:$H$26,0)),"-")</f>
        <v>-</v>
      </c>
      <c r="Q5" s="442" t="str">
        <f>IFERROR(INDEX(Apoio_Gráf!$I$24:$I$26,MATCH(Alimentos!O3,Apoio_Gráf!$H$24:$H$26,0)),"-")</f>
        <v>-</v>
      </c>
      <c r="R5" s="442">
        <f>IFERROR(INDEX(Apoio_Gráf!$I$24:$I$26,MATCH(Alimentos!P3,Apoio_Gráf!$H$24:$H$26,0)),"-")</f>
        <v>1000</v>
      </c>
      <c r="S5" s="442">
        <f>IFERROR(INDEX(Apoio_Gráf!$I$24:$I$26,MATCH(Alimentos!Q3,Apoio_Gráf!$H$24:$H$26,0)),"-")</f>
        <v>1000</v>
      </c>
      <c r="T5" s="442">
        <f>IFERROR(INDEX(Apoio_Gráf!$I$24:$I$26,MATCH(Alimentos!R3,Apoio_Gráf!$H$24:$H$26,0)),"-")</f>
        <v>1000</v>
      </c>
      <c r="U5" s="442">
        <f>IFERROR(INDEX(Apoio_Gráf!$I$24:$I$26,MATCH(Alimentos!S3,Apoio_Gráf!$H$24:$H$26,0)),"-")</f>
        <v>1000</v>
      </c>
      <c r="V5" s="442">
        <f>IFERROR(INDEX(Apoio_Gráf!$I$24:$I$26,MATCH(Alimentos!T3,Apoio_Gráf!$H$24:$H$26,0)),"-")</f>
        <v>1000</v>
      </c>
      <c r="W5" s="442">
        <f>IFERROR(INDEX(Apoio_Gráf!$I$24:$I$26,MATCH(Alimentos!U3,Apoio_Gráf!$H$24:$H$26,0)),"-")</f>
        <v>1000</v>
      </c>
      <c r="X5" s="442">
        <f>IFERROR(INDEX(Apoio_Gráf!$I$24:$I$26,MATCH(Alimentos!V3,Apoio_Gráf!$H$24:$H$26,0)),"-")</f>
        <v>1000</v>
      </c>
      <c r="Y5" s="442">
        <f>IFERROR(INDEX(Apoio_Gráf!$I$24:$I$26,MATCH(Alimentos!W3,Apoio_Gráf!$H$24:$H$26,0)),"-")</f>
        <v>1000</v>
      </c>
      <c r="Z5" s="442">
        <f>IFERROR(INDEX(Apoio_Gráf!$I$24:$I$26,MATCH(Alimentos!X3,Apoio_Gráf!$H$24:$H$26,0)),"-")</f>
        <v>1000</v>
      </c>
      <c r="AA5" s="442">
        <f>IFERROR(INDEX(Apoio_Gráf!$I$24:$I$26,MATCH(Alimentos!Y3,Apoio_Gráf!$H$24:$H$26,0)),"-")</f>
        <v>1000</v>
      </c>
      <c r="AB5" s="442">
        <f>IFERROR(INDEX(Apoio_Gráf!$I$24:$I$26,MATCH(Alimentos!Z3,Apoio_Gráf!$H$24:$H$26,0)),"-")</f>
        <v>1000</v>
      </c>
      <c r="AC5" s="442">
        <f>IFERROR(INDEX(Apoio_Gráf!$I$24:$I$26,MATCH(Alimentos!AA3,Apoio_Gráf!$H$24:$H$26,0)),"-")</f>
        <v>1000</v>
      </c>
      <c r="AD5" s="442">
        <f>IFERROR(INDEX(Apoio_Gráf!$I$24:$I$26,MATCH(Alimentos!AB3,Apoio_Gráf!$H$24:$H$26,0)),"-")</f>
        <v>1000000</v>
      </c>
      <c r="AE5" s="442">
        <f>IFERROR(INDEX(Apoio_Gráf!$I$24:$I$26,MATCH(Alimentos!AC3,Apoio_Gráf!$H$24:$H$26,0)),"-")</f>
        <v>1000000</v>
      </c>
      <c r="AF5" s="442">
        <f>IFERROR(INDEX(Apoio_Gráf!$I$24:$I$26,MATCH(Alimentos!AD3,Apoio_Gráf!$H$24:$H$26,0)),"-")</f>
        <v>1000000</v>
      </c>
      <c r="AG5" s="442">
        <f>IFERROR(INDEX(Apoio_Gráf!$I$24:$I$26,MATCH(Alimentos!AE3,Apoio_Gráf!$H$24:$H$26,0)),"-")</f>
        <v>1000000</v>
      </c>
      <c r="AH5" s="442">
        <f>IFERROR(INDEX(Apoio_Gráf!$I$24:$I$26,MATCH(Alimentos!AF3,Apoio_Gráf!$H$24:$H$26,0)),"-")</f>
        <v>1000000</v>
      </c>
      <c r="AI5" s="442">
        <f>IFERROR(INDEX(Apoio_Gráf!$I$24:$I$26,MATCH(Alimentos!AG3,Apoio_Gráf!$H$24:$H$26,0)),"-")</f>
        <v>1000000</v>
      </c>
      <c r="AJ5" s="442">
        <f>IFERROR(INDEX(Apoio_Gráf!$I$24:$I$26,MATCH(Alimentos!AH3,Apoio_Gráf!$H$24:$H$26,0)),"-")</f>
        <v>1000000</v>
      </c>
      <c r="AK5" s="442">
        <f>IFERROR(INDEX(Apoio_Gráf!$I$24:$I$26,MATCH(Alimentos!AI3,Apoio_Gráf!$H$24:$H$26,0)),"-")</f>
        <v>1000</v>
      </c>
      <c r="AL5" s="442">
        <f>IFERROR(INDEX(Apoio_Gráf!$I$24:$I$26,MATCH(Alimentos!AJ3,Apoio_Gráf!$H$24:$H$26,0)),"-")</f>
        <v>1000</v>
      </c>
      <c r="AM5" s="442" t="str">
        <f>IFERROR(INDEX(Apoio_Gráf!$I$24:$I$26,MATCH(Alimentos!AK3,Apoio_Gráf!$H$24:$H$26,0)),"-")</f>
        <v>-</v>
      </c>
      <c r="AN5" s="442" t="str">
        <f>IFERROR(INDEX(Apoio_Gráf!$I$24:$I$26,MATCH(Alimentos!AL3,Apoio_Gráf!$H$24:$H$26,0)),"-")</f>
        <v>-</v>
      </c>
      <c r="AO5" s="442" t="str">
        <f>IFERROR(INDEX(Apoio_Gráf!$I$24:$I$26,MATCH(Alimentos!AM3,Apoio_Gráf!$H$24:$H$26,0)),"-")</f>
        <v>-</v>
      </c>
      <c r="AP5" s="442" t="str">
        <f>IFERROR(INDEX(Apoio_Gráf!$I$24:$I$26,MATCH(Alimentos!AN3,Apoio_Gráf!$H$24:$H$26,0)),"-")</f>
        <v>-</v>
      </c>
      <c r="AQ5" s="442" t="str">
        <f>IFERROR(INDEX(Apoio_Gráf!$I$24:$I$26,MATCH(Alimentos!AO3,Apoio_Gráf!$H$24:$H$26,0)),"-")</f>
        <v>-</v>
      </c>
      <c r="AR5" s="442" t="str">
        <f>IFERROR(INDEX(Apoio_Gráf!$I$24:$I$26,MATCH(Alimentos!AP3,Apoio_Gráf!$H$24:$H$26,0)),"-")</f>
        <v>-</v>
      </c>
      <c r="AS5" s="442" t="str">
        <f>IFERROR(INDEX(Apoio_Gráf!$I$24:$I$26,MATCH(Alimentos!AQ3,Apoio_Gráf!$H$24:$H$26,0)),"-")</f>
        <v>-</v>
      </c>
      <c r="AT5" s="442" t="str">
        <f>IFERROR(INDEX(Apoio_Gráf!$I$24:$I$26,MATCH(Alimentos!AR3,Apoio_Gráf!$H$24:$H$26,0)),"-")</f>
        <v>-</v>
      </c>
      <c r="AU5" s="442" t="str">
        <f>IFERROR(INDEX(Apoio_Gráf!$I$24:$I$26,MATCH(Alimentos!AS3,Apoio_Gráf!$H$24:$H$26,0)),"-")</f>
        <v>-</v>
      </c>
      <c r="AV5" s="442" t="str">
        <f>IFERROR(INDEX(Apoio_Gráf!$I$24:$I$26,MATCH(Alimentos!AT3,Apoio_Gráf!$H$24:$H$26,0)),"-")</f>
        <v>-</v>
      </c>
      <c r="AW5" s="442" t="str">
        <f>IFERROR(INDEX(Apoio_Gráf!$I$24:$I$26,MATCH(Alimentos!AU3,Apoio_Gráf!$H$24:$H$26,0)),"-")</f>
        <v>-</v>
      </c>
      <c r="AX5" s="442" t="str">
        <f>IFERROR(INDEX(Apoio_Gráf!$I$24:$I$26,MATCH(Alimentos!AV3,Apoio_Gráf!$H$24:$H$26,0)),"-")</f>
        <v>-</v>
      </c>
      <c r="AY5" s="442" t="str">
        <f>IFERROR(INDEX(Apoio_Gráf!$I$24:$I$26,MATCH(Alimentos!AW3,Apoio_Gráf!$H$24:$H$26,0)),"-")</f>
        <v>-</v>
      </c>
      <c r="AZ5" s="442" t="str">
        <f>IFERROR(INDEX(Apoio_Gráf!$I$24:$I$26,MATCH(Alimentos!AX3,Apoio_Gráf!$H$24:$H$26,0)),"-")</f>
        <v>-</v>
      </c>
      <c r="BA5" s="442">
        <f>IFERROR(INDEX(Apoio_Gráf!$I$24:$I$26,MATCH(Alimentos!AY3,Apoio_Gráf!$H$24:$H$26,0)),"-")</f>
        <v>1</v>
      </c>
      <c r="BB5" s="443">
        <f>IFERROR(INDEX(Apoio_Gráf!$I$24:$I$26,MATCH(Alimentos!AZ3,Apoio_Gráf!$H$24:$H$26,0)),"-")</f>
        <v>1</v>
      </c>
      <c r="BC5" s="262"/>
      <c r="BD5" s="378"/>
      <c r="BE5" s="377"/>
      <c r="BF5" s="377"/>
      <c r="BG5" s="377"/>
      <c r="BH5" s="377"/>
      <c r="BI5" s="377"/>
      <c r="BJ5" s="377"/>
      <c r="BK5" s="377"/>
      <c r="BL5" s="377"/>
      <c r="BM5" s="262"/>
    </row>
    <row r="6" spans="1:69" ht="32.25" customHeight="1">
      <c r="A6" s="734" t="str">
        <f>IFERROR(MATCH($B6,Alimentos!$E$5:$E$310,0)+1,"")</f>
        <v/>
      </c>
      <c r="B6" s="2187" t="s">
        <v>889</v>
      </c>
      <c r="C6" s="2187"/>
      <c r="D6" s="2187"/>
      <c r="E6" s="2187"/>
      <c r="F6" s="2187"/>
      <c r="G6" s="2188"/>
      <c r="H6" s="384"/>
      <c r="I6" s="396" t="str">
        <f>Alimentos!G4</f>
        <v>Matéria Natural</v>
      </c>
      <c r="J6" s="380" t="str">
        <f>Alimentos!H4</f>
        <v>Matéria Seca</v>
      </c>
      <c r="K6" s="380" t="str">
        <f>Alimentos!I4</f>
        <v>Fibra em 
Detergente Neutro</v>
      </c>
      <c r="L6" s="380" t="str">
        <f>Alimentos!J4</f>
        <v>Fibra em 
Detergente Ácido</v>
      </c>
      <c r="M6" s="397" t="str">
        <f>Alimentos!K4</f>
        <v>Carboidratos Não Fibrosos</v>
      </c>
      <c r="N6" s="393" t="str">
        <f>Alimentos!L4</f>
        <v>Nutrientes Digestíveis Totais</v>
      </c>
      <c r="O6" s="394" t="str">
        <f>Alimentos!M4</f>
        <v>Energia Digestível (Bovinos)</v>
      </c>
      <c r="P6" s="394" t="str">
        <f>Alimentos!N4</f>
        <v>Energia Metabolizável (Bovinos)</v>
      </c>
      <c r="Q6" s="394" t="str">
        <f>Alimentos!O4</f>
        <v>Energia Líquida (Bovinos)</v>
      </c>
      <c r="R6" s="395" t="str">
        <f>Alimentos!P4</f>
        <v>Gordura</v>
      </c>
      <c r="S6" s="379" t="str">
        <f>Alimentos!Q4</f>
        <v>Proteína Bruta</v>
      </c>
      <c r="T6" s="380" t="str">
        <f>Alimentos!R4</f>
        <v>Proteína Degradável no Rúmen</v>
      </c>
      <c r="U6" s="380" t="str">
        <f>Alimentos!S4</f>
        <v>Proteína Não Degradável no Rúmen</v>
      </c>
      <c r="V6" s="380" t="str">
        <f>Alimentos!T4</f>
        <v>Proteína Metabolizável</v>
      </c>
      <c r="W6" s="431" t="str">
        <f>Alimentos!U4</f>
        <v>Proteína (NNP)</v>
      </c>
      <c r="X6" s="393" t="str">
        <f>Alimentos!V4</f>
        <v>Cálcio</v>
      </c>
      <c r="Y6" s="394" t="str">
        <f>Alimentos!W4</f>
        <v>Fósforo</v>
      </c>
      <c r="Z6" s="394" t="str">
        <f>Alimentos!X4</f>
        <v>Magnésio</v>
      </c>
      <c r="AA6" s="394" t="str">
        <f>Alimentos!Y4</f>
        <v>Sódio</v>
      </c>
      <c r="AB6" s="394" t="str">
        <f>Alimentos!Z4</f>
        <v>Potássio</v>
      </c>
      <c r="AC6" s="394" t="str">
        <f>Alimentos!AA4</f>
        <v>Enxofre</v>
      </c>
      <c r="AD6" s="394" t="str">
        <f>Alimentos!AB4</f>
        <v>Cobre</v>
      </c>
      <c r="AE6" s="394" t="str">
        <f>Alimentos!AC4</f>
        <v>Zinco</v>
      </c>
      <c r="AF6" s="394" t="str">
        <f>Alimentos!AD4</f>
        <v>Ferro</v>
      </c>
      <c r="AG6" s="394" t="str">
        <f>Alimentos!AE4</f>
        <v>Manganês</v>
      </c>
      <c r="AH6" s="394" t="str">
        <f>Alimentos!AF4</f>
        <v>Iodo</v>
      </c>
      <c r="AI6" s="394" t="str">
        <f>Alimentos!AG4</f>
        <v>Cobalto</v>
      </c>
      <c r="AJ6" s="395" t="str">
        <f>Alimentos!AH4</f>
        <v>Selênio</v>
      </c>
      <c r="AK6" s="379" t="str">
        <f>Alimentos!AI4</f>
        <v>Lisina</v>
      </c>
      <c r="AL6" s="380" t="str">
        <f>Alimentos!AJ4</f>
        <v>Metionina</v>
      </c>
      <c r="AM6" s="380" t="str">
        <f>Alimentos!AK4</f>
        <v>Monensina</v>
      </c>
      <c r="AN6" s="380" t="str">
        <f>Alimentos!AL4</f>
        <v>Vitamina A</v>
      </c>
      <c r="AO6" s="380" t="str">
        <f>Alimentos!AM4</f>
        <v>Vitamina B</v>
      </c>
      <c r="AP6" s="380" t="str">
        <f>Alimentos!AN4</f>
        <v>Vitamina D</v>
      </c>
      <c r="AQ6" s="380" t="str">
        <f>Alimentos!AO4</f>
        <v>Vitamina E</v>
      </c>
      <c r="AR6" s="380" t="str">
        <f>Alimentos!AP4</f>
        <v>Nutriente Novo 01</v>
      </c>
      <c r="AS6" s="380" t="str">
        <f>Alimentos!AQ4</f>
        <v>Nutriente Novo 02</v>
      </c>
      <c r="AT6" s="380" t="str">
        <f>Alimentos!AR4</f>
        <v>Nutriente Novo 03</v>
      </c>
      <c r="AU6" s="380" t="str">
        <f>Alimentos!AS4</f>
        <v>Nutriente Novo 04</v>
      </c>
      <c r="AV6" s="380" t="str">
        <f>Alimentos!AT4</f>
        <v>Nutriente Novo 05</v>
      </c>
      <c r="AW6" s="380" t="str">
        <f>Alimentos!AU4</f>
        <v>Nutriente Novo 06</v>
      </c>
      <c r="AX6" s="380" t="str">
        <f>Alimentos!AV4</f>
        <v>Nutriente Novo 07</v>
      </c>
      <c r="AY6" s="380" t="str">
        <f>Alimentos!AW4</f>
        <v>Nutriente Novo 08</v>
      </c>
      <c r="AZ6" s="380" t="str">
        <f>Alimentos!AX4</f>
        <v>Nutriente Novo 09</v>
      </c>
      <c r="BA6" s="1412" t="str">
        <f>Alimentos!AY4</f>
        <v>Volumoso</v>
      </c>
      <c r="BB6" s="1413" t="str">
        <f>Alimentos!AZ4</f>
        <v>Concentrado</v>
      </c>
      <c r="BC6" s="262"/>
      <c r="BD6" s="378"/>
      <c r="BE6" s="377"/>
      <c r="BF6" s="377"/>
      <c r="BG6" s="377"/>
      <c r="BH6" s="377"/>
      <c r="BI6" s="377"/>
      <c r="BJ6" s="377"/>
      <c r="BK6" s="377"/>
      <c r="BL6" s="377"/>
      <c r="BM6" s="262"/>
    </row>
    <row r="7" spans="1:69" ht="14.25" customHeight="1">
      <c r="A7" s="734" t="str">
        <f>IFERROR(MATCH($B7,Alimentos!$E$5:$E$310,0)+1,"")</f>
        <v/>
      </c>
      <c r="B7" s="738" t="s">
        <v>889</v>
      </c>
      <c r="C7" s="735"/>
      <c r="D7" s="735"/>
      <c r="E7" s="735"/>
      <c r="F7" s="735"/>
      <c r="G7" s="413"/>
      <c r="H7" s="385"/>
      <c r="I7" s="396" t="str">
        <f>Alimentos!F3</f>
        <v>R$/kg</v>
      </c>
      <c r="J7" s="380" t="str">
        <f>Alimentos!H3</f>
        <v>kg</v>
      </c>
      <c r="K7" s="380" t="str">
        <f>Alimentos!I3</f>
        <v>kg</v>
      </c>
      <c r="L7" s="380" t="str">
        <f>Alimentos!J3</f>
        <v>kg</v>
      </c>
      <c r="M7" s="397" t="str">
        <f>Alimentos!K3</f>
        <v>kg</v>
      </c>
      <c r="N7" s="396" t="str">
        <f>Alimentos!L3</f>
        <v>kg</v>
      </c>
      <c r="O7" s="380" t="str">
        <f>Alimentos!M3</f>
        <v>Mcal</v>
      </c>
      <c r="P7" s="380" t="str">
        <f>Alimentos!N3</f>
        <v>Mcal</v>
      </c>
      <c r="Q7" s="380" t="str">
        <f>Alimentos!O3</f>
        <v>Mcal</v>
      </c>
      <c r="R7" s="397" t="str">
        <f>Alimentos!P3</f>
        <v>g</v>
      </c>
      <c r="S7" s="379" t="str">
        <f>Alimentos!Q3</f>
        <v>g</v>
      </c>
      <c r="T7" s="380" t="str">
        <f>Alimentos!R3</f>
        <v>g</v>
      </c>
      <c r="U7" s="380" t="str">
        <f>Alimentos!S3</f>
        <v>g</v>
      </c>
      <c r="V7" s="380" t="str">
        <f>Alimentos!T3</f>
        <v>g</v>
      </c>
      <c r="W7" s="431" t="str">
        <f>Alimentos!U3</f>
        <v>g</v>
      </c>
      <c r="X7" s="396" t="str">
        <f>Alimentos!V3</f>
        <v>g</v>
      </c>
      <c r="Y7" s="380" t="str">
        <f>Alimentos!W3</f>
        <v>g</v>
      </c>
      <c r="Z7" s="380" t="str">
        <f>Alimentos!X3</f>
        <v>g</v>
      </c>
      <c r="AA7" s="380" t="str">
        <f>Alimentos!Y3</f>
        <v>g</v>
      </c>
      <c r="AB7" s="380" t="str">
        <f>Alimentos!Z3</f>
        <v>g</v>
      </c>
      <c r="AC7" s="380" t="str">
        <f>Alimentos!AA3</f>
        <v>g</v>
      </c>
      <c r="AD7" s="380" t="str">
        <f>Alimentos!AB3</f>
        <v>mg</v>
      </c>
      <c r="AE7" s="380" t="str">
        <f>Alimentos!AC3</f>
        <v>mg</v>
      </c>
      <c r="AF7" s="380" t="str">
        <f>Alimentos!AD3</f>
        <v>mg</v>
      </c>
      <c r="AG7" s="380" t="str">
        <f>Alimentos!AE3</f>
        <v>mg</v>
      </c>
      <c r="AH7" s="380" t="str">
        <f>Alimentos!AF3</f>
        <v>mg</v>
      </c>
      <c r="AI7" s="380" t="str">
        <f>Alimentos!AG3</f>
        <v>mg</v>
      </c>
      <c r="AJ7" s="397" t="str">
        <f>Alimentos!AH3</f>
        <v>mg</v>
      </c>
      <c r="AK7" s="379" t="str">
        <f>Alimentos!AI3</f>
        <v>g</v>
      </c>
      <c r="AL7" s="380" t="str">
        <f>Alimentos!AJ3</f>
        <v>g</v>
      </c>
      <c r="AM7" s="380" t="str">
        <f>Alimentos!AK3</f>
        <v>ppm</v>
      </c>
      <c r="AN7" s="380" t="str">
        <f>Alimentos!AL3</f>
        <v>UI</v>
      </c>
      <c r="AO7" s="380" t="str">
        <f>Alimentos!AM3</f>
        <v>UI</v>
      </c>
      <c r="AP7" s="380" t="str">
        <f>Alimentos!AN3</f>
        <v>UI</v>
      </c>
      <c r="AQ7" s="380" t="str">
        <f>Alimentos!AO3</f>
        <v>UI</v>
      </c>
      <c r="AR7" s="380" t="str">
        <f>Alimentos!AP3</f>
        <v>-</v>
      </c>
      <c r="AS7" s="380" t="str">
        <f>Alimentos!AQ3</f>
        <v>-</v>
      </c>
      <c r="AT7" s="380" t="str">
        <f>Alimentos!AR3</f>
        <v>-</v>
      </c>
      <c r="AU7" s="380" t="str">
        <f>Alimentos!AS3</f>
        <v>-</v>
      </c>
      <c r="AV7" s="380" t="str">
        <f>Alimentos!AT3</f>
        <v>-</v>
      </c>
      <c r="AW7" s="380" t="str">
        <f>Alimentos!AU3</f>
        <v>-</v>
      </c>
      <c r="AX7" s="380" t="str">
        <f>Alimentos!AV3</f>
        <v>-</v>
      </c>
      <c r="AY7" s="380" t="str">
        <f>Alimentos!AW3</f>
        <v>-</v>
      </c>
      <c r="AZ7" s="380" t="str">
        <f>Alimentos!AX3</f>
        <v>-</v>
      </c>
      <c r="BA7" s="1412" t="str">
        <f>Alimentos!AY3</f>
        <v>Kg</v>
      </c>
      <c r="BB7" s="1414" t="str">
        <f>Alimentos!AZ3</f>
        <v>Kg</v>
      </c>
      <c r="BC7" s="262"/>
      <c r="BD7" s="378"/>
      <c r="BE7" s="377"/>
      <c r="BF7" s="377"/>
      <c r="BG7" s="377"/>
      <c r="BH7" s="377"/>
      <c r="BI7" s="377"/>
      <c r="BJ7" s="377"/>
      <c r="BK7" s="377"/>
      <c r="BL7" s="377"/>
      <c r="BM7" s="262"/>
    </row>
    <row r="8" spans="1:69" ht="33.75" customHeight="1" thickBot="1">
      <c r="A8" s="271" t="str">
        <f>IFERROR(MATCH($B8,Alimentos!$E$5:$E$310,0)+1,"")</f>
        <v/>
      </c>
      <c r="B8" s="414" t="s">
        <v>651</v>
      </c>
      <c r="C8" s="375" t="s">
        <v>58</v>
      </c>
      <c r="D8" s="373" t="s">
        <v>313</v>
      </c>
      <c r="E8" s="373" t="s">
        <v>314</v>
      </c>
      <c r="F8" s="374" t="s">
        <v>320</v>
      </c>
      <c r="G8" s="415" t="s">
        <v>311</v>
      </c>
      <c r="H8" s="386"/>
      <c r="I8" s="398" t="s">
        <v>318</v>
      </c>
      <c r="J8" s="264" t="str">
        <f>Alimentos!H2</f>
        <v>MS</v>
      </c>
      <c r="K8" s="264" t="str">
        <f>Alimentos!I2</f>
        <v>FDN</v>
      </c>
      <c r="L8" s="264" t="str">
        <f>Alimentos!J2</f>
        <v>FDA</v>
      </c>
      <c r="M8" s="399" t="str">
        <f>Alimentos!K2</f>
        <v>CNF</v>
      </c>
      <c r="N8" s="398" t="str">
        <f>Alimentos!L2</f>
        <v>NDT</v>
      </c>
      <c r="O8" s="264" t="str">
        <f>Alimentos!M2</f>
        <v>ED</v>
      </c>
      <c r="P8" s="264" t="str">
        <f>Alimentos!N2</f>
        <v>EM</v>
      </c>
      <c r="Q8" s="264" t="str">
        <f>Alimentos!O2</f>
        <v>EL</v>
      </c>
      <c r="R8" s="399" t="str">
        <f>Alimentos!P2</f>
        <v>EE</v>
      </c>
      <c r="S8" s="265" t="str">
        <f>Alimentos!Q2</f>
        <v>PB</v>
      </c>
      <c r="T8" s="264" t="str">
        <f>Alimentos!R2</f>
        <v>PDR</v>
      </c>
      <c r="U8" s="264" t="str">
        <f>Alimentos!S2</f>
        <v>PNDR</v>
      </c>
      <c r="V8" s="264" t="str">
        <f>Alimentos!T2</f>
        <v>PM</v>
      </c>
      <c r="W8" s="432" t="str">
        <f>Alimentos!U2</f>
        <v>PBNNP</v>
      </c>
      <c r="X8" s="436" t="str">
        <f>Alimentos!V2</f>
        <v>Ca</v>
      </c>
      <c r="Y8" s="264" t="str">
        <f>Alimentos!W2</f>
        <v>P</v>
      </c>
      <c r="Z8" s="264" t="str">
        <f>Alimentos!X2</f>
        <v>Mg</v>
      </c>
      <c r="AA8" s="264" t="str">
        <f>Alimentos!Y2</f>
        <v>Na</v>
      </c>
      <c r="AB8" s="264" t="str">
        <f>Alimentos!Z2</f>
        <v>K</v>
      </c>
      <c r="AC8" s="264" t="str">
        <f>Alimentos!AA2</f>
        <v>S</v>
      </c>
      <c r="AD8" s="264" t="str">
        <f>Alimentos!AB2</f>
        <v>Cu</v>
      </c>
      <c r="AE8" s="264" t="str">
        <f>Alimentos!AC2</f>
        <v>Zn</v>
      </c>
      <c r="AF8" s="264" t="str">
        <f>Alimentos!AD2</f>
        <v>Fe</v>
      </c>
      <c r="AG8" s="264" t="str">
        <f>Alimentos!AE2</f>
        <v>Mn</v>
      </c>
      <c r="AH8" s="264" t="str">
        <f>Alimentos!AF2</f>
        <v>I</v>
      </c>
      <c r="AI8" s="264" t="str">
        <f>Alimentos!AG2</f>
        <v>Co</v>
      </c>
      <c r="AJ8" s="399" t="str">
        <f>Alimentos!AH2</f>
        <v>Se</v>
      </c>
      <c r="AK8" s="265" t="str">
        <f>Alimentos!AI2</f>
        <v>Lis</v>
      </c>
      <c r="AL8" s="264" t="str">
        <f>Alimentos!AJ2</f>
        <v>Met</v>
      </c>
      <c r="AM8" s="264" t="str">
        <f>Alimentos!AK2</f>
        <v>Mon</v>
      </c>
      <c r="AN8" s="264" t="str">
        <f>Alimentos!AL2</f>
        <v>Vit A</v>
      </c>
      <c r="AO8" s="264" t="str">
        <f>Alimentos!AM2</f>
        <v>Vit B (UI)</v>
      </c>
      <c r="AP8" s="264" t="str">
        <f>Alimentos!AN2</f>
        <v>Vit D (UI)</v>
      </c>
      <c r="AQ8" s="264" t="str">
        <f>Alimentos!AO2</f>
        <v>Vit E (UI)</v>
      </c>
      <c r="AR8" s="264" t="str">
        <f>Alimentos!AP2</f>
        <v>Novo 01</v>
      </c>
      <c r="AS8" s="264" t="str">
        <f>Alimentos!AQ2</f>
        <v>Novo 02</v>
      </c>
      <c r="AT8" s="264" t="str">
        <f>Alimentos!AR2</f>
        <v>Novo 03</v>
      </c>
      <c r="AU8" s="264" t="str">
        <f>Alimentos!AS2</f>
        <v>Novo 04</v>
      </c>
      <c r="AV8" s="264" t="str">
        <f>Alimentos!AT2</f>
        <v>Novo 05</v>
      </c>
      <c r="AW8" s="264" t="str">
        <f>Alimentos!AU2</f>
        <v>Novo 06</v>
      </c>
      <c r="AX8" s="264" t="str">
        <f>Alimentos!AV2</f>
        <v>Novo 07</v>
      </c>
      <c r="AY8" s="264" t="str">
        <f>Alimentos!AW2</f>
        <v>Novo 08</v>
      </c>
      <c r="AZ8" s="264" t="str">
        <f>Alimentos!AX2</f>
        <v>Novo 09</v>
      </c>
      <c r="BA8" s="1415" t="str">
        <f>Alimentos!AY2</f>
        <v>VOL</v>
      </c>
      <c r="BB8" s="1416" t="str">
        <f>Alimentos!AZ2</f>
        <v>CONC</v>
      </c>
      <c r="BC8" s="262"/>
      <c r="BD8" s="266" t="s">
        <v>321</v>
      </c>
      <c r="BE8" s="267" t="s">
        <v>62</v>
      </c>
      <c r="BF8" s="267" t="s">
        <v>63</v>
      </c>
      <c r="BG8" s="268" t="s">
        <v>64</v>
      </c>
      <c r="BH8" s="266" t="s">
        <v>321</v>
      </c>
      <c r="BI8" s="267" t="s">
        <v>62</v>
      </c>
      <c r="BJ8" s="267" t="s">
        <v>63</v>
      </c>
      <c r="BK8" s="269" t="s">
        <v>64</v>
      </c>
      <c r="BL8" s="270" t="s">
        <v>75</v>
      </c>
      <c r="BM8" s="262"/>
    </row>
    <row r="9" spans="1:69" ht="15.75" thickTop="1">
      <c r="A9" s="271">
        <f>IFERROR(MATCH($B9,Alimentos!$E$5:$E$310,0)+1,"")</f>
        <v>63</v>
      </c>
      <c r="B9" s="1933" t="s">
        <v>1481</v>
      </c>
      <c r="C9" s="575">
        <v>0</v>
      </c>
      <c r="D9" s="576">
        <v>0</v>
      </c>
      <c r="E9" s="576">
        <v>0</v>
      </c>
      <c r="F9" s="577"/>
      <c r="G9" s="416">
        <f>IFERROR(IF(F9&gt;0,F9,INDEX(Alimentos!F$5:F$310,MATCH($B9,Alimentos!$E$5:$E$310,0))),"")</f>
        <v>0.2</v>
      </c>
      <c r="H9" s="387"/>
      <c r="I9" s="400">
        <f>IFERROR(INDEX(Alimentos!G$5:G$310,MATCH($B9,Alimentos!$E$5:$E$310,0)),"")</f>
        <v>1</v>
      </c>
      <c r="J9" s="272">
        <f>IFERROR(INDEX(Alimentos!H$5:H$310,MATCH($B9,Alimentos!$E$5:$E$310,0)),"")</f>
        <v>0.29499999999999998</v>
      </c>
      <c r="K9" s="272">
        <f>IFERROR(INDEX(Alimentos!I$5:I$310,MATCH($B9,Alimentos!$E$5:$E$310,0)),"")</f>
        <v>0.20083599999999999</v>
      </c>
      <c r="L9" s="272">
        <f>IFERROR(INDEX(Alimentos!J$5:J$310,MATCH($B9,Alimentos!$E$5:$E$310,0)),"")</f>
        <v>0.13800000000000001</v>
      </c>
      <c r="M9" s="401">
        <f>IFERROR(INDEX(Alimentos!K$5:K$310,MATCH($B9,Alimentos!$E$5:$E$310,0)),"")</f>
        <v>4.2067E-2</v>
      </c>
      <c r="N9" s="426">
        <f>IFERROR(INDEX(Alimentos!L$5:L$310,MATCH($B9,Alimentos!$E$5:$E$310,0)),"")</f>
        <v>0.15384249999999999</v>
      </c>
      <c r="O9" s="272">
        <f>IFERROR(INDEX(Alimentos!M$5:M$310,MATCH($B9,Alimentos!$E$5:$E$310,0)),"")</f>
        <v>0</v>
      </c>
      <c r="P9" s="272">
        <f>IFERROR(INDEX(Alimentos!N$5:N$310,MATCH($B9,Alimentos!$E$5:$E$310,0)),"")</f>
        <v>1.85</v>
      </c>
      <c r="Q9" s="272">
        <f>IFERROR(INDEX(Alimentos!O$5:O$310,MATCH($B9,Alimentos!$E$5:$E$310,0)),"")</f>
        <v>0</v>
      </c>
      <c r="R9" s="401">
        <f>IFERROR(INDEX(Alimentos!P$5:P$310,MATCH($B9,Alimentos!$E$5:$E$310,0)),"")</f>
        <v>4.7494999999999994</v>
      </c>
      <c r="S9" s="273">
        <f>IFERROR(INDEX(Alimentos!Q$5:Q$310,MATCH($B9,Alimentos!$E$5:$E$310,0)),"")</f>
        <v>26.314</v>
      </c>
      <c r="T9" s="272">
        <f>IFERROR(INDEX(Alimentos!R$5:R$310,MATCH($B9,Alimentos!$E$5:$E$310,0)),"")</f>
        <v>17.641000000000002</v>
      </c>
      <c r="U9" s="272">
        <f>IFERROR(INDEX(Alimentos!S$5:S$310,MATCH($B9,Alimentos!$E$5:$E$310,0)),"")</f>
        <v>7.6109999999999998</v>
      </c>
      <c r="V9" s="272">
        <f>IFERROR(INDEX(Alimentos!T$5:T$310,MATCH($B9,Alimentos!$E$5:$E$310,0)),"")</f>
        <v>16.873999999999999</v>
      </c>
      <c r="W9" s="433">
        <f>IFERROR(INDEX(Alimentos!U$5:U$310,MATCH($B9,Alimentos!$E$5:$E$310,0)),"")</f>
        <v>0</v>
      </c>
      <c r="X9" s="426">
        <f>IFERROR(INDEX(Alimentos!V$5:V$310,MATCH($B9,Alimentos!$E$5:$E$310,0)),"")</f>
        <v>0</v>
      </c>
      <c r="Y9" s="272">
        <f>IFERROR(INDEX(Alimentos!W$5:W$310,MATCH($B9,Alimentos!$E$5:$E$310,0)),"")</f>
        <v>0.67849999999999999</v>
      </c>
      <c r="Z9" s="272">
        <f>IFERROR(INDEX(Alimentos!X$5:X$310,MATCH($B9,Alimentos!$E$5:$E$310,0)),"")</f>
        <v>0</v>
      </c>
      <c r="AA9" s="272">
        <f>IFERROR(INDEX(Alimentos!Y$5:Y$310,MATCH($B9,Alimentos!$E$5:$E$310,0)),"")</f>
        <v>0</v>
      </c>
      <c r="AB9" s="272">
        <f>IFERROR(INDEX(Alimentos!Z$5:Z$310,MATCH($B9,Alimentos!$E$5:$E$310,0)),"")</f>
        <v>0</v>
      </c>
      <c r="AC9" s="272">
        <f>IFERROR(INDEX(Alimentos!AA$5:AA$310,MATCH($B9,Alimentos!$E$5:$E$310,0)),"")</f>
        <v>0</v>
      </c>
      <c r="AD9" s="272">
        <f>IFERROR(INDEX(Alimentos!AB$5:AB$310,MATCH($B9,Alimentos!$E$5:$E$310,0)),"")</f>
        <v>0</v>
      </c>
      <c r="AE9" s="272">
        <f>IFERROR(INDEX(Alimentos!AC$5:AC$310,MATCH($B9,Alimentos!$E$5:$E$310,0)),"")</f>
        <v>0</v>
      </c>
      <c r="AF9" s="272">
        <f>IFERROR(INDEX(Alimentos!AD$5:AD$310,MATCH($B9,Alimentos!$E$5:$E$310,0)),"")</f>
        <v>215.29</v>
      </c>
      <c r="AG9" s="272">
        <f>IFERROR(INDEX(Alimentos!AE$5:AE$310,MATCH($B9,Alimentos!$E$5:$E$310,0)),"")</f>
        <v>0</v>
      </c>
      <c r="AH9" s="272">
        <f>IFERROR(INDEX(Alimentos!AF$5:AF$310,MATCH($B9,Alimentos!$E$5:$E$310,0)),"")</f>
        <v>0</v>
      </c>
      <c r="AI9" s="272">
        <f>IFERROR(INDEX(Alimentos!AG$5:AG$310,MATCH($B9,Alimentos!$E$5:$E$310,0)),"")</f>
        <v>0</v>
      </c>
      <c r="AJ9" s="401">
        <f>IFERROR(INDEX(Alimentos!AH$5:AH$310,MATCH($B9,Alimentos!$E$5:$E$310,0)),"")</f>
        <v>0</v>
      </c>
      <c r="AK9" s="273">
        <f>IFERROR(INDEX(Alimentos!AI$5:AI$310,MATCH($B9,Alimentos!$E$5:$E$310,0)),"")</f>
        <v>0</v>
      </c>
      <c r="AL9" s="272">
        <f>IFERROR(INDEX(Alimentos!AJ$5:AJ$310,MATCH($B9,Alimentos!$E$5:$E$310,0)),"")</f>
        <v>0</v>
      </c>
      <c r="AM9" s="272">
        <f>IFERROR(INDEX(Alimentos!AK$5:AK$310,MATCH($B9,Alimentos!$E$5:$E$310,0)),"")</f>
        <v>0</v>
      </c>
      <c r="AN9" s="272">
        <f>IFERROR(INDEX(Alimentos!AL$5:AL$310,MATCH($B9,Alimentos!$E$5:$E$310,0)),"")</f>
        <v>0</v>
      </c>
      <c r="AO9" s="272">
        <f>IFERROR(INDEX(Alimentos!AM$5:AM$310,MATCH($B9,Alimentos!$E$5:$E$310,0)),"")</f>
        <v>0</v>
      </c>
      <c r="AP9" s="272">
        <f>IFERROR(INDEX(Alimentos!AN$5:AN$310,MATCH($B9,Alimentos!$E$5:$E$310,0)),"")</f>
        <v>0</v>
      </c>
      <c r="AQ9" s="272">
        <f>IFERROR(INDEX(Alimentos!AO$5:AO$310,MATCH($B9,Alimentos!$E$5:$E$310,0)),"")</f>
        <v>0</v>
      </c>
      <c r="AR9" s="272">
        <f>IFERROR(INDEX(Alimentos!AP$5:AP$310,MATCH($B9,Alimentos!$E$5:$E$310,0)),"")</f>
        <v>0</v>
      </c>
      <c r="AS9" s="272">
        <f>IFERROR(INDEX(Alimentos!AQ$5:AQ$310,MATCH($B9,Alimentos!$E$5:$E$310,0)),"")</f>
        <v>0</v>
      </c>
      <c r="AT9" s="272">
        <f>IFERROR(INDEX(Alimentos!AR$5:AR$310,MATCH($B9,Alimentos!$E$5:$E$310,0)),"")</f>
        <v>0</v>
      </c>
      <c r="AU9" s="272">
        <f>IFERROR(INDEX(Alimentos!AS$5:AS$310,MATCH($B9,Alimentos!$E$5:$E$310,0)),"")</f>
        <v>0</v>
      </c>
      <c r="AV9" s="272">
        <f>IFERROR(INDEX(Alimentos!AT$5:AT$310,MATCH($B9,Alimentos!$E$5:$E$310,0)),"")</f>
        <v>0</v>
      </c>
      <c r="AW9" s="272">
        <f>IFERROR(INDEX(Alimentos!AU$5:AU$310,MATCH($B9,Alimentos!$E$5:$E$310,0)),"")</f>
        <v>0</v>
      </c>
      <c r="AX9" s="272">
        <f>IFERROR(INDEX(Alimentos!AV$5:AV$310,MATCH($B9,Alimentos!$E$5:$E$310,0)),"")</f>
        <v>0</v>
      </c>
      <c r="AY9" s="272">
        <f>IFERROR(INDEX(Alimentos!AW$5:AW$310,MATCH($B9,Alimentos!$E$5:$E$310,0)),"")</f>
        <v>0</v>
      </c>
      <c r="AZ9" s="272">
        <f>IFERROR(INDEX(Alimentos!AX$5:AX$310,MATCH($B9,Alimentos!$E$5:$E$310,0)),"")</f>
        <v>0</v>
      </c>
      <c r="BA9" s="272">
        <f>IFERROR(INDEX(Alimentos!AY$5:AY$310,MATCH($B9,Alimentos!$E$5:$E$310,0)),"")</f>
        <v>0</v>
      </c>
      <c r="BB9" s="272">
        <f>IFERROR(INDEX(Alimentos!AZ$5:AZ$310,MATCH($B9,Alimentos!$E$5:$E$310,0)),"")</f>
        <v>0.29499999999999998</v>
      </c>
      <c r="BC9" s="274"/>
      <c r="BD9" s="275">
        <f t="shared" ref="BD9:BD34" si="1">IFERROR(C9/$C$34,0)</f>
        <v>0</v>
      </c>
      <c r="BE9" s="278">
        <f t="shared" ref="BE9:BE34" si="2">C9</f>
        <v>0</v>
      </c>
      <c r="BF9" s="276">
        <f t="shared" ref="BF9:BF33" si="3">G9</f>
        <v>0.2</v>
      </c>
      <c r="BG9" s="277">
        <f>IFERROR(BE9*BF9,0)</f>
        <v>0</v>
      </c>
      <c r="BH9" s="275">
        <f t="shared" ref="BH9:BH18" si="4">IFERROR(BI9/$BI$34,0)</f>
        <v>0</v>
      </c>
      <c r="BI9" s="278">
        <f t="shared" ref="BI9:BI33" si="5">IFERROR(C9*J9,0)</f>
        <v>0</v>
      </c>
      <c r="BJ9" s="276">
        <f t="shared" ref="BJ9:BJ33" si="6">IFERROR(G9/J9,0)</f>
        <v>0.67796610169491534</v>
      </c>
      <c r="BK9" s="279">
        <f>BJ9*BI9</f>
        <v>0</v>
      </c>
      <c r="BL9" s="1996" t="str">
        <f>IFERROR(INDEX(Alimentos!B$5:B$310,MATCH($B9,Alimentos!$E$5:$E$310,0)),"")</f>
        <v>Volumoso</v>
      </c>
      <c r="BM9" s="280" t="str">
        <f>IF(C9=0,"",COUNTIF(BL$9:BL9,"Concentrado"))</f>
        <v/>
      </c>
      <c r="BN9" s="263" t="str">
        <f>IF(BM9="","",COUNTIFS(BM$9:BM9,"&gt;"&amp;0))</f>
        <v/>
      </c>
      <c r="BP9" s="281"/>
      <c r="BQ9" s="281"/>
    </row>
    <row r="10" spans="1:69" ht="15">
      <c r="A10" s="271">
        <f>IFERROR(MATCH($B10,Alimentos!$E$5:$E$310,0)+1,"")</f>
        <v>115</v>
      </c>
      <c r="B10" s="1934" t="s">
        <v>185</v>
      </c>
      <c r="C10" s="578">
        <v>0.27925956377726013</v>
      </c>
      <c r="D10" s="579">
        <v>0</v>
      </c>
      <c r="E10" s="579">
        <v>100</v>
      </c>
      <c r="F10" s="580"/>
      <c r="G10" s="417">
        <f>IFERROR(IF(F10&gt;0,F10,INDEX(Alimentos!F$5:F$310,MATCH($B10,Alimentos!$E$5:$E$310,0))),"")</f>
        <v>1</v>
      </c>
      <c r="H10" s="387"/>
      <c r="I10" s="400">
        <f>IFERROR(INDEX(Alimentos!G$5:G$310,MATCH($B10,Alimentos!$E$5:$E$310,0)),"")</f>
        <v>1</v>
      </c>
      <c r="J10" s="282">
        <f>IFERROR(INDEX(Alimentos!H$5:H$310,MATCH($B10,Alimentos!$E$5:$E$310,0)),"")</f>
        <v>1</v>
      </c>
      <c r="K10" s="282">
        <f>IFERROR(INDEX(Alimentos!I$5:I$310,MATCH($B10,Alimentos!$E$5:$E$310,0)),"")</f>
        <v>0</v>
      </c>
      <c r="L10" s="282">
        <f>IFERROR(INDEX(Alimentos!J$5:J$310,MATCH($B10,Alimentos!$E$5:$E$310,0)),"")</f>
        <v>0</v>
      </c>
      <c r="M10" s="402">
        <f>IFERROR(INDEX(Alimentos!K$5:K$310,MATCH($B10,Alimentos!$E$5:$E$310,0)),"")</f>
        <v>0</v>
      </c>
      <c r="N10" s="400">
        <f>IFERROR(INDEX(Alimentos!L$5:L$310,MATCH($B10,Alimentos!$E$5:$E$310,0)),"")</f>
        <v>0</v>
      </c>
      <c r="O10" s="282">
        <f>IFERROR(INDEX(Alimentos!M$5:M$310,MATCH($B10,Alimentos!$E$5:$E$310,0)),"")</f>
        <v>0</v>
      </c>
      <c r="P10" s="282">
        <f>IFERROR(INDEX(Alimentos!N$5:N$310,MATCH($B10,Alimentos!$E$5:$E$310,0)),"")</f>
        <v>0</v>
      </c>
      <c r="Q10" s="282">
        <f>IFERROR(INDEX(Alimentos!O$5:O$310,MATCH($B10,Alimentos!$E$5:$E$310,0)),"")</f>
        <v>0</v>
      </c>
      <c r="R10" s="402">
        <f>IFERROR(INDEX(Alimentos!P$5:P$310,MATCH($B10,Alimentos!$E$5:$E$310,0)),"")</f>
        <v>0</v>
      </c>
      <c r="S10" s="283">
        <f>IFERROR(INDEX(Alimentos!Q$5:Q$310,MATCH($B10,Alimentos!$E$5:$E$310,0)),"")</f>
        <v>0</v>
      </c>
      <c r="T10" s="282">
        <f>IFERROR(INDEX(Alimentos!R$5:R$310,MATCH($B10,Alimentos!$E$5:$E$310,0)),"")</f>
        <v>0</v>
      </c>
      <c r="U10" s="282">
        <f>IFERROR(INDEX(Alimentos!S$5:S$310,MATCH($B10,Alimentos!$E$5:$E$310,0)),"")</f>
        <v>0</v>
      </c>
      <c r="V10" s="282">
        <f>IFERROR(INDEX(Alimentos!T$5:T$310,MATCH($B10,Alimentos!$E$5:$E$310,0)),"")</f>
        <v>0</v>
      </c>
      <c r="W10" s="434">
        <f>IFERROR(INDEX(Alimentos!U$5:U$310,MATCH($B10,Alimentos!$E$5:$E$310,0)),"")</f>
        <v>0</v>
      </c>
      <c r="X10" s="400">
        <f>IFERROR(INDEX(Alimentos!V$5:V$310,MATCH($B10,Alimentos!$E$5:$E$310,0)),"")</f>
        <v>0</v>
      </c>
      <c r="Y10" s="282">
        <f>IFERROR(INDEX(Alimentos!W$5:W$310,MATCH($B10,Alimentos!$E$5:$E$310,0)),"")</f>
        <v>0</v>
      </c>
      <c r="Z10" s="282">
        <f>IFERROR(INDEX(Alimentos!X$5:X$310,MATCH($B10,Alimentos!$E$5:$E$310,0)),"")</f>
        <v>0</v>
      </c>
      <c r="AA10" s="282">
        <f>IFERROR(INDEX(Alimentos!Y$5:Y$310,MATCH($B10,Alimentos!$E$5:$E$310,0)),"")</f>
        <v>0</v>
      </c>
      <c r="AB10" s="282">
        <f>IFERROR(INDEX(Alimentos!Z$5:Z$310,MATCH($B10,Alimentos!$E$5:$E$310,0)),"")</f>
        <v>396.2</v>
      </c>
      <c r="AC10" s="282">
        <f>IFERROR(INDEX(Alimentos!AA$5:AA$310,MATCH($B10,Alimentos!$E$5:$E$310,0)),"")</f>
        <v>0</v>
      </c>
      <c r="AD10" s="282">
        <f>IFERROR(INDEX(Alimentos!AB$5:AB$310,MATCH($B10,Alimentos!$E$5:$E$310,0)),"")</f>
        <v>0</v>
      </c>
      <c r="AE10" s="282">
        <f>IFERROR(INDEX(Alimentos!AC$5:AC$310,MATCH($B10,Alimentos!$E$5:$E$310,0)),"")</f>
        <v>0</v>
      </c>
      <c r="AF10" s="282">
        <f>IFERROR(INDEX(Alimentos!AD$5:AD$310,MATCH($B10,Alimentos!$E$5:$E$310,0)),"")</f>
        <v>0</v>
      </c>
      <c r="AG10" s="282">
        <f>IFERROR(INDEX(Alimentos!AE$5:AE$310,MATCH($B10,Alimentos!$E$5:$E$310,0)),"")</f>
        <v>0</v>
      </c>
      <c r="AH10" s="282">
        <f>IFERROR(INDEX(Alimentos!AF$5:AF$310,MATCH($B10,Alimentos!$E$5:$E$310,0)),"")</f>
        <v>0</v>
      </c>
      <c r="AI10" s="282">
        <f>IFERROR(INDEX(Alimentos!AG$5:AG$310,MATCH($B10,Alimentos!$E$5:$E$310,0)),"")</f>
        <v>0</v>
      </c>
      <c r="AJ10" s="402">
        <f>IFERROR(INDEX(Alimentos!AH$5:AH$310,MATCH($B10,Alimentos!$E$5:$E$310,0)),"")</f>
        <v>0</v>
      </c>
      <c r="AK10" s="283">
        <f>IFERROR(INDEX(Alimentos!AI$5:AI$310,MATCH($B10,Alimentos!$E$5:$E$310,0)),"")</f>
        <v>0</v>
      </c>
      <c r="AL10" s="282">
        <f>IFERROR(INDEX(Alimentos!AJ$5:AJ$310,MATCH($B10,Alimentos!$E$5:$E$310,0)),"")</f>
        <v>0</v>
      </c>
      <c r="AM10" s="282">
        <f>IFERROR(INDEX(Alimentos!AK$5:AK$310,MATCH($B10,Alimentos!$E$5:$E$310,0)),"")</f>
        <v>0</v>
      </c>
      <c r="AN10" s="282">
        <f>IFERROR(INDEX(Alimentos!AL$5:AL$310,MATCH($B10,Alimentos!$E$5:$E$310,0)),"")</f>
        <v>0</v>
      </c>
      <c r="AO10" s="282">
        <f>IFERROR(INDEX(Alimentos!AM$5:AM$310,MATCH($B10,Alimentos!$E$5:$E$310,0)),"")</f>
        <v>0</v>
      </c>
      <c r="AP10" s="282">
        <f>IFERROR(INDEX(Alimentos!AN$5:AN$310,MATCH($B10,Alimentos!$E$5:$E$310,0)),"")</f>
        <v>0</v>
      </c>
      <c r="AQ10" s="282">
        <f>IFERROR(INDEX(Alimentos!AO$5:AO$310,MATCH($B10,Alimentos!$E$5:$E$310,0)),"")</f>
        <v>0</v>
      </c>
      <c r="AR10" s="282">
        <f>IFERROR(INDEX(Alimentos!AP$5:AP$310,MATCH($B10,Alimentos!$E$5:$E$310,0)),"")</f>
        <v>0</v>
      </c>
      <c r="AS10" s="282">
        <f>IFERROR(INDEX(Alimentos!AQ$5:AQ$310,MATCH($B10,Alimentos!$E$5:$E$310,0)),"")</f>
        <v>0</v>
      </c>
      <c r="AT10" s="282">
        <f>IFERROR(INDEX(Alimentos!AR$5:AR$310,MATCH($B10,Alimentos!$E$5:$E$310,0)),"")</f>
        <v>0</v>
      </c>
      <c r="AU10" s="282">
        <f>IFERROR(INDEX(Alimentos!AS$5:AS$310,MATCH($B10,Alimentos!$E$5:$E$310,0)),"")</f>
        <v>0</v>
      </c>
      <c r="AV10" s="282">
        <f>IFERROR(INDEX(Alimentos!AT$5:AT$310,MATCH($B10,Alimentos!$E$5:$E$310,0)),"")</f>
        <v>0</v>
      </c>
      <c r="AW10" s="282">
        <f>IFERROR(INDEX(Alimentos!AU$5:AU$310,MATCH($B10,Alimentos!$E$5:$E$310,0)),"")</f>
        <v>0</v>
      </c>
      <c r="AX10" s="282">
        <f>IFERROR(INDEX(Alimentos!AV$5:AV$310,MATCH($B10,Alimentos!$E$5:$E$310,0)),"")</f>
        <v>0</v>
      </c>
      <c r="AY10" s="282">
        <f>IFERROR(INDEX(Alimentos!AW$5:AW$310,MATCH($B10,Alimentos!$E$5:$E$310,0)),"")</f>
        <v>0</v>
      </c>
      <c r="AZ10" s="282">
        <f>IFERROR(INDEX(Alimentos!AX$5:AX$310,MATCH($B10,Alimentos!$E$5:$E$310,0)),"")</f>
        <v>0</v>
      </c>
      <c r="BA10" s="282">
        <f>IFERROR(INDEX(Alimentos!AY$5:AY$310,MATCH($B10,Alimentos!$E$5:$E$310,0)),"")</f>
        <v>0</v>
      </c>
      <c r="BB10" s="282">
        <f>IFERROR(INDEX(Alimentos!AZ$5:AZ$310,MATCH($B10,Alimentos!$E$5:$E$310,0)),"")</f>
        <v>1</v>
      </c>
      <c r="BC10" s="274"/>
      <c r="BD10" s="284">
        <f t="shared" si="1"/>
        <v>0.2792595803090987</v>
      </c>
      <c r="BE10" s="287">
        <f t="shared" si="2"/>
        <v>0.27925956377726013</v>
      </c>
      <c r="BF10" s="285">
        <f t="shared" si="3"/>
        <v>1</v>
      </c>
      <c r="BG10" s="286">
        <f t="shared" ref="BG10:BG18" si="7">IFERROR(BE10*BF10,0)</f>
        <v>0.27925956377726013</v>
      </c>
      <c r="BH10" s="284">
        <f t="shared" si="4"/>
        <v>0.28146409145916262</v>
      </c>
      <c r="BI10" s="287">
        <f t="shared" si="5"/>
        <v>0.27925956377726013</v>
      </c>
      <c r="BJ10" s="285">
        <f t="shared" si="6"/>
        <v>1</v>
      </c>
      <c r="BK10" s="288">
        <f t="shared" ref="BK10:BK18" si="8">BJ10*BI10</f>
        <v>0.27925956377726013</v>
      </c>
      <c r="BL10" s="1997" t="str">
        <f>IFERROR(INDEX(Alimentos!B$5:B$310,MATCH($B10,Alimentos!$E$5:$E$310,0)),"")</f>
        <v>Concentrado</v>
      </c>
      <c r="BM10" s="280">
        <f>IF(C10=0,"",COUNTIF(BL$9:BL10,"Concentrado"))</f>
        <v>1</v>
      </c>
      <c r="BN10" s="263">
        <f>IF(BM10="","",COUNTIFS(BM$9:BM10,"&gt;"&amp;0))</f>
        <v>1</v>
      </c>
      <c r="BP10" s="281"/>
      <c r="BQ10" s="281"/>
    </row>
    <row r="11" spans="1:69" ht="15">
      <c r="A11" s="271">
        <f>IFERROR(MATCH($B11,Alimentos!$E$5:$E$310,0)+1,"")</f>
        <v>252</v>
      </c>
      <c r="B11" s="1934" t="s">
        <v>243</v>
      </c>
      <c r="C11" s="578">
        <v>5.1306038761938788E-3</v>
      </c>
      <c r="D11" s="579">
        <v>0</v>
      </c>
      <c r="E11" s="579">
        <v>100</v>
      </c>
      <c r="F11" s="580"/>
      <c r="G11" s="417">
        <f>IFERROR(IF(F11&gt;0,F11,INDEX(Alimentos!F$5:F$310,MATCH($B11,Alimentos!$E$5:$E$310,0))),"")</f>
        <v>1</v>
      </c>
      <c r="H11" s="387"/>
      <c r="I11" s="400">
        <f>IFERROR(INDEX(Alimentos!G$5:G$310,MATCH($B11,Alimentos!$E$5:$E$310,0)),"")</f>
        <v>1</v>
      </c>
      <c r="J11" s="282">
        <f>IFERROR(INDEX(Alimentos!H$5:H$310,MATCH($B11,Alimentos!$E$5:$E$310,0)),"")</f>
        <v>1</v>
      </c>
      <c r="K11" s="282">
        <f>IFERROR(INDEX(Alimentos!I$5:I$310,MATCH($B11,Alimentos!$E$5:$E$310,0)),"")</f>
        <v>0</v>
      </c>
      <c r="L11" s="282">
        <f>IFERROR(INDEX(Alimentos!J$5:J$310,MATCH($B11,Alimentos!$E$5:$E$310,0)),"")</f>
        <v>0</v>
      </c>
      <c r="M11" s="402">
        <f>IFERROR(INDEX(Alimentos!K$5:K$310,MATCH($B11,Alimentos!$E$5:$E$310,0)),"")</f>
        <v>0</v>
      </c>
      <c r="N11" s="400">
        <f>IFERROR(INDEX(Alimentos!L$5:L$310,MATCH($B11,Alimentos!$E$5:$E$310,0)),"")</f>
        <v>0</v>
      </c>
      <c r="O11" s="282">
        <f>IFERROR(INDEX(Alimentos!M$5:M$310,MATCH($B11,Alimentos!$E$5:$E$310,0)),"")</f>
        <v>0</v>
      </c>
      <c r="P11" s="282">
        <f>IFERROR(INDEX(Alimentos!N$5:N$310,MATCH($B11,Alimentos!$E$5:$E$310,0)),"")</f>
        <v>0</v>
      </c>
      <c r="Q11" s="282">
        <f>IFERROR(INDEX(Alimentos!O$5:O$310,MATCH($B11,Alimentos!$E$5:$E$310,0)),"")</f>
        <v>0</v>
      </c>
      <c r="R11" s="402">
        <f>IFERROR(INDEX(Alimentos!P$5:P$310,MATCH($B11,Alimentos!$E$5:$E$310,0)),"")</f>
        <v>0</v>
      </c>
      <c r="S11" s="283">
        <f>IFERROR(INDEX(Alimentos!Q$5:Q$310,MATCH($B11,Alimentos!$E$5:$E$310,0)),"")</f>
        <v>0</v>
      </c>
      <c r="T11" s="282">
        <f>IFERROR(INDEX(Alimentos!R$5:R$310,MATCH($B11,Alimentos!$E$5:$E$310,0)),"")</f>
        <v>0</v>
      </c>
      <c r="U11" s="282">
        <f>IFERROR(INDEX(Alimentos!S$5:S$310,MATCH($B11,Alimentos!$E$5:$E$310,0)),"")</f>
        <v>0</v>
      </c>
      <c r="V11" s="282">
        <f>IFERROR(INDEX(Alimentos!T$5:T$310,MATCH($B11,Alimentos!$E$5:$E$310,0)),"")</f>
        <v>0</v>
      </c>
      <c r="W11" s="434">
        <f>IFERROR(INDEX(Alimentos!U$5:U$310,MATCH($B11,Alimentos!$E$5:$E$310,0)),"")</f>
        <v>0</v>
      </c>
      <c r="X11" s="400">
        <f>IFERROR(INDEX(Alimentos!V$5:V$310,MATCH($B11,Alimentos!$E$5:$E$310,0)),"")</f>
        <v>0</v>
      </c>
      <c r="Y11" s="282">
        <f>IFERROR(INDEX(Alimentos!W$5:W$310,MATCH($B11,Alimentos!$E$5:$E$310,0)),"")</f>
        <v>0</v>
      </c>
      <c r="Z11" s="282">
        <f>IFERROR(INDEX(Alimentos!X$5:X$310,MATCH($B11,Alimentos!$E$5:$E$310,0)),"")</f>
        <v>0</v>
      </c>
      <c r="AA11" s="282">
        <f>IFERROR(INDEX(Alimentos!Y$5:Y$310,MATCH($B11,Alimentos!$E$5:$E$310,0)),"")</f>
        <v>0</v>
      </c>
      <c r="AB11" s="282">
        <f>IFERROR(INDEX(Alimentos!Z$5:Z$310,MATCH($B11,Alimentos!$E$5:$E$310,0)),"")</f>
        <v>0</v>
      </c>
      <c r="AC11" s="282">
        <f>IFERROR(INDEX(Alimentos!AA$5:AA$310,MATCH($B11,Alimentos!$E$5:$E$310,0)),"")</f>
        <v>111</v>
      </c>
      <c r="AD11" s="282">
        <f>IFERROR(INDEX(Alimentos!AB$5:AB$310,MATCH($B11,Alimentos!$E$5:$E$310,0)),"")</f>
        <v>0</v>
      </c>
      <c r="AE11" s="282">
        <f>IFERROR(INDEX(Alimentos!AC$5:AC$310,MATCH($B11,Alimentos!$E$5:$E$310,0)),"")</f>
        <v>227000</v>
      </c>
      <c r="AF11" s="282">
        <f>IFERROR(INDEX(Alimentos!AD$5:AD$310,MATCH($B11,Alimentos!$E$5:$E$310,0)),"")</f>
        <v>0</v>
      </c>
      <c r="AG11" s="282">
        <f>IFERROR(INDEX(Alimentos!AE$5:AE$310,MATCH($B11,Alimentos!$E$5:$E$310,0)),"")</f>
        <v>0</v>
      </c>
      <c r="AH11" s="282">
        <f>IFERROR(INDEX(Alimentos!AF$5:AF$310,MATCH($B11,Alimentos!$E$5:$E$310,0)),"")</f>
        <v>0</v>
      </c>
      <c r="AI11" s="282">
        <f>IFERROR(INDEX(Alimentos!AG$5:AG$310,MATCH($B11,Alimentos!$E$5:$E$310,0)),"")</f>
        <v>0</v>
      </c>
      <c r="AJ11" s="402">
        <f>IFERROR(INDEX(Alimentos!AH$5:AH$310,MATCH($B11,Alimentos!$E$5:$E$310,0)),"")</f>
        <v>0</v>
      </c>
      <c r="AK11" s="283">
        <f>IFERROR(INDEX(Alimentos!AI$5:AI$310,MATCH($B11,Alimentos!$E$5:$E$310,0)),"")</f>
        <v>0</v>
      </c>
      <c r="AL11" s="282">
        <f>IFERROR(INDEX(Alimentos!AJ$5:AJ$310,MATCH($B11,Alimentos!$E$5:$E$310,0)),"")</f>
        <v>0</v>
      </c>
      <c r="AM11" s="282">
        <f>IFERROR(INDEX(Alimentos!AK$5:AK$310,MATCH($B11,Alimentos!$E$5:$E$310,0)),"")</f>
        <v>0</v>
      </c>
      <c r="AN11" s="282">
        <f>IFERROR(INDEX(Alimentos!AL$5:AL$310,MATCH($B11,Alimentos!$E$5:$E$310,0)),"")</f>
        <v>0</v>
      </c>
      <c r="AO11" s="282">
        <f>IFERROR(INDEX(Alimentos!AM$5:AM$310,MATCH($B11,Alimentos!$E$5:$E$310,0)),"")</f>
        <v>0</v>
      </c>
      <c r="AP11" s="282">
        <f>IFERROR(INDEX(Alimentos!AN$5:AN$310,MATCH($B11,Alimentos!$E$5:$E$310,0)),"")</f>
        <v>0</v>
      </c>
      <c r="AQ11" s="282">
        <f>IFERROR(INDEX(Alimentos!AO$5:AO$310,MATCH($B11,Alimentos!$E$5:$E$310,0)),"")</f>
        <v>0</v>
      </c>
      <c r="AR11" s="282">
        <f>IFERROR(INDEX(Alimentos!AP$5:AP$310,MATCH($B11,Alimentos!$E$5:$E$310,0)),"")</f>
        <v>0</v>
      </c>
      <c r="AS11" s="282">
        <f>IFERROR(INDEX(Alimentos!AQ$5:AQ$310,MATCH($B11,Alimentos!$E$5:$E$310,0)),"")</f>
        <v>0</v>
      </c>
      <c r="AT11" s="282">
        <f>IFERROR(INDEX(Alimentos!AR$5:AR$310,MATCH($B11,Alimentos!$E$5:$E$310,0)),"")</f>
        <v>0</v>
      </c>
      <c r="AU11" s="282">
        <f>IFERROR(INDEX(Alimentos!AS$5:AS$310,MATCH($B11,Alimentos!$E$5:$E$310,0)),"")</f>
        <v>0</v>
      </c>
      <c r="AV11" s="282">
        <f>IFERROR(INDEX(Alimentos!AT$5:AT$310,MATCH($B11,Alimentos!$E$5:$E$310,0)),"")</f>
        <v>0</v>
      </c>
      <c r="AW11" s="282">
        <f>IFERROR(INDEX(Alimentos!AU$5:AU$310,MATCH($B11,Alimentos!$E$5:$E$310,0)),"")</f>
        <v>0</v>
      </c>
      <c r="AX11" s="282">
        <f>IFERROR(INDEX(Alimentos!AV$5:AV$310,MATCH($B11,Alimentos!$E$5:$E$310,0)),"")</f>
        <v>0</v>
      </c>
      <c r="AY11" s="282">
        <f>IFERROR(INDEX(Alimentos!AW$5:AW$310,MATCH($B11,Alimentos!$E$5:$E$310,0)),"")</f>
        <v>0</v>
      </c>
      <c r="AZ11" s="282">
        <f>IFERROR(INDEX(Alimentos!AX$5:AX$310,MATCH($B11,Alimentos!$E$5:$E$310,0)),"")</f>
        <v>0</v>
      </c>
      <c r="BA11" s="282">
        <f>IFERROR(INDEX(Alimentos!AY$5:AY$310,MATCH($B11,Alimentos!$E$5:$E$310,0)),"")</f>
        <v>0</v>
      </c>
      <c r="BB11" s="282">
        <f>IFERROR(INDEX(Alimentos!AZ$5:AZ$310,MATCH($B11,Alimentos!$E$5:$E$310,0)),"")</f>
        <v>1</v>
      </c>
      <c r="BC11" s="274"/>
      <c r="BD11" s="284">
        <f t="shared" si="1"/>
        <v>5.1306041799196091E-3</v>
      </c>
      <c r="BE11" s="287">
        <f t="shared" si="2"/>
        <v>5.1306038761938788E-3</v>
      </c>
      <c r="BF11" s="285">
        <f t="shared" si="3"/>
        <v>1</v>
      </c>
      <c r="BG11" s="286">
        <f t="shared" si="7"/>
        <v>5.1306038761938788E-3</v>
      </c>
      <c r="BH11" s="284">
        <f>IFERROR(BI11/$BI$34,0)</f>
        <v>5.1711058311384442E-3</v>
      </c>
      <c r="BI11" s="287">
        <f t="shared" si="5"/>
        <v>5.1306038761938788E-3</v>
      </c>
      <c r="BJ11" s="285">
        <f t="shared" si="6"/>
        <v>1</v>
      </c>
      <c r="BK11" s="288">
        <f t="shared" si="8"/>
        <v>5.1306038761938788E-3</v>
      </c>
      <c r="BL11" s="1997" t="str">
        <f>IFERROR(INDEX(Alimentos!B$5:B$310,MATCH($B11,Alimentos!$E$5:$E$310,0)),"")</f>
        <v>Concentrado</v>
      </c>
      <c r="BM11" s="280">
        <f>IF(C11=0,"",COUNTIF(BL$9:BL11,"Concentrado"))</f>
        <v>2</v>
      </c>
      <c r="BN11" s="263">
        <f>IF(BM11="","",COUNTIFS(BM$9:BM11,"&gt;"&amp;0))</f>
        <v>2</v>
      </c>
      <c r="BP11" s="281"/>
      <c r="BQ11" s="281"/>
    </row>
    <row r="12" spans="1:69" ht="15">
      <c r="A12" s="271">
        <f>IFERROR(MATCH($B12,Alimentos!$E$5:$E$310,0)+1,"")</f>
        <v>251</v>
      </c>
      <c r="B12" s="1934" t="s">
        <v>242</v>
      </c>
      <c r="C12" s="578">
        <v>1.5413975575876851E-3</v>
      </c>
      <c r="D12" s="579">
        <v>0</v>
      </c>
      <c r="E12" s="579">
        <v>100</v>
      </c>
      <c r="F12" s="580"/>
      <c r="G12" s="417">
        <f>IFERROR(IF(F12&gt;0,F12,INDEX(Alimentos!F$5:F$310,MATCH($B12,Alimentos!$E$5:$E$310,0))),"")</f>
        <v>1</v>
      </c>
      <c r="H12" s="387"/>
      <c r="I12" s="400">
        <f>IFERROR(INDEX(Alimentos!G$5:G$310,MATCH($B12,Alimentos!$E$5:$E$310,0)),"")</f>
        <v>1</v>
      </c>
      <c r="J12" s="282">
        <f>IFERROR(INDEX(Alimentos!H$5:H$310,MATCH($B12,Alimentos!$E$5:$E$310,0)),"")</f>
        <v>1</v>
      </c>
      <c r="K12" s="282">
        <f>IFERROR(INDEX(Alimentos!I$5:I$310,MATCH($B12,Alimentos!$E$5:$E$310,0)),"")</f>
        <v>0</v>
      </c>
      <c r="L12" s="282">
        <f>IFERROR(INDEX(Alimentos!J$5:J$310,MATCH($B12,Alimentos!$E$5:$E$310,0)),"")</f>
        <v>0</v>
      </c>
      <c r="M12" s="402">
        <f>IFERROR(INDEX(Alimentos!K$5:K$310,MATCH($B12,Alimentos!$E$5:$E$310,0)),"")</f>
        <v>0</v>
      </c>
      <c r="N12" s="400">
        <f>IFERROR(INDEX(Alimentos!L$5:L$310,MATCH($B12,Alimentos!$E$5:$E$310,0)),"")</f>
        <v>0</v>
      </c>
      <c r="O12" s="282">
        <f>IFERROR(INDEX(Alimentos!M$5:M$310,MATCH($B12,Alimentos!$E$5:$E$310,0)),"")</f>
        <v>0</v>
      </c>
      <c r="P12" s="282">
        <f>IFERROR(INDEX(Alimentos!N$5:N$310,MATCH($B12,Alimentos!$E$5:$E$310,0)),"")</f>
        <v>0</v>
      </c>
      <c r="Q12" s="282">
        <f>IFERROR(INDEX(Alimentos!O$5:O$310,MATCH($B12,Alimentos!$E$5:$E$310,0)),"")</f>
        <v>0</v>
      </c>
      <c r="R12" s="402">
        <f>IFERROR(INDEX(Alimentos!P$5:P$310,MATCH($B12,Alimentos!$E$5:$E$310,0)),"")</f>
        <v>0</v>
      </c>
      <c r="S12" s="283">
        <f>IFERROR(INDEX(Alimentos!Q$5:Q$310,MATCH($B12,Alimentos!$E$5:$E$310,0)),"")</f>
        <v>0</v>
      </c>
      <c r="T12" s="282">
        <f>IFERROR(INDEX(Alimentos!R$5:R$310,MATCH($B12,Alimentos!$E$5:$E$310,0)),"")</f>
        <v>0</v>
      </c>
      <c r="U12" s="282">
        <f>IFERROR(INDEX(Alimentos!S$5:S$310,MATCH($B12,Alimentos!$E$5:$E$310,0)),"")</f>
        <v>0</v>
      </c>
      <c r="V12" s="282">
        <f>IFERROR(INDEX(Alimentos!T$5:T$310,MATCH($B12,Alimentos!$E$5:$E$310,0)),"")</f>
        <v>0</v>
      </c>
      <c r="W12" s="434">
        <f>IFERROR(INDEX(Alimentos!U$5:U$310,MATCH($B12,Alimentos!$E$5:$E$310,0)),"")</f>
        <v>0</v>
      </c>
      <c r="X12" s="400">
        <f>IFERROR(INDEX(Alimentos!V$5:V$310,MATCH($B12,Alimentos!$E$5:$E$310,0)),"")</f>
        <v>0</v>
      </c>
      <c r="Y12" s="282">
        <f>IFERROR(INDEX(Alimentos!W$5:W$310,MATCH($B12,Alimentos!$E$5:$E$310,0)),"")</f>
        <v>0</v>
      </c>
      <c r="Z12" s="282">
        <f>IFERROR(INDEX(Alimentos!X$5:X$310,MATCH($B12,Alimentos!$E$5:$E$310,0)),"")</f>
        <v>0</v>
      </c>
      <c r="AA12" s="282">
        <f>IFERROR(INDEX(Alimentos!Y$5:Y$310,MATCH($B12,Alimentos!$E$5:$E$310,0)),"")</f>
        <v>0</v>
      </c>
      <c r="AB12" s="282">
        <f>IFERROR(INDEX(Alimentos!Z$5:Z$310,MATCH($B12,Alimentos!$E$5:$E$310,0)),"")</f>
        <v>0</v>
      </c>
      <c r="AC12" s="282">
        <f>IFERROR(INDEX(Alimentos!AA$5:AA$310,MATCH($B12,Alimentos!$E$5:$E$310,0)),"")</f>
        <v>189</v>
      </c>
      <c r="AD12" s="282">
        <f>IFERROR(INDEX(Alimentos!AB$5:AB$310,MATCH($B12,Alimentos!$E$5:$E$310,0)),"")</f>
        <v>0</v>
      </c>
      <c r="AE12" s="282">
        <f>IFERROR(INDEX(Alimentos!AC$5:AC$310,MATCH($B12,Alimentos!$E$5:$E$310,0)),"")</f>
        <v>0</v>
      </c>
      <c r="AF12" s="282">
        <f>IFERROR(INDEX(Alimentos!AD$5:AD$310,MATCH($B12,Alimentos!$E$5:$E$310,0)),"")</f>
        <v>0</v>
      </c>
      <c r="AG12" s="282">
        <f>IFERROR(INDEX(Alimentos!AE$5:AE$310,MATCH($B12,Alimentos!$E$5:$E$310,0)),"")</f>
        <v>325000</v>
      </c>
      <c r="AH12" s="282">
        <f>IFERROR(INDEX(Alimentos!AF$5:AF$310,MATCH($B12,Alimentos!$E$5:$E$310,0)),"")</f>
        <v>0</v>
      </c>
      <c r="AI12" s="282">
        <f>IFERROR(INDEX(Alimentos!AG$5:AG$310,MATCH($B12,Alimentos!$E$5:$E$310,0)),"")</f>
        <v>0</v>
      </c>
      <c r="AJ12" s="402">
        <f>IFERROR(INDEX(Alimentos!AH$5:AH$310,MATCH($B12,Alimentos!$E$5:$E$310,0)),"")</f>
        <v>0</v>
      </c>
      <c r="AK12" s="283">
        <f>IFERROR(INDEX(Alimentos!AI$5:AI$310,MATCH($B12,Alimentos!$E$5:$E$310,0)),"")</f>
        <v>0</v>
      </c>
      <c r="AL12" s="282">
        <f>IFERROR(INDEX(Alimentos!AJ$5:AJ$310,MATCH($B12,Alimentos!$E$5:$E$310,0)),"")</f>
        <v>0</v>
      </c>
      <c r="AM12" s="282">
        <f>IFERROR(INDEX(Alimentos!AK$5:AK$310,MATCH($B12,Alimentos!$E$5:$E$310,0)),"")</f>
        <v>0</v>
      </c>
      <c r="AN12" s="282">
        <f>IFERROR(INDEX(Alimentos!AL$5:AL$310,MATCH($B12,Alimentos!$E$5:$E$310,0)),"")</f>
        <v>0</v>
      </c>
      <c r="AO12" s="282">
        <f>IFERROR(INDEX(Alimentos!AM$5:AM$310,MATCH($B12,Alimentos!$E$5:$E$310,0)),"")</f>
        <v>0</v>
      </c>
      <c r="AP12" s="282">
        <f>IFERROR(INDEX(Alimentos!AN$5:AN$310,MATCH($B12,Alimentos!$E$5:$E$310,0)),"")</f>
        <v>0</v>
      </c>
      <c r="AQ12" s="282">
        <f>IFERROR(INDEX(Alimentos!AO$5:AO$310,MATCH($B12,Alimentos!$E$5:$E$310,0)),"")</f>
        <v>0</v>
      </c>
      <c r="AR12" s="282">
        <f>IFERROR(INDEX(Alimentos!AP$5:AP$310,MATCH($B12,Alimentos!$E$5:$E$310,0)),"")</f>
        <v>0</v>
      </c>
      <c r="AS12" s="282">
        <f>IFERROR(INDEX(Alimentos!AQ$5:AQ$310,MATCH($B12,Alimentos!$E$5:$E$310,0)),"")</f>
        <v>0</v>
      </c>
      <c r="AT12" s="282">
        <f>IFERROR(INDEX(Alimentos!AR$5:AR$310,MATCH($B12,Alimentos!$E$5:$E$310,0)),"")</f>
        <v>0</v>
      </c>
      <c r="AU12" s="282">
        <f>IFERROR(INDEX(Alimentos!AS$5:AS$310,MATCH($B12,Alimentos!$E$5:$E$310,0)),"")</f>
        <v>0</v>
      </c>
      <c r="AV12" s="282">
        <f>IFERROR(INDEX(Alimentos!AT$5:AT$310,MATCH($B12,Alimentos!$E$5:$E$310,0)),"")</f>
        <v>0</v>
      </c>
      <c r="AW12" s="282">
        <f>IFERROR(INDEX(Alimentos!AU$5:AU$310,MATCH($B12,Alimentos!$E$5:$E$310,0)),"")</f>
        <v>0</v>
      </c>
      <c r="AX12" s="282">
        <f>IFERROR(INDEX(Alimentos!AV$5:AV$310,MATCH($B12,Alimentos!$E$5:$E$310,0)),"")</f>
        <v>0</v>
      </c>
      <c r="AY12" s="282">
        <f>IFERROR(INDEX(Alimentos!AW$5:AW$310,MATCH($B12,Alimentos!$E$5:$E$310,0)),"")</f>
        <v>0</v>
      </c>
      <c r="AZ12" s="282">
        <f>IFERROR(INDEX(Alimentos!AX$5:AX$310,MATCH($B12,Alimentos!$E$5:$E$310,0)),"")</f>
        <v>0</v>
      </c>
      <c r="BA12" s="282">
        <f>IFERROR(INDEX(Alimentos!AY$5:AY$310,MATCH($B12,Alimentos!$E$5:$E$310,0)),"")</f>
        <v>0</v>
      </c>
      <c r="BB12" s="282">
        <f>IFERROR(INDEX(Alimentos!AZ$5:AZ$310,MATCH($B12,Alimentos!$E$5:$E$310,0)),"")</f>
        <v>1</v>
      </c>
      <c r="BC12" s="274"/>
      <c r="BD12" s="284">
        <f t="shared" si="1"/>
        <v>1.5413976488366122E-3</v>
      </c>
      <c r="BE12" s="287">
        <f t="shared" si="2"/>
        <v>1.5413975575876851E-3</v>
      </c>
      <c r="BF12" s="285">
        <f t="shared" si="3"/>
        <v>1</v>
      </c>
      <c r="BG12" s="286">
        <f t="shared" si="7"/>
        <v>1.5413975575876851E-3</v>
      </c>
      <c r="BH12" s="284">
        <f t="shared" si="4"/>
        <v>1.5535656407091973E-3</v>
      </c>
      <c r="BI12" s="287">
        <f t="shared" si="5"/>
        <v>1.5413975575876851E-3</v>
      </c>
      <c r="BJ12" s="285">
        <f t="shared" si="6"/>
        <v>1</v>
      </c>
      <c r="BK12" s="288">
        <f t="shared" si="8"/>
        <v>1.5413975575876851E-3</v>
      </c>
      <c r="BL12" s="1997" t="str">
        <f>IFERROR(INDEX(Alimentos!B$5:B$310,MATCH($B12,Alimentos!$E$5:$E$310,0)),"")</f>
        <v>Concentrado</v>
      </c>
      <c r="BM12" s="280">
        <f>IF(C12=0,"",COUNTIF(BL$9:BL12,"Concentrado"))</f>
        <v>3</v>
      </c>
      <c r="BN12" s="263">
        <f>IF(BM12="","",COUNTIFS(BM$9:BM12,"&gt;"&amp;0))</f>
        <v>3</v>
      </c>
      <c r="BP12" s="281"/>
      <c r="BQ12" s="281"/>
    </row>
    <row r="13" spans="1:69" ht="15">
      <c r="A13" s="271">
        <f>IFERROR(MATCH($B13,Alimentos!$E$5:$E$310,0)+1,"")</f>
        <v>33</v>
      </c>
      <c r="B13" s="1934" t="s">
        <v>709</v>
      </c>
      <c r="C13" s="578">
        <v>0</v>
      </c>
      <c r="D13" s="579">
        <v>0</v>
      </c>
      <c r="E13" s="579">
        <v>100</v>
      </c>
      <c r="F13" s="580"/>
      <c r="G13" s="417">
        <f>IFERROR(IF(F13&gt;0,F13,INDEX(Alimentos!F$5:F$310,MATCH($B13,Alimentos!$E$5:$E$310,0))),"")</f>
        <v>1</v>
      </c>
      <c r="H13" s="387"/>
      <c r="I13" s="400">
        <f>IFERROR(INDEX(Alimentos!G$5:G$310,MATCH($B13,Alimentos!$E$5:$E$310,0)),"")</f>
        <v>1</v>
      </c>
      <c r="J13" s="282">
        <f>IFERROR(INDEX(Alimentos!H$5:H$310,MATCH($B13,Alimentos!$E$5:$E$310,0)),"")</f>
        <v>1</v>
      </c>
      <c r="K13" s="282">
        <f>IFERROR(INDEX(Alimentos!I$5:I$310,MATCH($B13,Alimentos!$E$5:$E$310,0)),"")</f>
        <v>0</v>
      </c>
      <c r="L13" s="282">
        <f>IFERROR(INDEX(Alimentos!J$5:J$310,MATCH($B13,Alimentos!$E$5:$E$310,0)),"")</f>
        <v>0</v>
      </c>
      <c r="M13" s="402">
        <f>IFERROR(INDEX(Alimentos!K$5:K$310,MATCH($B13,Alimentos!$E$5:$E$310,0)),"")</f>
        <v>0</v>
      </c>
      <c r="N13" s="400">
        <f>IFERROR(INDEX(Alimentos!L$5:L$310,MATCH($B13,Alimentos!$E$5:$E$310,0)),"")</f>
        <v>0</v>
      </c>
      <c r="O13" s="282">
        <f>IFERROR(INDEX(Alimentos!M$5:M$310,MATCH($B13,Alimentos!$E$5:$E$310,0)),"")</f>
        <v>0</v>
      </c>
      <c r="P13" s="282">
        <f>IFERROR(INDEX(Alimentos!N$5:N$310,MATCH($B13,Alimentos!$E$5:$E$310,0)),"")</f>
        <v>0</v>
      </c>
      <c r="Q13" s="282">
        <f>IFERROR(INDEX(Alimentos!O$5:O$310,MATCH($B13,Alimentos!$E$5:$E$310,0)),"")</f>
        <v>0</v>
      </c>
      <c r="R13" s="402">
        <f>IFERROR(INDEX(Alimentos!P$5:P$310,MATCH($B13,Alimentos!$E$5:$E$310,0)),"")</f>
        <v>0</v>
      </c>
      <c r="S13" s="283">
        <f>IFERROR(INDEX(Alimentos!Q$5:Q$310,MATCH($B13,Alimentos!$E$5:$E$310,0)),"")</f>
        <v>0</v>
      </c>
      <c r="T13" s="282">
        <f>IFERROR(INDEX(Alimentos!R$5:R$310,MATCH($B13,Alimentos!$E$5:$E$310,0)),"")</f>
        <v>0</v>
      </c>
      <c r="U13" s="282">
        <f>IFERROR(INDEX(Alimentos!S$5:S$310,MATCH($B13,Alimentos!$E$5:$E$310,0)),"")</f>
        <v>0</v>
      </c>
      <c r="V13" s="282">
        <f>IFERROR(INDEX(Alimentos!T$5:T$310,MATCH($B13,Alimentos!$E$5:$E$310,0)),"")</f>
        <v>0</v>
      </c>
      <c r="W13" s="434">
        <f>IFERROR(INDEX(Alimentos!U$5:U$310,MATCH($B13,Alimentos!$E$5:$E$310,0)),"")</f>
        <v>0</v>
      </c>
      <c r="X13" s="400">
        <f>IFERROR(INDEX(Alimentos!V$5:V$310,MATCH($B13,Alimentos!$E$5:$E$310,0)),"")</f>
        <v>370</v>
      </c>
      <c r="Y13" s="282">
        <f>IFERROR(INDEX(Alimentos!W$5:W$310,MATCH($B13,Alimentos!$E$5:$E$310,0)),"")</f>
        <v>0</v>
      </c>
      <c r="Z13" s="282">
        <f>IFERROR(INDEX(Alimentos!X$5:X$310,MATCH($B13,Alimentos!$E$5:$E$310,0)),"")</f>
        <v>0</v>
      </c>
      <c r="AA13" s="282">
        <f>IFERROR(INDEX(Alimentos!Y$5:Y$310,MATCH($B13,Alimentos!$E$5:$E$310,0)),"")</f>
        <v>0</v>
      </c>
      <c r="AB13" s="282">
        <f>IFERROR(INDEX(Alimentos!Z$5:Z$310,MATCH($B13,Alimentos!$E$5:$E$310,0)),"")</f>
        <v>0</v>
      </c>
      <c r="AC13" s="282">
        <f>IFERROR(INDEX(Alimentos!AA$5:AA$310,MATCH($B13,Alimentos!$E$5:$E$310,0)),"")</f>
        <v>0</v>
      </c>
      <c r="AD13" s="282">
        <f>IFERROR(INDEX(Alimentos!AB$5:AB$310,MATCH($B13,Alimentos!$E$5:$E$310,0)),"")</f>
        <v>0</v>
      </c>
      <c r="AE13" s="282">
        <f>IFERROR(INDEX(Alimentos!AC$5:AC$310,MATCH($B13,Alimentos!$E$5:$E$310,0)),"")</f>
        <v>0</v>
      </c>
      <c r="AF13" s="282">
        <f>IFERROR(INDEX(Alimentos!AD$5:AD$310,MATCH($B13,Alimentos!$E$5:$E$310,0)),"")</f>
        <v>0</v>
      </c>
      <c r="AG13" s="282">
        <f>IFERROR(INDEX(Alimentos!AE$5:AE$310,MATCH($B13,Alimentos!$E$5:$E$310,0)),"")</f>
        <v>0</v>
      </c>
      <c r="AH13" s="282">
        <f>IFERROR(INDEX(Alimentos!AF$5:AF$310,MATCH($B13,Alimentos!$E$5:$E$310,0)),"")</f>
        <v>0</v>
      </c>
      <c r="AI13" s="282">
        <f>IFERROR(INDEX(Alimentos!AG$5:AG$310,MATCH($B13,Alimentos!$E$5:$E$310,0)),"")</f>
        <v>0</v>
      </c>
      <c r="AJ13" s="402">
        <f>IFERROR(INDEX(Alimentos!AH$5:AH$310,MATCH($B13,Alimentos!$E$5:$E$310,0)),"")</f>
        <v>0</v>
      </c>
      <c r="AK13" s="283">
        <f>IFERROR(INDEX(Alimentos!AI$5:AI$310,MATCH($B13,Alimentos!$E$5:$E$310,0)),"")</f>
        <v>0</v>
      </c>
      <c r="AL13" s="282">
        <f>IFERROR(INDEX(Alimentos!AJ$5:AJ$310,MATCH($B13,Alimentos!$E$5:$E$310,0)),"")</f>
        <v>0</v>
      </c>
      <c r="AM13" s="282">
        <f>IFERROR(INDEX(Alimentos!AK$5:AK$310,MATCH($B13,Alimentos!$E$5:$E$310,0)),"")</f>
        <v>0</v>
      </c>
      <c r="AN13" s="282">
        <f>IFERROR(INDEX(Alimentos!AL$5:AL$310,MATCH($B13,Alimentos!$E$5:$E$310,0)),"")</f>
        <v>0</v>
      </c>
      <c r="AO13" s="282">
        <f>IFERROR(INDEX(Alimentos!AM$5:AM$310,MATCH($B13,Alimentos!$E$5:$E$310,0)),"")</f>
        <v>0</v>
      </c>
      <c r="AP13" s="282">
        <f>IFERROR(INDEX(Alimentos!AN$5:AN$310,MATCH($B13,Alimentos!$E$5:$E$310,0)),"")</f>
        <v>0</v>
      </c>
      <c r="AQ13" s="282">
        <f>IFERROR(INDEX(Alimentos!AO$5:AO$310,MATCH($B13,Alimentos!$E$5:$E$310,0)),"")</f>
        <v>0</v>
      </c>
      <c r="AR13" s="282">
        <f>IFERROR(INDEX(Alimentos!AP$5:AP$310,MATCH($B13,Alimentos!$E$5:$E$310,0)),"")</f>
        <v>0</v>
      </c>
      <c r="AS13" s="282">
        <f>IFERROR(INDEX(Alimentos!AQ$5:AQ$310,MATCH($B13,Alimentos!$E$5:$E$310,0)),"")</f>
        <v>0</v>
      </c>
      <c r="AT13" s="282">
        <f>IFERROR(INDEX(Alimentos!AR$5:AR$310,MATCH($B13,Alimentos!$E$5:$E$310,0)),"")</f>
        <v>0</v>
      </c>
      <c r="AU13" s="282">
        <f>IFERROR(INDEX(Alimentos!AS$5:AS$310,MATCH($B13,Alimentos!$E$5:$E$310,0)),"")</f>
        <v>0</v>
      </c>
      <c r="AV13" s="282">
        <f>IFERROR(INDEX(Alimentos!AT$5:AT$310,MATCH($B13,Alimentos!$E$5:$E$310,0)),"")</f>
        <v>0</v>
      </c>
      <c r="AW13" s="282">
        <f>IFERROR(INDEX(Alimentos!AU$5:AU$310,MATCH($B13,Alimentos!$E$5:$E$310,0)),"")</f>
        <v>0</v>
      </c>
      <c r="AX13" s="282">
        <f>IFERROR(INDEX(Alimentos!AV$5:AV$310,MATCH($B13,Alimentos!$E$5:$E$310,0)),"")</f>
        <v>0</v>
      </c>
      <c r="AY13" s="282">
        <f>IFERROR(INDEX(Alimentos!AW$5:AW$310,MATCH($B13,Alimentos!$E$5:$E$310,0)),"")</f>
        <v>0</v>
      </c>
      <c r="AZ13" s="282">
        <f>IFERROR(INDEX(Alimentos!AX$5:AX$310,MATCH($B13,Alimentos!$E$5:$E$310,0)),"")</f>
        <v>0</v>
      </c>
      <c r="BA13" s="282">
        <f>IFERROR(INDEX(Alimentos!AY$5:AY$310,MATCH($B13,Alimentos!$E$5:$E$310,0)),"")</f>
        <v>0</v>
      </c>
      <c r="BB13" s="282">
        <f>IFERROR(INDEX(Alimentos!AZ$5:AZ$310,MATCH($B13,Alimentos!$E$5:$E$310,0)),"")</f>
        <v>1</v>
      </c>
      <c r="BC13" s="289"/>
      <c r="BD13" s="284">
        <f t="shared" si="1"/>
        <v>0</v>
      </c>
      <c r="BE13" s="287">
        <f t="shared" si="2"/>
        <v>0</v>
      </c>
      <c r="BF13" s="285">
        <f t="shared" si="3"/>
        <v>1</v>
      </c>
      <c r="BG13" s="286">
        <f t="shared" si="7"/>
        <v>0</v>
      </c>
      <c r="BH13" s="284">
        <f t="shared" si="4"/>
        <v>0</v>
      </c>
      <c r="BI13" s="287">
        <f t="shared" si="5"/>
        <v>0</v>
      </c>
      <c r="BJ13" s="285">
        <f t="shared" si="6"/>
        <v>1</v>
      </c>
      <c r="BK13" s="288">
        <f t="shared" si="8"/>
        <v>0</v>
      </c>
      <c r="BL13" s="1997" t="str">
        <f>IFERROR(INDEX(Alimentos!B$5:B$310,MATCH($B13,Alimentos!$E$5:$E$310,0)),"")</f>
        <v>Concentrado</v>
      </c>
      <c r="BM13" s="280" t="str">
        <f>IF(C13=0,"",COUNTIF(BL$9:BL13,"Concentrado"))</f>
        <v/>
      </c>
      <c r="BN13" s="263" t="str">
        <f>IF(BM13="","",COUNTIFS(BM$9:BM13,"&gt;"&amp;0))</f>
        <v/>
      </c>
      <c r="BP13" s="281"/>
      <c r="BQ13" s="281"/>
    </row>
    <row r="14" spans="1:69" ht="15">
      <c r="A14" s="271">
        <f>IFERROR(MATCH($B14,Alimentos!$E$5:$E$310,0)+1,"")</f>
        <v>187</v>
      </c>
      <c r="B14" s="1934" t="s">
        <v>223</v>
      </c>
      <c r="C14" s="578">
        <v>4.4841144671800025E-2</v>
      </c>
      <c r="D14" s="579">
        <v>0</v>
      </c>
      <c r="E14" s="579">
        <v>100</v>
      </c>
      <c r="F14" s="580"/>
      <c r="G14" s="417">
        <f>IFERROR(IF(F14&gt;0,F14,INDEX(Alimentos!F$5:F$310,MATCH($B14,Alimentos!$E$5:$E$310,0))),"")</f>
        <v>1</v>
      </c>
      <c r="H14" s="387"/>
      <c r="I14" s="400">
        <f>IFERROR(INDEX(Alimentos!G$5:G$310,MATCH($B14,Alimentos!$E$5:$E$310,0)),"")</f>
        <v>1</v>
      </c>
      <c r="J14" s="282">
        <f>IFERROR(INDEX(Alimentos!H$5:H$310,MATCH($B14,Alimentos!$E$5:$E$310,0)),"")</f>
        <v>0.98319999999999996</v>
      </c>
      <c r="K14" s="282">
        <f>IFERROR(INDEX(Alimentos!I$5:I$310,MATCH($B14,Alimentos!$E$5:$E$310,0)),"")</f>
        <v>0</v>
      </c>
      <c r="L14" s="282">
        <f>IFERROR(INDEX(Alimentos!J$5:J$310,MATCH($B14,Alimentos!$E$5:$E$310,0)),"")</f>
        <v>0</v>
      </c>
      <c r="M14" s="402">
        <f>IFERROR(INDEX(Alimentos!K$5:K$310,MATCH($B14,Alimentos!$E$5:$E$310,0)),"")</f>
        <v>0</v>
      </c>
      <c r="N14" s="400">
        <f>IFERROR(INDEX(Alimentos!L$5:L$310,MATCH($B14,Alimentos!$E$5:$E$310,0)),"")</f>
        <v>0</v>
      </c>
      <c r="O14" s="282">
        <f>IFERROR(INDEX(Alimentos!M$5:M$310,MATCH($B14,Alimentos!$E$5:$E$310,0)),"")</f>
        <v>0</v>
      </c>
      <c r="P14" s="282">
        <f>IFERROR(INDEX(Alimentos!N$5:N$310,MATCH($B14,Alimentos!$E$5:$E$310,0)),"")</f>
        <v>0</v>
      </c>
      <c r="Q14" s="282">
        <f>IFERROR(INDEX(Alimentos!O$5:O$310,MATCH($B14,Alimentos!$E$5:$E$310,0)),"")</f>
        <v>0</v>
      </c>
      <c r="R14" s="402">
        <f>IFERROR(INDEX(Alimentos!P$5:P$310,MATCH($B14,Alimentos!$E$5:$E$310,0)),"")</f>
        <v>0</v>
      </c>
      <c r="S14" s="283">
        <f>IFERROR(INDEX(Alimentos!Q$5:Q$310,MATCH($B14,Alimentos!$E$5:$E$310,0)),"")</f>
        <v>0</v>
      </c>
      <c r="T14" s="282">
        <f>IFERROR(INDEX(Alimentos!R$5:R$310,MATCH($B14,Alimentos!$E$5:$E$310,0)),"")</f>
        <v>0</v>
      </c>
      <c r="U14" s="282">
        <f>IFERROR(INDEX(Alimentos!S$5:S$310,MATCH($B14,Alimentos!$E$5:$E$310,0)),"")</f>
        <v>0</v>
      </c>
      <c r="V14" s="282">
        <f>IFERROR(INDEX(Alimentos!T$5:T$310,MATCH($B14,Alimentos!$E$5:$E$310,0)),"")</f>
        <v>0</v>
      </c>
      <c r="W14" s="434">
        <f>IFERROR(INDEX(Alimentos!U$5:U$310,MATCH($B14,Alimentos!$E$5:$E$310,0)),"")</f>
        <v>0</v>
      </c>
      <c r="X14" s="400">
        <f>IFERROR(INDEX(Alimentos!V$5:V$310,MATCH($B14,Alimentos!$E$5:$E$310,0)),"")</f>
        <v>5.7025600000000001</v>
      </c>
      <c r="Y14" s="282">
        <f>IFERROR(INDEX(Alimentos!W$5:W$310,MATCH($B14,Alimentos!$E$5:$E$310,0)),"")</f>
        <v>0</v>
      </c>
      <c r="Z14" s="282">
        <f>IFERROR(INDEX(Alimentos!X$5:X$310,MATCH($B14,Alimentos!$E$5:$E$310,0)),"")</f>
        <v>529.35487999999998</v>
      </c>
      <c r="AA14" s="282">
        <f>IFERROR(INDEX(Alimentos!Y$5:Y$310,MATCH($B14,Alimentos!$E$5:$E$310,0)),"")</f>
        <v>0.29496</v>
      </c>
      <c r="AB14" s="282">
        <f>IFERROR(INDEX(Alimentos!Z$5:Z$310,MATCH($B14,Alimentos!$E$5:$E$310,0)),"")</f>
        <v>0</v>
      </c>
      <c r="AC14" s="282">
        <f>IFERROR(INDEX(Alimentos!AA$5:AA$310,MATCH($B14,Alimentos!$E$5:$E$310,0)),"")</f>
        <v>0</v>
      </c>
      <c r="AD14" s="282">
        <f>IFERROR(INDEX(Alimentos!AB$5:AB$310,MATCH($B14,Alimentos!$E$5:$E$310,0)),"")</f>
        <v>0</v>
      </c>
      <c r="AE14" s="282">
        <f>IFERROR(INDEX(Alimentos!AC$5:AC$310,MATCH($B14,Alimentos!$E$5:$E$310,0)),"")</f>
        <v>0</v>
      </c>
      <c r="AF14" s="282">
        <f>IFERROR(INDEX(Alimentos!AD$5:AD$310,MATCH($B14,Alimentos!$E$5:$E$310,0)),"")</f>
        <v>0</v>
      </c>
      <c r="AG14" s="282">
        <f>IFERROR(INDEX(Alimentos!AE$5:AE$310,MATCH($B14,Alimentos!$E$5:$E$310,0)),"")</f>
        <v>0</v>
      </c>
      <c r="AH14" s="282">
        <f>IFERROR(INDEX(Alimentos!AF$5:AF$310,MATCH($B14,Alimentos!$E$5:$E$310,0)),"")</f>
        <v>0</v>
      </c>
      <c r="AI14" s="282">
        <f>IFERROR(INDEX(Alimentos!AG$5:AG$310,MATCH($B14,Alimentos!$E$5:$E$310,0)),"")</f>
        <v>0</v>
      </c>
      <c r="AJ14" s="402">
        <f>IFERROR(INDEX(Alimentos!AH$5:AH$310,MATCH($B14,Alimentos!$E$5:$E$310,0)),"")</f>
        <v>0</v>
      </c>
      <c r="AK14" s="283">
        <f>IFERROR(INDEX(Alimentos!AI$5:AI$310,MATCH($B14,Alimentos!$E$5:$E$310,0)),"")</f>
        <v>0</v>
      </c>
      <c r="AL14" s="282">
        <f>IFERROR(INDEX(Alimentos!AJ$5:AJ$310,MATCH($B14,Alimentos!$E$5:$E$310,0)),"")</f>
        <v>0</v>
      </c>
      <c r="AM14" s="282">
        <f>IFERROR(INDEX(Alimentos!AK$5:AK$310,MATCH($B14,Alimentos!$E$5:$E$310,0)),"")</f>
        <v>0</v>
      </c>
      <c r="AN14" s="282">
        <f>IFERROR(INDEX(Alimentos!AL$5:AL$310,MATCH($B14,Alimentos!$E$5:$E$310,0)),"")</f>
        <v>0</v>
      </c>
      <c r="AO14" s="282">
        <f>IFERROR(INDEX(Alimentos!AM$5:AM$310,MATCH($B14,Alimentos!$E$5:$E$310,0)),"")</f>
        <v>0</v>
      </c>
      <c r="AP14" s="282">
        <f>IFERROR(INDEX(Alimentos!AN$5:AN$310,MATCH($B14,Alimentos!$E$5:$E$310,0)),"")</f>
        <v>0</v>
      </c>
      <c r="AQ14" s="282">
        <f>IFERROR(INDEX(Alimentos!AO$5:AO$310,MATCH($B14,Alimentos!$E$5:$E$310,0)),"")</f>
        <v>0</v>
      </c>
      <c r="AR14" s="282">
        <f>IFERROR(INDEX(Alimentos!AP$5:AP$310,MATCH($B14,Alimentos!$E$5:$E$310,0)),"")</f>
        <v>0</v>
      </c>
      <c r="AS14" s="282">
        <f>IFERROR(INDEX(Alimentos!AQ$5:AQ$310,MATCH($B14,Alimentos!$E$5:$E$310,0)),"")</f>
        <v>0</v>
      </c>
      <c r="AT14" s="282">
        <f>IFERROR(INDEX(Alimentos!AR$5:AR$310,MATCH($B14,Alimentos!$E$5:$E$310,0)),"")</f>
        <v>0</v>
      </c>
      <c r="AU14" s="282">
        <f>IFERROR(INDEX(Alimentos!AS$5:AS$310,MATCH($B14,Alimentos!$E$5:$E$310,0)),"")</f>
        <v>0</v>
      </c>
      <c r="AV14" s="282">
        <f>IFERROR(INDEX(Alimentos!AT$5:AT$310,MATCH($B14,Alimentos!$E$5:$E$310,0)),"")</f>
        <v>0</v>
      </c>
      <c r="AW14" s="282">
        <f>IFERROR(INDEX(Alimentos!AU$5:AU$310,MATCH($B14,Alimentos!$E$5:$E$310,0)),"")</f>
        <v>0</v>
      </c>
      <c r="AX14" s="282">
        <f>IFERROR(INDEX(Alimentos!AV$5:AV$310,MATCH($B14,Alimentos!$E$5:$E$310,0)),"")</f>
        <v>0</v>
      </c>
      <c r="AY14" s="282">
        <f>IFERROR(INDEX(Alimentos!AW$5:AW$310,MATCH($B14,Alimentos!$E$5:$E$310,0)),"")</f>
        <v>0</v>
      </c>
      <c r="AZ14" s="282">
        <f>IFERROR(INDEX(Alimentos!AX$5:AX$310,MATCH($B14,Alimentos!$E$5:$E$310,0)),"")</f>
        <v>0</v>
      </c>
      <c r="BA14" s="282">
        <f>IFERROR(INDEX(Alimentos!AY$5:AY$310,MATCH($B14,Alimentos!$E$5:$E$310,0)),"")</f>
        <v>0</v>
      </c>
      <c r="BB14" s="282">
        <f>IFERROR(INDEX(Alimentos!AZ$5:AZ$310,MATCH($B14,Alimentos!$E$5:$E$310,0)),"")</f>
        <v>0.98319999999999996</v>
      </c>
      <c r="BC14" s="274"/>
      <c r="BD14" s="284">
        <f t="shared" si="1"/>
        <v>4.484114732634318E-2</v>
      </c>
      <c r="BE14" s="287">
        <f t="shared" si="2"/>
        <v>4.4841144671800025E-2</v>
      </c>
      <c r="BF14" s="285">
        <f t="shared" si="3"/>
        <v>1</v>
      </c>
      <c r="BG14" s="286">
        <f t="shared" si="7"/>
        <v>4.4841144671800025E-2</v>
      </c>
      <c r="BH14" s="284">
        <f t="shared" si="4"/>
        <v>4.4435850958279358E-2</v>
      </c>
      <c r="BI14" s="287">
        <f t="shared" si="5"/>
        <v>4.4087813441313781E-2</v>
      </c>
      <c r="BJ14" s="285">
        <f t="shared" si="6"/>
        <v>1.017087062652563</v>
      </c>
      <c r="BK14" s="288">
        <f>BJ14*BI14</f>
        <v>4.4841144671800018E-2</v>
      </c>
      <c r="BL14" s="1997" t="str">
        <f>IFERROR(INDEX(Alimentos!B$5:B$310,MATCH($B14,Alimentos!$E$5:$E$310,0)),"")</f>
        <v>Concentrado</v>
      </c>
      <c r="BM14" s="280">
        <f>IF(C14=0,"",COUNTIF(BL$9:BL14,"Concentrado"))</f>
        <v>5</v>
      </c>
      <c r="BN14" s="263">
        <f>IF(BM14="","",COUNTIFS(BM$9:BM14,"&gt;"&amp;0))</f>
        <v>4</v>
      </c>
      <c r="BP14" s="281"/>
      <c r="BQ14" s="281"/>
    </row>
    <row r="15" spans="1:69" ht="15">
      <c r="A15" s="271">
        <f>IFERROR(MATCH($B15,Alimentos!$E$5:$E$310,0)+1,"")</f>
        <v>250</v>
      </c>
      <c r="B15" s="1934" t="s">
        <v>1482</v>
      </c>
      <c r="C15" s="578">
        <v>1.51002149765763E-3</v>
      </c>
      <c r="D15" s="579">
        <v>0</v>
      </c>
      <c r="E15" s="579">
        <v>100</v>
      </c>
      <c r="F15" s="580"/>
      <c r="G15" s="417">
        <f>IFERROR(IF(F15&gt;0,F15,INDEX(Alimentos!F$5:F$310,MATCH($B15,Alimentos!$E$5:$E$310,0))),"")</f>
        <v>1</v>
      </c>
      <c r="H15" s="387"/>
      <c r="I15" s="400">
        <f>IFERROR(INDEX(Alimentos!G$5:G$310,MATCH($B15,Alimentos!$E$5:$E$310,0)),"")</f>
        <v>1</v>
      </c>
      <c r="J15" s="282">
        <f>IFERROR(INDEX(Alimentos!H$5:H$310,MATCH($B15,Alimentos!$E$5:$E$310,0)),"")</f>
        <v>1</v>
      </c>
      <c r="K15" s="282">
        <f>IFERROR(INDEX(Alimentos!I$5:I$310,MATCH($B15,Alimentos!$E$5:$E$310,0)),"")</f>
        <v>0</v>
      </c>
      <c r="L15" s="282">
        <f>IFERROR(INDEX(Alimentos!J$5:J$310,MATCH($B15,Alimentos!$E$5:$E$310,0)),"")</f>
        <v>0</v>
      </c>
      <c r="M15" s="402">
        <f>IFERROR(INDEX(Alimentos!K$5:K$310,MATCH($B15,Alimentos!$E$5:$E$310,0)),"")</f>
        <v>0</v>
      </c>
      <c r="N15" s="400">
        <f>IFERROR(INDEX(Alimentos!L$5:L$310,MATCH($B15,Alimentos!$E$5:$E$310,0)),"")</f>
        <v>0</v>
      </c>
      <c r="O15" s="282">
        <f>IFERROR(INDEX(Alimentos!M$5:M$310,MATCH($B15,Alimentos!$E$5:$E$310,0)),"")</f>
        <v>0</v>
      </c>
      <c r="P15" s="282">
        <f>IFERROR(INDEX(Alimentos!N$5:N$310,MATCH($B15,Alimentos!$E$5:$E$310,0)),"")</f>
        <v>0</v>
      </c>
      <c r="Q15" s="282">
        <f>IFERROR(INDEX(Alimentos!O$5:O$310,MATCH($B15,Alimentos!$E$5:$E$310,0)),"")</f>
        <v>0</v>
      </c>
      <c r="R15" s="402">
        <f>IFERROR(INDEX(Alimentos!P$5:P$310,MATCH($B15,Alimentos!$E$5:$E$310,0)),"")</f>
        <v>0</v>
      </c>
      <c r="S15" s="283">
        <f>IFERROR(INDEX(Alimentos!Q$5:Q$310,MATCH($B15,Alimentos!$E$5:$E$310,0)),"")</f>
        <v>0</v>
      </c>
      <c r="T15" s="282">
        <f>IFERROR(INDEX(Alimentos!R$5:R$310,MATCH($B15,Alimentos!$E$5:$E$310,0)),"")</f>
        <v>0</v>
      </c>
      <c r="U15" s="282">
        <f>IFERROR(INDEX(Alimentos!S$5:S$310,MATCH($B15,Alimentos!$E$5:$E$310,0)),"")</f>
        <v>0</v>
      </c>
      <c r="V15" s="282">
        <f>IFERROR(INDEX(Alimentos!T$5:T$310,MATCH($B15,Alimentos!$E$5:$E$310,0)),"")</f>
        <v>0</v>
      </c>
      <c r="W15" s="434">
        <f>IFERROR(INDEX(Alimentos!U$5:U$310,MATCH($B15,Alimentos!$E$5:$E$310,0)),"")</f>
        <v>0</v>
      </c>
      <c r="X15" s="400">
        <f>IFERROR(INDEX(Alimentos!V$5:V$310,MATCH($B15,Alimentos!$E$5:$E$310,0)),"")</f>
        <v>0</v>
      </c>
      <c r="Y15" s="282">
        <f>IFERROR(INDEX(Alimentos!W$5:W$310,MATCH($B15,Alimentos!$E$5:$E$310,0)),"")</f>
        <v>0</v>
      </c>
      <c r="Z15" s="282">
        <f>IFERROR(INDEX(Alimentos!X$5:X$310,MATCH($B15,Alimentos!$E$5:$E$310,0)),"")</f>
        <v>0</v>
      </c>
      <c r="AA15" s="282">
        <f>IFERROR(INDEX(Alimentos!Y$5:Y$310,MATCH($B15,Alimentos!$E$5:$E$310,0)),"")</f>
        <v>0</v>
      </c>
      <c r="AB15" s="282">
        <f>IFERROR(INDEX(Alimentos!Z$5:Z$310,MATCH($B15,Alimentos!$E$5:$E$310,0)),"")</f>
        <v>0</v>
      </c>
      <c r="AC15" s="282">
        <f>IFERROR(INDEX(Alimentos!AA$5:AA$310,MATCH($B15,Alimentos!$E$5:$E$310,0)),"")</f>
        <v>128</v>
      </c>
      <c r="AD15" s="282">
        <f>IFERROR(INDEX(Alimentos!AB$5:AB$310,MATCH($B15,Alimentos!$E$5:$E$310,0)),"")</f>
        <v>255000</v>
      </c>
      <c r="AE15" s="282">
        <f>IFERROR(INDEX(Alimentos!AC$5:AC$310,MATCH($B15,Alimentos!$E$5:$E$310,0)),"")</f>
        <v>0</v>
      </c>
      <c r="AF15" s="282">
        <f>IFERROR(INDEX(Alimentos!AD$5:AD$310,MATCH($B15,Alimentos!$E$5:$E$310,0)),"")</f>
        <v>0</v>
      </c>
      <c r="AG15" s="282">
        <f>IFERROR(INDEX(Alimentos!AE$5:AE$310,MATCH($B15,Alimentos!$E$5:$E$310,0)),"")</f>
        <v>0</v>
      </c>
      <c r="AH15" s="282">
        <f>IFERROR(INDEX(Alimentos!AF$5:AF$310,MATCH($B15,Alimentos!$E$5:$E$310,0)),"")</f>
        <v>0</v>
      </c>
      <c r="AI15" s="282">
        <f>IFERROR(INDEX(Alimentos!AG$5:AG$310,MATCH($B15,Alimentos!$E$5:$E$310,0)),"")</f>
        <v>0</v>
      </c>
      <c r="AJ15" s="402">
        <f>IFERROR(INDEX(Alimentos!AH$5:AH$310,MATCH($B15,Alimentos!$E$5:$E$310,0)),"")</f>
        <v>0</v>
      </c>
      <c r="AK15" s="283">
        <f>IFERROR(INDEX(Alimentos!AI$5:AI$310,MATCH($B15,Alimentos!$E$5:$E$310,0)),"")</f>
        <v>0</v>
      </c>
      <c r="AL15" s="282">
        <f>IFERROR(INDEX(Alimentos!AJ$5:AJ$310,MATCH($B15,Alimentos!$E$5:$E$310,0)),"")</f>
        <v>0</v>
      </c>
      <c r="AM15" s="282">
        <f>IFERROR(INDEX(Alimentos!AK$5:AK$310,MATCH($B15,Alimentos!$E$5:$E$310,0)),"")</f>
        <v>0</v>
      </c>
      <c r="AN15" s="282">
        <f>IFERROR(INDEX(Alimentos!AL$5:AL$310,MATCH($B15,Alimentos!$E$5:$E$310,0)),"")</f>
        <v>0</v>
      </c>
      <c r="AO15" s="282">
        <f>IFERROR(INDEX(Alimentos!AM$5:AM$310,MATCH($B15,Alimentos!$E$5:$E$310,0)),"")</f>
        <v>0</v>
      </c>
      <c r="AP15" s="282">
        <f>IFERROR(INDEX(Alimentos!AN$5:AN$310,MATCH($B15,Alimentos!$E$5:$E$310,0)),"")</f>
        <v>0</v>
      </c>
      <c r="AQ15" s="282">
        <f>IFERROR(INDEX(Alimentos!AO$5:AO$310,MATCH($B15,Alimentos!$E$5:$E$310,0)),"")</f>
        <v>0</v>
      </c>
      <c r="AR15" s="282">
        <f>IFERROR(INDEX(Alimentos!AP$5:AP$310,MATCH($B15,Alimentos!$E$5:$E$310,0)),"")</f>
        <v>0</v>
      </c>
      <c r="AS15" s="282">
        <f>IFERROR(INDEX(Alimentos!AQ$5:AQ$310,MATCH($B15,Alimentos!$E$5:$E$310,0)),"")</f>
        <v>0</v>
      </c>
      <c r="AT15" s="282">
        <f>IFERROR(INDEX(Alimentos!AR$5:AR$310,MATCH($B15,Alimentos!$E$5:$E$310,0)),"")</f>
        <v>0</v>
      </c>
      <c r="AU15" s="282">
        <f>IFERROR(INDEX(Alimentos!AS$5:AS$310,MATCH($B15,Alimentos!$E$5:$E$310,0)),"")</f>
        <v>0</v>
      </c>
      <c r="AV15" s="282">
        <f>IFERROR(INDEX(Alimentos!AT$5:AT$310,MATCH($B15,Alimentos!$E$5:$E$310,0)),"")</f>
        <v>0</v>
      </c>
      <c r="AW15" s="282">
        <f>IFERROR(INDEX(Alimentos!AU$5:AU$310,MATCH($B15,Alimentos!$E$5:$E$310,0)),"")</f>
        <v>0</v>
      </c>
      <c r="AX15" s="282">
        <f>IFERROR(INDEX(Alimentos!AV$5:AV$310,MATCH($B15,Alimentos!$E$5:$E$310,0)),"")</f>
        <v>0</v>
      </c>
      <c r="AY15" s="282">
        <f>IFERROR(INDEX(Alimentos!AW$5:AW$310,MATCH($B15,Alimentos!$E$5:$E$310,0)),"")</f>
        <v>0</v>
      </c>
      <c r="AZ15" s="282">
        <f>IFERROR(INDEX(Alimentos!AX$5:AX$310,MATCH($B15,Alimentos!$E$5:$E$310,0)),"")</f>
        <v>0</v>
      </c>
      <c r="BA15" s="282">
        <f>IFERROR(INDEX(Alimentos!AY$5:AY$310,MATCH($B15,Alimentos!$E$5:$E$310,0)),"")</f>
        <v>0</v>
      </c>
      <c r="BB15" s="282">
        <f>IFERROR(INDEX(Alimentos!AZ$5:AZ$310,MATCH($B15,Alimentos!$E$5:$E$310,0)),"")</f>
        <v>1</v>
      </c>
      <c r="BC15" s="274"/>
      <c r="BD15" s="284">
        <f t="shared" si="1"/>
        <v>1.5100215870491312E-3</v>
      </c>
      <c r="BE15" s="287">
        <f t="shared" si="2"/>
        <v>1.51002149765763E-3</v>
      </c>
      <c r="BF15" s="285">
        <f t="shared" si="3"/>
        <v>1</v>
      </c>
      <c r="BG15" s="286">
        <f t="shared" si="7"/>
        <v>1.51002149765763E-3</v>
      </c>
      <c r="BH15" s="284">
        <f t="shared" si="4"/>
        <v>1.5219418922426092E-3</v>
      </c>
      <c r="BI15" s="287">
        <f t="shared" si="5"/>
        <v>1.51002149765763E-3</v>
      </c>
      <c r="BJ15" s="285">
        <f t="shared" si="6"/>
        <v>1</v>
      </c>
      <c r="BK15" s="288">
        <f t="shared" si="8"/>
        <v>1.51002149765763E-3</v>
      </c>
      <c r="BL15" s="1997" t="str">
        <f>IFERROR(INDEX(Alimentos!B$5:B$310,MATCH($B15,Alimentos!$E$5:$E$310,0)),"")</f>
        <v>Concentrado</v>
      </c>
      <c r="BM15" s="280">
        <f>IF(C15=0,"",COUNTIF(BL$9:BL15,"Concentrado"))</f>
        <v>6</v>
      </c>
      <c r="BN15" s="263">
        <f>IF(BM15="","",COUNTIFS(BM$9:BM15,"&gt;"&amp;0))</f>
        <v>5</v>
      </c>
      <c r="BP15" s="281"/>
      <c r="BQ15" s="281"/>
    </row>
    <row r="16" spans="1:69" ht="15">
      <c r="A16" s="271">
        <f>IFERROR(MATCH($B16,Alimentos!$E$5:$E$310,0)+1,"")</f>
        <v>124</v>
      </c>
      <c r="B16" s="1934" t="s">
        <v>57</v>
      </c>
      <c r="C16" s="578">
        <v>3.7039948276730156E-2</v>
      </c>
      <c r="D16" s="579">
        <v>0</v>
      </c>
      <c r="E16" s="579">
        <v>100</v>
      </c>
      <c r="F16" s="580"/>
      <c r="G16" s="417">
        <f>IFERROR(IF(F16&gt;0,F16,INDEX(Alimentos!F$5:F$310,MATCH($B16,Alimentos!$E$5:$E$310,0))),"")</f>
        <v>1</v>
      </c>
      <c r="H16" s="387"/>
      <c r="I16" s="400">
        <f>IFERROR(INDEX(Alimentos!G$5:G$310,MATCH($B16,Alimentos!$E$5:$E$310,0)),"")</f>
        <v>1</v>
      </c>
      <c r="J16" s="282">
        <f>IFERROR(INDEX(Alimentos!H$5:H$310,MATCH($B16,Alimentos!$E$5:$E$310,0)),"")</f>
        <v>1</v>
      </c>
      <c r="K16" s="282">
        <f>IFERROR(INDEX(Alimentos!I$5:I$310,MATCH($B16,Alimentos!$E$5:$E$310,0)),"")</f>
        <v>0</v>
      </c>
      <c r="L16" s="282">
        <f>IFERROR(INDEX(Alimentos!J$5:J$310,MATCH($B16,Alimentos!$E$5:$E$310,0)),"")</f>
        <v>0</v>
      </c>
      <c r="M16" s="402">
        <f>IFERROR(INDEX(Alimentos!K$5:K$310,MATCH($B16,Alimentos!$E$5:$E$310,0)),"")</f>
        <v>0</v>
      </c>
      <c r="N16" s="400">
        <f>IFERROR(INDEX(Alimentos!L$5:L$310,MATCH($B16,Alimentos!$E$5:$E$310,0)),"")</f>
        <v>0</v>
      </c>
      <c r="O16" s="282">
        <f>IFERROR(INDEX(Alimentos!M$5:M$310,MATCH($B16,Alimentos!$E$5:$E$310,0)),"")</f>
        <v>0</v>
      </c>
      <c r="P16" s="282">
        <f>IFERROR(INDEX(Alimentos!N$5:N$310,MATCH($B16,Alimentos!$E$5:$E$310,0)),"")</f>
        <v>0</v>
      </c>
      <c r="Q16" s="282">
        <f>IFERROR(INDEX(Alimentos!O$5:O$310,MATCH($B16,Alimentos!$E$5:$E$310,0)),"")</f>
        <v>0</v>
      </c>
      <c r="R16" s="402">
        <f>IFERROR(INDEX(Alimentos!P$5:P$310,MATCH($B16,Alimentos!$E$5:$E$310,0)),"")</f>
        <v>0</v>
      </c>
      <c r="S16" s="283">
        <f>IFERROR(INDEX(Alimentos!Q$5:Q$310,MATCH($B16,Alimentos!$E$5:$E$310,0)),"")</f>
        <v>0</v>
      </c>
      <c r="T16" s="282">
        <f>IFERROR(INDEX(Alimentos!R$5:R$310,MATCH($B16,Alimentos!$E$5:$E$310,0)),"")</f>
        <v>0</v>
      </c>
      <c r="U16" s="282">
        <f>IFERROR(INDEX(Alimentos!S$5:S$310,MATCH($B16,Alimentos!$E$5:$E$310,0)),"")</f>
        <v>0</v>
      </c>
      <c r="V16" s="282">
        <f>IFERROR(INDEX(Alimentos!T$5:T$310,MATCH($B16,Alimentos!$E$5:$E$310,0)),"")</f>
        <v>0</v>
      </c>
      <c r="W16" s="434">
        <f>IFERROR(INDEX(Alimentos!U$5:U$310,MATCH($B16,Alimentos!$E$5:$E$310,0)),"")</f>
        <v>0</v>
      </c>
      <c r="X16" s="400">
        <f>IFERROR(INDEX(Alimentos!V$5:V$310,MATCH($B16,Alimentos!$E$5:$E$310,0)),"")</f>
        <v>0</v>
      </c>
      <c r="Y16" s="282">
        <f>IFERROR(INDEX(Alimentos!W$5:W$310,MATCH($B16,Alimentos!$E$5:$E$310,0)),"")</f>
        <v>0</v>
      </c>
      <c r="Z16" s="282">
        <f>IFERROR(INDEX(Alimentos!X$5:X$310,MATCH($B16,Alimentos!$E$5:$E$310,0)),"")</f>
        <v>0</v>
      </c>
      <c r="AA16" s="282">
        <f>IFERROR(INDEX(Alimentos!Y$5:Y$310,MATCH($B16,Alimentos!$E$5:$E$310,0)),"")</f>
        <v>0</v>
      </c>
      <c r="AB16" s="282">
        <f>IFERROR(INDEX(Alimentos!Z$5:Z$310,MATCH($B16,Alimentos!$E$5:$E$310,0)),"")</f>
        <v>0</v>
      </c>
      <c r="AC16" s="282">
        <f>IFERROR(INDEX(Alimentos!AA$5:AA$310,MATCH($B16,Alimentos!$E$5:$E$310,0)),"")</f>
        <v>960</v>
      </c>
      <c r="AD16" s="282">
        <f>IFERROR(INDEX(Alimentos!AB$5:AB$310,MATCH($B16,Alimentos!$E$5:$E$310,0)),"")</f>
        <v>0</v>
      </c>
      <c r="AE16" s="282">
        <f>IFERROR(INDEX(Alimentos!AC$5:AC$310,MATCH($B16,Alimentos!$E$5:$E$310,0)),"")</f>
        <v>0</v>
      </c>
      <c r="AF16" s="282">
        <f>IFERROR(INDEX(Alimentos!AD$5:AD$310,MATCH($B16,Alimentos!$E$5:$E$310,0)),"")</f>
        <v>0</v>
      </c>
      <c r="AG16" s="282">
        <f>IFERROR(INDEX(Alimentos!AE$5:AE$310,MATCH($B16,Alimentos!$E$5:$E$310,0)),"")</f>
        <v>0</v>
      </c>
      <c r="AH16" s="282">
        <f>IFERROR(INDEX(Alimentos!AF$5:AF$310,MATCH($B16,Alimentos!$E$5:$E$310,0)),"")</f>
        <v>0</v>
      </c>
      <c r="AI16" s="282">
        <f>IFERROR(INDEX(Alimentos!AG$5:AG$310,MATCH($B16,Alimentos!$E$5:$E$310,0)),"")</f>
        <v>0</v>
      </c>
      <c r="AJ16" s="402">
        <f>IFERROR(INDEX(Alimentos!AH$5:AH$310,MATCH($B16,Alimentos!$E$5:$E$310,0)),"")</f>
        <v>0</v>
      </c>
      <c r="AK16" s="283">
        <f>IFERROR(INDEX(Alimentos!AI$5:AI$310,MATCH($B16,Alimentos!$E$5:$E$310,0)),"")</f>
        <v>0</v>
      </c>
      <c r="AL16" s="282">
        <f>IFERROR(INDEX(Alimentos!AJ$5:AJ$310,MATCH($B16,Alimentos!$E$5:$E$310,0)),"")</f>
        <v>0</v>
      </c>
      <c r="AM16" s="282">
        <f>IFERROR(INDEX(Alimentos!AK$5:AK$310,MATCH($B16,Alimentos!$E$5:$E$310,0)),"")</f>
        <v>0</v>
      </c>
      <c r="AN16" s="282">
        <f>IFERROR(INDEX(Alimentos!AL$5:AL$310,MATCH($B16,Alimentos!$E$5:$E$310,0)),"")</f>
        <v>0</v>
      </c>
      <c r="AO16" s="282">
        <f>IFERROR(INDEX(Alimentos!AM$5:AM$310,MATCH($B16,Alimentos!$E$5:$E$310,0)),"")</f>
        <v>0</v>
      </c>
      <c r="AP16" s="282">
        <f>IFERROR(INDEX(Alimentos!AN$5:AN$310,MATCH($B16,Alimentos!$E$5:$E$310,0)),"")</f>
        <v>0</v>
      </c>
      <c r="AQ16" s="282">
        <f>IFERROR(INDEX(Alimentos!AO$5:AO$310,MATCH($B16,Alimentos!$E$5:$E$310,0)),"")</f>
        <v>0</v>
      </c>
      <c r="AR16" s="282">
        <f>IFERROR(INDEX(Alimentos!AP$5:AP$310,MATCH($B16,Alimentos!$E$5:$E$310,0)),"")</f>
        <v>0</v>
      </c>
      <c r="AS16" s="282">
        <f>IFERROR(INDEX(Alimentos!AQ$5:AQ$310,MATCH($B16,Alimentos!$E$5:$E$310,0)),"")</f>
        <v>0</v>
      </c>
      <c r="AT16" s="282">
        <f>IFERROR(INDEX(Alimentos!AR$5:AR$310,MATCH($B16,Alimentos!$E$5:$E$310,0)),"")</f>
        <v>0</v>
      </c>
      <c r="AU16" s="282">
        <f>IFERROR(INDEX(Alimentos!AS$5:AS$310,MATCH($B16,Alimentos!$E$5:$E$310,0)),"")</f>
        <v>0</v>
      </c>
      <c r="AV16" s="282">
        <f>IFERROR(INDEX(Alimentos!AT$5:AT$310,MATCH($B16,Alimentos!$E$5:$E$310,0)),"")</f>
        <v>0</v>
      </c>
      <c r="AW16" s="282">
        <f>IFERROR(INDEX(Alimentos!AU$5:AU$310,MATCH($B16,Alimentos!$E$5:$E$310,0)),"")</f>
        <v>0</v>
      </c>
      <c r="AX16" s="282">
        <f>IFERROR(INDEX(Alimentos!AV$5:AV$310,MATCH($B16,Alimentos!$E$5:$E$310,0)),"")</f>
        <v>0</v>
      </c>
      <c r="AY16" s="282">
        <f>IFERROR(INDEX(Alimentos!AW$5:AW$310,MATCH($B16,Alimentos!$E$5:$E$310,0)),"")</f>
        <v>0</v>
      </c>
      <c r="AZ16" s="282">
        <f>IFERROR(INDEX(Alimentos!AX$5:AX$310,MATCH($B16,Alimentos!$E$5:$E$310,0)),"")</f>
        <v>0</v>
      </c>
      <c r="BA16" s="282">
        <f>IFERROR(INDEX(Alimentos!AY$5:AY$310,MATCH($B16,Alimentos!$E$5:$E$310,0)),"")</f>
        <v>0</v>
      </c>
      <c r="BB16" s="282">
        <f>IFERROR(INDEX(Alimentos!AZ$5:AZ$310,MATCH($B16,Alimentos!$E$5:$E$310,0)),"")</f>
        <v>1</v>
      </c>
      <c r="BC16" s="274"/>
      <c r="BD16" s="284">
        <f t="shared" si="1"/>
        <v>3.7039950469451639E-2</v>
      </c>
      <c r="BE16" s="287">
        <f t="shared" si="2"/>
        <v>3.7039948276730156E-2</v>
      </c>
      <c r="BF16" s="285">
        <f t="shared" si="3"/>
        <v>1</v>
      </c>
      <c r="BG16" s="286">
        <f t="shared" si="7"/>
        <v>3.7039948276730156E-2</v>
      </c>
      <c r="BH16" s="284">
        <f t="shared" si="4"/>
        <v>3.7332348616427806E-2</v>
      </c>
      <c r="BI16" s="287">
        <f t="shared" si="5"/>
        <v>3.7039948276730156E-2</v>
      </c>
      <c r="BJ16" s="285">
        <f t="shared" si="6"/>
        <v>1</v>
      </c>
      <c r="BK16" s="288">
        <f t="shared" si="8"/>
        <v>3.7039948276730156E-2</v>
      </c>
      <c r="BL16" s="1997" t="str">
        <f>IFERROR(INDEX(Alimentos!B$5:B$310,MATCH($B16,Alimentos!$E$5:$E$310,0)),"")</f>
        <v>Concentrado</v>
      </c>
      <c r="BM16" s="280">
        <f>IF(C16=0,"",COUNTIF(BL$9:BL16,"Concentrado"))</f>
        <v>7</v>
      </c>
      <c r="BN16" s="263">
        <f>IF(BM16="","",COUNTIFS(BM$9:BM16,"&gt;"&amp;0))</f>
        <v>6</v>
      </c>
      <c r="BP16" s="281"/>
      <c r="BQ16" s="281"/>
    </row>
    <row r="17" spans="1:69" ht="15">
      <c r="A17" s="271">
        <f>IFERROR(MATCH($B17,Alimentos!$E$5:$E$310,0)+1,"")</f>
        <v>126</v>
      </c>
      <c r="B17" s="1934" t="s">
        <v>192</v>
      </c>
      <c r="C17" s="578">
        <v>0.45378000742781605</v>
      </c>
      <c r="D17" s="579">
        <v>0</v>
      </c>
      <c r="E17" s="579">
        <v>100</v>
      </c>
      <c r="F17" s="580"/>
      <c r="G17" s="417">
        <f>IFERROR(IF(F17&gt;0,F17,INDEX(Alimentos!F$5:F$310,MATCH($B17,Alimentos!$E$5:$E$310,0))),"")</f>
        <v>1</v>
      </c>
      <c r="H17" s="387"/>
      <c r="I17" s="400">
        <f>IFERROR(INDEX(Alimentos!G$5:G$310,MATCH($B17,Alimentos!$E$5:$E$310,0)),"")</f>
        <v>1</v>
      </c>
      <c r="J17" s="282">
        <f>IFERROR(INDEX(Alimentos!H$5:H$310,MATCH($B17,Alimentos!$E$5:$E$310,0)),"")</f>
        <v>0.98439999999999994</v>
      </c>
      <c r="K17" s="282">
        <f>IFERROR(INDEX(Alimentos!I$5:I$310,MATCH($B17,Alimentos!$E$5:$E$310,0)),"")</f>
        <v>0</v>
      </c>
      <c r="L17" s="282">
        <f>IFERROR(INDEX(Alimentos!J$5:J$310,MATCH($B17,Alimentos!$E$5:$E$310,0)),"")</f>
        <v>0</v>
      </c>
      <c r="M17" s="402">
        <f>IFERROR(INDEX(Alimentos!K$5:K$310,MATCH($B17,Alimentos!$E$5:$E$310,0)),"")</f>
        <v>0</v>
      </c>
      <c r="N17" s="400">
        <f>IFERROR(INDEX(Alimentos!L$5:L$310,MATCH($B17,Alimentos!$E$5:$E$310,0)),"")</f>
        <v>0</v>
      </c>
      <c r="O17" s="282">
        <f>IFERROR(INDEX(Alimentos!M$5:M$310,MATCH($B17,Alimentos!$E$5:$E$310,0)),"")</f>
        <v>0</v>
      </c>
      <c r="P17" s="282">
        <f>IFERROR(INDEX(Alimentos!N$5:N$310,MATCH($B17,Alimentos!$E$5:$E$310,0)),"")</f>
        <v>0</v>
      </c>
      <c r="Q17" s="282">
        <f>IFERROR(INDEX(Alimentos!O$5:O$310,MATCH($B17,Alimentos!$E$5:$E$310,0)),"")</f>
        <v>0</v>
      </c>
      <c r="R17" s="402">
        <f>IFERROR(INDEX(Alimentos!P$5:P$310,MATCH($B17,Alimentos!$E$5:$E$310,0)),"")</f>
        <v>0</v>
      </c>
      <c r="S17" s="283">
        <f>IFERROR(INDEX(Alimentos!Q$5:Q$310,MATCH($B17,Alimentos!$E$5:$E$310,0)),"")</f>
        <v>0</v>
      </c>
      <c r="T17" s="282">
        <f>IFERROR(INDEX(Alimentos!R$5:R$310,MATCH($B17,Alimentos!$E$5:$E$310,0)),"")</f>
        <v>0</v>
      </c>
      <c r="U17" s="282">
        <f>IFERROR(INDEX(Alimentos!S$5:S$310,MATCH($B17,Alimentos!$E$5:$E$310,0)),"")</f>
        <v>0</v>
      </c>
      <c r="V17" s="282">
        <f>IFERROR(INDEX(Alimentos!T$5:T$310,MATCH($B17,Alimentos!$E$5:$E$310,0)),"")</f>
        <v>0</v>
      </c>
      <c r="W17" s="434">
        <f>IFERROR(INDEX(Alimentos!U$5:U$310,MATCH($B17,Alimentos!$E$5:$E$310,0)),"")</f>
        <v>0</v>
      </c>
      <c r="X17" s="400">
        <f>IFERROR(INDEX(Alimentos!V$5:V$310,MATCH($B17,Alimentos!$E$5:$E$310,0)),"")</f>
        <v>237.43727999999999</v>
      </c>
      <c r="Y17" s="282">
        <f>IFERROR(INDEX(Alimentos!W$5:W$310,MATCH($B17,Alimentos!$E$5:$E$310,0)),"")</f>
        <v>182.40932000000001</v>
      </c>
      <c r="Z17" s="282">
        <f>IFERROR(INDEX(Alimentos!X$5:X$310,MATCH($B17,Alimentos!$E$5:$E$310,0)),"")</f>
        <v>16.83324</v>
      </c>
      <c r="AA17" s="282">
        <f>IFERROR(INDEX(Alimentos!Y$5:Y$310,MATCH($B17,Alimentos!$E$5:$E$310,0)),"")</f>
        <v>1.2797199999999997</v>
      </c>
      <c r="AB17" s="282">
        <f>IFERROR(INDEX(Alimentos!Z$5:Z$310,MATCH($B17,Alimentos!$E$5:$E$310,0)),"")</f>
        <v>0.78752</v>
      </c>
      <c r="AC17" s="282">
        <f>IFERROR(INDEX(Alimentos!AA$5:AA$310,MATCH($B17,Alimentos!$E$5:$E$310,0)),"")</f>
        <v>0</v>
      </c>
      <c r="AD17" s="282">
        <f>IFERROR(INDEX(Alimentos!AB$5:AB$310,MATCH($B17,Alimentos!$E$5:$E$310,0)),"")</f>
        <v>13.1</v>
      </c>
      <c r="AE17" s="282">
        <f>IFERROR(INDEX(Alimentos!AC$5:AC$310,MATCH($B17,Alimentos!$E$5:$E$310,0)),"")</f>
        <v>14</v>
      </c>
      <c r="AF17" s="282">
        <f>IFERROR(INDEX(Alimentos!AD$5:AD$310,MATCH($B17,Alimentos!$E$5:$E$310,0)),"")</f>
        <v>0</v>
      </c>
      <c r="AG17" s="282">
        <f>IFERROR(INDEX(Alimentos!AE$5:AE$310,MATCH($B17,Alimentos!$E$5:$E$310,0)),"")</f>
        <v>617.14</v>
      </c>
      <c r="AH17" s="282">
        <f>IFERROR(INDEX(Alimentos!AF$5:AF$310,MATCH($B17,Alimentos!$E$5:$E$310,0)),"")</f>
        <v>0</v>
      </c>
      <c r="AI17" s="282">
        <f>IFERROR(INDEX(Alimentos!AG$5:AG$310,MATCH($B17,Alimentos!$E$5:$E$310,0)),"")</f>
        <v>0</v>
      </c>
      <c r="AJ17" s="402">
        <f>IFERROR(INDEX(Alimentos!AH$5:AH$310,MATCH($B17,Alimentos!$E$5:$E$310,0)),"")</f>
        <v>0</v>
      </c>
      <c r="AK17" s="283">
        <f>IFERROR(INDEX(Alimentos!AI$5:AI$310,MATCH($B17,Alimentos!$E$5:$E$310,0)),"")</f>
        <v>0</v>
      </c>
      <c r="AL17" s="282">
        <f>IFERROR(INDEX(Alimentos!AJ$5:AJ$310,MATCH($B17,Alimentos!$E$5:$E$310,0)),"")</f>
        <v>0</v>
      </c>
      <c r="AM17" s="282">
        <f>IFERROR(INDEX(Alimentos!AK$5:AK$310,MATCH($B17,Alimentos!$E$5:$E$310,0)),"")</f>
        <v>0</v>
      </c>
      <c r="AN17" s="282">
        <f>IFERROR(INDEX(Alimentos!AL$5:AL$310,MATCH($B17,Alimentos!$E$5:$E$310,0)),"")</f>
        <v>0</v>
      </c>
      <c r="AO17" s="282">
        <f>IFERROR(INDEX(Alimentos!AM$5:AM$310,MATCH($B17,Alimentos!$E$5:$E$310,0)),"")</f>
        <v>0</v>
      </c>
      <c r="AP17" s="282">
        <f>IFERROR(INDEX(Alimentos!AN$5:AN$310,MATCH($B17,Alimentos!$E$5:$E$310,0)),"")</f>
        <v>0</v>
      </c>
      <c r="AQ17" s="282">
        <f>IFERROR(INDEX(Alimentos!AO$5:AO$310,MATCH($B17,Alimentos!$E$5:$E$310,0)),"")</f>
        <v>0</v>
      </c>
      <c r="AR17" s="282">
        <f>IFERROR(INDEX(Alimentos!AP$5:AP$310,MATCH($B17,Alimentos!$E$5:$E$310,0)),"")</f>
        <v>0</v>
      </c>
      <c r="AS17" s="282">
        <f>IFERROR(INDEX(Alimentos!AQ$5:AQ$310,MATCH($B17,Alimentos!$E$5:$E$310,0)),"")</f>
        <v>0</v>
      </c>
      <c r="AT17" s="282">
        <f>IFERROR(INDEX(Alimentos!AR$5:AR$310,MATCH($B17,Alimentos!$E$5:$E$310,0)),"")</f>
        <v>0</v>
      </c>
      <c r="AU17" s="282">
        <f>IFERROR(INDEX(Alimentos!AS$5:AS$310,MATCH($B17,Alimentos!$E$5:$E$310,0)),"")</f>
        <v>0</v>
      </c>
      <c r="AV17" s="282">
        <f>IFERROR(INDEX(Alimentos!AT$5:AT$310,MATCH($B17,Alimentos!$E$5:$E$310,0)),"")</f>
        <v>0</v>
      </c>
      <c r="AW17" s="282">
        <f>IFERROR(INDEX(Alimentos!AU$5:AU$310,MATCH($B17,Alimentos!$E$5:$E$310,0)),"")</f>
        <v>0</v>
      </c>
      <c r="AX17" s="282">
        <f>IFERROR(INDEX(Alimentos!AV$5:AV$310,MATCH($B17,Alimentos!$E$5:$E$310,0)),"")</f>
        <v>0</v>
      </c>
      <c r="AY17" s="282">
        <f>IFERROR(INDEX(Alimentos!AW$5:AW$310,MATCH($B17,Alimentos!$E$5:$E$310,0)),"")</f>
        <v>0</v>
      </c>
      <c r="AZ17" s="282">
        <f>IFERROR(INDEX(Alimentos!AX$5:AX$310,MATCH($B17,Alimentos!$E$5:$E$310,0)),"")</f>
        <v>0</v>
      </c>
      <c r="BA17" s="282">
        <f>IFERROR(INDEX(Alimentos!AY$5:AY$310,MATCH($B17,Alimentos!$E$5:$E$310,0)),"")</f>
        <v>0</v>
      </c>
      <c r="BB17" s="282">
        <f>IFERROR(INDEX(Alimentos!AZ$5:AZ$310,MATCH($B17,Alimentos!$E$5:$E$310,0)),"")</f>
        <v>0.98439999999999994</v>
      </c>
      <c r="BC17" s="274"/>
      <c r="BD17" s="284">
        <f t="shared" si="1"/>
        <v>0.45378003429106012</v>
      </c>
      <c r="BE17" s="287">
        <f t="shared" si="2"/>
        <v>0.45378000742781605</v>
      </c>
      <c r="BF17" s="285">
        <f t="shared" si="3"/>
        <v>1</v>
      </c>
      <c r="BG17" s="286">
        <f t="shared" si="7"/>
        <v>0.45378000742781605</v>
      </c>
      <c r="BH17" s="284">
        <f t="shared" si="4"/>
        <v>0.45022738159142528</v>
      </c>
      <c r="BI17" s="287">
        <f t="shared" si="5"/>
        <v>0.44670103931194211</v>
      </c>
      <c r="BJ17" s="285">
        <f t="shared" si="6"/>
        <v>1.0158472165786265</v>
      </c>
      <c r="BK17" s="288">
        <f t="shared" si="8"/>
        <v>0.45378000742781599</v>
      </c>
      <c r="BL17" s="1997" t="str">
        <f>IFERROR(INDEX(Alimentos!B$5:B$310,MATCH($B17,Alimentos!$E$5:$E$310,0)),"")</f>
        <v>Concentrado</v>
      </c>
      <c r="BM17" s="280">
        <f>IF(C17=0,"",COUNTIF(BL$9:BL17,"Concentrado"))</f>
        <v>8</v>
      </c>
      <c r="BN17" s="263">
        <f>IF(BM17="","",COUNTIFS(BM$9:BM17,"&gt;"&amp;0))</f>
        <v>7</v>
      </c>
      <c r="BP17" s="281"/>
      <c r="BQ17" s="281"/>
    </row>
    <row r="18" spans="1:69" ht="15">
      <c r="A18" s="271">
        <f>IFERROR(MATCH($B18,Alimentos!$E$5:$E$310,0)+1,"")</f>
        <v>220</v>
      </c>
      <c r="B18" s="1934" t="s">
        <v>234</v>
      </c>
      <c r="C18" s="578">
        <v>1.7543859649122809E-5</v>
      </c>
      <c r="D18" s="579">
        <v>0</v>
      </c>
      <c r="E18" s="579">
        <v>100</v>
      </c>
      <c r="F18" s="580"/>
      <c r="G18" s="417">
        <f>IFERROR(IF(F18&gt;0,F18,INDEX(Alimentos!F$5:F$310,MATCH($B18,Alimentos!$E$5:$E$310,0))),"")</f>
        <v>45</v>
      </c>
      <c r="H18" s="387"/>
      <c r="I18" s="400">
        <f>IFERROR(INDEX(Alimentos!G$5:G$310,MATCH($B18,Alimentos!$E$5:$E$310,0)),"")</f>
        <v>1</v>
      </c>
      <c r="J18" s="282">
        <f>IFERROR(INDEX(Alimentos!H$5:H$310,MATCH($B18,Alimentos!$E$5:$E$310,0)),"")</f>
        <v>1</v>
      </c>
      <c r="K18" s="282">
        <f>IFERROR(INDEX(Alimentos!I$5:I$310,MATCH($B18,Alimentos!$E$5:$E$310,0)),"")</f>
        <v>0</v>
      </c>
      <c r="L18" s="282">
        <f>IFERROR(INDEX(Alimentos!J$5:J$310,MATCH($B18,Alimentos!$E$5:$E$310,0)),"")</f>
        <v>0</v>
      </c>
      <c r="M18" s="402">
        <f>IFERROR(INDEX(Alimentos!K$5:K$310,MATCH($B18,Alimentos!$E$5:$E$310,0)),"")</f>
        <v>0</v>
      </c>
      <c r="N18" s="400">
        <f>IFERROR(INDEX(Alimentos!L$5:L$310,MATCH($B18,Alimentos!$E$5:$E$310,0)),"")</f>
        <v>0</v>
      </c>
      <c r="O18" s="282">
        <f>IFERROR(INDEX(Alimentos!M$5:M$310,MATCH($B18,Alimentos!$E$5:$E$310,0)),"")</f>
        <v>0</v>
      </c>
      <c r="P18" s="282">
        <f>IFERROR(INDEX(Alimentos!N$5:N$310,MATCH($B18,Alimentos!$E$5:$E$310,0)),"")</f>
        <v>0</v>
      </c>
      <c r="Q18" s="282">
        <f>IFERROR(INDEX(Alimentos!O$5:O$310,MATCH($B18,Alimentos!$E$5:$E$310,0)),"")</f>
        <v>0</v>
      </c>
      <c r="R18" s="402">
        <f>IFERROR(INDEX(Alimentos!P$5:P$310,MATCH($B18,Alimentos!$E$5:$E$310,0)),"")</f>
        <v>0</v>
      </c>
      <c r="S18" s="283">
        <f>IFERROR(INDEX(Alimentos!Q$5:Q$310,MATCH($B18,Alimentos!$E$5:$E$310,0)),"")</f>
        <v>0</v>
      </c>
      <c r="T18" s="282">
        <f>IFERROR(INDEX(Alimentos!R$5:R$310,MATCH($B18,Alimentos!$E$5:$E$310,0)),"")</f>
        <v>0</v>
      </c>
      <c r="U18" s="282">
        <f>IFERROR(INDEX(Alimentos!S$5:S$310,MATCH($B18,Alimentos!$E$5:$E$310,0)),"")</f>
        <v>0</v>
      </c>
      <c r="V18" s="282">
        <f>IFERROR(INDEX(Alimentos!T$5:T$310,MATCH($B18,Alimentos!$E$5:$E$310,0)),"")</f>
        <v>0</v>
      </c>
      <c r="W18" s="434">
        <f>IFERROR(INDEX(Alimentos!U$5:U$310,MATCH($B18,Alimentos!$E$5:$E$310,0)),"")</f>
        <v>0</v>
      </c>
      <c r="X18" s="400">
        <f>IFERROR(INDEX(Alimentos!V$5:V$310,MATCH($B18,Alimentos!$E$5:$E$310,0)),"")</f>
        <v>0</v>
      </c>
      <c r="Y18" s="282">
        <f>IFERROR(INDEX(Alimentos!W$5:W$310,MATCH($B18,Alimentos!$E$5:$E$310,0)),"")</f>
        <v>0</v>
      </c>
      <c r="Z18" s="282">
        <f>IFERROR(INDEX(Alimentos!X$5:X$310,MATCH($B18,Alimentos!$E$5:$E$310,0)),"")</f>
        <v>0</v>
      </c>
      <c r="AA18" s="282">
        <f>IFERROR(INDEX(Alimentos!Y$5:Y$310,MATCH($B18,Alimentos!$E$5:$E$310,0)),"")</f>
        <v>0</v>
      </c>
      <c r="AB18" s="282">
        <f>IFERROR(INDEX(Alimentos!Z$5:Z$310,MATCH($B18,Alimentos!$E$5:$E$310,0)),"")</f>
        <v>0</v>
      </c>
      <c r="AC18" s="282">
        <f>IFERROR(INDEX(Alimentos!AA$5:AA$310,MATCH($B18,Alimentos!$E$5:$E$310,0)),"")</f>
        <v>0</v>
      </c>
      <c r="AD18" s="282">
        <f>IFERROR(INDEX(Alimentos!AB$5:AB$310,MATCH($B18,Alimentos!$E$5:$E$310,0)),"")</f>
        <v>0</v>
      </c>
      <c r="AE18" s="282">
        <f>IFERROR(INDEX(Alimentos!AC$5:AC$310,MATCH($B18,Alimentos!$E$5:$E$310,0)),"")</f>
        <v>0</v>
      </c>
      <c r="AF18" s="282">
        <f>IFERROR(INDEX(Alimentos!AD$5:AD$310,MATCH($B18,Alimentos!$E$5:$E$310,0)),"")</f>
        <v>0</v>
      </c>
      <c r="AG18" s="282">
        <f>IFERROR(INDEX(Alimentos!AE$5:AE$310,MATCH($B18,Alimentos!$E$5:$E$310,0)),"")</f>
        <v>0</v>
      </c>
      <c r="AH18" s="282">
        <f>IFERROR(INDEX(Alimentos!AF$5:AF$310,MATCH($B18,Alimentos!$E$5:$E$310,0)),"")</f>
        <v>0</v>
      </c>
      <c r="AI18" s="282">
        <f>IFERROR(INDEX(Alimentos!AG$5:AG$310,MATCH($B18,Alimentos!$E$5:$E$310,0)),"")</f>
        <v>0</v>
      </c>
      <c r="AJ18" s="402">
        <f>IFERROR(INDEX(Alimentos!AH$5:AH$310,MATCH($B18,Alimentos!$E$5:$E$310,0)),"")</f>
        <v>456000</v>
      </c>
      <c r="AK18" s="283">
        <f>IFERROR(INDEX(Alimentos!AI$5:AI$310,MATCH($B18,Alimentos!$E$5:$E$310,0)),"")</f>
        <v>0</v>
      </c>
      <c r="AL18" s="282">
        <f>IFERROR(INDEX(Alimentos!AJ$5:AJ$310,MATCH($B18,Alimentos!$E$5:$E$310,0)),"")</f>
        <v>0</v>
      </c>
      <c r="AM18" s="282">
        <f>IFERROR(INDEX(Alimentos!AK$5:AK$310,MATCH($B18,Alimentos!$E$5:$E$310,0)),"")</f>
        <v>0</v>
      </c>
      <c r="AN18" s="282">
        <f>IFERROR(INDEX(Alimentos!AL$5:AL$310,MATCH($B18,Alimentos!$E$5:$E$310,0)),"")</f>
        <v>0</v>
      </c>
      <c r="AO18" s="282">
        <f>IFERROR(INDEX(Alimentos!AM$5:AM$310,MATCH($B18,Alimentos!$E$5:$E$310,0)),"")</f>
        <v>0</v>
      </c>
      <c r="AP18" s="282">
        <f>IFERROR(INDEX(Alimentos!AN$5:AN$310,MATCH($B18,Alimentos!$E$5:$E$310,0)),"")</f>
        <v>0</v>
      </c>
      <c r="AQ18" s="282">
        <f>IFERROR(INDEX(Alimentos!AO$5:AO$310,MATCH($B18,Alimentos!$E$5:$E$310,0)),"")</f>
        <v>0</v>
      </c>
      <c r="AR18" s="282">
        <f>IFERROR(INDEX(Alimentos!AP$5:AP$310,MATCH($B18,Alimentos!$E$5:$E$310,0)),"")</f>
        <v>0</v>
      </c>
      <c r="AS18" s="282">
        <f>IFERROR(INDEX(Alimentos!AQ$5:AQ$310,MATCH($B18,Alimentos!$E$5:$E$310,0)),"")</f>
        <v>0</v>
      </c>
      <c r="AT18" s="282">
        <f>IFERROR(INDEX(Alimentos!AR$5:AR$310,MATCH($B18,Alimentos!$E$5:$E$310,0)),"")</f>
        <v>0</v>
      </c>
      <c r="AU18" s="282">
        <f>IFERROR(INDEX(Alimentos!AS$5:AS$310,MATCH($B18,Alimentos!$E$5:$E$310,0)),"")</f>
        <v>0</v>
      </c>
      <c r="AV18" s="282">
        <f>IFERROR(INDEX(Alimentos!AT$5:AT$310,MATCH($B18,Alimentos!$E$5:$E$310,0)),"")</f>
        <v>0</v>
      </c>
      <c r="AW18" s="282">
        <f>IFERROR(INDEX(Alimentos!AU$5:AU$310,MATCH($B18,Alimentos!$E$5:$E$310,0)),"")</f>
        <v>0</v>
      </c>
      <c r="AX18" s="282">
        <f>IFERROR(INDEX(Alimentos!AV$5:AV$310,MATCH($B18,Alimentos!$E$5:$E$310,0)),"")</f>
        <v>0</v>
      </c>
      <c r="AY18" s="282">
        <f>IFERROR(INDEX(Alimentos!AW$5:AW$310,MATCH($B18,Alimentos!$E$5:$E$310,0)),"")</f>
        <v>0</v>
      </c>
      <c r="AZ18" s="282">
        <f>IFERROR(INDEX(Alimentos!AX$5:AX$310,MATCH($B18,Alimentos!$E$5:$E$310,0)),"")</f>
        <v>0</v>
      </c>
      <c r="BA18" s="282">
        <f>IFERROR(INDEX(Alimentos!AY$5:AY$310,MATCH($B18,Alimentos!$E$5:$E$310,0)),"")</f>
        <v>0</v>
      </c>
      <c r="BB18" s="282">
        <f>IFERROR(INDEX(Alimentos!AZ$5:AZ$310,MATCH($B18,Alimentos!$E$5:$E$310,0)),"")</f>
        <v>1</v>
      </c>
      <c r="BC18" s="274"/>
      <c r="BD18" s="284">
        <f t="shared" si="1"/>
        <v>1.7543860687698718E-5</v>
      </c>
      <c r="BE18" s="287">
        <f t="shared" si="2"/>
        <v>1.7543859649122809E-5</v>
      </c>
      <c r="BF18" s="285">
        <f t="shared" si="3"/>
        <v>45</v>
      </c>
      <c r="BG18" s="286">
        <f t="shared" si="7"/>
        <v>7.8947368421052641E-4</v>
      </c>
      <c r="BH18" s="284">
        <f t="shared" si="4"/>
        <v>1.7682354187038623E-5</v>
      </c>
      <c r="BI18" s="287">
        <f t="shared" si="5"/>
        <v>1.7543859649122809E-5</v>
      </c>
      <c r="BJ18" s="285">
        <f t="shared" si="6"/>
        <v>45</v>
      </c>
      <c r="BK18" s="288">
        <f t="shared" si="8"/>
        <v>7.8947368421052641E-4</v>
      </c>
      <c r="BL18" s="1997" t="str">
        <f>IFERROR(INDEX(Alimentos!B$5:B$310,MATCH($B18,Alimentos!$E$5:$E$310,0)),"")</f>
        <v>Concentrado</v>
      </c>
      <c r="BM18" s="280">
        <f>IF(C18=0,"",COUNTIF(BL$9:BL18,"Concentrado"))</f>
        <v>9</v>
      </c>
      <c r="BN18" s="263">
        <f>IF(BM18="","",COUNTIFS(BM$9:BM18,"&gt;"&amp;0))</f>
        <v>8</v>
      </c>
      <c r="BP18" s="281"/>
      <c r="BQ18" s="281"/>
    </row>
    <row r="19" spans="1:69" ht="15">
      <c r="A19" s="271">
        <f>IFERROR(MATCH($B19,Alimentos!$E$5:$E$310,0)+1,"")</f>
        <v>133</v>
      </c>
      <c r="B19" s="1934" t="s">
        <v>198</v>
      </c>
      <c r="C19" s="578">
        <v>3.3726812816188869E-5</v>
      </c>
      <c r="D19" s="579">
        <v>0</v>
      </c>
      <c r="E19" s="579">
        <v>100</v>
      </c>
      <c r="F19" s="580"/>
      <c r="G19" s="417">
        <f>IFERROR(IF(F19&gt;0,F19,INDEX(Alimentos!F$5:F$310,MATCH($B19,Alimentos!$E$5:$E$310,0))),"")</f>
        <v>1</v>
      </c>
      <c r="H19" s="387"/>
      <c r="I19" s="400">
        <f>IFERROR(INDEX(Alimentos!G$5:G$310,MATCH($B19,Alimentos!$E$5:$E$310,0)),"")</f>
        <v>1</v>
      </c>
      <c r="J19" s="282">
        <f>IFERROR(INDEX(Alimentos!H$5:H$310,MATCH($B19,Alimentos!$E$5:$E$310,0)),"")</f>
        <v>1</v>
      </c>
      <c r="K19" s="282">
        <f>IFERROR(INDEX(Alimentos!I$5:I$310,MATCH($B19,Alimentos!$E$5:$E$310,0)),"")</f>
        <v>0</v>
      </c>
      <c r="L19" s="282">
        <f>IFERROR(INDEX(Alimentos!J$5:J$310,MATCH($B19,Alimentos!$E$5:$E$310,0)),"")</f>
        <v>0</v>
      </c>
      <c r="M19" s="402">
        <f>IFERROR(INDEX(Alimentos!K$5:K$310,MATCH($B19,Alimentos!$E$5:$E$310,0)),"")</f>
        <v>0</v>
      </c>
      <c r="N19" s="400">
        <f>IFERROR(INDEX(Alimentos!L$5:L$310,MATCH($B19,Alimentos!$E$5:$E$310,0)),"")</f>
        <v>0</v>
      </c>
      <c r="O19" s="282">
        <f>IFERROR(INDEX(Alimentos!M$5:M$310,MATCH($B19,Alimentos!$E$5:$E$310,0)),"")</f>
        <v>0</v>
      </c>
      <c r="P19" s="282">
        <f>IFERROR(INDEX(Alimentos!N$5:N$310,MATCH($B19,Alimentos!$E$5:$E$310,0)),"")</f>
        <v>0</v>
      </c>
      <c r="Q19" s="282">
        <f>IFERROR(INDEX(Alimentos!O$5:O$310,MATCH($B19,Alimentos!$E$5:$E$310,0)),"")</f>
        <v>0</v>
      </c>
      <c r="R19" s="402">
        <f>IFERROR(INDEX(Alimentos!P$5:P$310,MATCH($B19,Alimentos!$E$5:$E$310,0)),"")</f>
        <v>0</v>
      </c>
      <c r="S19" s="283">
        <f>IFERROR(INDEX(Alimentos!Q$5:Q$310,MATCH($B19,Alimentos!$E$5:$E$310,0)),"")</f>
        <v>0</v>
      </c>
      <c r="T19" s="282">
        <f>IFERROR(INDEX(Alimentos!R$5:R$310,MATCH($B19,Alimentos!$E$5:$E$310,0)),"")</f>
        <v>0</v>
      </c>
      <c r="U19" s="282">
        <f>IFERROR(INDEX(Alimentos!S$5:S$310,MATCH($B19,Alimentos!$E$5:$E$310,0)),"")</f>
        <v>0</v>
      </c>
      <c r="V19" s="282">
        <f>IFERROR(INDEX(Alimentos!T$5:T$310,MATCH($B19,Alimentos!$E$5:$E$310,0)),"")</f>
        <v>0</v>
      </c>
      <c r="W19" s="434">
        <f>IFERROR(INDEX(Alimentos!U$5:U$310,MATCH($B19,Alimentos!$E$5:$E$310,0)),"")</f>
        <v>0</v>
      </c>
      <c r="X19" s="400">
        <f>IFERROR(INDEX(Alimentos!V$5:V$310,MATCH($B19,Alimentos!$E$5:$E$310,0)),"")</f>
        <v>0</v>
      </c>
      <c r="Y19" s="282">
        <f>IFERROR(INDEX(Alimentos!W$5:W$310,MATCH($B19,Alimentos!$E$5:$E$310,0)),"")</f>
        <v>0</v>
      </c>
      <c r="Z19" s="282">
        <f>IFERROR(INDEX(Alimentos!X$5:X$310,MATCH($B19,Alimentos!$E$5:$E$310,0)),"")</f>
        <v>0</v>
      </c>
      <c r="AA19" s="282">
        <f>IFERROR(INDEX(Alimentos!Y$5:Y$310,MATCH($B19,Alimentos!$E$5:$E$310,0)),"")</f>
        <v>0</v>
      </c>
      <c r="AB19" s="282">
        <f>IFERROR(INDEX(Alimentos!Z$5:Z$310,MATCH($B19,Alimentos!$E$5:$E$310,0)),"")</f>
        <v>0</v>
      </c>
      <c r="AC19" s="282">
        <f>IFERROR(INDEX(Alimentos!AA$5:AA$310,MATCH($B19,Alimentos!$E$5:$E$310,0)),"")</f>
        <v>0</v>
      </c>
      <c r="AD19" s="282">
        <f>IFERROR(INDEX(Alimentos!AB$5:AB$310,MATCH($B19,Alimentos!$E$5:$E$310,0)),"")</f>
        <v>0</v>
      </c>
      <c r="AE19" s="282">
        <f>IFERROR(INDEX(Alimentos!AC$5:AC$310,MATCH($B19,Alimentos!$E$5:$E$310,0)),"")</f>
        <v>0</v>
      </c>
      <c r="AF19" s="282">
        <f>IFERROR(INDEX(Alimentos!AD$5:AD$310,MATCH($B19,Alimentos!$E$5:$E$310,0)),"")</f>
        <v>0</v>
      </c>
      <c r="AG19" s="282">
        <f>IFERROR(INDEX(Alimentos!AE$5:AE$310,MATCH($B19,Alimentos!$E$5:$E$310,0)),"")</f>
        <v>0</v>
      </c>
      <c r="AH19" s="282">
        <f>IFERROR(INDEX(Alimentos!AF$5:AF$310,MATCH($B19,Alimentos!$E$5:$E$310,0)),"")</f>
        <v>593000</v>
      </c>
      <c r="AI19" s="282">
        <f>IFERROR(INDEX(Alimentos!AG$5:AG$310,MATCH($B19,Alimentos!$E$5:$E$310,0)),"")</f>
        <v>0</v>
      </c>
      <c r="AJ19" s="402">
        <f>IFERROR(INDEX(Alimentos!AH$5:AH$310,MATCH($B19,Alimentos!$E$5:$E$310,0)),"")</f>
        <v>0</v>
      </c>
      <c r="AK19" s="283">
        <f>IFERROR(INDEX(Alimentos!AI$5:AI$310,MATCH($B19,Alimentos!$E$5:$E$310,0)),"")</f>
        <v>0</v>
      </c>
      <c r="AL19" s="282">
        <f>IFERROR(INDEX(Alimentos!AJ$5:AJ$310,MATCH($B19,Alimentos!$E$5:$E$310,0)),"")</f>
        <v>0</v>
      </c>
      <c r="AM19" s="282">
        <f>IFERROR(INDEX(Alimentos!AK$5:AK$310,MATCH($B19,Alimentos!$E$5:$E$310,0)),"")</f>
        <v>0</v>
      </c>
      <c r="AN19" s="282">
        <f>IFERROR(INDEX(Alimentos!AL$5:AL$310,MATCH($B19,Alimentos!$E$5:$E$310,0)),"")</f>
        <v>0</v>
      </c>
      <c r="AO19" s="282">
        <f>IFERROR(INDEX(Alimentos!AM$5:AM$310,MATCH($B19,Alimentos!$E$5:$E$310,0)),"")</f>
        <v>0</v>
      </c>
      <c r="AP19" s="282">
        <f>IFERROR(INDEX(Alimentos!AN$5:AN$310,MATCH($B19,Alimentos!$E$5:$E$310,0)),"")</f>
        <v>0</v>
      </c>
      <c r="AQ19" s="282">
        <f>IFERROR(INDEX(Alimentos!AO$5:AO$310,MATCH($B19,Alimentos!$E$5:$E$310,0)),"")</f>
        <v>0</v>
      </c>
      <c r="AR19" s="282">
        <f>IFERROR(INDEX(Alimentos!AP$5:AP$310,MATCH($B19,Alimentos!$E$5:$E$310,0)),"")</f>
        <v>0</v>
      </c>
      <c r="AS19" s="282">
        <f>IFERROR(INDEX(Alimentos!AQ$5:AQ$310,MATCH($B19,Alimentos!$E$5:$E$310,0)),"")</f>
        <v>0</v>
      </c>
      <c r="AT19" s="282">
        <f>IFERROR(INDEX(Alimentos!AR$5:AR$310,MATCH($B19,Alimentos!$E$5:$E$310,0)),"")</f>
        <v>0</v>
      </c>
      <c r="AU19" s="282">
        <f>IFERROR(INDEX(Alimentos!AS$5:AS$310,MATCH($B19,Alimentos!$E$5:$E$310,0)),"")</f>
        <v>0</v>
      </c>
      <c r="AV19" s="282">
        <f>IFERROR(INDEX(Alimentos!AT$5:AT$310,MATCH($B19,Alimentos!$E$5:$E$310,0)),"")</f>
        <v>0</v>
      </c>
      <c r="AW19" s="282">
        <f>IFERROR(INDEX(Alimentos!AU$5:AU$310,MATCH($B19,Alimentos!$E$5:$E$310,0)),"")</f>
        <v>0</v>
      </c>
      <c r="AX19" s="282">
        <f>IFERROR(INDEX(Alimentos!AV$5:AV$310,MATCH($B19,Alimentos!$E$5:$E$310,0)),"")</f>
        <v>0</v>
      </c>
      <c r="AY19" s="282">
        <f>IFERROR(INDEX(Alimentos!AW$5:AW$310,MATCH($B19,Alimentos!$E$5:$E$310,0)),"")</f>
        <v>0</v>
      </c>
      <c r="AZ19" s="282">
        <f>IFERROR(INDEX(Alimentos!AX$5:AX$310,MATCH($B19,Alimentos!$E$5:$E$310,0)),"")</f>
        <v>0</v>
      </c>
      <c r="BA19" s="282">
        <f>IFERROR(INDEX(Alimentos!AY$5:AY$310,MATCH($B19,Alimentos!$E$5:$E$310,0)),"")</f>
        <v>0</v>
      </c>
      <c r="BB19" s="282">
        <f>IFERROR(INDEX(Alimentos!AZ$5:AZ$310,MATCH($B19,Alimentos!$E$5:$E$310,0)),"")</f>
        <v>1</v>
      </c>
      <c r="BC19" s="274"/>
      <c r="BD19" s="284">
        <f t="shared" si="1"/>
        <v>3.3726814812776619E-5</v>
      </c>
      <c r="BE19" s="287">
        <f t="shared" si="2"/>
        <v>3.3726812816188869E-5</v>
      </c>
      <c r="BF19" s="285">
        <f t="shared" si="3"/>
        <v>1</v>
      </c>
      <c r="BG19" s="286">
        <f t="shared" ref="BG19:BG33" si="9">IFERROR(BE19*BF19,0)</f>
        <v>3.3726812816188869E-5</v>
      </c>
      <c r="BH19" s="284">
        <f t="shared" ref="BH19:BH33" si="10">IFERROR(BI19/$BI$34,0)</f>
        <v>3.3993058639500886E-5</v>
      </c>
      <c r="BI19" s="287">
        <f t="shared" si="5"/>
        <v>3.3726812816188869E-5</v>
      </c>
      <c r="BJ19" s="285">
        <f t="shared" si="6"/>
        <v>1</v>
      </c>
      <c r="BK19" s="288">
        <f t="shared" ref="BK19:BK33" si="11">BJ19*BI19</f>
        <v>3.3726812816188869E-5</v>
      </c>
      <c r="BL19" s="1997" t="str">
        <f>IFERROR(INDEX(Alimentos!B$5:B$310,MATCH($B19,Alimentos!$E$5:$E$310,0)),"")</f>
        <v>Concentrado</v>
      </c>
      <c r="BM19" s="280">
        <f>IF(C19=0,"",COUNTIF(BL$9:BL19,"Concentrado"))</f>
        <v>10</v>
      </c>
      <c r="BN19" s="263">
        <f>IF(BM19="","",COUNTIFS(BM$9:BM19,"&gt;"&amp;0))</f>
        <v>9</v>
      </c>
      <c r="BP19" s="281"/>
      <c r="BQ19" s="281"/>
    </row>
    <row r="20" spans="1:69" ht="15">
      <c r="A20" s="271">
        <f>IFERROR(MATCH($B20,Alimentos!$E$5:$E$310,0)+1,"")</f>
        <v>249</v>
      </c>
      <c r="B20" s="1934" t="s">
        <v>479</v>
      </c>
      <c r="C20" s="578">
        <v>1.6129032258064517E-5</v>
      </c>
      <c r="D20" s="579">
        <v>0</v>
      </c>
      <c r="E20" s="579">
        <v>100</v>
      </c>
      <c r="F20" s="580"/>
      <c r="G20" s="417">
        <f>IFERROR(IF(F20&gt;0,F20,INDEX(Alimentos!F$5:F$310,MATCH($B20,Alimentos!$E$5:$E$310,0))),"")</f>
        <v>1</v>
      </c>
      <c r="H20" s="387"/>
      <c r="I20" s="400">
        <f>IFERROR(INDEX(Alimentos!G$5:G$310,MATCH($B20,Alimentos!$E$5:$E$310,0)),"")</f>
        <v>1</v>
      </c>
      <c r="J20" s="282">
        <f>IFERROR(INDEX(Alimentos!H$5:H$310,MATCH($B20,Alimentos!$E$5:$E$310,0)),"")</f>
        <v>1</v>
      </c>
      <c r="K20" s="282">
        <f>IFERROR(INDEX(Alimentos!I$5:I$310,MATCH($B20,Alimentos!$E$5:$E$310,0)),"")</f>
        <v>0</v>
      </c>
      <c r="L20" s="282">
        <f>IFERROR(INDEX(Alimentos!J$5:J$310,MATCH($B20,Alimentos!$E$5:$E$310,0)),"")</f>
        <v>0</v>
      </c>
      <c r="M20" s="402">
        <f>IFERROR(INDEX(Alimentos!K$5:K$310,MATCH($B20,Alimentos!$E$5:$E$310,0)),"")</f>
        <v>0</v>
      </c>
      <c r="N20" s="400">
        <f>IFERROR(INDEX(Alimentos!L$5:L$310,MATCH($B20,Alimentos!$E$5:$E$310,0)),"")</f>
        <v>0</v>
      </c>
      <c r="O20" s="282">
        <f>IFERROR(INDEX(Alimentos!M$5:M$310,MATCH($B20,Alimentos!$E$5:$E$310,0)),"")</f>
        <v>0</v>
      </c>
      <c r="P20" s="282">
        <f>IFERROR(INDEX(Alimentos!N$5:N$310,MATCH($B20,Alimentos!$E$5:$E$310,0)),"")</f>
        <v>0</v>
      </c>
      <c r="Q20" s="282">
        <f>IFERROR(INDEX(Alimentos!O$5:O$310,MATCH($B20,Alimentos!$E$5:$E$310,0)),"")</f>
        <v>0</v>
      </c>
      <c r="R20" s="402">
        <f>IFERROR(INDEX(Alimentos!P$5:P$310,MATCH($B20,Alimentos!$E$5:$E$310,0)),"")</f>
        <v>0</v>
      </c>
      <c r="S20" s="283">
        <f>IFERROR(INDEX(Alimentos!Q$5:Q$310,MATCH($B20,Alimentos!$E$5:$E$310,0)),"")</f>
        <v>0</v>
      </c>
      <c r="T20" s="282">
        <f>IFERROR(INDEX(Alimentos!R$5:R$310,MATCH($B20,Alimentos!$E$5:$E$310,0)),"")</f>
        <v>0</v>
      </c>
      <c r="U20" s="282">
        <f>IFERROR(INDEX(Alimentos!S$5:S$310,MATCH($B20,Alimentos!$E$5:$E$310,0)),"")</f>
        <v>0</v>
      </c>
      <c r="V20" s="282">
        <f>IFERROR(INDEX(Alimentos!T$5:T$310,MATCH($B20,Alimentos!$E$5:$E$310,0)),"")</f>
        <v>0</v>
      </c>
      <c r="W20" s="434">
        <f>IFERROR(INDEX(Alimentos!U$5:U$310,MATCH($B20,Alimentos!$E$5:$E$310,0)),"")</f>
        <v>0</v>
      </c>
      <c r="X20" s="400">
        <f>IFERROR(INDEX(Alimentos!V$5:V$310,MATCH($B20,Alimentos!$E$5:$E$310,0)),"")</f>
        <v>0</v>
      </c>
      <c r="Y20" s="282">
        <f>IFERROR(INDEX(Alimentos!W$5:W$310,MATCH($B20,Alimentos!$E$5:$E$310,0)),"")</f>
        <v>0</v>
      </c>
      <c r="Z20" s="282">
        <f>IFERROR(INDEX(Alimentos!X$5:X$310,MATCH($B20,Alimentos!$E$5:$E$310,0)),"")</f>
        <v>0</v>
      </c>
      <c r="AA20" s="282">
        <f>IFERROR(INDEX(Alimentos!Y$5:Y$310,MATCH($B20,Alimentos!$E$5:$E$310,0)),"")</f>
        <v>0</v>
      </c>
      <c r="AB20" s="282">
        <f>IFERROR(INDEX(Alimentos!Z$5:Z$310,MATCH($B20,Alimentos!$E$5:$E$310,0)),"")</f>
        <v>0</v>
      </c>
      <c r="AC20" s="282">
        <f>IFERROR(INDEX(Alimentos!AA$5:AA$310,MATCH($B20,Alimentos!$E$5:$E$310,0)),"")</f>
        <v>114</v>
      </c>
      <c r="AD20" s="282">
        <f>IFERROR(INDEX(Alimentos!AB$5:AB$310,MATCH($B20,Alimentos!$E$5:$E$310,0)),"")</f>
        <v>0</v>
      </c>
      <c r="AE20" s="282">
        <f>IFERROR(INDEX(Alimentos!AC$5:AC$310,MATCH($B20,Alimentos!$E$5:$E$310,0)),"")</f>
        <v>0</v>
      </c>
      <c r="AF20" s="282">
        <f>IFERROR(INDEX(Alimentos!AD$5:AD$310,MATCH($B20,Alimentos!$E$5:$E$310,0)),"")</f>
        <v>0</v>
      </c>
      <c r="AG20" s="282">
        <f>IFERROR(INDEX(Alimentos!AE$5:AE$310,MATCH($B20,Alimentos!$E$5:$E$310,0)),"")</f>
        <v>0</v>
      </c>
      <c r="AH20" s="282">
        <f>IFERROR(INDEX(Alimentos!AF$5:AF$310,MATCH($B20,Alimentos!$E$5:$E$310,0)),"")</f>
        <v>0</v>
      </c>
      <c r="AI20" s="282">
        <f>IFERROR(INDEX(Alimentos!AG$5:AG$310,MATCH($B20,Alimentos!$E$5:$E$310,0)),"")</f>
        <v>248000</v>
      </c>
      <c r="AJ20" s="402">
        <f>IFERROR(INDEX(Alimentos!AH$5:AH$310,MATCH($B20,Alimentos!$E$5:$E$310,0)),"")</f>
        <v>0</v>
      </c>
      <c r="AK20" s="283">
        <f>IFERROR(INDEX(Alimentos!AI$5:AI$310,MATCH($B20,Alimentos!$E$5:$E$310,0)),"")</f>
        <v>0</v>
      </c>
      <c r="AL20" s="282">
        <f>IFERROR(INDEX(Alimentos!AJ$5:AJ$310,MATCH($B20,Alimentos!$E$5:$E$310,0)),"")</f>
        <v>0</v>
      </c>
      <c r="AM20" s="282">
        <f>IFERROR(INDEX(Alimentos!AK$5:AK$310,MATCH($B20,Alimentos!$E$5:$E$310,0)),"")</f>
        <v>0</v>
      </c>
      <c r="AN20" s="282">
        <f>IFERROR(INDEX(Alimentos!AL$5:AL$310,MATCH($B20,Alimentos!$E$5:$E$310,0)),"")</f>
        <v>0</v>
      </c>
      <c r="AO20" s="282">
        <f>IFERROR(INDEX(Alimentos!AM$5:AM$310,MATCH($B20,Alimentos!$E$5:$E$310,0)),"")</f>
        <v>0</v>
      </c>
      <c r="AP20" s="282">
        <f>IFERROR(INDEX(Alimentos!AN$5:AN$310,MATCH($B20,Alimentos!$E$5:$E$310,0)),"")</f>
        <v>0</v>
      </c>
      <c r="AQ20" s="282">
        <f>IFERROR(INDEX(Alimentos!AO$5:AO$310,MATCH($B20,Alimentos!$E$5:$E$310,0)),"")</f>
        <v>0</v>
      </c>
      <c r="AR20" s="282">
        <f>IFERROR(INDEX(Alimentos!AP$5:AP$310,MATCH($B20,Alimentos!$E$5:$E$310,0)),"")</f>
        <v>0</v>
      </c>
      <c r="AS20" s="282">
        <f>IFERROR(INDEX(Alimentos!AQ$5:AQ$310,MATCH($B20,Alimentos!$E$5:$E$310,0)),"")</f>
        <v>0</v>
      </c>
      <c r="AT20" s="282">
        <f>IFERROR(INDEX(Alimentos!AR$5:AR$310,MATCH($B20,Alimentos!$E$5:$E$310,0)),"")</f>
        <v>0</v>
      </c>
      <c r="AU20" s="282">
        <f>IFERROR(INDEX(Alimentos!AS$5:AS$310,MATCH($B20,Alimentos!$E$5:$E$310,0)),"")</f>
        <v>0</v>
      </c>
      <c r="AV20" s="282">
        <f>IFERROR(INDEX(Alimentos!AT$5:AT$310,MATCH($B20,Alimentos!$E$5:$E$310,0)),"")</f>
        <v>0</v>
      </c>
      <c r="AW20" s="282">
        <f>IFERROR(INDEX(Alimentos!AU$5:AU$310,MATCH($B20,Alimentos!$E$5:$E$310,0)),"")</f>
        <v>0</v>
      </c>
      <c r="AX20" s="282">
        <f>IFERROR(INDEX(Alimentos!AV$5:AV$310,MATCH($B20,Alimentos!$E$5:$E$310,0)),"")</f>
        <v>0</v>
      </c>
      <c r="AY20" s="282">
        <f>IFERROR(INDEX(Alimentos!AW$5:AW$310,MATCH($B20,Alimentos!$E$5:$E$310,0)),"")</f>
        <v>0</v>
      </c>
      <c r="AZ20" s="282">
        <f>IFERROR(INDEX(Alimentos!AX$5:AX$310,MATCH($B20,Alimentos!$E$5:$E$310,0)),"")</f>
        <v>0</v>
      </c>
      <c r="BA20" s="282">
        <f>IFERROR(INDEX(Alimentos!AY$5:AY$310,MATCH($B20,Alimentos!$E$5:$E$310,0)),"")</f>
        <v>0</v>
      </c>
      <c r="BB20" s="282">
        <f>IFERROR(INDEX(Alimentos!AZ$5:AZ$310,MATCH($B20,Alimentos!$E$5:$E$310,0)),"")</f>
        <v>1</v>
      </c>
      <c r="BC20" s="274"/>
      <c r="BD20" s="284">
        <f t="shared" si="1"/>
        <v>1.6129033212884304E-5</v>
      </c>
      <c r="BE20" s="287">
        <f t="shared" si="2"/>
        <v>1.6129032258064517E-5</v>
      </c>
      <c r="BF20" s="285">
        <f t="shared" si="3"/>
        <v>1</v>
      </c>
      <c r="BG20" s="286">
        <f t="shared" si="9"/>
        <v>1.6129032258064517E-5</v>
      </c>
      <c r="BH20" s="284">
        <f t="shared" si="10"/>
        <v>1.625635788163228E-5</v>
      </c>
      <c r="BI20" s="287">
        <f t="shared" si="5"/>
        <v>1.6129032258064517E-5</v>
      </c>
      <c r="BJ20" s="285">
        <f t="shared" si="6"/>
        <v>1</v>
      </c>
      <c r="BK20" s="288">
        <f t="shared" si="11"/>
        <v>1.6129032258064517E-5</v>
      </c>
      <c r="BL20" s="1997" t="str">
        <f>IFERROR(INDEX(Alimentos!B$5:B$310,MATCH($B20,Alimentos!$E$5:$E$310,0)),"")</f>
        <v>Concentrado</v>
      </c>
      <c r="BM20" s="280">
        <f>IF(C20=0,"",COUNTIF(BL$9:BL20,"Concentrado"))</f>
        <v>11</v>
      </c>
      <c r="BN20" s="263">
        <f>IF(BM20="","",COUNTIFS(BM$9:BM20,"&gt;"&amp;0))</f>
        <v>10</v>
      </c>
      <c r="BP20" s="281"/>
      <c r="BQ20" s="281"/>
    </row>
    <row r="21" spans="1:69" ht="15">
      <c r="A21" s="271">
        <f>IFERROR(MATCH($B21,Alimentos!$E$5:$E$310,0)+1,"")</f>
        <v>253</v>
      </c>
      <c r="B21" s="1934" t="s">
        <v>478</v>
      </c>
      <c r="C21" s="578">
        <v>0</v>
      </c>
      <c r="D21" s="579">
        <v>0</v>
      </c>
      <c r="E21" s="579">
        <v>100</v>
      </c>
      <c r="F21" s="580"/>
      <c r="G21" s="417">
        <f>IFERROR(IF(F21&gt;0,F21,INDEX(Alimentos!F$5:F$310,MATCH($B21,Alimentos!$E$5:$E$310,0))),"")</f>
        <v>29</v>
      </c>
      <c r="H21" s="387"/>
      <c r="I21" s="400">
        <f>IFERROR(INDEX(Alimentos!G$5:G$310,MATCH($B21,Alimentos!$E$5:$E$310,0)),"")</f>
        <v>1</v>
      </c>
      <c r="J21" s="282">
        <f>IFERROR(INDEX(Alimentos!H$5:H$310,MATCH($B21,Alimentos!$E$5:$E$310,0)),"")</f>
        <v>1</v>
      </c>
      <c r="K21" s="282">
        <f>IFERROR(INDEX(Alimentos!I$5:I$310,MATCH($B21,Alimentos!$E$5:$E$310,0)),"")</f>
        <v>0</v>
      </c>
      <c r="L21" s="282">
        <f>IFERROR(INDEX(Alimentos!J$5:J$310,MATCH($B21,Alimentos!$E$5:$E$310,0)),"")</f>
        <v>0</v>
      </c>
      <c r="M21" s="402">
        <f>IFERROR(INDEX(Alimentos!K$5:K$310,MATCH($B21,Alimentos!$E$5:$E$310,0)),"")</f>
        <v>0</v>
      </c>
      <c r="N21" s="400">
        <f>IFERROR(INDEX(Alimentos!L$5:L$310,MATCH($B21,Alimentos!$E$5:$E$310,0)),"")</f>
        <v>0</v>
      </c>
      <c r="O21" s="282">
        <f>IFERROR(INDEX(Alimentos!M$5:M$310,MATCH($B21,Alimentos!$E$5:$E$310,0)),"")</f>
        <v>0</v>
      </c>
      <c r="P21" s="282">
        <f>IFERROR(INDEX(Alimentos!N$5:N$310,MATCH($B21,Alimentos!$E$5:$E$310,0)),"")</f>
        <v>0</v>
      </c>
      <c r="Q21" s="282">
        <f>IFERROR(INDEX(Alimentos!O$5:O$310,MATCH($B21,Alimentos!$E$5:$E$310,0)),"")</f>
        <v>0</v>
      </c>
      <c r="R21" s="402">
        <f>IFERROR(INDEX(Alimentos!P$5:P$310,MATCH($B21,Alimentos!$E$5:$E$310,0)),"")</f>
        <v>0</v>
      </c>
      <c r="S21" s="283">
        <f>IFERROR(INDEX(Alimentos!Q$5:Q$310,MATCH($B21,Alimentos!$E$5:$E$310,0)),"")</f>
        <v>0</v>
      </c>
      <c r="T21" s="282">
        <f>IFERROR(INDEX(Alimentos!R$5:R$310,MATCH($B21,Alimentos!$E$5:$E$310,0)),"")</f>
        <v>0</v>
      </c>
      <c r="U21" s="282">
        <f>IFERROR(INDEX(Alimentos!S$5:S$310,MATCH($B21,Alimentos!$E$5:$E$310,0)),"")</f>
        <v>0</v>
      </c>
      <c r="V21" s="282">
        <f>IFERROR(INDEX(Alimentos!T$5:T$310,MATCH($B21,Alimentos!$E$5:$E$310,0)),"")</f>
        <v>0</v>
      </c>
      <c r="W21" s="434">
        <f>IFERROR(INDEX(Alimentos!U$5:U$310,MATCH($B21,Alimentos!$E$5:$E$310,0)),"")</f>
        <v>0</v>
      </c>
      <c r="X21" s="400">
        <f>IFERROR(INDEX(Alimentos!V$5:V$310,MATCH($B21,Alimentos!$E$5:$E$310,0)),"")</f>
        <v>0</v>
      </c>
      <c r="Y21" s="282">
        <f>IFERROR(INDEX(Alimentos!W$5:W$310,MATCH($B21,Alimentos!$E$5:$E$310,0)),"")</f>
        <v>0</v>
      </c>
      <c r="Z21" s="282">
        <f>IFERROR(INDEX(Alimentos!X$5:X$310,MATCH($B21,Alimentos!$E$5:$E$310,0)),"")</f>
        <v>0</v>
      </c>
      <c r="AA21" s="282">
        <f>IFERROR(INDEX(Alimentos!Y$5:Y$310,MATCH($B21,Alimentos!$E$5:$E$310,0)),"")</f>
        <v>0</v>
      </c>
      <c r="AB21" s="282">
        <f>IFERROR(INDEX(Alimentos!Z$5:Z$310,MATCH($B21,Alimentos!$E$5:$E$310,0)),"")</f>
        <v>0</v>
      </c>
      <c r="AC21" s="282">
        <f>IFERROR(INDEX(Alimentos!AA$5:AA$310,MATCH($B21,Alimentos!$E$5:$E$310,0)),"")</f>
        <v>188</v>
      </c>
      <c r="AD21" s="282">
        <f>IFERROR(INDEX(Alimentos!AB$5:AB$310,MATCH($B21,Alimentos!$E$5:$E$310,0)),"")</f>
        <v>0</v>
      </c>
      <c r="AE21" s="282">
        <f>IFERROR(INDEX(Alimentos!AC$5:AC$310,MATCH($B21,Alimentos!$E$5:$E$310,0)),"")</f>
        <v>0</v>
      </c>
      <c r="AF21" s="282">
        <f>IFERROR(INDEX(Alimentos!AD$5:AD$310,MATCH($B21,Alimentos!$E$5:$E$310,0)),"")</f>
        <v>367000</v>
      </c>
      <c r="AG21" s="282">
        <f>IFERROR(INDEX(Alimentos!AE$5:AE$310,MATCH($B21,Alimentos!$E$5:$E$310,0)),"")</f>
        <v>0</v>
      </c>
      <c r="AH21" s="282">
        <f>IFERROR(INDEX(Alimentos!AF$5:AF$310,MATCH($B21,Alimentos!$E$5:$E$310,0)),"")</f>
        <v>0</v>
      </c>
      <c r="AI21" s="282">
        <f>IFERROR(INDEX(Alimentos!AG$5:AG$310,MATCH($B21,Alimentos!$E$5:$E$310,0)),"")</f>
        <v>0</v>
      </c>
      <c r="AJ21" s="402">
        <f>IFERROR(INDEX(Alimentos!AH$5:AH$310,MATCH($B21,Alimentos!$E$5:$E$310,0)),"")</f>
        <v>0</v>
      </c>
      <c r="AK21" s="283">
        <f>IFERROR(INDEX(Alimentos!AI$5:AI$310,MATCH($B21,Alimentos!$E$5:$E$310,0)),"")</f>
        <v>0</v>
      </c>
      <c r="AL21" s="282">
        <f>IFERROR(INDEX(Alimentos!AJ$5:AJ$310,MATCH($B21,Alimentos!$E$5:$E$310,0)),"")</f>
        <v>0</v>
      </c>
      <c r="AM21" s="282">
        <f>IFERROR(INDEX(Alimentos!AK$5:AK$310,MATCH($B21,Alimentos!$E$5:$E$310,0)),"")</f>
        <v>0</v>
      </c>
      <c r="AN21" s="282">
        <f>IFERROR(INDEX(Alimentos!AL$5:AL$310,MATCH($B21,Alimentos!$E$5:$E$310,0)),"")</f>
        <v>0</v>
      </c>
      <c r="AO21" s="282">
        <f>IFERROR(INDEX(Alimentos!AM$5:AM$310,MATCH($B21,Alimentos!$E$5:$E$310,0)),"")</f>
        <v>0</v>
      </c>
      <c r="AP21" s="282">
        <f>IFERROR(INDEX(Alimentos!AN$5:AN$310,MATCH($B21,Alimentos!$E$5:$E$310,0)),"")</f>
        <v>0</v>
      </c>
      <c r="AQ21" s="282">
        <f>IFERROR(INDEX(Alimentos!AO$5:AO$310,MATCH($B21,Alimentos!$E$5:$E$310,0)),"")</f>
        <v>0</v>
      </c>
      <c r="AR21" s="282">
        <f>IFERROR(INDEX(Alimentos!AP$5:AP$310,MATCH($B21,Alimentos!$E$5:$E$310,0)),"")</f>
        <v>0</v>
      </c>
      <c r="AS21" s="282">
        <f>IFERROR(INDEX(Alimentos!AQ$5:AQ$310,MATCH($B21,Alimentos!$E$5:$E$310,0)),"")</f>
        <v>0</v>
      </c>
      <c r="AT21" s="282">
        <f>IFERROR(INDEX(Alimentos!AR$5:AR$310,MATCH($B21,Alimentos!$E$5:$E$310,0)),"")</f>
        <v>0</v>
      </c>
      <c r="AU21" s="282">
        <f>IFERROR(INDEX(Alimentos!AS$5:AS$310,MATCH($B21,Alimentos!$E$5:$E$310,0)),"")</f>
        <v>0</v>
      </c>
      <c r="AV21" s="282">
        <f>IFERROR(INDEX(Alimentos!AT$5:AT$310,MATCH($B21,Alimentos!$E$5:$E$310,0)),"")</f>
        <v>0</v>
      </c>
      <c r="AW21" s="282">
        <f>IFERROR(INDEX(Alimentos!AU$5:AU$310,MATCH($B21,Alimentos!$E$5:$E$310,0)),"")</f>
        <v>0</v>
      </c>
      <c r="AX21" s="282">
        <f>IFERROR(INDEX(Alimentos!AV$5:AV$310,MATCH($B21,Alimentos!$E$5:$E$310,0)),"")</f>
        <v>0</v>
      </c>
      <c r="AY21" s="282">
        <f>IFERROR(INDEX(Alimentos!AW$5:AW$310,MATCH($B21,Alimentos!$E$5:$E$310,0)),"")</f>
        <v>0</v>
      </c>
      <c r="AZ21" s="282">
        <f>IFERROR(INDEX(Alimentos!AX$5:AX$310,MATCH($B21,Alimentos!$E$5:$E$310,0)),"")</f>
        <v>0</v>
      </c>
      <c r="BA21" s="282">
        <f>IFERROR(INDEX(Alimentos!AY$5:AY$310,MATCH($B21,Alimentos!$E$5:$E$310,0)),"")</f>
        <v>0</v>
      </c>
      <c r="BB21" s="282">
        <f>IFERROR(INDEX(Alimentos!AZ$5:AZ$310,MATCH($B21,Alimentos!$E$5:$E$310,0)),"")</f>
        <v>1</v>
      </c>
      <c r="BC21" s="274"/>
      <c r="BD21" s="284">
        <f t="shared" si="1"/>
        <v>0</v>
      </c>
      <c r="BE21" s="287">
        <f t="shared" si="2"/>
        <v>0</v>
      </c>
      <c r="BF21" s="285">
        <f t="shared" si="3"/>
        <v>29</v>
      </c>
      <c r="BG21" s="286">
        <f t="shared" si="9"/>
        <v>0</v>
      </c>
      <c r="BH21" s="284">
        <f t="shared" si="10"/>
        <v>0</v>
      </c>
      <c r="BI21" s="287">
        <f t="shared" si="5"/>
        <v>0</v>
      </c>
      <c r="BJ21" s="285">
        <f t="shared" si="6"/>
        <v>29</v>
      </c>
      <c r="BK21" s="288">
        <f t="shared" si="11"/>
        <v>0</v>
      </c>
      <c r="BL21" s="1997" t="str">
        <f>IFERROR(INDEX(Alimentos!B$5:B$310,MATCH($B21,Alimentos!$E$5:$E$310,0)),"")</f>
        <v>Concentrado</v>
      </c>
      <c r="BM21" s="280" t="str">
        <f>IF(C21=0,"",COUNTIF(BL$9:BL21,"Concentrado"))</f>
        <v/>
      </c>
      <c r="BN21" s="263" t="str">
        <f>IF(BM21="","",COUNTIFS(BM$9:BM21,"&gt;"&amp;0))</f>
        <v/>
      </c>
      <c r="BP21" s="281"/>
      <c r="BQ21" s="281"/>
    </row>
    <row r="22" spans="1:69" ht="15">
      <c r="A22" s="271">
        <f>IFERROR(MATCH($B22,Alimentos!$E$5:$E$310,0)+1,"")</f>
        <v>254</v>
      </c>
      <c r="B22" s="1934" t="s">
        <v>476</v>
      </c>
      <c r="C22" s="578">
        <v>5.6813469403672372E-2</v>
      </c>
      <c r="D22" s="579">
        <v>0</v>
      </c>
      <c r="E22" s="579">
        <v>100</v>
      </c>
      <c r="F22" s="580"/>
      <c r="G22" s="417">
        <f>IFERROR(IF(F22&gt;0,F22,INDEX(Alimentos!F$5:F$310,MATCH($B22,Alimentos!$E$5:$E$310,0))),"")</f>
        <v>1</v>
      </c>
      <c r="H22" s="387"/>
      <c r="I22" s="400">
        <f>IFERROR(INDEX(Alimentos!G$5:G$310,MATCH($B22,Alimentos!$E$5:$E$310,0)),"")</f>
        <v>1</v>
      </c>
      <c r="J22" s="282">
        <f>IFERROR(INDEX(Alimentos!H$5:H$310,MATCH($B22,Alimentos!$E$5:$E$310,0)),"")</f>
        <v>1</v>
      </c>
      <c r="K22" s="282">
        <f>IFERROR(INDEX(Alimentos!I$5:I$310,MATCH($B22,Alimentos!$E$5:$E$310,0)),"")</f>
        <v>0</v>
      </c>
      <c r="L22" s="282">
        <f>IFERROR(INDEX(Alimentos!J$5:J$310,MATCH($B22,Alimentos!$E$5:$E$310,0)),"")</f>
        <v>0</v>
      </c>
      <c r="M22" s="402">
        <f>IFERROR(INDEX(Alimentos!K$5:K$310,MATCH($B22,Alimentos!$E$5:$E$310,0)),"")</f>
        <v>0</v>
      </c>
      <c r="N22" s="400">
        <f>IFERROR(INDEX(Alimentos!L$5:L$310,MATCH($B22,Alimentos!$E$5:$E$310,0)),"")</f>
        <v>0</v>
      </c>
      <c r="O22" s="282">
        <f>IFERROR(INDEX(Alimentos!M$5:M$310,MATCH($B22,Alimentos!$E$5:$E$310,0)),"")</f>
        <v>0</v>
      </c>
      <c r="P22" s="282">
        <f>IFERROR(INDEX(Alimentos!N$5:N$310,MATCH($B22,Alimentos!$E$5:$E$310,0)),"")</f>
        <v>0</v>
      </c>
      <c r="Q22" s="282">
        <f>IFERROR(INDEX(Alimentos!O$5:O$310,MATCH($B22,Alimentos!$E$5:$E$310,0)),"")</f>
        <v>0</v>
      </c>
      <c r="R22" s="402">
        <f>IFERROR(INDEX(Alimentos!P$5:P$310,MATCH($B22,Alimentos!$E$5:$E$310,0)),"")</f>
        <v>0</v>
      </c>
      <c r="S22" s="283">
        <f>IFERROR(INDEX(Alimentos!Q$5:Q$310,MATCH($B22,Alimentos!$E$5:$E$310,0)),"")</f>
        <v>0</v>
      </c>
      <c r="T22" s="282">
        <f>IFERROR(INDEX(Alimentos!R$5:R$310,MATCH($B22,Alimentos!$E$5:$E$310,0)),"")</f>
        <v>0</v>
      </c>
      <c r="U22" s="282">
        <f>IFERROR(INDEX(Alimentos!S$5:S$310,MATCH($B22,Alimentos!$E$5:$E$310,0)),"")</f>
        <v>0</v>
      </c>
      <c r="V22" s="282">
        <f>IFERROR(INDEX(Alimentos!T$5:T$310,MATCH($B22,Alimentos!$E$5:$E$310,0)),"")</f>
        <v>0</v>
      </c>
      <c r="W22" s="434">
        <f>IFERROR(INDEX(Alimentos!U$5:U$310,MATCH($B22,Alimentos!$E$5:$E$310,0)),"")</f>
        <v>0</v>
      </c>
      <c r="X22" s="400">
        <f>IFERROR(INDEX(Alimentos!V$5:V$310,MATCH($B22,Alimentos!$E$5:$E$310,0)),"")</f>
        <v>0</v>
      </c>
      <c r="Y22" s="282">
        <f>IFERROR(INDEX(Alimentos!W$5:W$310,MATCH($B22,Alimentos!$E$5:$E$310,0)),"")</f>
        <v>0</v>
      </c>
      <c r="Z22" s="282">
        <f>IFERROR(INDEX(Alimentos!X$5:X$310,MATCH($B22,Alimentos!$E$5:$E$310,0)),"")</f>
        <v>99</v>
      </c>
      <c r="AA22" s="282">
        <f>IFERROR(INDEX(Alimentos!Y$5:Y$310,MATCH($B22,Alimentos!$E$5:$E$310,0)),"")</f>
        <v>0</v>
      </c>
      <c r="AB22" s="282">
        <f>IFERROR(INDEX(Alimentos!Z$5:Z$310,MATCH($B22,Alimentos!$E$5:$E$310,0)),"")</f>
        <v>0</v>
      </c>
      <c r="AC22" s="282">
        <f>IFERROR(INDEX(Alimentos!AA$5:AA$310,MATCH($B22,Alimentos!$E$5:$E$310,0)),"")</f>
        <v>130</v>
      </c>
      <c r="AD22" s="282">
        <f>IFERROR(INDEX(Alimentos!AB$5:AB$310,MATCH($B22,Alimentos!$E$5:$E$310,0)),"")</f>
        <v>0</v>
      </c>
      <c r="AE22" s="282">
        <f>IFERROR(INDEX(Alimentos!AC$5:AC$310,MATCH($B22,Alimentos!$E$5:$E$310,0)),"")</f>
        <v>0</v>
      </c>
      <c r="AF22" s="282">
        <f>IFERROR(INDEX(Alimentos!AD$5:AD$310,MATCH($B22,Alimentos!$E$5:$E$310,0)),"")</f>
        <v>0</v>
      </c>
      <c r="AG22" s="282">
        <f>IFERROR(INDEX(Alimentos!AE$5:AE$310,MATCH($B22,Alimentos!$E$5:$E$310,0)),"")</f>
        <v>0</v>
      </c>
      <c r="AH22" s="282">
        <f>IFERROR(INDEX(Alimentos!AF$5:AF$310,MATCH($B22,Alimentos!$E$5:$E$310,0)),"")</f>
        <v>0</v>
      </c>
      <c r="AI22" s="282">
        <f>IFERROR(INDEX(Alimentos!AG$5:AG$310,MATCH($B22,Alimentos!$E$5:$E$310,0)),"")</f>
        <v>0</v>
      </c>
      <c r="AJ22" s="402">
        <f>IFERROR(INDEX(Alimentos!AH$5:AH$310,MATCH($B22,Alimentos!$E$5:$E$310,0)),"")</f>
        <v>0</v>
      </c>
      <c r="AK22" s="283">
        <f>IFERROR(INDEX(Alimentos!AI$5:AI$310,MATCH($B22,Alimentos!$E$5:$E$310,0)),"")</f>
        <v>0</v>
      </c>
      <c r="AL22" s="282">
        <f>IFERROR(INDEX(Alimentos!AJ$5:AJ$310,MATCH($B22,Alimentos!$E$5:$E$310,0)),"")</f>
        <v>0</v>
      </c>
      <c r="AM22" s="282">
        <f>IFERROR(INDEX(Alimentos!AK$5:AK$310,MATCH($B22,Alimentos!$E$5:$E$310,0)),"")</f>
        <v>0</v>
      </c>
      <c r="AN22" s="282">
        <f>IFERROR(INDEX(Alimentos!AL$5:AL$310,MATCH($B22,Alimentos!$E$5:$E$310,0)),"")</f>
        <v>0</v>
      </c>
      <c r="AO22" s="282">
        <f>IFERROR(INDEX(Alimentos!AM$5:AM$310,MATCH($B22,Alimentos!$E$5:$E$310,0)),"")</f>
        <v>0</v>
      </c>
      <c r="AP22" s="282">
        <f>IFERROR(INDEX(Alimentos!AN$5:AN$310,MATCH($B22,Alimentos!$E$5:$E$310,0)),"")</f>
        <v>0</v>
      </c>
      <c r="AQ22" s="282">
        <f>IFERROR(INDEX(Alimentos!AO$5:AO$310,MATCH($B22,Alimentos!$E$5:$E$310,0)),"")</f>
        <v>0</v>
      </c>
      <c r="AR22" s="282">
        <f>IFERROR(INDEX(Alimentos!AP$5:AP$310,MATCH($B22,Alimentos!$E$5:$E$310,0)),"")</f>
        <v>0</v>
      </c>
      <c r="AS22" s="282">
        <f>IFERROR(INDEX(Alimentos!AQ$5:AQ$310,MATCH($B22,Alimentos!$E$5:$E$310,0)),"")</f>
        <v>0</v>
      </c>
      <c r="AT22" s="282">
        <f>IFERROR(INDEX(Alimentos!AR$5:AR$310,MATCH($B22,Alimentos!$E$5:$E$310,0)),"")</f>
        <v>0</v>
      </c>
      <c r="AU22" s="282">
        <f>IFERROR(INDEX(Alimentos!AS$5:AS$310,MATCH($B22,Alimentos!$E$5:$E$310,0)),"")</f>
        <v>0</v>
      </c>
      <c r="AV22" s="282">
        <f>IFERROR(INDEX(Alimentos!AT$5:AT$310,MATCH($B22,Alimentos!$E$5:$E$310,0)),"")</f>
        <v>0</v>
      </c>
      <c r="AW22" s="282">
        <f>IFERROR(INDEX(Alimentos!AU$5:AU$310,MATCH($B22,Alimentos!$E$5:$E$310,0)),"")</f>
        <v>0</v>
      </c>
      <c r="AX22" s="282">
        <f>IFERROR(INDEX(Alimentos!AV$5:AV$310,MATCH($B22,Alimentos!$E$5:$E$310,0)),"")</f>
        <v>0</v>
      </c>
      <c r="AY22" s="282">
        <f>IFERROR(INDEX(Alimentos!AW$5:AW$310,MATCH($B22,Alimentos!$E$5:$E$310,0)),"")</f>
        <v>0</v>
      </c>
      <c r="AZ22" s="282">
        <f>IFERROR(INDEX(Alimentos!AX$5:AX$310,MATCH($B22,Alimentos!$E$5:$E$310,0)),"")</f>
        <v>0</v>
      </c>
      <c r="BA22" s="282">
        <f>IFERROR(INDEX(Alimentos!AY$5:AY$310,MATCH($B22,Alimentos!$E$5:$E$310,0)),"")</f>
        <v>0</v>
      </c>
      <c r="BB22" s="282">
        <f>IFERROR(INDEX(Alimentos!AZ$5:AZ$310,MATCH($B22,Alimentos!$E$5:$E$310,0)),"")</f>
        <v>1</v>
      </c>
      <c r="BC22" s="274"/>
      <c r="BD22" s="284">
        <f t="shared" si="1"/>
        <v>5.6813472766963108E-2</v>
      </c>
      <c r="BE22" s="287">
        <f t="shared" si="2"/>
        <v>5.6813469403672372E-2</v>
      </c>
      <c r="BF22" s="285">
        <f t="shared" si="3"/>
        <v>1</v>
      </c>
      <c r="BG22" s="286">
        <f t="shared" si="9"/>
        <v>5.6813469403672372E-2</v>
      </c>
      <c r="BH22" s="284">
        <f t="shared" si="10"/>
        <v>5.7261965649642352E-2</v>
      </c>
      <c r="BI22" s="287">
        <f t="shared" si="5"/>
        <v>5.6813469403672372E-2</v>
      </c>
      <c r="BJ22" s="285">
        <f t="shared" si="6"/>
        <v>1</v>
      </c>
      <c r="BK22" s="288">
        <f t="shared" si="11"/>
        <v>5.6813469403672372E-2</v>
      </c>
      <c r="BL22" s="1997" t="str">
        <f>IFERROR(INDEX(Alimentos!B$5:B$310,MATCH($B22,Alimentos!$E$5:$E$310,0)),"")</f>
        <v>Concentrado</v>
      </c>
      <c r="BM22" s="280">
        <f>IF(C22=0,"",COUNTIF(BL$9:BL22,"Concentrado"))</f>
        <v>13</v>
      </c>
      <c r="BN22" s="263">
        <f>IF(BM22="","",COUNTIFS(BM$9:BM22,"&gt;"&amp;0))</f>
        <v>11</v>
      </c>
      <c r="BP22" s="281"/>
      <c r="BQ22" s="281"/>
    </row>
    <row r="23" spans="1:69" ht="15">
      <c r="A23" s="271">
        <f>IFERROR(MATCH($B23,Alimentos!$E$5:$E$310,0)+1,"")</f>
        <v>214</v>
      </c>
      <c r="B23" s="1934" t="s">
        <v>711</v>
      </c>
      <c r="C23" s="578">
        <v>0.12001638460773538</v>
      </c>
      <c r="D23" s="579">
        <v>0</v>
      </c>
      <c r="E23" s="579">
        <v>100</v>
      </c>
      <c r="F23" s="580"/>
      <c r="G23" s="417">
        <f>IFERROR(IF(F23&gt;0,F23,INDEX(Alimentos!F$5:F$310,MATCH($B23,Alimentos!$E$5:$E$310,0))),"")</f>
        <v>1.5</v>
      </c>
      <c r="H23" s="387"/>
      <c r="I23" s="400">
        <f>IFERROR(INDEX(Alimentos!G$5:G$310,MATCH($B23,Alimentos!$E$5:$E$310,0)),"")</f>
        <v>1</v>
      </c>
      <c r="J23" s="282">
        <f>IFERROR(INDEX(Alimentos!H$5:H$310,MATCH($B23,Alimentos!$E$5:$E$310,0)),"")</f>
        <v>1</v>
      </c>
      <c r="K23" s="282">
        <f>IFERROR(INDEX(Alimentos!I$5:I$310,MATCH($B23,Alimentos!$E$5:$E$310,0)),"")</f>
        <v>0</v>
      </c>
      <c r="L23" s="282">
        <f>IFERROR(INDEX(Alimentos!J$5:J$310,MATCH($B23,Alimentos!$E$5:$E$310,0)),"")</f>
        <v>0</v>
      </c>
      <c r="M23" s="402">
        <f>IFERROR(INDEX(Alimentos!K$5:K$310,MATCH($B23,Alimentos!$E$5:$E$310,0)),"")</f>
        <v>0</v>
      </c>
      <c r="N23" s="400">
        <f>IFERROR(INDEX(Alimentos!L$5:L$310,MATCH($B23,Alimentos!$E$5:$E$310,0)),"")</f>
        <v>0</v>
      </c>
      <c r="O23" s="282">
        <f>IFERROR(INDEX(Alimentos!M$5:M$310,MATCH($B23,Alimentos!$E$5:$E$310,0)),"")</f>
        <v>0</v>
      </c>
      <c r="P23" s="282">
        <f>IFERROR(INDEX(Alimentos!N$5:N$310,MATCH($B23,Alimentos!$E$5:$E$310,0)),"")</f>
        <v>0</v>
      </c>
      <c r="Q23" s="282">
        <f>IFERROR(INDEX(Alimentos!O$5:O$310,MATCH($B23,Alimentos!$E$5:$E$310,0)),"")</f>
        <v>0</v>
      </c>
      <c r="R23" s="402">
        <f>IFERROR(INDEX(Alimentos!P$5:P$310,MATCH($B23,Alimentos!$E$5:$E$310,0)),"")</f>
        <v>0</v>
      </c>
      <c r="S23" s="283">
        <f>IFERROR(INDEX(Alimentos!Q$5:Q$310,MATCH($B23,Alimentos!$E$5:$E$310,0)),"")</f>
        <v>0</v>
      </c>
      <c r="T23" s="282">
        <f>IFERROR(INDEX(Alimentos!R$5:R$310,MATCH($B23,Alimentos!$E$5:$E$310,0)),"")</f>
        <v>0</v>
      </c>
      <c r="U23" s="282">
        <f>IFERROR(INDEX(Alimentos!S$5:S$310,MATCH($B23,Alimentos!$E$5:$E$310,0)),"")</f>
        <v>0</v>
      </c>
      <c r="V23" s="282">
        <f>IFERROR(INDEX(Alimentos!T$5:T$310,MATCH($B23,Alimentos!$E$5:$E$310,0)),"")</f>
        <v>0</v>
      </c>
      <c r="W23" s="434">
        <f>IFERROR(INDEX(Alimentos!U$5:U$310,MATCH($B23,Alimentos!$E$5:$E$310,0)),"")</f>
        <v>0</v>
      </c>
      <c r="X23" s="400">
        <f>IFERROR(INDEX(Alimentos!V$5:V$310,MATCH($B23,Alimentos!$E$5:$E$310,0)),"")</f>
        <v>0</v>
      </c>
      <c r="Y23" s="282">
        <f>IFERROR(INDEX(Alimentos!W$5:W$310,MATCH($B23,Alimentos!$E$5:$E$310,0)),"")</f>
        <v>0</v>
      </c>
      <c r="Z23" s="282">
        <f>IFERROR(INDEX(Alimentos!X$5:X$310,MATCH($B23,Alimentos!$E$5:$E$310,0)),"")</f>
        <v>0</v>
      </c>
      <c r="AA23" s="282">
        <f>IFERROR(INDEX(Alimentos!Y$5:Y$310,MATCH($B23,Alimentos!$E$5:$E$310,0)),"")</f>
        <v>370</v>
      </c>
      <c r="AB23" s="282">
        <f>IFERROR(INDEX(Alimentos!Z$5:Z$310,MATCH($B23,Alimentos!$E$5:$E$310,0)),"")</f>
        <v>0</v>
      </c>
      <c r="AC23" s="282">
        <f>IFERROR(INDEX(Alimentos!AA$5:AA$310,MATCH($B23,Alimentos!$E$5:$E$310,0)),"")</f>
        <v>0</v>
      </c>
      <c r="AD23" s="282">
        <f>IFERROR(INDEX(Alimentos!AB$5:AB$310,MATCH($B23,Alimentos!$E$5:$E$310,0)),"")</f>
        <v>0</v>
      </c>
      <c r="AE23" s="282">
        <f>IFERROR(INDEX(Alimentos!AC$5:AC$310,MATCH($B23,Alimentos!$E$5:$E$310,0)),"")</f>
        <v>0</v>
      </c>
      <c r="AF23" s="282">
        <f>IFERROR(INDEX(Alimentos!AD$5:AD$310,MATCH($B23,Alimentos!$E$5:$E$310,0)),"")</f>
        <v>0</v>
      </c>
      <c r="AG23" s="282">
        <f>IFERROR(INDEX(Alimentos!AE$5:AE$310,MATCH($B23,Alimentos!$E$5:$E$310,0)),"")</f>
        <v>0</v>
      </c>
      <c r="AH23" s="282">
        <f>IFERROR(INDEX(Alimentos!AF$5:AF$310,MATCH($B23,Alimentos!$E$5:$E$310,0)),"")</f>
        <v>0</v>
      </c>
      <c r="AI23" s="282">
        <f>IFERROR(INDEX(Alimentos!AG$5:AG$310,MATCH($B23,Alimentos!$E$5:$E$310,0)),"")</f>
        <v>0</v>
      </c>
      <c r="AJ23" s="402">
        <f>IFERROR(INDEX(Alimentos!AH$5:AH$310,MATCH($B23,Alimentos!$E$5:$E$310,0)),"")</f>
        <v>0</v>
      </c>
      <c r="AK23" s="283">
        <f>IFERROR(INDEX(Alimentos!AI$5:AI$310,MATCH($B23,Alimentos!$E$5:$E$310,0)),"")</f>
        <v>0</v>
      </c>
      <c r="AL23" s="282">
        <f>IFERROR(INDEX(Alimentos!AJ$5:AJ$310,MATCH($B23,Alimentos!$E$5:$E$310,0)),"")</f>
        <v>0</v>
      </c>
      <c r="AM23" s="282">
        <f>IFERROR(INDEX(Alimentos!AK$5:AK$310,MATCH($B23,Alimentos!$E$5:$E$310,0)),"")</f>
        <v>0</v>
      </c>
      <c r="AN23" s="282">
        <f>IFERROR(INDEX(Alimentos!AL$5:AL$310,MATCH($B23,Alimentos!$E$5:$E$310,0)),"")</f>
        <v>0</v>
      </c>
      <c r="AO23" s="282">
        <f>IFERROR(INDEX(Alimentos!AM$5:AM$310,MATCH($B23,Alimentos!$E$5:$E$310,0)),"")</f>
        <v>0</v>
      </c>
      <c r="AP23" s="282">
        <f>IFERROR(INDEX(Alimentos!AN$5:AN$310,MATCH($B23,Alimentos!$E$5:$E$310,0)),"")</f>
        <v>0</v>
      </c>
      <c r="AQ23" s="282">
        <f>IFERROR(INDEX(Alimentos!AO$5:AO$310,MATCH($B23,Alimentos!$E$5:$E$310,0)),"")</f>
        <v>0</v>
      </c>
      <c r="AR23" s="282">
        <f>IFERROR(INDEX(Alimentos!AP$5:AP$310,MATCH($B23,Alimentos!$E$5:$E$310,0)),"")</f>
        <v>0</v>
      </c>
      <c r="AS23" s="282">
        <f>IFERROR(INDEX(Alimentos!AQ$5:AQ$310,MATCH($B23,Alimentos!$E$5:$E$310,0)),"")</f>
        <v>0</v>
      </c>
      <c r="AT23" s="282">
        <f>IFERROR(INDEX(Alimentos!AR$5:AR$310,MATCH($B23,Alimentos!$E$5:$E$310,0)),"")</f>
        <v>0</v>
      </c>
      <c r="AU23" s="282">
        <f>IFERROR(INDEX(Alimentos!AS$5:AS$310,MATCH($B23,Alimentos!$E$5:$E$310,0)),"")</f>
        <v>0</v>
      </c>
      <c r="AV23" s="282">
        <f>IFERROR(INDEX(Alimentos!AT$5:AT$310,MATCH($B23,Alimentos!$E$5:$E$310,0)),"")</f>
        <v>0</v>
      </c>
      <c r="AW23" s="282">
        <f>IFERROR(INDEX(Alimentos!AU$5:AU$310,MATCH($B23,Alimentos!$E$5:$E$310,0)),"")</f>
        <v>0</v>
      </c>
      <c r="AX23" s="282">
        <f>IFERROR(INDEX(Alimentos!AV$5:AV$310,MATCH($B23,Alimentos!$E$5:$E$310,0)),"")</f>
        <v>0</v>
      </c>
      <c r="AY23" s="282">
        <f>IFERROR(INDEX(Alimentos!AW$5:AW$310,MATCH($B23,Alimentos!$E$5:$E$310,0)),"")</f>
        <v>0</v>
      </c>
      <c r="AZ23" s="282">
        <f>IFERROR(INDEX(Alimentos!AX$5:AX$310,MATCH($B23,Alimentos!$E$5:$E$310,0)),"")</f>
        <v>0</v>
      </c>
      <c r="BA23" s="282">
        <f>IFERROR(INDEX(Alimentos!AY$5:AY$310,MATCH($B23,Alimentos!$E$5:$E$310,0)),"")</f>
        <v>0</v>
      </c>
      <c r="BB23" s="282">
        <f>IFERROR(INDEX(Alimentos!AZ$5:AZ$310,MATCH($B23,Alimentos!$E$5:$E$310,0)),"")</f>
        <v>1</v>
      </c>
      <c r="BC23" s="274"/>
      <c r="BD23" s="284">
        <f t="shared" si="1"/>
        <v>0.12001639171256455</v>
      </c>
      <c r="BE23" s="287">
        <f t="shared" si="2"/>
        <v>0.12001638460773538</v>
      </c>
      <c r="BF23" s="285">
        <f t="shared" si="3"/>
        <v>1.5</v>
      </c>
      <c r="BG23" s="286">
        <f t="shared" si="9"/>
        <v>0.18002457691160306</v>
      </c>
      <c r="BH23" s="284">
        <f t="shared" si="10"/>
        <v>0.12096381659026414</v>
      </c>
      <c r="BI23" s="287">
        <f t="shared" si="5"/>
        <v>0.12001638460773538</v>
      </c>
      <c r="BJ23" s="285">
        <f t="shared" si="6"/>
        <v>1.5</v>
      </c>
      <c r="BK23" s="288">
        <f t="shared" si="11"/>
        <v>0.18002457691160306</v>
      </c>
      <c r="BL23" s="1997" t="str">
        <f>IFERROR(INDEX(Alimentos!B$5:B$310,MATCH($B23,Alimentos!$E$5:$E$310,0)),"")</f>
        <v>Concentrado</v>
      </c>
      <c r="BM23" s="280">
        <f>IF(C23=0,"",COUNTIF(BL$9:BL23,"Concentrado"))</f>
        <v>14</v>
      </c>
      <c r="BN23" s="263">
        <f>IF(BM23="","",COUNTIFS(BM$9:BM23,"&gt;"&amp;0))</f>
        <v>12</v>
      </c>
      <c r="BP23" s="281"/>
      <c r="BQ23" s="281"/>
    </row>
    <row r="24" spans="1:69" ht="15">
      <c r="A24" s="271" t="str">
        <f>IFERROR(MATCH($B24,Alimentos!$E$5:$E$310,0)+1,"")</f>
        <v/>
      </c>
      <c r="B24" s="1934"/>
      <c r="C24" s="578">
        <v>0</v>
      </c>
      <c r="D24" s="579">
        <v>0</v>
      </c>
      <c r="E24" s="579">
        <v>0</v>
      </c>
      <c r="F24" s="580"/>
      <c r="G24" s="417" t="str">
        <f>IFERROR(IF(F24&gt;0,F24,INDEX(Alimentos!F$5:F$310,MATCH($B24,Alimentos!$E$5:$E$310,0))),"")</f>
        <v/>
      </c>
      <c r="H24" s="387"/>
      <c r="I24" s="400" t="str">
        <f>IFERROR(INDEX(Alimentos!G$5:G$310,MATCH($B24,Alimentos!$E$5:$E$310,0)),"")</f>
        <v/>
      </c>
      <c r="J24" s="282" t="str">
        <f>IFERROR(INDEX(Alimentos!H$5:H$310,MATCH($B24,Alimentos!$E$5:$E$310,0)),"")</f>
        <v/>
      </c>
      <c r="K24" s="282" t="str">
        <f>IFERROR(INDEX(Alimentos!I$5:I$310,MATCH($B24,Alimentos!$E$5:$E$310,0)),"")</f>
        <v/>
      </c>
      <c r="L24" s="282" t="str">
        <f>IFERROR(INDEX(Alimentos!J$5:J$310,MATCH($B24,Alimentos!$E$5:$E$310,0)),"")</f>
        <v/>
      </c>
      <c r="M24" s="402" t="str">
        <f>IFERROR(INDEX(Alimentos!K$5:K$310,MATCH($B24,Alimentos!$E$5:$E$310,0)),"")</f>
        <v/>
      </c>
      <c r="N24" s="400" t="str">
        <f>IFERROR(INDEX(Alimentos!L$5:L$310,MATCH($B24,Alimentos!$E$5:$E$310,0)),"")</f>
        <v/>
      </c>
      <c r="O24" s="282" t="str">
        <f>IFERROR(INDEX(Alimentos!M$5:M$310,MATCH($B24,Alimentos!$E$5:$E$310,0)),"")</f>
        <v/>
      </c>
      <c r="P24" s="282" t="str">
        <f>IFERROR(INDEX(Alimentos!N$5:N$310,MATCH($B24,Alimentos!$E$5:$E$310,0)),"")</f>
        <v/>
      </c>
      <c r="Q24" s="282" t="str">
        <f>IFERROR(INDEX(Alimentos!O$5:O$310,MATCH($B24,Alimentos!$E$5:$E$310,0)),"")</f>
        <v/>
      </c>
      <c r="R24" s="402" t="str">
        <f>IFERROR(INDEX(Alimentos!P$5:P$310,MATCH($B24,Alimentos!$E$5:$E$310,0)),"")</f>
        <v/>
      </c>
      <c r="S24" s="283" t="str">
        <f>IFERROR(INDEX(Alimentos!Q$5:Q$310,MATCH($B24,Alimentos!$E$5:$E$310,0)),"")</f>
        <v/>
      </c>
      <c r="T24" s="282" t="str">
        <f>IFERROR(INDEX(Alimentos!R$5:R$310,MATCH($B24,Alimentos!$E$5:$E$310,0)),"")</f>
        <v/>
      </c>
      <c r="U24" s="282" t="str">
        <f>IFERROR(INDEX(Alimentos!S$5:S$310,MATCH($B24,Alimentos!$E$5:$E$310,0)),"")</f>
        <v/>
      </c>
      <c r="V24" s="282" t="str">
        <f>IFERROR(INDEX(Alimentos!T$5:T$310,MATCH($B24,Alimentos!$E$5:$E$310,0)),"")</f>
        <v/>
      </c>
      <c r="W24" s="434" t="str">
        <f>IFERROR(INDEX(Alimentos!U$5:U$310,MATCH($B24,Alimentos!$E$5:$E$310,0)),"")</f>
        <v/>
      </c>
      <c r="X24" s="400" t="str">
        <f>IFERROR(INDEX(Alimentos!V$5:V$310,MATCH($B24,Alimentos!$E$5:$E$310,0)),"")</f>
        <v/>
      </c>
      <c r="Y24" s="282" t="str">
        <f>IFERROR(INDEX(Alimentos!W$5:W$310,MATCH($B24,Alimentos!$E$5:$E$310,0)),"")</f>
        <v/>
      </c>
      <c r="Z24" s="282" t="str">
        <f>IFERROR(INDEX(Alimentos!X$5:X$310,MATCH($B24,Alimentos!$E$5:$E$310,0)),"")</f>
        <v/>
      </c>
      <c r="AA24" s="282" t="str">
        <f>IFERROR(INDEX(Alimentos!Y$5:Y$310,MATCH($B24,Alimentos!$E$5:$E$310,0)),"")</f>
        <v/>
      </c>
      <c r="AB24" s="282" t="str">
        <f>IFERROR(INDEX(Alimentos!Z$5:Z$310,MATCH($B24,Alimentos!$E$5:$E$310,0)),"")</f>
        <v/>
      </c>
      <c r="AC24" s="282" t="str">
        <f>IFERROR(INDEX(Alimentos!AA$5:AA$310,MATCH($B24,Alimentos!$E$5:$E$310,0)),"")</f>
        <v/>
      </c>
      <c r="AD24" s="282" t="str">
        <f>IFERROR(INDEX(Alimentos!AB$5:AB$310,MATCH($B24,Alimentos!$E$5:$E$310,0)),"")</f>
        <v/>
      </c>
      <c r="AE24" s="282" t="str">
        <f>IFERROR(INDEX(Alimentos!AC$5:AC$310,MATCH($B24,Alimentos!$E$5:$E$310,0)),"")</f>
        <v/>
      </c>
      <c r="AF24" s="282" t="str">
        <f>IFERROR(INDEX(Alimentos!AD$5:AD$310,MATCH($B24,Alimentos!$E$5:$E$310,0)),"")</f>
        <v/>
      </c>
      <c r="AG24" s="282" t="str">
        <f>IFERROR(INDEX(Alimentos!AE$5:AE$310,MATCH($B24,Alimentos!$E$5:$E$310,0)),"")</f>
        <v/>
      </c>
      <c r="AH24" s="282" t="str">
        <f>IFERROR(INDEX(Alimentos!AF$5:AF$310,MATCH($B24,Alimentos!$E$5:$E$310,0)),"")</f>
        <v/>
      </c>
      <c r="AI24" s="282" t="str">
        <f>IFERROR(INDEX(Alimentos!AG$5:AG$310,MATCH($B24,Alimentos!$E$5:$E$310,0)),"")</f>
        <v/>
      </c>
      <c r="AJ24" s="402" t="str">
        <f>IFERROR(INDEX(Alimentos!AH$5:AH$310,MATCH($B24,Alimentos!$E$5:$E$310,0)),"")</f>
        <v/>
      </c>
      <c r="AK24" s="283" t="str">
        <f>IFERROR(INDEX(Alimentos!AI$5:AI$310,MATCH($B24,Alimentos!$E$5:$E$310,0)),"")</f>
        <v/>
      </c>
      <c r="AL24" s="282" t="str">
        <f>IFERROR(INDEX(Alimentos!AJ$5:AJ$310,MATCH($B24,Alimentos!$E$5:$E$310,0)),"")</f>
        <v/>
      </c>
      <c r="AM24" s="282" t="str">
        <f>IFERROR(INDEX(Alimentos!AK$5:AK$310,MATCH($B24,Alimentos!$E$5:$E$310,0)),"")</f>
        <v/>
      </c>
      <c r="AN24" s="282" t="str">
        <f>IFERROR(INDEX(Alimentos!AL$5:AL$310,MATCH($B24,Alimentos!$E$5:$E$310,0)),"")</f>
        <v/>
      </c>
      <c r="AO24" s="282" t="str">
        <f>IFERROR(INDEX(Alimentos!AM$5:AM$310,MATCH($B24,Alimentos!$E$5:$E$310,0)),"")</f>
        <v/>
      </c>
      <c r="AP24" s="282" t="str">
        <f>IFERROR(INDEX(Alimentos!AN$5:AN$310,MATCH($B24,Alimentos!$E$5:$E$310,0)),"")</f>
        <v/>
      </c>
      <c r="AQ24" s="282" t="str">
        <f>IFERROR(INDEX(Alimentos!AO$5:AO$310,MATCH($B24,Alimentos!$E$5:$E$310,0)),"")</f>
        <v/>
      </c>
      <c r="AR24" s="282" t="str">
        <f>IFERROR(INDEX(Alimentos!AP$5:AP$310,MATCH($B24,Alimentos!$E$5:$E$310,0)),"")</f>
        <v/>
      </c>
      <c r="AS24" s="282" t="str">
        <f>IFERROR(INDEX(Alimentos!AQ$5:AQ$310,MATCH($B24,Alimentos!$E$5:$E$310,0)),"")</f>
        <v/>
      </c>
      <c r="AT24" s="282" t="str">
        <f>IFERROR(INDEX(Alimentos!AR$5:AR$310,MATCH($B24,Alimentos!$E$5:$E$310,0)),"")</f>
        <v/>
      </c>
      <c r="AU24" s="282" t="str">
        <f>IFERROR(INDEX(Alimentos!AS$5:AS$310,MATCH($B24,Alimentos!$E$5:$E$310,0)),"")</f>
        <v/>
      </c>
      <c r="AV24" s="282" t="str">
        <f>IFERROR(INDEX(Alimentos!AT$5:AT$310,MATCH($B24,Alimentos!$E$5:$E$310,0)),"")</f>
        <v/>
      </c>
      <c r="AW24" s="282" t="str">
        <f>IFERROR(INDEX(Alimentos!AU$5:AU$310,MATCH($B24,Alimentos!$E$5:$E$310,0)),"")</f>
        <v/>
      </c>
      <c r="AX24" s="282" t="str">
        <f>IFERROR(INDEX(Alimentos!AV$5:AV$310,MATCH($B24,Alimentos!$E$5:$E$310,0)),"")</f>
        <v/>
      </c>
      <c r="AY24" s="282" t="str">
        <f>IFERROR(INDEX(Alimentos!AW$5:AW$310,MATCH($B24,Alimentos!$E$5:$E$310,0)),"")</f>
        <v/>
      </c>
      <c r="AZ24" s="282" t="str">
        <f>IFERROR(INDEX(Alimentos!AX$5:AX$310,MATCH($B24,Alimentos!$E$5:$E$310,0)),"")</f>
        <v/>
      </c>
      <c r="BA24" s="282" t="str">
        <f>IFERROR(INDEX(Alimentos!AY$5:AY$310,MATCH($B24,Alimentos!$E$5:$E$310,0)),"")</f>
        <v/>
      </c>
      <c r="BB24" s="282" t="str">
        <f>IFERROR(INDEX(Alimentos!AZ$5:AZ$310,MATCH($B24,Alimentos!$E$5:$E$310,0)),"")</f>
        <v/>
      </c>
      <c r="BC24" s="274"/>
      <c r="BD24" s="284">
        <f t="shared" si="1"/>
        <v>0</v>
      </c>
      <c r="BE24" s="287">
        <f t="shared" si="2"/>
        <v>0</v>
      </c>
      <c r="BF24" s="285" t="str">
        <f t="shared" si="3"/>
        <v/>
      </c>
      <c r="BG24" s="286">
        <f t="shared" si="9"/>
        <v>0</v>
      </c>
      <c r="BH24" s="284">
        <f t="shared" si="10"/>
        <v>0</v>
      </c>
      <c r="BI24" s="287">
        <f t="shared" si="5"/>
        <v>0</v>
      </c>
      <c r="BJ24" s="285">
        <f t="shared" si="6"/>
        <v>0</v>
      </c>
      <c r="BK24" s="288">
        <f t="shared" si="11"/>
        <v>0</v>
      </c>
      <c r="BL24" s="1997" t="str">
        <f>IFERROR(INDEX(Alimentos!B$5:B$310,MATCH($B24,Alimentos!$E$5:$E$310,0)),"")</f>
        <v/>
      </c>
      <c r="BM24" s="280" t="str">
        <f>IF(C24=0,"",COUNTIF(BL$9:BL24,"Concentrado"))</f>
        <v/>
      </c>
      <c r="BN24" s="263" t="str">
        <f>IF(BM24="","",COUNTIFS(BM$9:BM24,"&gt;"&amp;0))</f>
        <v/>
      </c>
      <c r="BP24" s="281"/>
      <c r="BQ24" s="281"/>
    </row>
    <row r="25" spans="1:69" ht="15">
      <c r="A25" s="271" t="str">
        <f>IFERROR(MATCH($B25,Alimentos!$E$5:$E$310,0)+1,"")</f>
        <v/>
      </c>
      <c r="B25" s="1934"/>
      <c r="C25" s="578">
        <v>0</v>
      </c>
      <c r="D25" s="579">
        <v>0</v>
      </c>
      <c r="E25" s="579">
        <v>0</v>
      </c>
      <c r="F25" s="580"/>
      <c r="G25" s="417" t="str">
        <f>IFERROR(IF(F25&gt;0,F25,INDEX(Alimentos!F$5:F$310,MATCH($B25,Alimentos!$E$5:$E$310,0))),"")</f>
        <v/>
      </c>
      <c r="H25" s="387"/>
      <c r="I25" s="400" t="str">
        <f>IFERROR(INDEX(Alimentos!G$5:G$310,MATCH($B25,Alimentos!$E$5:$E$310,0)),"")</f>
        <v/>
      </c>
      <c r="J25" s="282" t="str">
        <f>IFERROR(INDEX(Alimentos!H$5:H$310,MATCH($B25,Alimentos!$E$5:$E$310,0)),"")</f>
        <v/>
      </c>
      <c r="K25" s="282" t="str">
        <f>IFERROR(INDEX(Alimentos!I$5:I$310,MATCH($B25,Alimentos!$E$5:$E$310,0)),"")</f>
        <v/>
      </c>
      <c r="L25" s="282" t="str">
        <f>IFERROR(INDEX(Alimentos!J$5:J$310,MATCH($B25,Alimentos!$E$5:$E$310,0)),"")</f>
        <v/>
      </c>
      <c r="M25" s="402" t="str">
        <f>IFERROR(INDEX(Alimentos!K$5:K$310,MATCH($B25,Alimentos!$E$5:$E$310,0)),"")</f>
        <v/>
      </c>
      <c r="N25" s="400" t="str">
        <f>IFERROR(INDEX(Alimentos!L$5:L$310,MATCH($B25,Alimentos!$E$5:$E$310,0)),"")</f>
        <v/>
      </c>
      <c r="O25" s="282" t="str">
        <f>IFERROR(INDEX(Alimentos!M$5:M$310,MATCH($B25,Alimentos!$E$5:$E$310,0)),"")</f>
        <v/>
      </c>
      <c r="P25" s="282" t="str">
        <f>IFERROR(INDEX(Alimentos!N$5:N$310,MATCH($B25,Alimentos!$E$5:$E$310,0)),"")</f>
        <v/>
      </c>
      <c r="Q25" s="282" t="str">
        <f>IFERROR(INDEX(Alimentos!O$5:O$310,MATCH($B25,Alimentos!$E$5:$E$310,0)),"")</f>
        <v/>
      </c>
      <c r="R25" s="402" t="str">
        <f>IFERROR(INDEX(Alimentos!P$5:P$310,MATCH($B25,Alimentos!$E$5:$E$310,0)),"")</f>
        <v/>
      </c>
      <c r="S25" s="283" t="str">
        <f>IFERROR(INDEX(Alimentos!Q$5:Q$310,MATCH($B25,Alimentos!$E$5:$E$310,0)),"")</f>
        <v/>
      </c>
      <c r="T25" s="282" t="str">
        <f>IFERROR(INDEX(Alimentos!R$5:R$310,MATCH($B25,Alimentos!$E$5:$E$310,0)),"")</f>
        <v/>
      </c>
      <c r="U25" s="282" t="str">
        <f>IFERROR(INDEX(Alimentos!S$5:S$310,MATCH($B25,Alimentos!$E$5:$E$310,0)),"")</f>
        <v/>
      </c>
      <c r="V25" s="282" t="str">
        <f>IFERROR(INDEX(Alimentos!T$5:T$310,MATCH($B25,Alimentos!$E$5:$E$310,0)),"")</f>
        <v/>
      </c>
      <c r="W25" s="434" t="str">
        <f>IFERROR(INDEX(Alimentos!U$5:U$310,MATCH($B25,Alimentos!$E$5:$E$310,0)),"")</f>
        <v/>
      </c>
      <c r="X25" s="400" t="str">
        <f>IFERROR(INDEX(Alimentos!V$5:V$310,MATCH($B25,Alimentos!$E$5:$E$310,0)),"")</f>
        <v/>
      </c>
      <c r="Y25" s="282" t="str">
        <f>IFERROR(INDEX(Alimentos!W$5:W$310,MATCH($B25,Alimentos!$E$5:$E$310,0)),"")</f>
        <v/>
      </c>
      <c r="Z25" s="282" t="str">
        <f>IFERROR(INDEX(Alimentos!X$5:X$310,MATCH($B25,Alimentos!$E$5:$E$310,0)),"")</f>
        <v/>
      </c>
      <c r="AA25" s="282" t="str">
        <f>IFERROR(INDEX(Alimentos!Y$5:Y$310,MATCH($B25,Alimentos!$E$5:$E$310,0)),"")</f>
        <v/>
      </c>
      <c r="AB25" s="282" t="str">
        <f>IFERROR(INDEX(Alimentos!Z$5:Z$310,MATCH($B25,Alimentos!$E$5:$E$310,0)),"")</f>
        <v/>
      </c>
      <c r="AC25" s="282" t="str">
        <f>IFERROR(INDEX(Alimentos!AA$5:AA$310,MATCH($B25,Alimentos!$E$5:$E$310,0)),"")</f>
        <v/>
      </c>
      <c r="AD25" s="282" t="str">
        <f>IFERROR(INDEX(Alimentos!AB$5:AB$310,MATCH($B25,Alimentos!$E$5:$E$310,0)),"")</f>
        <v/>
      </c>
      <c r="AE25" s="282" t="str">
        <f>IFERROR(INDEX(Alimentos!AC$5:AC$310,MATCH($B25,Alimentos!$E$5:$E$310,0)),"")</f>
        <v/>
      </c>
      <c r="AF25" s="282" t="str">
        <f>IFERROR(INDEX(Alimentos!AD$5:AD$310,MATCH($B25,Alimentos!$E$5:$E$310,0)),"")</f>
        <v/>
      </c>
      <c r="AG25" s="282" t="str">
        <f>IFERROR(INDEX(Alimentos!AE$5:AE$310,MATCH($B25,Alimentos!$E$5:$E$310,0)),"")</f>
        <v/>
      </c>
      <c r="AH25" s="282" t="str">
        <f>IFERROR(INDEX(Alimentos!AF$5:AF$310,MATCH($B25,Alimentos!$E$5:$E$310,0)),"")</f>
        <v/>
      </c>
      <c r="AI25" s="282" t="str">
        <f>IFERROR(INDEX(Alimentos!AG$5:AG$310,MATCH($B25,Alimentos!$E$5:$E$310,0)),"")</f>
        <v/>
      </c>
      <c r="AJ25" s="402" t="str">
        <f>IFERROR(INDEX(Alimentos!AH$5:AH$310,MATCH($B25,Alimentos!$E$5:$E$310,0)),"")</f>
        <v/>
      </c>
      <c r="AK25" s="283" t="str">
        <f>IFERROR(INDEX(Alimentos!AI$5:AI$310,MATCH($B25,Alimentos!$E$5:$E$310,0)),"")</f>
        <v/>
      </c>
      <c r="AL25" s="282" t="str">
        <f>IFERROR(INDEX(Alimentos!AJ$5:AJ$310,MATCH($B25,Alimentos!$E$5:$E$310,0)),"")</f>
        <v/>
      </c>
      <c r="AM25" s="282" t="str">
        <f>IFERROR(INDEX(Alimentos!AK$5:AK$310,MATCH($B25,Alimentos!$E$5:$E$310,0)),"")</f>
        <v/>
      </c>
      <c r="AN25" s="282" t="str">
        <f>IFERROR(INDEX(Alimentos!AL$5:AL$310,MATCH($B25,Alimentos!$E$5:$E$310,0)),"")</f>
        <v/>
      </c>
      <c r="AO25" s="282" t="str">
        <f>IFERROR(INDEX(Alimentos!AM$5:AM$310,MATCH($B25,Alimentos!$E$5:$E$310,0)),"")</f>
        <v/>
      </c>
      <c r="AP25" s="282" t="str">
        <f>IFERROR(INDEX(Alimentos!AN$5:AN$310,MATCH($B25,Alimentos!$E$5:$E$310,0)),"")</f>
        <v/>
      </c>
      <c r="AQ25" s="282" t="str">
        <f>IFERROR(INDEX(Alimentos!AO$5:AO$310,MATCH($B25,Alimentos!$E$5:$E$310,0)),"")</f>
        <v/>
      </c>
      <c r="AR25" s="282" t="str">
        <f>IFERROR(INDEX(Alimentos!AP$5:AP$310,MATCH($B25,Alimentos!$E$5:$E$310,0)),"")</f>
        <v/>
      </c>
      <c r="AS25" s="282" t="str">
        <f>IFERROR(INDEX(Alimentos!AQ$5:AQ$310,MATCH($B25,Alimentos!$E$5:$E$310,0)),"")</f>
        <v/>
      </c>
      <c r="AT25" s="282" t="str">
        <f>IFERROR(INDEX(Alimentos!AR$5:AR$310,MATCH($B25,Alimentos!$E$5:$E$310,0)),"")</f>
        <v/>
      </c>
      <c r="AU25" s="282" t="str">
        <f>IFERROR(INDEX(Alimentos!AS$5:AS$310,MATCH($B25,Alimentos!$E$5:$E$310,0)),"")</f>
        <v/>
      </c>
      <c r="AV25" s="282" t="str">
        <f>IFERROR(INDEX(Alimentos!AT$5:AT$310,MATCH($B25,Alimentos!$E$5:$E$310,0)),"")</f>
        <v/>
      </c>
      <c r="AW25" s="282" t="str">
        <f>IFERROR(INDEX(Alimentos!AU$5:AU$310,MATCH($B25,Alimentos!$E$5:$E$310,0)),"")</f>
        <v/>
      </c>
      <c r="AX25" s="282" t="str">
        <f>IFERROR(INDEX(Alimentos!AV$5:AV$310,MATCH($B25,Alimentos!$E$5:$E$310,0)),"")</f>
        <v/>
      </c>
      <c r="AY25" s="282" t="str">
        <f>IFERROR(INDEX(Alimentos!AW$5:AW$310,MATCH($B25,Alimentos!$E$5:$E$310,0)),"")</f>
        <v/>
      </c>
      <c r="AZ25" s="282" t="str">
        <f>IFERROR(INDEX(Alimentos!AX$5:AX$310,MATCH($B25,Alimentos!$E$5:$E$310,0)),"")</f>
        <v/>
      </c>
      <c r="BA25" s="282" t="str">
        <f>IFERROR(INDEX(Alimentos!AY$5:AY$310,MATCH($B25,Alimentos!$E$5:$E$310,0)),"")</f>
        <v/>
      </c>
      <c r="BB25" s="282" t="str">
        <f>IFERROR(INDEX(Alimentos!AZ$5:AZ$310,MATCH($B25,Alimentos!$E$5:$E$310,0)),"")</f>
        <v/>
      </c>
      <c r="BC25" s="274"/>
      <c r="BD25" s="284">
        <f t="shared" si="1"/>
        <v>0</v>
      </c>
      <c r="BE25" s="287">
        <f t="shared" si="2"/>
        <v>0</v>
      </c>
      <c r="BF25" s="285" t="str">
        <f t="shared" si="3"/>
        <v/>
      </c>
      <c r="BG25" s="286">
        <f t="shared" si="9"/>
        <v>0</v>
      </c>
      <c r="BH25" s="284">
        <f t="shared" si="10"/>
        <v>0</v>
      </c>
      <c r="BI25" s="287">
        <f t="shared" si="5"/>
        <v>0</v>
      </c>
      <c r="BJ25" s="285">
        <f t="shared" si="6"/>
        <v>0</v>
      </c>
      <c r="BK25" s="288">
        <f t="shared" si="11"/>
        <v>0</v>
      </c>
      <c r="BL25" s="1997" t="str">
        <f>IFERROR(INDEX(Alimentos!B$5:B$310,MATCH($B25,Alimentos!$E$5:$E$310,0)),"")</f>
        <v/>
      </c>
      <c r="BM25" s="280" t="str">
        <f>IF(C25=0,"",COUNTIF(BL$9:BL25,"Concentrado"))</f>
        <v/>
      </c>
      <c r="BN25" s="263" t="str">
        <f>IF(BM25="","",COUNTIFS(BM$9:BM25,"&gt;"&amp;0))</f>
        <v/>
      </c>
      <c r="BP25" s="281"/>
      <c r="BQ25" s="281"/>
    </row>
    <row r="26" spans="1:69" ht="15">
      <c r="A26" s="271" t="str">
        <f>IFERROR(MATCH($B26,Alimentos!$E$5:$E$310,0)+1,"")</f>
        <v/>
      </c>
      <c r="B26" s="1934"/>
      <c r="C26" s="578">
        <v>0</v>
      </c>
      <c r="D26" s="579">
        <v>0</v>
      </c>
      <c r="E26" s="579">
        <v>0</v>
      </c>
      <c r="F26" s="580"/>
      <c r="G26" s="417" t="str">
        <f>IFERROR(IF(F26&gt;0,F26,INDEX(Alimentos!F$5:F$310,MATCH($B26,Alimentos!$E$5:$E$310,0))),"")</f>
        <v/>
      </c>
      <c r="H26" s="387"/>
      <c r="I26" s="400" t="str">
        <f>IFERROR(INDEX(Alimentos!G$5:G$310,MATCH($B26,Alimentos!$E$5:$E$310,0)),"")</f>
        <v/>
      </c>
      <c r="J26" s="282" t="str">
        <f>IFERROR(INDEX(Alimentos!H$5:H$310,MATCH($B26,Alimentos!$E$5:$E$310,0)),"")</f>
        <v/>
      </c>
      <c r="K26" s="282" t="str">
        <f>IFERROR(INDEX(Alimentos!I$5:I$310,MATCH($B26,Alimentos!$E$5:$E$310,0)),"")</f>
        <v/>
      </c>
      <c r="L26" s="282" t="str">
        <f>IFERROR(INDEX(Alimentos!J$5:J$310,MATCH($B26,Alimentos!$E$5:$E$310,0)),"")</f>
        <v/>
      </c>
      <c r="M26" s="402" t="str">
        <f>IFERROR(INDEX(Alimentos!K$5:K$310,MATCH($B26,Alimentos!$E$5:$E$310,0)),"")</f>
        <v/>
      </c>
      <c r="N26" s="400" t="str">
        <f>IFERROR(INDEX(Alimentos!L$5:L$310,MATCH($B26,Alimentos!$E$5:$E$310,0)),"")</f>
        <v/>
      </c>
      <c r="O26" s="282" t="str">
        <f>IFERROR(INDEX(Alimentos!M$5:M$310,MATCH($B26,Alimentos!$E$5:$E$310,0)),"")</f>
        <v/>
      </c>
      <c r="P26" s="282" t="str">
        <f>IFERROR(INDEX(Alimentos!N$5:N$310,MATCH($B26,Alimentos!$E$5:$E$310,0)),"")</f>
        <v/>
      </c>
      <c r="Q26" s="282" t="str">
        <f>IFERROR(INDEX(Alimentos!O$5:O$310,MATCH($B26,Alimentos!$E$5:$E$310,0)),"")</f>
        <v/>
      </c>
      <c r="R26" s="402" t="str">
        <f>IFERROR(INDEX(Alimentos!P$5:P$310,MATCH($B26,Alimentos!$E$5:$E$310,0)),"")</f>
        <v/>
      </c>
      <c r="S26" s="283" t="str">
        <f>IFERROR(INDEX(Alimentos!Q$5:Q$310,MATCH($B26,Alimentos!$E$5:$E$310,0)),"")</f>
        <v/>
      </c>
      <c r="T26" s="282" t="str">
        <f>IFERROR(INDEX(Alimentos!R$5:R$310,MATCH($B26,Alimentos!$E$5:$E$310,0)),"")</f>
        <v/>
      </c>
      <c r="U26" s="282" t="str">
        <f>IFERROR(INDEX(Alimentos!S$5:S$310,MATCH($B26,Alimentos!$E$5:$E$310,0)),"")</f>
        <v/>
      </c>
      <c r="V26" s="282" t="str">
        <f>IFERROR(INDEX(Alimentos!T$5:T$310,MATCH($B26,Alimentos!$E$5:$E$310,0)),"")</f>
        <v/>
      </c>
      <c r="W26" s="434" t="str">
        <f>IFERROR(INDEX(Alimentos!U$5:U$310,MATCH($B26,Alimentos!$E$5:$E$310,0)),"")</f>
        <v/>
      </c>
      <c r="X26" s="400" t="str">
        <f>IFERROR(INDEX(Alimentos!V$5:V$310,MATCH($B26,Alimentos!$E$5:$E$310,0)),"")</f>
        <v/>
      </c>
      <c r="Y26" s="282" t="str">
        <f>IFERROR(INDEX(Alimentos!W$5:W$310,MATCH($B26,Alimentos!$E$5:$E$310,0)),"")</f>
        <v/>
      </c>
      <c r="Z26" s="282" t="str">
        <f>IFERROR(INDEX(Alimentos!X$5:X$310,MATCH($B26,Alimentos!$E$5:$E$310,0)),"")</f>
        <v/>
      </c>
      <c r="AA26" s="282" t="str">
        <f>IFERROR(INDEX(Alimentos!Y$5:Y$310,MATCH($B26,Alimentos!$E$5:$E$310,0)),"")</f>
        <v/>
      </c>
      <c r="AB26" s="282" t="str">
        <f>IFERROR(INDEX(Alimentos!Z$5:Z$310,MATCH($B26,Alimentos!$E$5:$E$310,0)),"")</f>
        <v/>
      </c>
      <c r="AC26" s="282" t="str">
        <f>IFERROR(INDEX(Alimentos!AA$5:AA$310,MATCH($B26,Alimentos!$E$5:$E$310,0)),"")</f>
        <v/>
      </c>
      <c r="AD26" s="282" t="str">
        <f>IFERROR(INDEX(Alimentos!AB$5:AB$310,MATCH($B26,Alimentos!$E$5:$E$310,0)),"")</f>
        <v/>
      </c>
      <c r="AE26" s="282" t="str">
        <f>IFERROR(INDEX(Alimentos!AC$5:AC$310,MATCH($B26,Alimentos!$E$5:$E$310,0)),"")</f>
        <v/>
      </c>
      <c r="AF26" s="282" t="str">
        <f>IFERROR(INDEX(Alimentos!AD$5:AD$310,MATCH($B26,Alimentos!$E$5:$E$310,0)),"")</f>
        <v/>
      </c>
      <c r="AG26" s="282" t="str">
        <f>IFERROR(INDEX(Alimentos!AE$5:AE$310,MATCH($B26,Alimentos!$E$5:$E$310,0)),"")</f>
        <v/>
      </c>
      <c r="AH26" s="282" t="str">
        <f>IFERROR(INDEX(Alimentos!AF$5:AF$310,MATCH($B26,Alimentos!$E$5:$E$310,0)),"")</f>
        <v/>
      </c>
      <c r="AI26" s="282" t="str">
        <f>IFERROR(INDEX(Alimentos!AG$5:AG$310,MATCH($B26,Alimentos!$E$5:$E$310,0)),"")</f>
        <v/>
      </c>
      <c r="AJ26" s="402" t="str">
        <f>IFERROR(INDEX(Alimentos!AH$5:AH$310,MATCH($B26,Alimentos!$E$5:$E$310,0)),"")</f>
        <v/>
      </c>
      <c r="AK26" s="283" t="str">
        <f>IFERROR(INDEX(Alimentos!AI$5:AI$310,MATCH($B26,Alimentos!$E$5:$E$310,0)),"")</f>
        <v/>
      </c>
      <c r="AL26" s="282" t="str">
        <f>IFERROR(INDEX(Alimentos!AJ$5:AJ$310,MATCH($B26,Alimentos!$E$5:$E$310,0)),"")</f>
        <v/>
      </c>
      <c r="AM26" s="282" t="str">
        <f>IFERROR(INDEX(Alimentos!AK$5:AK$310,MATCH($B26,Alimentos!$E$5:$E$310,0)),"")</f>
        <v/>
      </c>
      <c r="AN26" s="282" t="str">
        <f>IFERROR(INDEX(Alimentos!AL$5:AL$310,MATCH($B26,Alimentos!$E$5:$E$310,0)),"")</f>
        <v/>
      </c>
      <c r="AO26" s="282" t="str">
        <f>IFERROR(INDEX(Alimentos!AM$5:AM$310,MATCH($B26,Alimentos!$E$5:$E$310,0)),"")</f>
        <v/>
      </c>
      <c r="AP26" s="282" t="str">
        <f>IFERROR(INDEX(Alimentos!AN$5:AN$310,MATCH($B26,Alimentos!$E$5:$E$310,0)),"")</f>
        <v/>
      </c>
      <c r="AQ26" s="282" t="str">
        <f>IFERROR(INDEX(Alimentos!AO$5:AO$310,MATCH($B26,Alimentos!$E$5:$E$310,0)),"")</f>
        <v/>
      </c>
      <c r="AR26" s="282" t="str">
        <f>IFERROR(INDEX(Alimentos!AP$5:AP$310,MATCH($B26,Alimentos!$E$5:$E$310,0)),"")</f>
        <v/>
      </c>
      <c r="AS26" s="282" t="str">
        <f>IFERROR(INDEX(Alimentos!AQ$5:AQ$310,MATCH($B26,Alimentos!$E$5:$E$310,0)),"")</f>
        <v/>
      </c>
      <c r="AT26" s="282" t="str">
        <f>IFERROR(INDEX(Alimentos!AR$5:AR$310,MATCH($B26,Alimentos!$E$5:$E$310,0)),"")</f>
        <v/>
      </c>
      <c r="AU26" s="282" t="str">
        <f>IFERROR(INDEX(Alimentos!AS$5:AS$310,MATCH($B26,Alimentos!$E$5:$E$310,0)),"")</f>
        <v/>
      </c>
      <c r="AV26" s="282" t="str">
        <f>IFERROR(INDEX(Alimentos!AT$5:AT$310,MATCH($B26,Alimentos!$E$5:$E$310,0)),"")</f>
        <v/>
      </c>
      <c r="AW26" s="282" t="str">
        <f>IFERROR(INDEX(Alimentos!AU$5:AU$310,MATCH($B26,Alimentos!$E$5:$E$310,0)),"")</f>
        <v/>
      </c>
      <c r="AX26" s="282" t="str">
        <f>IFERROR(INDEX(Alimentos!AV$5:AV$310,MATCH($B26,Alimentos!$E$5:$E$310,0)),"")</f>
        <v/>
      </c>
      <c r="AY26" s="282" t="str">
        <f>IFERROR(INDEX(Alimentos!AW$5:AW$310,MATCH($B26,Alimentos!$E$5:$E$310,0)),"")</f>
        <v/>
      </c>
      <c r="AZ26" s="282" t="str">
        <f>IFERROR(INDEX(Alimentos!AX$5:AX$310,MATCH($B26,Alimentos!$E$5:$E$310,0)),"")</f>
        <v/>
      </c>
      <c r="BA26" s="282" t="str">
        <f>IFERROR(INDEX(Alimentos!AY$5:AY$310,MATCH($B26,Alimentos!$E$5:$E$310,0)),"")</f>
        <v/>
      </c>
      <c r="BB26" s="282" t="str">
        <f>IFERROR(INDEX(Alimentos!AZ$5:AZ$310,MATCH($B26,Alimentos!$E$5:$E$310,0)),"")</f>
        <v/>
      </c>
      <c r="BC26" s="274"/>
      <c r="BD26" s="284">
        <f t="shared" si="1"/>
        <v>0</v>
      </c>
      <c r="BE26" s="287">
        <f t="shared" si="2"/>
        <v>0</v>
      </c>
      <c r="BF26" s="285" t="str">
        <f t="shared" si="3"/>
        <v/>
      </c>
      <c r="BG26" s="286">
        <f t="shared" si="9"/>
        <v>0</v>
      </c>
      <c r="BH26" s="284">
        <f t="shared" si="10"/>
        <v>0</v>
      </c>
      <c r="BI26" s="287">
        <f t="shared" si="5"/>
        <v>0</v>
      </c>
      <c r="BJ26" s="285">
        <f t="shared" si="6"/>
        <v>0</v>
      </c>
      <c r="BK26" s="288">
        <f t="shared" si="11"/>
        <v>0</v>
      </c>
      <c r="BL26" s="1997" t="str">
        <f>IFERROR(INDEX(Alimentos!B$5:B$310,MATCH($B26,Alimentos!$E$5:$E$310,0)),"")</f>
        <v/>
      </c>
      <c r="BM26" s="280" t="str">
        <f>IF(C26=0,"",COUNTIF(BL$9:BL26,"Concentrado"))</f>
        <v/>
      </c>
      <c r="BN26" s="263" t="str">
        <f>IF(BM26="","",COUNTIFS(BM$9:BM26,"&gt;"&amp;0))</f>
        <v/>
      </c>
      <c r="BP26" s="281"/>
      <c r="BQ26" s="281"/>
    </row>
    <row r="27" spans="1:69" ht="15">
      <c r="A27" s="271" t="str">
        <f>IFERROR(MATCH($B27,Alimentos!$E$5:$E$310,0)+1,"")</f>
        <v/>
      </c>
      <c r="B27" s="1934"/>
      <c r="C27" s="578">
        <v>0</v>
      </c>
      <c r="D27" s="579">
        <v>0</v>
      </c>
      <c r="E27" s="579">
        <v>0</v>
      </c>
      <c r="F27" s="580"/>
      <c r="G27" s="417" t="str">
        <f>IFERROR(IF(F27&gt;0,F27,INDEX(Alimentos!F$5:F$310,MATCH($B27,Alimentos!$E$5:$E$310,0))),"")</f>
        <v/>
      </c>
      <c r="H27" s="387"/>
      <c r="I27" s="400" t="str">
        <f>IFERROR(INDEX(Alimentos!G$5:G$310,MATCH($B27,Alimentos!$E$5:$E$310,0)),"")</f>
        <v/>
      </c>
      <c r="J27" s="282" t="str">
        <f>IFERROR(INDEX(Alimentos!H$5:H$310,MATCH($B27,Alimentos!$E$5:$E$310,0)),"")</f>
        <v/>
      </c>
      <c r="K27" s="282" t="str">
        <f>IFERROR(INDEX(Alimentos!I$5:I$310,MATCH($B27,Alimentos!$E$5:$E$310,0)),"")</f>
        <v/>
      </c>
      <c r="L27" s="282" t="str">
        <f>IFERROR(INDEX(Alimentos!J$5:J$310,MATCH($B27,Alimentos!$E$5:$E$310,0)),"")</f>
        <v/>
      </c>
      <c r="M27" s="402" t="str">
        <f>IFERROR(INDEX(Alimentos!K$5:K$310,MATCH($B27,Alimentos!$E$5:$E$310,0)),"")</f>
        <v/>
      </c>
      <c r="N27" s="400" t="str">
        <f>IFERROR(INDEX(Alimentos!L$5:L$310,MATCH($B27,Alimentos!$E$5:$E$310,0)),"")</f>
        <v/>
      </c>
      <c r="O27" s="282" t="str">
        <f>IFERROR(INDEX(Alimentos!M$5:M$310,MATCH($B27,Alimentos!$E$5:$E$310,0)),"")</f>
        <v/>
      </c>
      <c r="P27" s="282" t="str">
        <f>IFERROR(INDEX(Alimentos!N$5:N$310,MATCH($B27,Alimentos!$E$5:$E$310,0)),"")</f>
        <v/>
      </c>
      <c r="Q27" s="282" t="str">
        <f>IFERROR(INDEX(Alimentos!O$5:O$310,MATCH($B27,Alimentos!$E$5:$E$310,0)),"")</f>
        <v/>
      </c>
      <c r="R27" s="402" t="str">
        <f>IFERROR(INDEX(Alimentos!P$5:P$310,MATCH($B27,Alimentos!$E$5:$E$310,0)),"")</f>
        <v/>
      </c>
      <c r="S27" s="283" t="str">
        <f>IFERROR(INDEX(Alimentos!Q$5:Q$310,MATCH($B27,Alimentos!$E$5:$E$310,0)),"")</f>
        <v/>
      </c>
      <c r="T27" s="282" t="str">
        <f>IFERROR(INDEX(Alimentos!R$5:R$310,MATCH($B27,Alimentos!$E$5:$E$310,0)),"")</f>
        <v/>
      </c>
      <c r="U27" s="282" t="str">
        <f>IFERROR(INDEX(Alimentos!S$5:S$310,MATCH($B27,Alimentos!$E$5:$E$310,0)),"")</f>
        <v/>
      </c>
      <c r="V27" s="282" t="str">
        <f>IFERROR(INDEX(Alimentos!T$5:T$310,MATCH($B27,Alimentos!$E$5:$E$310,0)),"")</f>
        <v/>
      </c>
      <c r="W27" s="434" t="str">
        <f>IFERROR(INDEX(Alimentos!U$5:U$310,MATCH($B27,Alimentos!$E$5:$E$310,0)),"")</f>
        <v/>
      </c>
      <c r="X27" s="400" t="str">
        <f>IFERROR(INDEX(Alimentos!V$5:V$310,MATCH($B27,Alimentos!$E$5:$E$310,0)),"")</f>
        <v/>
      </c>
      <c r="Y27" s="282" t="str">
        <f>IFERROR(INDEX(Alimentos!W$5:W$310,MATCH($B27,Alimentos!$E$5:$E$310,0)),"")</f>
        <v/>
      </c>
      <c r="Z27" s="282" t="str">
        <f>IFERROR(INDEX(Alimentos!X$5:X$310,MATCH($B27,Alimentos!$E$5:$E$310,0)),"")</f>
        <v/>
      </c>
      <c r="AA27" s="282" t="str">
        <f>IFERROR(INDEX(Alimentos!Y$5:Y$310,MATCH($B27,Alimentos!$E$5:$E$310,0)),"")</f>
        <v/>
      </c>
      <c r="AB27" s="282" t="str">
        <f>IFERROR(INDEX(Alimentos!Z$5:Z$310,MATCH($B27,Alimentos!$E$5:$E$310,0)),"")</f>
        <v/>
      </c>
      <c r="AC27" s="282" t="str">
        <f>IFERROR(INDEX(Alimentos!AA$5:AA$310,MATCH($B27,Alimentos!$E$5:$E$310,0)),"")</f>
        <v/>
      </c>
      <c r="AD27" s="282" t="str">
        <f>IFERROR(INDEX(Alimentos!AB$5:AB$310,MATCH($B27,Alimentos!$E$5:$E$310,0)),"")</f>
        <v/>
      </c>
      <c r="AE27" s="282" t="str">
        <f>IFERROR(INDEX(Alimentos!AC$5:AC$310,MATCH($B27,Alimentos!$E$5:$E$310,0)),"")</f>
        <v/>
      </c>
      <c r="AF27" s="282" t="str">
        <f>IFERROR(INDEX(Alimentos!AD$5:AD$310,MATCH($B27,Alimentos!$E$5:$E$310,0)),"")</f>
        <v/>
      </c>
      <c r="AG27" s="282" t="str">
        <f>IFERROR(INDEX(Alimentos!AE$5:AE$310,MATCH($B27,Alimentos!$E$5:$E$310,0)),"")</f>
        <v/>
      </c>
      <c r="AH27" s="282" t="str">
        <f>IFERROR(INDEX(Alimentos!AF$5:AF$310,MATCH($B27,Alimentos!$E$5:$E$310,0)),"")</f>
        <v/>
      </c>
      <c r="AI27" s="282" t="str">
        <f>IFERROR(INDEX(Alimentos!AG$5:AG$310,MATCH($B27,Alimentos!$E$5:$E$310,0)),"")</f>
        <v/>
      </c>
      <c r="AJ27" s="402" t="str">
        <f>IFERROR(INDEX(Alimentos!AH$5:AH$310,MATCH($B27,Alimentos!$E$5:$E$310,0)),"")</f>
        <v/>
      </c>
      <c r="AK27" s="283" t="str">
        <f>IFERROR(INDEX(Alimentos!AI$5:AI$310,MATCH($B27,Alimentos!$E$5:$E$310,0)),"")</f>
        <v/>
      </c>
      <c r="AL27" s="282" t="str">
        <f>IFERROR(INDEX(Alimentos!AJ$5:AJ$310,MATCH($B27,Alimentos!$E$5:$E$310,0)),"")</f>
        <v/>
      </c>
      <c r="AM27" s="282" t="str">
        <f>IFERROR(INDEX(Alimentos!AK$5:AK$310,MATCH($B27,Alimentos!$E$5:$E$310,0)),"")</f>
        <v/>
      </c>
      <c r="AN27" s="282" t="str">
        <f>IFERROR(INDEX(Alimentos!AL$5:AL$310,MATCH($B27,Alimentos!$E$5:$E$310,0)),"")</f>
        <v/>
      </c>
      <c r="AO27" s="282" t="str">
        <f>IFERROR(INDEX(Alimentos!AM$5:AM$310,MATCH($B27,Alimentos!$E$5:$E$310,0)),"")</f>
        <v/>
      </c>
      <c r="AP27" s="282" t="str">
        <f>IFERROR(INDEX(Alimentos!AN$5:AN$310,MATCH($B27,Alimentos!$E$5:$E$310,0)),"")</f>
        <v/>
      </c>
      <c r="AQ27" s="282" t="str">
        <f>IFERROR(INDEX(Alimentos!AO$5:AO$310,MATCH($B27,Alimentos!$E$5:$E$310,0)),"")</f>
        <v/>
      </c>
      <c r="AR27" s="282" t="str">
        <f>IFERROR(INDEX(Alimentos!AP$5:AP$310,MATCH($B27,Alimentos!$E$5:$E$310,0)),"")</f>
        <v/>
      </c>
      <c r="AS27" s="282" t="str">
        <f>IFERROR(INDEX(Alimentos!AQ$5:AQ$310,MATCH($B27,Alimentos!$E$5:$E$310,0)),"")</f>
        <v/>
      </c>
      <c r="AT27" s="282" t="str">
        <f>IFERROR(INDEX(Alimentos!AR$5:AR$310,MATCH($B27,Alimentos!$E$5:$E$310,0)),"")</f>
        <v/>
      </c>
      <c r="AU27" s="282" t="str">
        <f>IFERROR(INDEX(Alimentos!AS$5:AS$310,MATCH($B27,Alimentos!$E$5:$E$310,0)),"")</f>
        <v/>
      </c>
      <c r="AV27" s="282" t="str">
        <f>IFERROR(INDEX(Alimentos!AT$5:AT$310,MATCH($B27,Alimentos!$E$5:$E$310,0)),"")</f>
        <v/>
      </c>
      <c r="AW27" s="282" t="str">
        <f>IFERROR(INDEX(Alimentos!AU$5:AU$310,MATCH($B27,Alimentos!$E$5:$E$310,0)),"")</f>
        <v/>
      </c>
      <c r="AX27" s="282" t="str">
        <f>IFERROR(INDEX(Alimentos!AV$5:AV$310,MATCH($B27,Alimentos!$E$5:$E$310,0)),"")</f>
        <v/>
      </c>
      <c r="AY27" s="282" t="str">
        <f>IFERROR(INDEX(Alimentos!AW$5:AW$310,MATCH($B27,Alimentos!$E$5:$E$310,0)),"")</f>
        <v/>
      </c>
      <c r="AZ27" s="282" t="str">
        <f>IFERROR(INDEX(Alimentos!AX$5:AX$310,MATCH($B27,Alimentos!$E$5:$E$310,0)),"")</f>
        <v/>
      </c>
      <c r="BA27" s="282" t="str">
        <f>IFERROR(INDEX(Alimentos!AY$5:AY$310,MATCH($B27,Alimentos!$E$5:$E$310,0)),"")</f>
        <v/>
      </c>
      <c r="BB27" s="282" t="str">
        <f>IFERROR(INDEX(Alimentos!AZ$5:AZ$310,MATCH($B27,Alimentos!$E$5:$E$310,0)),"")</f>
        <v/>
      </c>
      <c r="BC27" s="274"/>
      <c r="BD27" s="284">
        <f t="shared" si="1"/>
        <v>0</v>
      </c>
      <c r="BE27" s="287">
        <f t="shared" si="2"/>
        <v>0</v>
      </c>
      <c r="BF27" s="285" t="str">
        <f t="shared" si="3"/>
        <v/>
      </c>
      <c r="BG27" s="286">
        <f t="shared" si="9"/>
        <v>0</v>
      </c>
      <c r="BH27" s="284">
        <f t="shared" si="10"/>
        <v>0</v>
      </c>
      <c r="BI27" s="287">
        <f t="shared" si="5"/>
        <v>0</v>
      </c>
      <c r="BJ27" s="285">
        <f t="shared" si="6"/>
        <v>0</v>
      </c>
      <c r="BK27" s="288">
        <f t="shared" si="11"/>
        <v>0</v>
      </c>
      <c r="BL27" s="1997" t="str">
        <f>IFERROR(INDEX(Alimentos!B$5:B$310,MATCH($B27,Alimentos!$E$5:$E$310,0)),"")</f>
        <v/>
      </c>
      <c r="BM27" s="280" t="str">
        <f>IF(C27=0,"",COUNTIF(BL$9:BL27,"Concentrado"))</f>
        <v/>
      </c>
      <c r="BN27" s="263" t="str">
        <f>IF(BM27="","",COUNTIFS(BM$9:BM27,"&gt;"&amp;0))</f>
        <v/>
      </c>
      <c r="BP27" s="281"/>
      <c r="BQ27" s="281"/>
    </row>
    <row r="28" spans="1:69" ht="15">
      <c r="A28" s="271" t="str">
        <f>IFERROR(MATCH($B28,Alimentos!$E$5:$E$310,0)+1,"")</f>
        <v/>
      </c>
      <c r="B28" s="1934"/>
      <c r="C28" s="578">
        <v>0</v>
      </c>
      <c r="D28" s="579">
        <v>0</v>
      </c>
      <c r="E28" s="579">
        <v>0</v>
      </c>
      <c r="F28" s="580"/>
      <c r="G28" s="417" t="str">
        <f>IFERROR(IF(F28&gt;0,F28,INDEX(Alimentos!F$5:F$310,MATCH($B28,Alimentos!$E$5:$E$310,0))),"")</f>
        <v/>
      </c>
      <c r="H28" s="387"/>
      <c r="I28" s="400" t="str">
        <f>IFERROR(INDEX(Alimentos!G$5:G$310,MATCH($B28,Alimentos!$E$5:$E$310,0)),"")</f>
        <v/>
      </c>
      <c r="J28" s="282" t="str">
        <f>IFERROR(INDEX(Alimentos!H$5:H$310,MATCH($B28,Alimentos!$E$5:$E$310,0)),"")</f>
        <v/>
      </c>
      <c r="K28" s="282" t="str">
        <f>IFERROR(INDEX(Alimentos!I$5:I$310,MATCH($B28,Alimentos!$E$5:$E$310,0)),"")</f>
        <v/>
      </c>
      <c r="L28" s="282" t="str">
        <f>IFERROR(INDEX(Alimentos!J$5:J$310,MATCH($B28,Alimentos!$E$5:$E$310,0)),"")</f>
        <v/>
      </c>
      <c r="M28" s="402" t="str">
        <f>IFERROR(INDEX(Alimentos!K$5:K$310,MATCH($B28,Alimentos!$E$5:$E$310,0)),"")</f>
        <v/>
      </c>
      <c r="N28" s="400" t="str">
        <f>IFERROR(INDEX(Alimentos!L$5:L$310,MATCH($B28,Alimentos!$E$5:$E$310,0)),"")</f>
        <v/>
      </c>
      <c r="O28" s="282" t="str">
        <f>IFERROR(INDEX(Alimentos!M$5:M$310,MATCH($B28,Alimentos!$E$5:$E$310,0)),"")</f>
        <v/>
      </c>
      <c r="P28" s="282" t="str">
        <f>IFERROR(INDEX(Alimentos!N$5:N$310,MATCH($B28,Alimentos!$E$5:$E$310,0)),"")</f>
        <v/>
      </c>
      <c r="Q28" s="282" t="str">
        <f>IFERROR(INDEX(Alimentos!O$5:O$310,MATCH($B28,Alimentos!$E$5:$E$310,0)),"")</f>
        <v/>
      </c>
      <c r="R28" s="402" t="str">
        <f>IFERROR(INDEX(Alimentos!P$5:P$310,MATCH($B28,Alimentos!$E$5:$E$310,0)),"")</f>
        <v/>
      </c>
      <c r="S28" s="283" t="str">
        <f>IFERROR(INDEX(Alimentos!Q$5:Q$310,MATCH($B28,Alimentos!$E$5:$E$310,0)),"")</f>
        <v/>
      </c>
      <c r="T28" s="282" t="str">
        <f>IFERROR(INDEX(Alimentos!R$5:R$310,MATCH($B28,Alimentos!$E$5:$E$310,0)),"")</f>
        <v/>
      </c>
      <c r="U28" s="282" t="str">
        <f>IFERROR(INDEX(Alimentos!S$5:S$310,MATCH($B28,Alimentos!$E$5:$E$310,0)),"")</f>
        <v/>
      </c>
      <c r="V28" s="282" t="str">
        <f>IFERROR(INDEX(Alimentos!T$5:T$310,MATCH($B28,Alimentos!$E$5:$E$310,0)),"")</f>
        <v/>
      </c>
      <c r="W28" s="434" t="str">
        <f>IFERROR(INDEX(Alimentos!U$5:U$310,MATCH($B28,Alimentos!$E$5:$E$310,0)),"")</f>
        <v/>
      </c>
      <c r="X28" s="400" t="str">
        <f>IFERROR(INDEX(Alimentos!V$5:V$310,MATCH($B28,Alimentos!$E$5:$E$310,0)),"")</f>
        <v/>
      </c>
      <c r="Y28" s="282" t="str">
        <f>IFERROR(INDEX(Alimentos!W$5:W$310,MATCH($B28,Alimentos!$E$5:$E$310,0)),"")</f>
        <v/>
      </c>
      <c r="Z28" s="282" t="str">
        <f>IFERROR(INDEX(Alimentos!X$5:X$310,MATCH($B28,Alimentos!$E$5:$E$310,0)),"")</f>
        <v/>
      </c>
      <c r="AA28" s="282" t="str">
        <f>IFERROR(INDEX(Alimentos!Y$5:Y$310,MATCH($B28,Alimentos!$E$5:$E$310,0)),"")</f>
        <v/>
      </c>
      <c r="AB28" s="282" t="str">
        <f>IFERROR(INDEX(Alimentos!Z$5:Z$310,MATCH($B28,Alimentos!$E$5:$E$310,0)),"")</f>
        <v/>
      </c>
      <c r="AC28" s="282" t="str">
        <f>IFERROR(INDEX(Alimentos!AA$5:AA$310,MATCH($B28,Alimentos!$E$5:$E$310,0)),"")</f>
        <v/>
      </c>
      <c r="AD28" s="282" t="str">
        <f>IFERROR(INDEX(Alimentos!AB$5:AB$310,MATCH($B28,Alimentos!$E$5:$E$310,0)),"")</f>
        <v/>
      </c>
      <c r="AE28" s="282" t="str">
        <f>IFERROR(INDEX(Alimentos!AC$5:AC$310,MATCH($B28,Alimentos!$E$5:$E$310,0)),"")</f>
        <v/>
      </c>
      <c r="AF28" s="282" t="str">
        <f>IFERROR(INDEX(Alimentos!AD$5:AD$310,MATCH($B28,Alimentos!$E$5:$E$310,0)),"")</f>
        <v/>
      </c>
      <c r="AG28" s="282" t="str">
        <f>IFERROR(INDEX(Alimentos!AE$5:AE$310,MATCH($B28,Alimentos!$E$5:$E$310,0)),"")</f>
        <v/>
      </c>
      <c r="AH28" s="282" t="str">
        <f>IFERROR(INDEX(Alimentos!AF$5:AF$310,MATCH($B28,Alimentos!$E$5:$E$310,0)),"")</f>
        <v/>
      </c>
      <c r="AI28" s="282" t="str">
        <f>IFERROR(INDEX(Alimentos!AG$5:AG$310,MATCH($B28,Alimentos!$E$5:$E$310,0)),"")</f>
        <v/>
      </c>
      <c r="AJ28" s="402" t="str">
        <f>IFERROR(INDEX(Alimentos!AH$5:AH$310,MATCH($B28,Alimentos!$E$5:$E$310,0)),"")</f>
        <v/>
      </c>
      <c r="AK28" s="283" t="str">
        <f>IFERROR(INDEX(Alimentos!AI$5:AI$310,MATCH($B28,Alimentos!$E$5:$E$310,0)),"")</f>
        <v/>
      </c>
      <c r="AL28" s="282" t="str">
        <f>IFERROR(INDEX(Alimentos!AJ$5:AJ$310,MATCH($B28,Alimentos!$E$5:$E$310,0)),"")</f>
        <v/>
      </c>
      <c r="AM28" s="282" t="str">
        <f>IFERROR(INDEX(Alimentos!AK$5:AK$310,MATCH($B28,Alimentos!$E$5:$E$310,0)),"")</f>
        <v/>
      </c>
      <c r="AN28" s="282" t="str">
        <f>IFERROR(INDEX(Alimentos!AL$5:AL$310,MATCH($B28,Alimentos!$E$5:$E$310,0)),"")</f>
        <v/>
      </c>
      <c r="AO28" s="282" t="str">
        <f>IFERROR(INDEX(Alimentos!AM$5:AM$310,MATCH($B28,Alimentos!$E$5:$E$310,0)),"")</f>
        <v/>
      </c>
      <c r="AP28" s="282" t="str">
        <f>IFERROR(INDEX(Alimentos!AN$5:AN$310,MATCH($B28,Alimentos!$E$5:$E$310,0)),"")</f>
        <v/>
      </c>
      <c r="AQ28" s="282" t="str">
        <f>IFERROR(INDEX(Alimentos!AO$5:AO$310,MATCH($B28,Alimentos!$E$5:$E$310,0)),"")</f>
        <v/>
      </c>
      <c r="AR28" s="282" t="str">
        <f>IFERROR(INDEX(Alimentos!AP$5:AP$310,MATCH($B28,Alimentos!$E$5:$E$310,0)),"")</f>
        <v/>
      </c>
      <c r="AS28" s="282" t="str">
        <f>IFERROR(INDEX(Alimentos!AQ$5:AQ$310,MATCH($B28,Alimentos!$E$5:$E$310,0)),"")</f>
        <v/>
      </c>
      <c r="AT28" s="282" t="str">
        <f>IFERROR(INDEX(Alimentos!AR$5:AR$310,MATCH($B28,Alimentos!$E$5:$E$310,0)),"")</f>
        <v/>
      </c>
      <c r="AU28" s="282" t="str">
        <f>IFERROR(INDEX(Alimentos!AS$5:AS$310,MATCH($B28,Alimentos!$E$5:$E$310,0)),"")</f>
        <v/>
      </c>
      <c r="AV28" s="282" t="str">
        <f>IFERROR(INDEX(Alimentos!AT$5:AT$310,MATCH($B28,Alimentos!$E$5:$E$310,0)),"")</f>
        <v/>
      </c>
      <c r="AW28" s="282" t="str">
        <f>IFERROR(INDEX(Alimentos!AU$5:AU$310,MATCH($B28,Alimentos!$E$5:$E$310,0)),"")</f>
        <v/>
      </c>
      <c r="AX28" s="282" t="str">
        <f>IFERROR(INDEX(Alimentos!AV$5:AV$310,MATCH($B28,Alimentos!$E$5:$E$310,0)),"")</f>
        <v/>
      </c>
      <c r="AY28" s="282" t="str">
        <f>IFERROR(INDEX(Alimentos!AW$5:AW$310,MATCH($B28,Alimentos!$E$5:$E$310,0)),"")</f>
        <v/>
      </c>
      <c r="AZ28" s="282" t="str">
        <f>IFERROR(INDEX(Alimentos!AX$5:AX$310,MATCH($B28,Alimentos!$E$5:$E$310,0)),"")</f>
        <v/>
      </c>
      <c r="BA28" s="282" t="str">
        <f>IFERROR(INDEX(Alimentos!AY$5:AY$310,MATCH($B28,Alimentos!$E$5:$E$310,0)),"")</f>
        <v/>
      </c>
      <c r="BB28" s="282" t="str">
        <f>IFERROR(INDEX(Alimentos!AZ$5:AZ$310,MATCH($B28,Alimentos!$E$5:$E$310,0)),"")</f>
        <v/>
      </c>
      <c r="BC28" s="274"/>
      <c r="BD28" s="284">
        <f t="shared" si="1"/>
        <v>0</v>
      </c>
      <c r="BE28" s="287">
        <f t="shared" si="2"/>
        <v>0</v>
      </c>
      <c r="BF28" s="285" t="str">
        <f t="shared" si="3"/>
        <v/>
      </c>
      <c r="BG28" s="286">
        <f t="shared" si="9"/>
        <v>0</v>
      </c>
      <c r="BH28" s="284">
        <f t="shared" si="10"/>
        <v>0</v>
      </c>
      <c r="BI28" s="287">
        <f t="shared" si="5"/>
        <v>0</v>
      </c>
      <c r="BJ28" s="285">
        <f t="shared" si="6"/>
        <v>0</v>
      </c>
      <c r="BK28" s="288">
        <f t="shared" si="11"/>
        <v>0</v>
      </c>
      <c r="BL28" s="1997" t="str">
        <f>IFERROR(INDEX(Alimentos!B$5:B$310,MATCH($B28,Alimentos!$E$5:$E$310,0)),"")</f>
        <v/>
      </c>
      <c r="BM28" s="280" t="str">
        <f>IF(C28=0,"",COUNTIF(BL$9:BL28,"Concentrado"))</f>
        <v/>
      </c>
      <c r="BN28" s="263" t="str">
        <f>IF(BM28="","",COUNTIFS(BM$9:BM28,"&gt;"&amp;0))</f>
        <v/>
      </c>
      <c r="BP28" s="281"/>
      <c r="BQ28" s="281"/>
    </row>
    <row r="29" spans="1:69" ht="15">
      <c r="A29" s="271" t="str">
        <f>IFERROR(MATCH($B29,Alimentos!$E$5:$E$310,0)+1,"")</f>
        <v/>
      </c>
      <c r="B29" s="1934"/>
      <c r="C29" s="578">
        <v>0</v>
      </c>
      <c r="D29" s="579">
        <v>0</v>
      </c>
      <c r="E29" s="579">
        <v>0</v>
      </c>
      <c r="F29" s="580"/>
      <c r="G29" s="417" t="str">
        <f>IFERROR(IF(F29&gt;0,F29,INDEX(Alimentos!F$5:F$310,MATCH($B29,Alimentos!$E$5:$E$310,0))),"")</f>
        <v/>
      </c>
      <c r="H29" s="387"/>
      <c r="I29" s="400" t="str">
        <f>IFERROR(INDEX(Alimentos!G$5:G$310,MATCH($B29,Alimentos!$E$5:$E$310,0)),"")</f>
        <v/>
      </c>
      <c r="J29" s="282" t="str">
        <f>IFERROR(INDEX(Alimentos!H$5:H$310,MATCH($B29,Alimentos!$E$5:$E$310,0)),"")</f>
        <v/>
      </c>
      <c r="K29" s="282" t="str">
        <f>IFERROR(INDEX(Alimentos!I$5:I$310,MATCH($B29,Alimentos!$E$5:$E$310,0)),"")</f>
        <v/>
      </c>
      <c r="L29" s="282" t="str">
        <f>IFERROR(INDEX(Alimentos!J$5:J$310,MATCH($B29,Alimentos!$E$5:$E$310,0)),"")</f>
        <v/>
      </c>
      <c r="M29" s="402" t="str">
        <f>IFERROR(INDEX(Alimentos!K$5:K$310,MATCH($B29,Alimentos!$E$5:$E$310,0)),"")</f>
        <v/>
      </c>
      <c r="N29" s="400" t="str">
        <f>IFERROR(INDEX(Alimentos!L$5:L$310,MATCH($B29,Alimentos!$E$5:$E$310,0)),"")</f>
        <v/>
      </c>
      <c r="O29" s="282" t="str">
        <f>IFERROR(INDEX(Alimentos!M$5:M$310,MATCH($B29,Alimentos!$E$5:$E$310,0)),"")</f>
        <v/>
      </c>
      <c r="P29" s="282" t="str">
        <f>IFERROR(INDEX(Alimentos!N$5:N$310,MATCH($B29,Alimentos!$E$5:$E$310,0)),"")</f>
        <v/>
      </c>
      <c r="Q29" s="282" t="str">
        <f>IFERROR(INDEX(Alimentos!O$5:O$310,MATCH($B29,Alimentos!$E$5:$E$310,0)),"")</f>
        <v/>
      </c>
      <c r="R29" s="402" t="str">
        <f>IFERROR(INDEX(Alimentos!P$5:P$310,MATCH($B29,Alimentos!$E$5:$E$310,0)),"")</f>
        <v/>
      </c>
      <c r="S29" s="283" t="str">
        <f>IFERROR(INDEX(Alimentos!Q$5:Q$310,MATCH($B29,Alimentos!$E$5:$E$310,0)),"")</f>
        <v/>
      </c>
      <c r="T29" s="282" t="str">
        <f>IFERROR(INDEX(Alimentos!R$5:R$310,MATCH($B29,Alimentos!$E$5:$E$310,0)),"")</f>
        <v/>
      </c>
      <c r="U29" s="282" t="str">
        <f>IFERROR(INDEX(Alimentos!S$5:S$310,MATCH($B29,Alimentos!$E$5:$E$310,0)),"")</f>
        <v/>
      </c>
      <c r="V29" s="282" t="str">
        <f>IFERROR(INDEX(Alimentos!T$5:T$310,MATCH($B29,Alimentos!$E$5:$E$310,0)),"")</f>
        <v/>
      </c>
      <c r="W29" s="434" t="str">
        <f>IFERROR(INDEX(Alimentos!U$5:U$310,MATCH($B29,Alimentos!$E$5:$E$310,0)),"")</f>
        <v/>
      </c>
      <c r="X29" s="400" t="str">
        <f>IFERROR(INDEX(Alimentos!V$5:V$310,MATCH($B29,Alimentos!$E$5:$E$310,0)),"")</f>
        <v/>
      </c>
      <c r="Y29" s="282" t="str">
        <f>IFERROR(INDEX(Alimentos!W$5:W$310,MATCH($B29,Alimentos!$E$5:$E$310,0)),"")</f>
        <v/>
      </c>
      <c r="Z29" s="282" t="str">
        <f>IFERROR(INDEX(Alimentos!X$5:X$310,MATCH($B29,Alimentos!$E$5:$E$310,0)),"")</f>
        <v/>
      </c>
      <c r="AA29" s="282" t="str">
        <f>IFERROR(INDEX(Alimentos!Y$5:Y$310,MATCH($B29,Alimentos!$E$5:$E$310,0)),"")</f>
        <v/>
      </c>
      <c r="AB29" s="282" t="str">
        <f>IFERROR(INDEX(Alimentos!Z$5:Z$310,MATCH($B29,Alimentos!$E$5:$E$310,0)),"")</f>
        <v/>
      </c>
      <c r="AC29" s="282" t="str">
        <f>IFERROR(INDEX(Alimentos!AA$5:AA$310,MATCH($B29,Alimentos!$E$5:$E$310,0)),"")</f>
        <v/>
      </c>
      <c r="AD29" s="282" t="str">
        <f>IFERROR(INDEX(Alimentos!AB$5:AB$310,MATCH($B29,Alimentos!$E$5:$E$310,0)),"")</f>
        <v/>
      </c>
      <c r="AE29" s="282" t="str">
        <f>IFERROR(INDEX(Alimentos!AC$5:AC$310,MATCH($B29,Alimentos!$E$5:$E$310,0)),"")</f>
        <v/>
      </c>
      <c r="AF29" s="282" t="str">
        <f>IFERROR(INDEX(Alimentos!AD$5:AD$310,MATCH($B29,Alimentos!$E$5:$E$310,0)),"")</f>
        <v/>
      </c>
      <c r="AG29" s="282" t="str">
        <f>IFERROR(INDEX(Alimentos!AE$5:AE$310,MATCH($B29,Alimentos!$E$5:$E$310,0)),"")</f>
        <v/>
      </c>
      <c r="AH29" s="282" t="str">
        <f>IFERROR(INDEX(Alimentos!AF$5:AF$310,MATCH($B29,Alimentos!$E$5:$E$310,0)),"")</f>
        <v/>
      </c>
      <c r="AI29" s="282" t="str">
        <f>IFERROR(INDEX(Alimentos!AG$5:AG$310,MATCH($B29,Alimentos!$E$5:$E$310,0)),"")</f>
        <v/>
      </c>
      <c r="AJ29" s="402" t="str">
        <f>IFERROR(INDEX(Alimentos!AH$5:AH$310,MATCH($B29,Alimentos!$E$5:$E$310,0)),"")</f>
        <v/>
      </c>
      <c r="AK29" s="283" t="str">
        <f>IFERROR(INDEX(Alimentos!AI$5:AI$310,MATCH($B29,Alimentos!$E$5:$E$310,0)),"")</f>
        <v/>
      </c>
      <c r="AL29" s="282" t="str">
        <f>IFERROR(INDEX(Alimentos!AJ$5:AJ$310,MATCH($B29,Alimentos!$E$5:$E$310,0)),"")</f>
        <v/>
      </c>
      <c r="AM29" s="282" t="str">
        <f>IFERROR(INDEX(Alimentos!AK$5:AK$310,MATCH($B29,Alimentos!$E$5:$E$310,0)),"")</f>
        <v/>
      </c>
      <c r="AN29" s="282" t="str">
        <f>IFERROR(INDEX(Alimentos!AL$5:AL$310,MATCH($B29,Alimentos!$E$5:$E$310,0)),"")</f>
        <v/>
      </c>
      <c r="AO29" s="282" t="str">
        <f>IFERROR(INDEX(Alimentos!AM$5:AM$310,MATCH($B29,Alimentos!$E$5:$E$310,0)),"")</f>
        <v/>
      </c>
      <c r="AP29" s="282" t="str">
        <f>IFERROR(INDEX(Alimentos!AN$5:AN$310,MATCH($B29,Alimentos!$E$5:$E$310,0)),"")</f>
        <v/>
      </c>
      <c r="AQ29" s="282" t="str">
        <f>IFERROR(INDEX(Alimentos!AO$5:AO$310,MATCH($B29,Alimentos!$E$5:$E$310,0)),"")</f>
        <v/>
      </c>
      <c r="AR29" s="282" t="str">
        <f>IFERROR(INDEX(Alimentos!AP$5:AP$310,MATCH($B29,Alimentos!$E$5:$E$310,0)),"")</f>
        <v/>
      </c>
      <c r="AS29" s="282" t="str">
        <f>IFERROR(INDEX(Alimentos!AQ$5:AQ$310,MATCH($B29,Alimentos!$E$5:$E$310,0)),"")</f>
        <v/>
      </c>
      <c r="AT29" s="282" t="str">
        <f>IFERROR(INDEX(Alimentos!AR$5:AR$310,MATCH($B29,Alimentos!$E$5:$E$310,0)),"")</f>
        <v/>
      </c>
      <c r="AU29" s="282" t="str">
        <f>IFERROR(INDEX(Alimentos!AS$5:AS$310,MATCH($B29,Alimentos!$E$5:$E$310,0)),"")</f>
        <v/>
      </c>
      <c r="AV29" s="282" t="str">
        <f>IFERROR(INDEX(Alimentos!AT$5:AT$310,MATCH($B29,Alimentos!$E$5:$E$310,0)),"")</f>
        <v/>
      </c>
      <c r="AW29" s="282" t="str">
        <f>IFERROR(INDEX(Alimentos!AU$5:AU$310,MATCH($B29,Alimentos!$E$5:$E$310,0)),"")</f>
        <v/>
      </c>
      <c r="AX29" s="282" t="str">
        <f>IFERROR(INDEX(Alimentos!AV$5:AV$310,MATCH($B29,Alimentos!$E$5:$E$310,0)),"")</f>
        <v/>
      </c>
      <c r="AY29" s="282" t="str">
        <f>IFERROR(INDEX(Alimentos!AW$5:AW$310,MATCH($B29,Alimentos!$E$5:$E$310,0)),"")</f>
        <v/>
      </c>
      <c r="AZ29" s="282" t="str">
        <f>IFERROR(INDEX(Alimentos!AX$5:AX$310,MATCH($B29,Alimentos!$E$5:$E$310,0)),"")</f>
        <v/>
      </c>
      <c r="BA29" s="282" t="str">
        <f>IFERROR(INDEX(Alimentos!AY$5:AY$310,MATCH($B29,Alimentos!$E$5:$E$310,0)),"")</f>
        <v/>
      </c>
      <c r="BB29" s="282" t="str">
        <f>IFERROR(INDEX(Alimentos!AZ$5:AZ$310,MATCH($B29,Alimentos!$E$5:$E$310,0)),"")</f>
        <v/>
      </c>
      <c r="BC29" s="274"/>
      <c r="BD29" s="284">
        <f t="shared" si="1"/>
        <v>0</v>
      </c>
      <c r="BE29" s="287">
        <f t="shared" si="2"/>
        <v>0</v>
      </c>
      <c r="BF29" s="285" t="str">
        <f t="shared" si="3"/>
        <v/>
      </c>
      <c r="BG29" s="286">
        <f t="shared" si="9"/>
        <v>0</v>
      </c>
      <c r="BH29" s="284">
        <f t="shared" si="10"/>
        <v>0</v>
      </c>
      <c r="BI29" s="287">
        <f t="shared" si="5"/>
        <v>0</v>
      </c>
      <c r="BJ29" s="285">
        <f t="shared" si="6"/>
        <v>0</v>
      </c>
      <c r="BK29" s="288">
        <f t="shared" si="11"/>
        <v>0</v>
      </c>
      <c r="BL29" s="1997" t="str">
        <f>IFERROR(INDEX(Alimentos!B$5:B$310,MATCH($B29,Alimentos!$E$5:$E$310,0)),"")</f>
        <v/>
      </c>
      <c r="BM29" s="280" t="str">
        <f>IF(C29=0,"",COUNTIF(BL$9:BL29,"Concentrado"))</f>
        <v/>
      </c>
      <c r="BN29" s="263" t="str">
        <f>IF(BM29="","",COUNTIFS(BM$9:BM29,"&gt;"&amp;0))</f>
        <v/>
      </c>
      <c r="BP29" s="281"/>
      <c r="BQ29" s="281"/>
    </row>
    <row r="30" spans="1:69" ht="15">
      <c r="A30" s="271" t="str">
        <f>IFERROR(MATCH($B30,Alimentos!$E$5:$E$310,0)+1,"")</f>
        <v/>
      </c>
      <c r="B30" s="1934"/>
      <c r="C30" s="578">
        <v>0</v>
      </c>
      <c r="D30" s="579">
        <v>0</v>
      </c>
      <c r="E30" s="579">
        <v>0</v>
      </c>
      <c r="F30" s="580"/>
      <c r="G30" s="417" t="str">
        <f>IFERROR(IF(F30&gt;0,F30,INDEX(Alimentos!F$5:F$310,MATCH($B30,Alimentos!$E$5:$E$310,0))),"")</f>
        <v/>
      </c>
      <c r="H30" s="387"/>
      <c r="I30" s="400" t="str">
        <f>IFERROR(INDEX(Alimentos!G$5:G$310,MATCH($B30,Alimentos!$E$5:$E$310,0)),"")</f>
        <v/>
      </c>
      <c r="J30" s="282" t="str">
        <f>IFERROR(INDEX(Alimentos!H$5:H$310,MATCH($B30,Alimentos!$E$5:$E$310,0)),"")</f>
        <v/>
      </c>
      <c r="K30" s="282" t="str">
        <f>IFERROR(INDEX(Alimentos!I$5:I$310,MATCH($B30,Alimentos!$E$5:$E$310,0)),"")</f>
        <v/>
      </c>
      <c r="L30" s="282" t="str">
        <f>IFERROR(INDEX(Alimentos!J$5:J$310,MATCH($B30,Alimentos!$E$5:$E$310,0)),"")</f>
        <v/>
      </c>
      <c r="M30" s="402" t="str">
        <f>IFERROR(INDEX(Alimentos!K$5:K$310,MATCH($B30,Alimentos!$E$5:$E$310,0)),"")</f>
        <v/>
      </c>
      <c r="N30" s="400" t="str">
        <f>IFERROR(INDEX(Alimentos!L$5:L$310,MATCH($B30,Alimentos!$E$5:$E$310,0)),"")</f>
        <v/>
      </c>
      <c r="O30" s="282" t="str">
        <f>IFERROR(INDEX(Alimentos!M$5:M$310,MATCH($B30,Alimentos!$E$5:$E$310,0)),"")</f>
        <v/>
      </c>
      <c r="P30" s="282" t="str">
        <f>IFERROR(INDEX(Alimentos!N$5:N$310,MATCH($B30,Alimentos!$E$5:$E$310,0)),"")</f>
        <v/>
      </c>
      <c r="Q30" s="282" t="str">
        <f>IFERROR(INDEX(Alimentos!O$5:O$310,MATCH($B30,Alimentos!$E$5:$E$310,0)),"")</f>
        <v/>
      </c>
      <c r="R30" s="402" t="str">
        <f>IFERROR(INDEX(Alimentos!P$5:P$310,MATCH($B30,Alimentos!$E$5:$E$310,0)),"")</f>
        <v/>
      </c>
      <c r="S30" s="283" t="str">
        <f>IFERROR(INDEX(Alimentos!Q$5:Q$310,MATCH($B30,Alimentos!$E$5:$E$310,0)),"")</f>
        <v/>
      </c>
      <c r="T30" s="282" t="str">
        <f>IFERROR(INDEX(Alimentos!R$5:R$310,MATCH($B30,Alimentos!$E$5:$E$310,0)),"")</f>
        <v/>
      </c>
      <c r="U30" s="282" t="str">
        <f>IFERROR(INDEX(Alimentos!S$5:S$310,MATCH($B30,Alimentos!$E$5:$E$310,0)),"")</f>
        <v/>
      </c>
      <c r="V30" s="282" t="str">
        <f>IFERROR(INDEX(Alimentos!T$5:T$310,MATCH($B30,Alimentos!$E$5:$E$310,0)),"")</f>
        <v/>
      </c>
      <c r="W30" s="434" t="str">
        <f>IFERROR(INDEX(Alimentos!U$5:U$310,MATCH($B30,Alimentos!$E$5:$E$310,0)),"")</f>
        <v/>
      </c>
      <c r="X30" s="400" t="str">
        <f>IFERROR(INDEX(Alimentos!V$5:V$310,MATCH($B30,Alimentos!$E$5:$E$310,0)),"")</f>
        <v/>
      </c>
      <c r="Y30" s="282" t="str">
        <f>IFERROR(INDEX(Alimentos!W$5:W$310,MATCH($B30,Alimentos!$E$5:$E$310,0)),"")</f>
        <v/>
      </c>
      <c r="Z30" s="282" t="str">
        <f>IFERROR(INDEX(Alimentos!X$5:X$310,MATCH($B30,Alimentos!$E$5:$E$310,0)),"")</f>
        <v/>
      </c>
      <c r="AA30" s="282" t="str">
        <f>IFERROR(INDEX(Alimentos!Y$5:Y$310,MATCH($B30,Alimentos!$E$5:$E$310,0)),"")</f>
        <v/>
      </c>
      <c r="AB30" s="282" t="str">
        <f>IFERROR(INDEX(Alimentos!Z$5:Z$310,MATCH($B30,Alimentos!$E$5:$E$310,0)),"")</f>
        <v/>
      </c>
      <c r="AC30" s="282" t="str">
        <f>IFERROR(INDEX(Alimentos!AA$5:AA$310,MATCH($B30,Alimentos!$E$5:$E$310,0)),"")</f>
        <v/>
      </c>
      <c r="AD30" s="282" t="str">
        <f>IFERROR(INDEX(Alimentos!AB$5:AB$310,MATCH($B30,Alimentos!$E$5:$E$310,0)),"")</f>
        <v/>
      </c>
      <c r="AE30" s="282" t="str">
        <f>IFERROR(INDEX(Alimentos!AC$5:AC$310,MATCH($B30,Alimentos!$E$5:$E$310,0)),"")</f>
        <v/>
      </c>
      <c r="AF30" s="282" t="str">
        <f>IFERROR(INDEX(Alimentos!AD$5:AD$310,MATCH($B30,Alimentos!$E$5:$E$310,0)),"")</f>
        <v/>
      </c>
      <c r="AG30" s="282" t="str">
        <f>IFERROR(INDEX(Alimentos!AE$5:AE$310,MATCH($B30,Alimentos!$E$5:$E$310,0)),"")</f>
        <v/>
      </c>
      <c r="AH30" s="282" t="str">
        <f>IFERROR(INDEX(Alimentos!AF$5:AF$310,MATCH($B30,Alimentos!$E$5:$E$310,0)),"")</f>
        <v/>
      </c>
      <c r="AI30" s="282" t="str">
        <f>IFERROR(INDEX(Alimentos!AG$5:AG$310,MATCH($B30,Alimentos!$E$5:$E$310,0)),"")</f>
        <v/>
      </c>
      <c r="AJ30" s="402" t="str">
        <f>IFERROR(INDEX(Alimentos!AH$5:AH$310,MATCH($B30,Alimentos!$E$5:$E$310,0)),"")</f>
        <v/>
      </c>
      <c r="AK30" s="283" t="str">
        <f>IFERROR(INDEX(Alimentos!AI$5:AI$310,MATCH($B30,Alimentos!$E$5:$E$310,0)),"")</f>
        <v/>
      </c>
      <c r="AL30" s="282" t="str">
        <f>IFERROR(INDEX(Alimentos!AJ$5:AJ$310,MATCH($B30,Alimentos!$E$5:$E$310,0)),"")</f>
        <v/>
      </c>
      <c r="AM30" s="282" t="str">
        <f>IFERROR(INDEX(Alimentos!AK$5:AK$310,MATCH($B30,Alimentos!$E$5:$E$310,0)),"")</f>
        <v/>
      </c>
      <c r="AN30" s="282" t="str">
        <f>IFERROR(INDEX(Alimentos!AL$5:AL$310,MATCH($B30,Alimentos!$E$5:$E$310,0)),"")</f>
        <v/>
      </c>
      <c r="AO30" s="282" t="str">
        <f>IFERROR(INDEX(Alimentos!AM$5:AM$310,MATCH($B30,Alimentos!$E$5:$E$310,0)),"")</f>
        <v/>
      </c>
      <c r="AP30" s="282" t="str">
        <f>IFERROR(INDEX(Alimentos!AN$5:AN$310,MATCH($B30,Alimentos!$E$5:$E$310,0)),"")</f>
        <v/>
      </c>
      <c r="AQ30" s="282" t="str">
        <f>IFERROR(INDEX(Alimentos!AO$5:AO$310,MATCH($B30,Alimentos!$E$5:$E$310,0)),"")</f>
        <v/>
      </c>
      <c r="AR30" s="282" t="str">
        <f>IFERROR(INDEX(Alimentos!AP$5:AP$310,MATCH($B30,Alimentos!$E$5:$E$310,0)),"")</f>
        <v/>
      </c>
      <c r="AS30" s="282" t="str">
        <f>IFERROR(INDEX(Alimentos!AQ$5:AQ$310,MATCH($B30,Alimentos!$E$5:$E$310,0)),"")</f>
        <v/>
      </c>
      <c r="AT30" s="282" t="str">
        <f>IFERROR(INDEX(Alimentos!AR$5:AR$310,MATCH($B30,Alimentos!$E$5:$E$310,0)),"")</f>
        <v/>
      </c>
      <c r="AU30" s="282" t="str">
        <f>IFERROR(INDEX(Alimentos!AS$5:AS$310,MATCH($B30,Alimentos!$E$5:$E$310,0)),"")</f>
        <v/>
      </c>
      <c r="AV30" s="282" t="str">
        <f>IFERROR(INDEX(Alimentos!AT$5:AT$310,MATCH($B30,Alimentos!$E$5:$E$310,0)),"")</f>
        <v/>
      </c>
      <c r="AW30" s="282" t="str">
        <f>IFERROR(INDEX(Alimentos!AU$5:AU$310,MATCH($B30,Alimentos!$E$5:$E$310,0)),"")</f>
        <v/>
      </c>
      <c r="AX30" s="282" t="str">
        <f>IFERROR(INDEX(Alimentos!AV$5:AV$310,MATCH($B30,Alimentos!$E$5:$E$310,0)),"")</f>
        <v/>
      </c>
      <c r="AY30" s="282" t="str">
        <f>IFERROR(INDEX(Alimentos!AW$5:AW$310,MATCH($B30,Alimentos!$E$5:$E$310,0)),"")</f>
        <v/>
      </c>
      <c r="AZ30" s="282" t="str">
        <f>IFERROR(INDEX(Alimentos!AX$5:AX$310,MATCH($B30,Alimentos!$E$5:$E$310,0)),"")</f>
        <v/>
      </c>
      <c r="BA30" s="282" t="str">
        <f>IFERROR(INDEX(Alimentos!AY$5:AY$310,MATCH($B30,Alimentos!$E$5:$E$310,0)),"")</f>
        <v/>
      </c>
      <c r="BB30" s="282" t="str">
        <f>IFERROR(INDEX(Alimentos!AZ$5:AZ$310,MATCH($B30,Alimentos!$E$5:$E$310,0)),"")</f>
        <v/>
      </c>
      <c r="BC30" s="274"/>
      <c r="BD30" s="284">
        <f t="shared" si="1"/>
        <v>0</v>
      </c>
      <c r="BE30" s="287">
        <f t="shared" si="2"/>
        <v>0</v>
      </c>
      <c r="BF30" s="285" t="str">
        <f t="shared" si="3"/>
        <v/>
      </c>
      <c r="BG30" s="286">
        <f t="shared" si="9"/>
        <v>0</v>
      </c>
      <c r="BH30" s="284">
        <f t="shared" si="10"/>
        <v>0</v>
      </c>
      <c r="BI30" s="287">
        <f t="shared" si="5"/>
        <v>0</v>
      </c>
      <c r="BJ30" s="285">
        <f t="shared" si="6"/>
        <v>0</v>
      </c>
      <c r="BK30" s="288">
        <f t="shared" si="11"/>
        <v>0</v>
      </c>
      <c r="BL30" s="1997" t="str">
        <f>IFERROR(INDEX(Alimentos!B$5:B$310,MATCH($B30,Alimentos!$E$5:$E$310,0)),"")</f>
        <v/>
      </c>
      <c r="BM30" s="280" t="str">
        <f>IF(C30=0,"",COUNTIF(BL$9:BL30,"Concentrado"))</f>
        <v/>
      </c>
      <c r="BN30" s="263" t="str">
        <f>IF(BM30="","",COUNTIFS(BM$9:BM30,"&gt;"&amp;0))</f>
        <v/>
      </c>
      <c r="BP30" s="281"/>
      <c r="BQ30" s="281"/>
    </row>
    <row r="31" spans="1:69" ht="15">
      <c r="A31" s="271" t="str">
        <f>IFERROR(MATCH($B31,Alimentos!$E$5:$E$310,0)+1,"")</f>
        <v/>
      </c>
      <c r="B31" s="1934"/>
      <c r="C31" s="578">
        <v>0</v>
      </c>
      <c r="D31" s="579">
        <v>0</v>
      </c>
      <c r="E31" s="579">
        <v>0</v>
      </c>
      <c r="F31" s="580"/>
      <c r="G31" s="417" t="str">
        <f>IFERROR(IF(F31&gt;0,F31,INDEX(Alimentos!F$5:F$310,MATCH($B31,Alimentos!$E$5:$E$310,0))),"")</f>
        <v/>
      </c>
      <c r="H31" s="387"/>
      <c r="I31" s="400" t="str">
        <f>IFERROR(INDEX(Alimentos!G$5:G$310,MATCH($B31,Alimentos!$E$5:$E$310,0)),"")</f>
        <v/>
      </c>
      <c r="J31" s="282" t="str">
        <f>IFERROR(INDEX(Alimentos!H$5:H$310,MATCH($B31,Alimentos!$E$5:$E$310,0)),"")</f>
        <v/>
      </c>
      <c r="K31" s="282" t="str">
        <f>IFERROR(INDEX(Alimentos!I$5:I$310,MATCH($B31,Alimentos!$E$5:$E$310,0)),"")</f>
        <v/>
      </c>
      <c r="L31" s="282" t="str">
        <f>IFERROR(INDEX(Alimentos!J$5:J$310,MATCH($B31,Alimentos!$E$5:$E$310,0)),"")</f>
        <v/>
      </c>
      <c r="M31" s="402" t="str">
        <f>IFERROR(INDEX(Alimentos!K$5:K$310,MATCH($B31,Alimentos!$E$5:$E$310,0)),"")</f>
        <v/>
      </c>
      <c r="N31" s="400" t="str">
        <f>IFERROR(INDEX(Alimentos!L$5:L$310,MATCH($B31,Alimentos!$E$5:$E$310,0)),"")</f>
        <v/>
      </c>
      <c r="O31" s="282" t="str">
        <f>IFERROR(INDEX(Alimentos!M$5:M$310,MATCH($B31,Alimentos!$E$5:$E$310,0)),"")</f>
        <v/>
      </c>
      <c r="P31" s="282" t="str">
        <f>IFERROR(INDEX(Alimentos!N$5:N$310,MATCH($B31,Alimentos!$E$5:$E$310,0)),"")</f>
        <v/>
      </c>
      <c r="Q31" s="282" t="str">
        <f>IFERROR(INDEX(Alimentos!O$5:O$310,MATCH($B31,Alimentos!$E$5:$E$310,0)),"")</f>
        <v/>
      </c>
      <c r="R31" s="402" t="str">
        <f>IFERROR(INDEX(Alimentos!P$5:P$310,MATCH($B31,Alimentos!$E$5:$E$310,0)),"")</f>
        <v/>
      </c>
      <c r="S31" s="283" t="str">
        <f>IFERROR(INDEX(Alimentos!Q$5:Q$310,MATCH($B31,Alimentos!$E$5:$E$310,0)),"")</f>
        <v/>
      </c>
      <c r="T31" s="282" t="str">
        <f>IFERROR(INDEX(Alimentos!R$5:R$310,MATCH($B31,Alimentos!$E$5:$E$310,0)),"")</f>
        <v/>
      </c>
      <c r="U31" s="282" t="str">
        <f>IFERROR(INDEX(Alimentos!S$5:S$310,MATCH($B31,Alimentos!$E$5:$E$310,0)),"")</f>
        <v/>
      </c>
      <c r="V31" s="282" t="str">
        <f>IFERROR(INDEX(Alimentos!T$5:T$310,MATCH($B31,Alimentos!$E$5:$E$310,0)),"")</f>
        <v/>
      </c>
      <c r="W31" s="434" t="str">
        <f>IFERROR(INDEX(Alimentos!U$5:U$310,MATCH($B31,Alimentos!$E$5:$E$310,0)),"")</f>
        <v/>
      </c>
      <c r="X31" s="400" t="str">
        <f>IFERROR(INDEX(Alimentos!V$5:V$310,MATCH($B31,Alimentos!$E$5:$E$310,0)),"")</f>
        <v/>
      </c>
      <c r="Y31" s="282" t="str">
        <f>IFERROR(INDEX(Alimentos!W$5:W$310,MATCH($B31,Alimentos!$E$5:$E$310,0)),"")</f>
        <v/>
      </c>
      <c r="Z31" s="282" t="str">
        <f>IFERROR(INDEX(Alimentos!X$5:X$310,MATCH($B31,Alimentos!$E$5:$E$310,0)),"")</f>
        <v/>
      </c>
      <c r="AA31" s="282" t="str">
        <f>IFERROR(INDEX(Alimentos!Y$5:Y$310,MATCH($B31,Alimentos!$E$5:$E$310,0)),"")</f>
        <v/>
      </c>
      <c r="AB31" s="282" t="str">
        <f>IFERROR(INDEX(Alimentos!Z$5:Z$310,MATCH($B31,Alimentos!$E$5:$E$310,0)),"")</f>
        <v/>
      </c>
      <c r="AC31" s="282" t="str">
        <f>IFERROR(INDEX(Alimentos!AA$5:AA$310,MATCH($B31,Alimentos!$E$5:$E$310,0)),"")</f>
        <v/>
      </c>
      <c r="AD31" s="282" t="str">
        <f>IFERROR(INDEX(Alimentos!AB$5:AB$310,MATCH($B31,Alimentos!$E$5:$E$310,0)),"")</f>
        <v/>
      </c>
      <c r="AE31" s="282" t="str">
        <f>IFERROR(INDEX(Alimentos!AC$5:AC$310,MATCH($B31,Alimentos!$E$5:$E$310,0)),"")</f>
        <v/>
      </c>
      <c r="AF31" s="282" t="str">
        <f>IFERROR(INDEX(Alimentos!AD$5:AD$310,MATCH($B31,Alimentos!$E$5:$E$310,0)),"")</f>
        <v/>
      </c>
      <c r="AG31" s="282" t="str">
        <f>IFERROR(INDEX(Alimentos!AE$5:AE$310,MATCH($B31,Alimentos!$E$5:$E$310,0)),"")</f>
        <v/>
      </c>
      <c r="AH31" s="282" t="str">
        <f>IFERROR(INDEX(Alimentos!AF$5:AF$310,MATCH($B31,Alimentos!$E$5:$E$310,0)),"")</f>
        <v/>
      </c>
      <c r="AI31" s="282" t="str">
        <f>IFERROR(INDEX(Alimentos!AG$5:AG$310,MATCH($B31,Alimentos!$E$5:$E$310,0)),"")</f>
        <v/>
      </c>
      <c r="AJ31" s="402" t="str">
        <f>IFERROR(INDEX(Alimentos!AH$5:AH$310,MATCH($B31,Alimentos!$E$5:$E$310,0)),"")</f>
        <v/>
      </c>
      <c r="AK31" s="283" t="str">
        <f>IFERROR(INDEX(Alimentos!AI$5:AI$310,MATCH($B31,Alimentos!$E$5:$E$310,0)),"")</f>
        <v/>
      </c>
      <c r="AL31" s="282" t="str">
        <f>IFERROR(INDEX(Alimentos!AJ$5:AJ$310,MATCH($B31,Alimentos!$E$5:$E$310,0)),"")</f>
        <v/>
      </c>
      <c r="AM31" s="282" t="str">
        <f>IFERROR(INDEX(Alimentos!AK$5:AK$310,MATCH($B31,Alimentos!$E$5:$E$310,0)),"")</f>
        <v/>
      </c>
      <c r="AN31" s="282" t="str">
        <f>IFERROR(INDEX(Alimentos!AL$5:AL$310,MATCH($B31,Alimentos!$E$5:$E$310,0)),"")</f>
        <v/>
      </c>
      <c r="AO31" s="282" t="str">
        <f>IFERROR(INDEX(Alimentos!AM$5:AM$310,MATCH($B31,Alimentos!$E$5:$E$310,0)),"")</f>
        <v/>
      </c>
      <c r="AP31" s="282" t="str">
        <f>IFERROR(INDEX(Alimentos!AN$5:AN$310,MATCH($B31,Alimentos!$E$5:$E$310,0)),"")</f>
        <v/>
      </c>
      <c r="AQ31" s="282" t="str">
        <f>IFERROR(INDEX(Alimentos!AO$5:AO$310,MATCH($B31,Alimentos!$E$5:$E$310,0)),"")</f>
        <v/>
      </c>
      <c r="AR31" s="282" t="str">
        <f>IFERROR(INDEX(Alimentos!AP$5:AP$310,MATCH($B31,Alimentos!$E$5:$E$310,0)),"")</f>
        <v/>
      </c>
      <c r="AS31" s="282" t="str">
        <f>IFERROR(INDEX(Alimentos!AQ$5:AQ$310,MATCH($B31,Alimentos!$E$5:$E$310,0)),"")</f>
        <v/>
      </c>
      <c r="AT31" s="282" t="str">
        <f>IFERROR(INDEX(Alimentos!AR$5:AR$310,MATCH($B31,Alimentos!$E$5:$E$310,0)),"")</f>
        <v/>
      </c>
      <c r="AU31" s="282" t="str">
        <f>IFERROR(INDEX(Alimentos!AS$5:AS$310,MATCH($B31,Alimentos!$E$5:$E$310,0)),"")</f>
        <v/>
      </c>
      <c r="AV31" s="282" t="str">
        <f>IFERROR(INDEX(Alimentos!AT$5:AT$310,MATCH($B31,Alimentos!$E$5:$E$310,0)),"")</f>
        <v/>
      </c>
      <c r="AW31" s="282" t="str">
        <f>IFERROR(INDEX(Alimentos!AU$5:AU$310,MATCH($B31,Alimentos!$E$5:$E$310,0)),"")</f>
        <v/>
      </c>
      <c r="AX31" s="282" t="str">
        <f>IFERROR(INDEX(Alimentos!AV$5:AV$310,MATCH($B31,Alimentos!$E$5:$E$310,0)),"")</f>
        <v/>
      </c>
      <c r="AY31" s="282" t="str">
        <f>IFERROR(INDEX(Alimentos!AW$5:AW$310,MATCH($B31,Alimentos!$E$5:$E$310,0)),"")</f>
        <v/>
      </c>
      <c r="AZ31" s="282" t="str">
        <f>IFERROR(INDEX(Alimentos!AX$5:AX$310,MATCH($B31,Alimentos!$E$5:$E$310,0)),"")</f>
        <v/>
      </c>
      <c r="BA31" s="282" t="str">
        <f>IFERROR(INDEX(Alimentos!AY$5:AY$310,MATCH($B31,Alimentos!$E$5:$E$310,0)),"")</f>
        <v/>
      </c>
      <c r="BB31" s="282" t="str">
        <f>IFERROR(INDEX(Alimentos!AZ$5:AZ$310,MATCH($B31,Alimentos!$E$5:$E$310,0)),"")</f>
        <v/>
      </c>
      <c r="BC31" s="274"/>
      <c r="BD31" s="284">
        <f t="shared" si="1"/>
        <v>0</v>
      </c>
      <c r="BE31" s="287">
        <f t="shared" si="2"/>
        <v>0</v>
      </c>
      <c r="BF31" s="285" t="str">
        <f t="shared" si="3"/>
        <v/>
      </c>
      <c r="BG31" s="286">
        <f t="shared" si="9"/>
        <v>0</v>
      </c>
      <c r="BH31" s="284">
        <f t="shared" si="10"/>
        <v>0</v>
      </c>
      <c r="BI31" s="287">
        <f t="shared" si="5"/>
        <v>0</v>
      </c>
      <c r="BJ31" s="285">
        <f t="shared" si="6"/>
        <v>0</v>
      </c>
      <c r="BK31" s="288">
        <f t="shared" si="11"/>
        <v>0</v>
      </c>
      <c r="BL31" s="1997" t="str">
        <f>IFERROR(INDEX(Alimentos!B$5:B$310,MATCH($B31,Alimentos!$E$5:$E$310,0)),"")</f>
        <v/>
      </c>
      <c r="BM31" s="280" t="str">
        <f>IF(C31=0,"",COUNTIF(BL$9:BL31,"Concentrado"))</f>
        <v/>
      </c>
      <c r="BN31" s="263" t="str">
        <f>IF(BM31="","",COUNTIFS(BM$9:BM31,"&gt;"&amp;0))</f>
        <v/>
      </c>
      <c r="BP31" s="281"/>
      <c r="BQ31" s="281"/>
    </row>
    <row r="32" spans="1:69" ht="15">
      <c r="A32" s="271" t="str">
        <f>IFERROR(MATCH($B32,Alimentos!$E$5:$E$310,0)+1,"")</f>
        <v/>
      </c>
      <c r="B32" s="1934"/>
      <c r="C32" s="578">
        <v>0</v>
      </c>
      <c r="D32" s="579">
        <v>0</v>
      </c>
      <c r="E32" s="579">
        <v>0</v>
      </c>
      <c r="F32" s="580"/>
      <c r="G32" s="417" t="str">
        <f>IFERROR(IF(F32&gt;0,F32,INDEX(Alimentos!F$5:F$310,MATCH($B32,Alimentos!$E$5:$E$310,0))),"")</f>
        <v/>
      </c>
      <c r="H32" s="387"/>
      <c r="I32" s="400" t="str">
        <f>IFERROR(INDEX(Alimentos!G$5:G$310,MATCH($B32,Alimentos!$E$5:$E$310,0)),"")</f>
        <v/>
      </c>
      <c r="J32" s="282" t="str">
        <f>IFERROR(INDEX(Alimentos!H$5:H$310,MATCH($B32,Alimentos!$E$5:$E$310,0)),"")</f>
        <v/>
      </c>
      <c r="K32" s="282" t="str">
        <f>IFERROR(INDEX(Alimentos!I$5:I$310,MATCH($B32,Alimentos!$E$5:$E$310,0)),"")</f>
        <v/>
      </c>
      <c r="L32" s="282" t="str">
        <f>IFERROR(INDEX(Alimentos!J$5:J$310,MATCH($B32,Alimentos!$E$5:$E$310,0)),"")</f>
        <v/>
      </c>
      <c r="M32" s="402" t="str">
        <f>IFERROR(INDEX(Alimentos!K$5:K$310,MATCH($B32,Alimentos!$E$5:$E$310,0)),"")</f>
        <v/>
      </c>
      <c r="N32" s="400" t="str">
        <f>IFERROR(INDEX(Alimentos!L$5:L$310,MATCH($B32,Alimentos!$E$5:$E$310,0)),"")</f>
        <v/>
      </c>
      <c r="O32" s="282" t="str">
        <f>IFERROR(INDEX(Alimentos!M$5:M$310,MATCH($B32,Alimentos!$E$5:$E$310,0)),"")</f>
        <v/>
      </c>
      <c r="P32" s="282" t="str">
        <f>IFERROR(INDEX(Alimentos!N$5:N$310,MATCH($B32,Alimentos!$E$5:$E$310,0)),"")</f>
        <v/>
      </c>
      <c r="Q32" s="282" t="str">
        <f>IFERROR(INDEX(Alimentos!O$5:O$310,MATCH($B32,Alimentos!$E$5:$E$310,0)),"")</f>
        <v/>
      </c>
      <c r="R32" s="402" t="str">
        <f>IFERROR(INDEX(Alimentos!P$5:P$310,MATCH($B32,Alimentos!$E$5:$E$310,0)),"")</f>
        <v/>
      </c>
      <c r="S32" s="283" t="str">
        <f>IFERROR(INDEX(Alimentos!Q$5:Q$310,MATCH($B32,Alimentos!$E$5:$E$310,0)),"")</f>
        <v/>
      </c>
      <c r="T32" s="282" t="str">
        <f>IFERROR(INDEX(Alimentos!R$5:R$310,MATCH($B32,Alimentos!$E$5:$E$310,0)),"")</f>
        <v/>
      </c>
      <c r="U32" s="282" t="str">
        <f>IFERROR(INDEX(Alimentos!S$5:S$310,MATCH($B32,Alimentos!$E$5:$E$310,0)),"")</f>
        <v/>
      </c>
      <c r="V32" s="282" t="str">
        <f>IFERROR(INDEX(Alimentos!T$5:T$310,MATCH($B32,Alimentos!$E$5:$E$310,0)),"")</f>
        <v/>
      </c>
      <c r="W32" s="434" t="str">
        <f>IFERROR(INDEX(Alimentos!U$5:U$310,MATCH($B32,Alimentos!$E$5:$E$310,0)),"")</f>
        <v/>
      </c>
      <c r="X32" s="400" t="str">
        <f>IFERROR(INDEX(Alimentos!V$5:V$310,MATCH($B32,Alimentos!$E$5:$E$310,0)),"")</f>
        <v/>
      </c>
      <c r="Y32" s="282" t="str">
        <f>IFERROR(INDEX(Alimentos!W$5:W$310,MATCH($B32,Alimentos!$E$5:$E$310,0)),"")</f>
        <v/>
      </c>
      <c r="Z32" s="282" t="str">
        <f>IFERROR(INDEX(Alimentos!X$5:X$310,MATCH($B32,Alimentos!$E$5:$E$310,0)),"")</f>
        <v/>
      </c>
      <c r="AA32" s="282" t="str">
        <f>IFERROR(INDEX(Alimentos!Y$5:Y$310,MATCH($B32,Alimentos!$E$5:$E$310,0)),"")</f>
        <v/>
      </c>
      <c r="AB32" s="282" t="str">
        <f>IFERROR(INDEX(Alimentos!Z$5:Z$310,MATCH($B32,Alimentos!$E$5:$E$310,0)),"")</f>
        <v/>
      </c>
      <c r="AC32" s="282" t="str">
        <f>IFERROR(INDEX(Alimentos!AA$5:AA$310,MATCH($B32,Alimentos!$E$5:$E$310,0)),"")</f>
        <v/>
      </c>
      <c r="AD32" s="282" t="str">
        <f>IFERROR(INDEX(Alimentos!AB$5:AB$310,MATCH($B32,Alimentos!$E$5:$E$310,0)),"")</f>
        <v/>
      </c>
      <c r="AE32" s="282" t="str">
        <f>IFERROR(INDEX(Alimentos!AC$5:AC$310,MATCH($B32,Alimentos!$E$5:$E$310,0)),"")</f>
        <v/>
      </c>
      <c r="AF32" s="282" t="str">
        <f>IFERROR(INDEX(Alimentos!AD$5:AD$310,MATCH($B32,Alimentos!$E$5:$E$310,0)),"")</f>
        <v/>
      </c>
      <c r="AG32" s="282" t="str">
        <f>IFERROR(INDEX(Alimentos!AE$5:AE$310,MATCH($B32,Alimentos!$E$5:$E$310,0)),"")</f>
        <v/>
      </c>
      <c r="AH32" s="282" t="str">
        <f>IFERROR(INDEX(Alimentos!AF$5:AF$310,MATCH($B32,Alimentos!$E$5:$E$310,0)),"")</f>
        <v/>
      </c>
      <c r="AI32" s="282" t="str">
        <f>IFERROR(INDEX(Alimentos!AG$5:AG$310,MATCH($B32,Alimentos!$E$5:$E$310,0)),"")</f>
        <v/>
      </c>
      <c r="AJ32" s="402" t="str">
        <f>IFERROR(INDEX(Alimentos!AH$5:AH$310,MATCH($B32,Alimentos!$E$5:$E$310,0)),"")</f>
        <v/>
      </c>
      <c r="AK32" s="283" t="str">
        <f>IFERROR(INDEX(Alimentos!AI$5:AI$310,MATCH($B32,Alimentos!$E$5:$E$310,0)),"")</f>
        <v/>
      </c>
      <c r="AL32" s="282" t="str">
        <f>IFERROR(INDEX(Alimentos!AJ$5:AJ$310,MATCH($B32,Alimentos!$E$5:$E$310,0)),"")</f>
        <v/>
      </c>
      <c r="AM32" s="282" t="str">
        <f>IFERROR(INDEX(Alimentos!AK$5:AK$310,MATCH($B32,Alimentos!$E$5:$E$310,0)),"")</f>
        <v/>
      </c>
      <c r="AN32" s="282" t="str">
        <f>IFERROR(INDEX(Alimentos!AL$5:AL$310,MATCH($B32,Alimentos!$E$5:$E$310,0)),"")</f>
        <v/>
      </c>
      <c r="AO32" s="282" t="str">
        <f>IFERROR(INDEX(Alimentos!AM$5:AM$310,MATCH($B32,Alimentos!$E$5:$E$310,0)),"")</f>
        <v/>
      </c>
      <c r="AP32" s="282" t="str">
        <f>IFERROR(INDEX(Alimentos!AN$5:AN$310,MATCH($B32,Alimentos!$E$5:$E$310,0)),"")</f>
        <v/>
      </c>
      <c r="AQ32" s="282" t="str">
        <f>IFERROR(INDEX(Alimentos!AO$5:AO$310,MATCH($B32,Alimentos!$E$5:$E$310,0)),"")</f>
        <v/>
      </c>
      <c r="AR32" s="282" t="str">
        <f>IFERROR(INDEX(Alimentos!AP$5:AP$310,MATCH($B32,Alimentos!$E$5:$E$310,0)),"")</f>
        <v/>
      </c>
      <c r="AS32" s="282" t="str">
        <f>IFERROR(INDEX(Alimentos!AQ$5:AQ$310,MATCH($B32,Alimentos!$E$5:$E$310,0)),"")</f>
        <v/>
      </c>
      <c r="AT32" s="282" t="str">
        <f>IFERROR(INDEX(Alimentos!AR$5:AR$310,MATCH($B32,Alimentos!$E$5:$E$310,0)),"")</f>
        <v/>
      </c>
      <c r="AU32" s="282" t="str">
        <f>IFERROR(INDEX(Alimentos!AS$5:AS$310,MATCH($B32,Alimentos!$E$5:$E$310,0)),"")</f>
        <v/>
      </c>
      <c r="AV32" s="282" t="str">
        <f>IFERROR(INDEX(Alimentos!AT$5:AT$310,MATCH($B32,Alimentos!$E$5:$E$310,0)),"")</f>
        <v/>
      </c>
      <c r="AW32" s="282" t="str">
        <f>IFERROR(INDEX(Alimentos!AU$5:AU$310,MATCH($B32,Alimentos!$E$5:$E$310,0)),"")</f>
        <v/>
      </c>
      <c r="AX32" s="282" t="str">
        <f>IFERROR(INDEX(Alimentos!AV$5:AV$310,MATCH($B32,Alimentos!$E$5:$E$310,0)),"")</f>
        <v/>
      </c>
      <c r="AY32" s="282" t="str">
        <f>IFERROR(INDEX(Alimentos!AW$5:AW$310,MATCH($B32,Alimentos!$E$5:$E$310,0)),"")</f>
        <v/>
      </c>
      <c r="AZ32" s="282" t="str">
        <f>IFERROR(INDEX(Alimentos!AX$5:AX$310,MATCH($B32,Alimentos!$E$5:$E$310,0)),"")</f>
        <v/>
      </c>
      <c r="BA32" s="282" t="str">
        <f>IFERROR(INDEX(Alimentos!AY$5:AY$310,MATCH($B32,Alimentos!$E$5:$E$310,0)),"")</f>
        <v/>
      </c>
      <c r="BB32" s="282" t="str">
        <f>IFERROR(INDEX(Alimentos!AZ$5:AZ$310,MATCH($B32,Alimentos!$E$5:$E$310,0)),"")</f>
        <v/>
      </c>
      <c r="BC32" s="274"/>
      <c r="BD32" s="284">
        <f t="shared" si="1"/>
        <v>0</v>
      </c>
      <c r="BE32" s="287">
        <f t="shared" si="2"/>
        <v>0</v>
      </c>
      <c r="BF32" s="285" t="str">
        <f t="shared" si="3"/>
        <v/>
      </c>
      <c r="BG32" s="286">
        <f t="shared" si="9"/>
        <v>0</v>
      </c>
      <c r="BH32" s="284">
        <f t="shared" si="10"/>
        <v>0</v>
      </c>
      <c r="BI32" s="287">
        <f t="shared" si="5"/>
        <v>0</v>
      </c>
      <c r="BJ32" s="285">
        <f t="shared" si="6"/>
        <v>0</v>
      </c>
      <c r="BK32" s="288">
        <f t="shared" si="11"/>
        <v>0</v>
      </c>
      <c r="BL32" s="1997" t="str">
        <f>IFERROR(INDEX(Alimentos!B$5:B$310,MATCH($B32,Alimentos!$E$5:$E$310,0)),"")</f>
        <v/>
      </c>
      <c r="BM32" s="280" t="str">
        <f>IF(C32=0,"",COUNTIF(BL$9:BL32,"Concentrado"))</f>
        <v/>
      </c>
      <c r="BN32" s="263" t="str">
        <f>IF(BM32="","",COUNTIFS(BM$9:BM32,"&gt;"&amp;0))</f>
        <v/>
      </c>
      <c r="BP32" s="281"/>
      <c r="BQ32" s="281"/>
    </row>
    <row r="33" spans="1:71" ht="15.75" thickBot="1">
      <c r="A33" s="271" t="str">
        <f>IFERROR(MATCH($B33,Alimentos!$E$5:$E$310,0)+1,"")</f>
        <v/>
      </c>
      <c r="B33" s="1935"/>
      <c r="C33" s="581">
        <v>0</v>
      </c>
      <c r="D33" s="582">
        <v>0</v>
      </c>
      <c r="E33" s="579">
        <v>0</v>
      </c>
      <c r="F33" s="583"/>
      <c r="G33" s="418" t="str">
        <f>IFERROR(IF(F33&gt;0,F33,INDEX(Alimentos!F$5:F$310,MATCH($B33,Alimentos!$E$5:$E$310,0))),"")</f>
        <v/>
      </c>
      <c r="H33" s="387"/>
      <c r="I33" s="403" t="str">
        <f>IFERROR(INDEX(Alimentos!G$5:G$310,MATCH($B33,Alimentos!$E$5:$E$310,0)),"")</f>
        <v/>
      </c>
      <c r="J33" s="290" t="str">
        <f>IFERROR(INDEX(Alimentos!H$5:H$310,MATCH($B33,Alimentos!$E$5:$E$310,0)),"")</f>
        <v/>
      </c>
      <c r="K33" s="290" t="str">
        <f>IFERROR(INDEX(Alimentos!I$5:I$310,MATCH($B33,Alimentos!$E$5:$E$310,0)),"")</f>
        <v/>
      </c>
      <c r="L33" s="290" t="str">
        <f>IFERROR(INDEX(Alimentos!J$5:J$310,MATCH($B33,Alimentos!$E$5:$E$310,0)),"")</f>
        <v/>
      </c>
      <c r="M33" s="404" t="str">
        <f>IFERROR(INDEX(Alimentos!K$5:K$310,MATCH($B33,Alimentos!$E$5:$E$310,0)),"")</f>
        <v/>
      </c>
      <c r="N33" s="403" t="str">
        <f>IFERROR(INDEX(Alimentos!L$5:L$310,MATCH($B33,Alimentos!$E$5:$E$310,0)),"")</f>
        <v/>
      </c>
      <c r="O33" s="290" t="str">
        <f>IFERROR(INDEX(Alimentos!M$5:M$310,MATCH($B33,Alimentos!$E$5:$E$310,0)),"")</f>
        <v/>
      </c>
      <c r="P33" s="290" t="str">
        <f>IFERROR(INDEX(Alimentos!N$5:N$310,MATCH($B33,Alimentos!$E$5:$E$310,0)),"")</f>
        <v/>
      </c>
      <c r="Q33" s="290" t="str">
        <f>IFERROR(INDEX(Alimentos!O$5:O$310,MATCH($B33,Alimentos!$E$5:$E$310,0)),"")</f>
        <v/>
      </c>
      <c r="R33" s="404" t="str">
        <f>IFERROR(INDEX(Alimentos!P$5:P$310,MATCH($B33,Alimentos!$E$5:$E$310,0)),"")</f>
        <v/>
      </c>
      <c r="S33" s="291" t="str">
        <f>IFERROR(INDEX(Alimentos!Q$5:Q$310,MATCH($B33,Alimentos!$E$5:$E$310,0)),"")</f>
        <v/>
      </c>
      <c r="T33" s="290" t="str">
        <f>IFERROR(INDEX(Alimentos!R$5:R$310,MATCH($B33,Alimentos!$E$5:$E$310,0)),"")</f>
        <v/>
      </c>
      <c r="U33" s="290" t="str">
        <f>IFERROR(INDEX(Alimentos!S$5:S$310,MATCH($B33,Alimentos!$E$5:$E$310,0)),"")</f>
        <v/>
      </c>
      <c r="V33" s="290" t="str">
        <f>IFERROR(INDEX(Alimentos!T$5:T$310,MATCH($B33,Alimentos!$E$5:$E$310,0)),"")</f>
        <v/>
      </c>
      <c r="W33" s="435" t="str">
        <f>IFERROR(INDEX(Alimentos!U$5:U$310,MATCH($B33,Alimentos!$E$5:$E$310,0)),"")</f>
        <v/>
      </c>
      <c r="X33" s="403" t="str">
        <f>IFERROR(INDEX(Alimentos!V$5:V$310,MATCH($B33,Alimentos!$E$5:$E$310,0)),"")</f>
        <v/>
      </c>
      <c r="Y33" s="290" t="str">
        <f>IFERROR(INDEX(Alimentos!W$5:W$310,MATCH($B33,Alimentos!$E$5:$E$310,0)),"")</f>
        <v/>
      </c>
      <c r="Z33" s="290" t="str">
        <f>IFERROR(INDEX(Alimentos!X$5:X$310,MATCH($B33,Alimentos!$E$5:$E$310,0)),"")</f>
        <v/>
      </c>
      <c r="AA33" s="290" t="str">
        <f>IFERROR(INDEX(Alimentos!Y$5:Y$310,MATCH($B33,Alimentos!$E$5:$E$310,0)),"")</f>
        <v/>
      </c>
      <c r="AB33" s="290" t="str">
        <f>IFERROR(INDEX(Alimentos!Z$5:Z$310,MATCH($B33,Alimentos!$E$5:$E$310,0)),"")</f>
        <v/>
      </c>
      <c r="AC33" s="290" t="str">
        <f>IFERROR(INDEX(Alimentos!AA$5:AA$310,MATCH($B33,Alimentos!$E$5:$E$310,0)),"")</f>
        <v/>
      </c>
      <c r="AD33" s="290" t="str">
        <f>IFERROR(INDEX(Alimentos!AB$5:AB$310,MATCH($B33,Alimentos!$E$5:$E$310,0)),"")</f>
        <v/>
      </c>
      <c r="AE33" s="290" t="str">
        <f>IFERROR(INDEX(Alimentos!AC$5:AC$310,MATCH($B33,Alimentos!$E$5:$E$310,0)),"")</f>
        <v/>
      </c>
      <c r="AF33" s="290" t="str">
        <f>IFERROR(INDEX(Alimentos!AD$5:AD$310,MATCH($B33,Alimentos!$E$5:$E$310,0)),"")</f>
        <v/>
      </c>
      <c r="AG33" s="290" t="str">
        <f>IFERROR(INDEX(Alimentos!AE$5:AE$310,MATCH($B33,Alimentos!$E$5:$E$310,0)),"")</f>
        <v/>
      </c>
      <c r="AH33" s="290" t="str">
        <f>IFERROR(INDEX(Alimentos!AF$5:AF$310,MATCH($B33,Alimentos!$E$5:$E$310,0)),"")</f>
        <v/>
      </c>
      <c r="AI33" s="290" t="str">
        <f>IFERROR(INDEX(Alimentos!AG$5:AG$310,MATCH($B33,Alimentos!$E$5:$E$310,0)),"")</f>
        <v/>
      </c>
      <c r="AJ33" s="404" t="str">
        <f>IFERROR(INDEX(Alimentos!AH$5:AH$310,MATCH($B33,Alimentos!$E$5:$E$310,0)),"")</f>
        <v/>
      </c>
      <c r="AK33" s="291" t="str">
        <f>IFERROR(INDEX(Alimentos!AI$5:AI$310,MATCH($B33,Alimentos!$E$5:$E$310,0)),"")</f>
        <v/>
      </c>
      <c r="AL33" s="290" t="str">
        <f>IFERROR(INDEX(Alimentos!AJ$5:AJ$310,MATCH($B33,Alimentos!$E$5:$E$310,0)),"")</f>
        <v/>
      </c>
      <c r="AM33" s="290" t="str">
        <f>IFERROR(INDEX(Alimentos!AK$5:AK$310,MATCH($B33,Alimentos!$E$5:$E$310,0)),"")</f>
        <v/>
      </c>
      <c r="AN33" s="290" t="str">
        <f>IFERROR(INDEX(Alimentos!AL$5:AL$310,MATCH($B33,Alimentos!$E$5:$E$310,0)),"")</f>
        <v/>
      </c>
      <c r="AO33" s="290" t="str">
        <f>IFERROR(INDEX(Alimentos!AM$5:AM$310,MATCH($B33,Alimentos!$E$5:$E$310,0)),"")</f>
        <v/>
      </c>
      <c r="AP33" s="290" t="str">
        <f>IFERROR(INDEX(Alimentos!AN$5:AN$310,MATCH($B33,Alimentos!$E$5:$E$310,0)),"")</f>
        <v/>
      </c>
      <c r="AQ33" s="290" t="str">
        <f>IFERROR(INDEX(Alimentos!AO$5:AO$310,MATCH($B33,Alimentos!$E$5:$E$310,0)),"")</f>
        <v/>
      </c>
      <c r="AR33" s="290" t="str">
        <f>IFERROR(INDEX(Alimentos!AP$5:AP$310,MATCH($B33,Alimentos!$E$5:$E$310,0)),"")</f>
        <v/>
      </c>
      <c r="AS33" s="290" t="str">
        <f>IFERROR(INDEX(Alimentos!AQ$5:AQ$310,MATCH($B33,Alimentos!$E$5:$E$310,0)),"")</f>
        <v/>
      </c>
      <c r="AT33" s="290" t="str">
        <f>IFERROR(INDEX(Alimentos!AR$5:AR$310,MATCH($B33,Alimentos!$E$5:$E$310,0)),"")</f>
        <v/>
      </c>
      <c r="AU33" s="290" t="str">
        <f>IFERROR(INDEX(Alimentos!AS$5:AS$310,MATCH($B33,Alimentos!$E$5:$E$310,0)),"")</f>
        <v/>
      </c>
      <c r="AV33" s="290" t="str">
        <f>IFERROR(INDEX(Alimentos!AT$5:AT$310,MATCH($B33,Alimentos!$E$5:$E$310,0)),"")</f>
        <v/>
      </c>
      <c r="AW33" s="290" t="str">
        <f>IFERROR(INDEX(Alimentos!AU$5:AU$310,MATCH($B33,Alimentos!$E$5:$E$310,0)),"")</f>
        <v/>
      </c>
      <c r="AX33" s="290" t="str">
        <f>IFERROR(INDEX(Alimentos!AV$5:AV$310,MATCH($B33,Alimentos!$E$5:$E$310,0)),"")</f>
        <v/>
      </c>
      <c r="AY33" s="290" t="str">
        <f>IFERROR(INDEX(Alimentos!AW$5:AW$310,MATCH($B33,Alimentos!$E$5:$E$310,0)),"")</f>
        <v/>
      </c>
      <c r="AZ33" s="290" t="str">
        <f>IFERROR(INDEX(Alimentos!AX$5:AX$310,MATCH($B33,Alimentos!$E$5:$E$310,0)),"")</f>
        <v/>
      </c>
      <c r="BA33" s="290" t="str">
        <f>IFERROR(INDEX(Alimentos!AY$5:AY$310,MATCH($B33,Alimentos!$E$5:$E$310,0)),"")</f>
        <v/>
      </c>
      <c r="BB33" s="290" t="str">
        <f>IFERROR(INDEX(Alimentos!AZ$5:AZ$310,MATCH($B33,Alimentos!$E$5:$E$310,0)),"")</f>
        <v/>
      </c>
      <c r="BC33" s="274"/>
      <c r="BD33" s="292">
        <f t="shared" si="1"/>
        <v>0</v>
      </c>
      <c r="BE33" s="519">
        <f t="shared" si="2"/>
        <v>0</v>
      </c>
      <c r="BF33" s="293" t="str">
        <f t="shared" si="3"/>
        <v/>
      </c>
      <c r="BG33" s="294">
        <f t="shared" si="9"/>
        <v>0</v>
      </c>
      <c r="BH33" s="295">
        <f t="shared" si="10"/>
        <v>0</v>
      </c>
      <c r="BI33" s="296">
        <f t="shared" si="5"/>
        <v>0</v>
      </c>
      <c r="BJ33" s="297">
        <f t="shared" si="6"/>
        <v>0</v>
      </c>
      <c r="BK33" s="298">
        <f t="shared" si="11"/>
        <v>0</v>
      </c>
      <c r="BL33" s="1998" t="str">
        <f>IFERROR(INDEX(Alimentos!B$5:B$310,MATCH($B33,Alimentos!$E$5:$E$310,0)),"")</f>
        <v/>
      </c>
      <c r="BM33" s="280" t="str">
        <f>IF(C33=0,"",COUNTIF(BL$9:BL33,"Concentrado"))</f>
        <v/>
      </c>
      <c r="BN33" s="263" t="str">
        <f>IF(BM33="","",COUNTIFS(BM$9:BM33,"&gt;"&amp;0))</f>
        <v/>
      </c>
      <c r="BP33" s="281"/>
      <c r="BQ33" s="281"/>
    </row>
    <row r="34" spans="1:71" ht="15">
      <c r="A34" s="271" t="str">
        <f>IFERROR(MATCH($B34,Alimentos!$E$5:$E$310,0)+1,"")</f>
        <v/>
      </c>
      <c r="B34" s="419" t="s">
        <v>65</v>
      </c>
      <c r="C34" s="299">
        <f>SUM(C9:C33)</f>
        <v>0.99999994080117671</v>
      </c>
      <c r="D34" s="382" t="s">
        <v>655</v>
      </c>
      <c r="E34" s="300"/>
      <c r="F34" s="300"/>
      <c r="G34" s="420"/>
      <c r="H34" s="388"/>
      <c r="I34" s="405">
        <f>IF(I40=0,"-",I40/Total.MN)</f>
        <v>1</v>
      </c>
      <c r="J34" s="301">
        <f>IF(J40=0,"-",J40/Total.MN)</f>
        <v>0.99216770018997691</v>
      </c>
      <c r="K34" s="301" t="str">
        <f>IF(K5="-","-",IF(K40=0,"-",K40/K5/Total.MN))</f>
        <v>-</v>
      </c>
      <c r="L34" s="301" t="str">
        <f t="shared" ref="L34:BB34" si="12">IF(L5="-","-",IF(L40=0,"-",L40/L5/Total.MN))</f>
        <v>-</v>
      </c>
      <c r="M34" s="406" t="str">
        <f t="shared" si="12"/>
        <v>-</v>
      </c>
      <c r="N34" s="405" t="str">
        <f t="shared" si="12"/>
        <v>-</v>
      </c>
      <c r="O34" s="301" t="str">
        <f t="shared" si="12"/>
        <v>-</v>
      </c>
      <c r="P34" s="301" t="str">
        <f t="shared" si="12"/>
        <v>-</v>
      </c>
      <c r="Q34" s="301" t="str">
        <f t="shared" si="12"/>
        <v>-</v>
      </c>
      <c r="R34" s="406" t="str">
        <f t="shared" si="12"/>
        <v>-</v>
      </c>
      <c r="S34" s="302" t="str">
        <f t="shared" si="12"/>
        <v>-</v>
      </c>
      <c r="T34" s="301" t="str">
        <f t="shared" si="12"/>
        <v>-</v>
      </c>
      <c r="U34" s="301" t="str">
        <f t="shared" si="12"/>
        <v>-</v>
      </c>
      <c r="V34" s="301" t="str">
        <f t="shared" si="12"/>
        <v>-</v>
      </c>
      <c r="W34" s="301" t="str">
        <f t="shared" si="12"/>
        <v>-</v>
      </c>
      <c r="X34" s="405">
        <f t="shared" si="12"/>
        <v>0.10800000639347333</v>
      </c>
      <c r="Y34" s="301">
        <f t="shared" si="12"/>
        <v>8.2773707484608952E-2</v>
      </c>
      <c r="Z34" s="301">
        <f t="shared" si="12"/>
        <v>3.7000002190357706E-2</v>
      </c>
      <c r="AA34" s="301">
        <f t="shared" si="12"/>
        <v>4.5000002663947214E-2</v>
      </c>
      <c r="AB34" s="301">
        <f t="shared" si="12"/>
        <v>0.11100000657106979</v>
      </c>
      <c r="AC34" s="301">
        <f t="shared" si="12"/>
        <v>4.400004660290853E-2</v>
      </c>
      <c r="AD34" s="301">
        <f t="shared" si="12"/>
        <v>3.9100002314674132E-4</v>
      </c>
      <c r="AE34" s="301">
        <f t="shared" si="12"/>
        <v>1.171000069321826E-3</v>
      </c>
      <c r="AF34" s="301" t="str">
        <f t="shared" si="12"/>
        <v>-</v>
      </c>
      <c r="AG34" s="301">
        <f t="shared" si="12"/>
        <v>7.8100004623428377E-4</v>
      </c>
      <c r="AH34" s="301">
        <f t="shared" si="12"/>
        <v>2.0000001183976536E-5</v>
      </c>
      <c r="AI34" s="301">
        <f t="shared" si="12"/>
        <v>4.0000002367953066E-6</v>
      </c>
      <c r="AJ34" s="406">
        <f t="shared" si="12"/>
        <v>8.0000004735906149E-6</v>
      </c>
      <c r="AK34" s="302" t="str">
        <f t="shared" si="12"/>
        <v>-</v>
      </c>
      <c r="AL34" s="301" t="str">
        <f t="shared" si="12"/>
        <v>-</v>
      </c>
      <c r="AM34" s="301" t="str">
        <f t="shared" si="12"/>
        <v>-</v>
      </c>
      <c r="AN34" s="301" t="str">
        <f t="shared" si="12"/>
        <v>-</v>
      </c>
      <c r="AO34" s="301" t="str">
        <f t="shared" si="12"/>
        <v>-</v>
      </c>
      <c r="AP34" s="301" t="str">
        <f t="shared" si="12"/>
        <v>-</v>
      </c>
      <c r="AQ34" s="301" t="str">
        <f t="shared" si="12"/>
        <v>-</v>
      </c>
      <c r="AR34" s="301" t="str">
        <f t="shared" si="12"/>
        <v>-</v>
      </c>
      <c r="AS34" s="301" t="str">
        <f t="shared" si="12"/>
        <v>-</v>
      </c>
      <c r="AT34" s="301" t="str">
        <f t="shared" si="12"/>
        <v>-</v>
      </c>
      <c r="AU34" s="301" t="str">
        <f t="shared" si="12"/>
        <v>-</v>
      </c>
      <c r="AV34" s="301" t="str">
        <f t="shared" si="12"/>
        <v>-</v>
      </c>
      <c r="AW34" s="301" t="str">
        <f t="shared" si="12"/>
        <v>-</v>
      </c>
      <c r="AX34" s="301" t="str">
        <f t="shared" si="12"/>
        <v>-</v>
      </c>
      <c r="AY34" s="301" t="str">
        <f t="shared" si="12"/>
        <v>-</v>
      </c>
      <c r="AZ34" s="301" t="str">
        <f t="shared" si="12"/>
        <v>-</v>
      </c>
      <c r="BA34" s="301" t="str">
        <f t="shared" si="12"/>
        <v>-</v>
      </c>
      <c r="BB34" s="301">
        <f t="shared" si="12"/>
        <v>0.99216770018997691</v>
      </c>
      <c r="BC34" s="274"/>
      <c r="BD34" s="303">
        <f t="shared" si="1"/>
        <v>1</v>
      </c>
      <c r="BE34" s="520">
        <f t="shared" si="2"/>
        <v>0.99999994080117671</v>
      </c>
      <c r="BF34" s="304">
        <f>IF(Total.MN=0,0,BG34/BE34)</f>
        <v>1.060780125726541</v>
      </c>
      <c r="BG34" s="305">
        <f>SUMPRODUCT(Mistura_dos_Ingredientes,G9:G33)</f>
        <v>1.0607800629296058</v>
      </c>
      <c r="BH34" s="306">
        <f>SUM(BH9:BH33)</f>
        <v>1</v>
      </c>
      <c r="BI34" s="307">
        <f>SUM(BI9:BI33)</f>
        <v>0.99216764145481651</v>
      </c>
      <c r="BJ34" s="304">
        <f>IF(Total.MS=0,0,BK34/BI34)</f>
        <v>1.0691540608744132</v>
      </c>
      <c r="BK34" s="308">
        <f>SUM(BK9:BK33)</f>
        <v>1.0607800629296058</v>
      </c>
      <c r="BL34" s="1999" t="str">
        <f>IFERROR(INDEX(Alimentos!D$5:D$310,MATCH($B34,Alimentos!$E$5:$E$310,0)),"")</f>
        <v/>
      </c>
      <c r="BM34" s="309"/>
    </row>
    <row r="35" spans="1:71" ht="15" customHeight="1" thickBot="1">
      <c r="A35" s="271" t="str">
        <f>IFERROR(MATCH($B35,Alimentos!$E$5:$E$310,0)+1,"")</f>
        <v/>
      </c>
      <c r="B35" s="421" t="s">
        <v>66</v>
      </c>
      <c r="C35" s="422">
        <f>BI34</f>
        <v>0.99216764145481651</v>
      </c>
      <c r="D35" s="423" t="s">
        <v>654</v>
      </c>
      <c r="E35" s="424"/>
      <c r="F35" s="424"/>
      <c r="G35" s="425"/>
      <c r="H35" s="389"/>
      <c r="I35" s="428">
        <f>IF(I40=0,"",I40/Total.MS)</f>
        <v>1.0078941289950514</v>
      </c>
      <c r="J35" s="429">
        <f>IF(J40=0,"",J40/Total.MS)</f>
        <v>1</v>
      </c>
      <c r="K35" s="429" t="str">
        <f t="shared" ref="K35:BB35" si="13">IF(K5="-","-",IF(K40=0,"-",K40/K5/Total.MS))</f>
        <v>-</v>
      </c>
      <c r="L35" s="429" t="str">
        <f>IF(L5="-","-",IF(L40=0,"-",L40/L5/Total.MS))</f>
        <v>-</v>
      </c>
      <c r="M35" s="430" t="str">
        <f t="shared" si="13"/>
        <v>-</v>
      </c>
      <c r="N35" s="428" t="str">
        <f>IF(N5="-","-",IF(N40=0,"-",N40/N5/Total.MS))</f>
        <v>-</v>
      </c>
      <c r="O35" s="429" t="str">
        <f t="shared" si="13"/>
        <v>-</v>
      </c>
      <c r="P35" s="429" t="str">
        <f t="shared" si="13"/>
        <v>-</v>
      </c>
      <c r="Q35" s="429" t="str">
        <f t="shared" si="13"/>
        <v>-</v>
      </c>
      <c r="R35" s="430" t="str">
        <f t="shared" si="13"/>
        <v>-</v>
      </c>
      <c r="S35" s="311" t="str">
        <f t="shared" si="13"/>
        <v>-</v>
      </c>
      <c r="T35" s="310" t="str">
        <f t="shared" si="13"/>
        <v>-</v>
      </c>
      <c r="U35" s="310" t="str">
        <f t="shared" si="13"/>
        <v>-</v>
      </c>
      <c r="V35" s="310" t="str">
        <f t="shared" si="13"/>
        <v>-</v>
      </c>
      <c r="W35" s="310" t="str">
        <f t="shared" si="13"/>
        <v>-</v>
      </c>
      <c r="X35" s="437">
        <f t="shared" si="13"/>
        <v>0.10885257237540978</v>
      </c>
      <c r="Y35" s="310">
        <f t="shared" si="13"/>
        <v>8.3427133808891107E-2</v>
      </c>
      <c r="Z35" s="310">
        <f t="shared" si="13"/>
        <v>3.7292084980465573E-2</v>
      </c>
      <c r="AA35" s="310">
        <f t="shared" si="13"/>
        <v>4.5355238489754063E-2</v>
      </c>
      <c r="AB35" s="310">
        <f t="shared" si="13"/>
        <v>0.11187625494139336</v>
      </c>
      <c r="AC35" s="310">
        <f t="shared" si="13"/>
        <v>4.4347388646580159E-2</v>
      </c>
      <c r="AD35" s="310">
        <f t="shared" si="13"/>
        <v>3.9408662776652982E-4</v>
      </c>
      <c r="AE35" s="310">
        <f t="shared" si="13"/>
        <v>1.1802440949222664E-3</v>
      </c>
      <c r="AF35" s="310" t="str">
        <f t="shared" si="13"/>
        <v>-</v>
      </c>
      <c r="AG35" s="310">
        <f t="shared" si="13"/>
        <v>7.8716536134439824E-4</v>
      </c>
      <c r="AH35" s="310">
        <f t="shared" si="13"/>
        <v>2.015788377322403E-5</v>
      </c>
      <c r="AI35" s="310">
        <f t="shared" si="13"/>
        <v>4.0315767546448053E-6</v>
      </c>
      <c r="AJ35" s="427">
        <f t="shared" si="13"/>
        <v>8.0631535092896124E-6</v>
      </c>
      <c r="AK35" s="311" t="str">
        <f t="shared" si="13"/>
        <v>-</v>
      </c>
      <c r="AL35" s="310" t="str">
        <f t="shared" si="13"/>
        <v>-</v>
      </c>
      <c r="AM35" s="310" t="str">
        <f t="shared" si="13"/>
        <v>-</v>
      </c>
      <c r="AN35" s="310" t="str">
        <f t="shared" si="13"/>
        <v>-</v>
      </c>
      <c r="AO35" s="310" t="str">
        <f t="shared" si="13"/>
        <v>-</v>
      </c>
      <c r="AP35" s="310" t="str">
        <f t="shared" si="13"/>
        <v>-</v>
      </c>
      <c r="AQ35" s="310" t="str">
        <f t="shared" si="13"/>
        <v>-</v>
      </c>
      <c r="AR35" s="310" t="str">
        <f t="shared" si="13"/>
        <v>-</v>
      </c>
      <c r="AS35" s="310" t="str">
        <f t="shared" si="13"/>
        <v>-</v>
      </c>
      <c r="AT35" s="310" t="str">
        <f t="shared" si="13"/>
        <v>-</v>
      </c>
      <c r="AU35" s="310" t="str">
        <f t="shared" si="13"/>
        <v>-</v>
      </c>
      <c r="AV35" s="310" t="str">
        <f t="shared" si="13"/>
        <v>-</v>
      </c>
      <c r="AW35" s="310" t="str">
        <f t="shared" si="13"/>
        <v>-</v>
      </c>
      <c r="AX35" s="310" t="str">
        <f t="shared" si="13"/>
        <v>-</v>
      </c>
      <c r="AY35" s="310" t="str">
        <f t="shared" si="13"/>
        <v>-</v>
      </c>
      <c r="AZ35" s="310" t="str">
        <f t="shared" si="13"/>
        <v>-</v>
      </c>
      <c r="BA35" s="310" t="str">
        <f t="shared" si="13"/>
        <v>-</v>
      </c>
      <c r="BB35" s="310">
        <f t="shared" si="13"/>
        <v>1</v>
      </c>
      <c r="BC35" s="262"/>
      <c r="BD35" s="312"/>
      <c r="BE35" s="313"/>
      <c r="BF35" s="313"/>
      <c r="BG35" s="314"/>
      <c r="BH35" s="312"/>
      <c r="BI35" s="313"/>
      <c r="BJ35" s="313"/>
      <c r="BK35" s="315"/>
      <c r="BL35" s="2000" t="s">
        <v>3</v>
      </c>
      <c r="BM35" s="309"/>
    </row>
    <row r="36" spans="1:71" ht="4.5" customHeight="1">
      <c r="A36" s="262"/>
      <c r="B36" s="262"/>
      <c r="C36" s="262"/>
      <c r="D36" s="262"/>
      <c r="E36" s="262"/>
      <c r="F36" s="262"/>
      <c r="G36" s="262"/>
      <c r="H36" s="262"/>
      <c r="I36" s="262"/>
      <c r="J36" s="262"/>
      <c r="K36" s="262"/>
      <c r="L36" s="316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262"/>
      <c r="BF36" s="262"/>
      <c r="BG36" s="262"/>
      <c r="BH36" s="262"/>
      <c r="BI36" s="262"/>
      <c r="BJ36" s="262"/>
      <c r="BK36" s="262"/>
      <c r="BL36" s="2001"/>
      <c r="BM36" s="309"/>
    </row>
    <row r="37" spans="1:71" ht="15" customHeight="1" thickBot="1">
      <c r="A37" s="262"/>
      <c r="B37" s="262"/>
      <c r="C37" s="262"/>
      <c r="D37" s="262"/>
      <c r="E37" s="262"/>
      <c r="F37" s="262"/>
      <c r="G37" s="262"/>
      <c r="H37" s="262"/>
      <c r="I37" s="502" t="s">
        <v>672</v>
      </c>
      <c r="J37" s="502" t="s">
        <v>672</v>
      </c>
      <c r="K37" s="502" t="s">
        <v>671</v>
      </c>
      <c r="L37" s="502" t="s">
        <v>671</v>
      </c>
      <c r="M37" s="502" t="s">
        <v>671</v>
      </c>
      <c r="N37" s="502" t="s">
        <v>671</v>
      </c>
      <c r="O37" s="502" t="s">
        <v>671</v>
      </c>
      <c r="P37" s="502" t="s">
        <v>671</v>
      </c>
      <c r="Q37" s="502" t="s">
        <v>671</v>
      </c>
      <c r="R37" s="502" t="s">
        <v>671</v>
      </c>
      <c r="S37" s="502" t="s">
        <v>671</v>
      </c>
      <c r="T37" s="502" t="s">
        <v>671</v>
      </c>
      <c r="U37" s="502" t="s">
        <v>671</v>
      </c>
      <c r="V37" s="502" t="s">
        <v>671</v>
      </c>
      <c r="W37" s="502" t="s">
        <v>671</v>
      </c>
      <c r="X37" s="502" t="s">
        <v>672</v>
      </c>
      <c r="Y37" s="502" t="s">
        <v>672</v>
      </c>
      <c r="Z37" s="502" t="s">
        <v>672</v>
      </c>
      <c r="AA37" s="502" t="s">
        <v>672</v>
      </c>
      <c r="AB37" s="502" t="s">
        <v>672</v>
      </c>
      <c r="AC37" s="502" t="s">
        <v>672</v>
      </c>
      <c r="AD37" s="502" t="s">
        <v>672</v>
      </c>
      <c r="AE37" s="502" t="s">
        <v>672</v>
      </c>
      <c r="AF37" s="502" t="s">
        <v>672</v>
      </c>
      <c r="AG37" s="502" t="s">
        <v>672</v>
      </c>
      <c r="AH37" s="502" t="s">
        <v>672</v>
      </c>
      <c r="AI37" s="502" t="s">
        <v>672</v>
      </c>
      <c r="AJ37" s="502" t="s">
        <v>672</v>
      </c>
      <c r="AK37" s="502" t="s">
        <v>671</v>
      </c>
      <c r="AL37" s="502" t="s">
        <v>671</v>
      </c>
      <c r="AM37" s="502" t="s">
        <v>671</v>
      </c>
      <c r="AN37" s="502" t="s">
        <v>671</v>
      </c>
      <c r="AO37" s="502" t="s">
        <v>671</v>
      </c>
      <c r="AP37" s="502" t="s">
        <v>671</v>
      </c>
      <c r="AQ37" s="502" t="s">
        <v>671</v>
      </c>
      <c r="AR37" s="502" t="s">
        <v>671</v>
      </c>
      <c r="AS37" s="502" t="s">
        <v>671</v>
      </c>
      <c r="AT37" s="502" t="s">
        <v>671</v>
      </c>
      <c r="AU37" s="502" t="s">
        <v>671</v>
      </c>
      <c r="AV37" s="502" t="s">
        <v>671</v>
      </c>
      <c r="AW37" s="502" t="s">
        <v>671</v>
      </c>
      <c r="AX37" s="502" t="s">
        <v>671</v>
      </c>
      <c r="AY37" s="502" t="s">
        <v>671</v>
      </c>
      <c r="AZ37" s="502" t="s">
        <v>671</v>
      </c>
      <c r="BA37" s="502" t="s">
        <v>671</v>
      </c>
      <c r="BB37" s="502" t="s">
        <v>671</v>
      </c>
      <c r="BC37" s="317"/>
      <c r="BD37" s="309"/>
      <c r="BE37" s="309"/>
      <c r="BF37" s="309"/>
      <c r="BG37" s="309"/>
      <c r="BH37" s="309"/>
      <c r="BI37" s="309"/>
      <c r="BJ37" s="309"/>
      <c r="BK37" s="309"/>
      <c r="BL37" s="2002"/>
      <c r="BM37" s="309"/>
    </row>
    <row r="38" spans="1:71" ht="15.75" thickTop="1">
      <c r="A38" s="318"/>
      <c r="B38" s="319"/>
      <c r="C38" s="320"/>
      <c r="D38" s="320"/>
      <c r="E38" s="320"/>
      <c r="F38" s="320"/>
      <c r="G38" s="467" t="s">
        <v>48</v>
      </c>
      <c r="H38" s="390"/>
      <c r="I38" s="503" t="str">
        <f>IF(I37="Desconsiderar","OK",IF(I43="OK","OK",IF(I40&lt;I39,"D",IF(I40&gt;I41,"S","OK"))))</f>
        <v>D</v>
      </c>
      <c r="J38" s="503" t="str">
        <f t="shared" ref="J38:T38" si="14">IF(J37="Desconsiderar","OK",IF(J43="OK","OK",IF(J40&lt;J39,"D",IF(J40&gt;J41,"S","OK"))))</f>
        <v>OK</v>
      </c>
      <c r="K38" s="503" t="str">
        <f t="shared" si="14"/>
        <v>OK</v>
      </c>
      <c r="L38" s="503" t="str">
        <f t="shared" si="14"/>
        <v>OK</v>
      </c>
      <c r="M38" s="503" t="str">
        <f t="shared" si="14"/>
        <v>OK</v>
      </c>
      <c r="N38" s="503" t="str">
        <f t="shared" si="14"/>
        <v>OK</v>
      </c>
      <c r="O38" s="503" t="str">
        <f t="shared" si="14"/>
        <v>OK</v>
      </c>
      <c r="P38" s="503" t="str">
        <f t="shared" si="14"/>
        <v>OK</v>
      </c>
      <c r="Q38" s="503" t="str">
        <f t="shared" si="14"/>
        <v>OK</v>
      </c>
      <c r="R38" s="503" t="str">
        <f t="shared" si="14"/>
        <v>OK</v>
      </c>
      <c r="S38" s="503" t="str">
        <f t="shared" si="14"/>
        <v>OK</v>
      </c>
      <c r="T38" s="503" t="str">
        <f t="shared" si="14"/>
        <v>OK</v>
      </c>
      <c r="U38" s="503" t="str">
        <f t="shared" ref="U38" si="15">IF(U37="Desconsiderar","OK",IF(U43="OK","OK",IF(U40&lt;U39,"D",IF(U40&gt;U41,"S","OK"))))</f>
        <v>OK</v>
      </c>
      <c r="V38" s="503" t="str">
        <f t="shared" ref="V38" si="16">IF(V37="Desconsiderar","OK",IF(V43="OK","OK",IF(V40&lt;V39,"D",IF(V40&gt;V41,"S","OK"))))</f>
        <v>OK</v>
      </c>
      <c r="W38" s="503" t="str">
        <f t="shared" ref="W38" si="17">IF(W37="Desconsiderar","OK",IF(W43="OK","OK",IF(W40&lt;W39,"D",IF(W40&gt;W41,"S","OK"))))</f>
        <v>OK</v>
      </c>
      <c r="X38" s="503" t="str">
        <f>IF(X37="Desconsiderar","OK",IF(X43="OK","OK",IF(X40&lt;X39,"D",IF(X40&gt;X41,"S","OK"))))</f>
        <v>OK</v>
      </c>
      <c r="Y38" s="503" t="str">
        <f t="shared" ref="Y38" si="18">IF(Y37="Desconsiderar","OK",IF(Y43="OK","OK",IF(Y40&lt;Y39,"D",IF(Y40&gt;Y41,"S","OK"))))</f>
        <v>OK</v>
      </c>
      <c r="Z38" s="503" t="str">
        <f t="shared" ref="Z38" si="19">IF(Z37="Desconsiderar","OK",IF(Z43="OK","OK",IF(Z40&lt;Z39,"D",IF(Z40&gt;Z41,"S","OK"))))</f>
        <v>S</v>
      </c>
      <c r="AA38" s="503" t="str">
        <f t="shared" ref="AA38" si="20">IF(AA37="Desconsiderar","OK",IF(AA43="OK","OK",IF(AA40&lt;AA39,"D",IF(AA40&gt;AA41,"S","OK"))))</f>
        <v>OK</v>
      </c>
      <c r="AB38" s="503" t="str">
        <f t="shared" ref="AB38" si="21">IF(AB37="Desconsiderar","OK",IF(AB43="OK","OK",IF(AB40&lt;AB39,"D",IF(AB40&gt;AB41,"S","OK"))))</f>
        <v>OK</v>
      </c>
      <c r="AC38" s="503" t="str">
        <f t="shared" ref="AC38" si="22">IF(AC37="Desconsiderar","OK",IF(AC43="OK","OK",IF(AC40&lt;AC39,"D",IF(AC40&gt;AC41,"S","OK"))))</f>
        <v>S</v>
      </c>
      <c r="AD38" s="503" t="str">
        <f t="shared" ref="AD38:AE38" si="23">IF(AD37="Desconsiderar","OK",IF(AD43="OK","OK",IF(AD40&lt;AD39,"D",IF(AD40&gt;AD41,"S","OK"))))</f>
        <v>OK</v>
      </c>
      <c r="AE38" s="503" t="str">
        <f t="shared" si="23"/>
        <v>OK</v>
      </c>
      <c r="AF38" s="503" t="str">
        <f t="shared" ref="AF38" si="24">IF(AF37="Desconsiderar","OK",IF(AF43="OK","OK",IF(AF40&lt;AF39,"D",IF(AF40&gt;AF41,"S","OK"))))</f>
        <v>OK</v>
      </c>
      <c r="AG38" s="503" t="str">
        <f t="shared" ref="AG38" si="25">IF(AG37="Desconsiderar","OK",IF(AG43="OK","OK",IF(AG40&lt;AG39,"D",IF(AG40&gt;AG41,"S","OK"))))</f>
        <v>OK</v>
      </c>
      <c r="AH38" s="503" t="str">
        <f t="shared" ref="AH38" si="26">IF(AH37="Desconsiderar","OK",IF(AH43="OK","OK",IF(AH40&lt;AH39,"D",IF(AH40&gt;AH41,"S","OK"))))</f>
        <v>OK</v>
      </c>
      <c r="AI38" s="503" t="str">
        <f t="shared" ref="AI38" si="27">IF(AI37="Desconsiderar","OK",IF(AI43="OK","OK",IF(AI40&lt;AI39,"D",IF(AI40&gt;AI41,"S","OK"))))</f>
        <v>OK</v>
      </c>
      <c r="AJ38" s="503" t="str">
        <f t="shared" ref="AJ38" si="28">IF(AJ37="Desconsiderar","OK",IF(AJ43="OK","OK",IF(AJ40&lt;AJ39,"D",IF(AJ40&gt;AJ41,"S","OK"))))</f>
        <v>OK</v>
      </c>
      <c r="AK38" s="503" t="str">
        <f t="shared" ref="AK38" si="29">IF(AK37="Desconsiderar","OK",IF(AK43="OK","OK",IF(AK40&lt;AK39,"D",IF(AK40&gt;AK41,"S","OK"))))</f>
        <v>OK</v>
      </c>
      <c r="AL38" s="503" t="str">
        <f t="shared" ref="AL38" si="30">IF(AL37="Desconsiderar","OK",IF(AL43="OK","OK",IF(AL40&lt;AL39,"D",IF(AL40&gt;AL41,"S","OK"))))</f>
        <v>OK</v>
      </c>
      <c r="AM38" s="503" t="str">
        <f t="shared" ref="AM38" si="31">IF(AM37="Desconsiderar","OK",IF(AM43="OK","OK",IF(AM40&lt;AM39,"D",IF(AM40&gt;AM41,"S","OK"))))</f>
        <v>OK</v>
      </c>
      <c r="AN38" s="503" t="str">
        <f t="shared" ref="AN38" si="32">IF(AN37="Desconsiderar","OK",IF(AN43="OK","OK",IF(AN40&lt;AN39,"D",IF(AN40&gt;AN41,"S","OK"))))</f>
        <v>OK</v>
      </c>
      <c r="AO38" s="503" t="str">
        <f t="shared" ref="AO38:AP38" si="33">IF(AO37="Desconsiderar","OK",IF(AO43="OK","OK",IF(AO40&lt;AO39,"D",IF(AO40&gt;AO41,"S","OK"))))</f>
        <v>OK</v>
      </c>
      <c r="AP38" s="503" t="str">
        <f t="shared" si="33"/>
        <v>OK</v>
      </c>
      <c r="AQ38" s="503" t="str">
        <f t="shared" ref="AQ38" si="34">IF(AQ37="Desconsiderar","OK",IF(AQ43="OK","OK",IF(AQ40&lt;AQ39,"D",IF(AQ40&gt;AQ41,"S","OK"))))</f>
        <v>OK</v>
      </c>
      <c r="AR38" s="503" t="str">
        <f t="shared" ref="AR38" si="35">IF(AR37="Desconsiderar","OK",IF(AR43="OK","OK",IF(AR40&lt;AR39,"D",IF(AR40&gt;AR41,"S","OK"))))</f>
        <v>OK</v>
      </c>
      <c r="AS38" s="503" t="str">
        <f t="shared" ref="AS38" si="36">IF(AS37="Desconsiderar","OK",IF(AS43="OK","OK",IF(AS40&lt;AS39,"D",IF(AS40&gt;AS41,"S","OK"))))</f>
        <v>OK</v>
      </c>
      <c r="AT38" s="503" t="str">
        <f t="shared" ref="AT38" si="37">IF(AT37="Desconsiderar","OK",IF(AT43="OK","OK",IF(AT40&lt;AT39,"D",IF(AT40&gt;AT41,"S","OK"))))</f>
        <v>OK</v>
      </c>
      <c r="AU38" s="503" t="str">
        <f t="shared" ref="AU38" si="38">IF(AU37="Desconsiderar","OK",IF(AU43="OK","OK",IF(AU40&lt;AU39,"D",IF(AU40&gt;AU41,"S","OK"))))</f>
        <v>OK</v>
      </c>
      <c r="AV38" s="503" t="str">
        <f t="shared" ref="AV38" si="39">IF(AV37="Desconsiderar","OK",IF(AV43="OK","OK",IF(AV40&lt;AV39,"D",IF(AV40&gt;AV41,"S","OK"))))</f>
        <v>OK</v>
      </c>
      <c r="AW38" s="503" t="str">
        <f t="shared" ref="AW38" si="40">IF(AW37="Desconsiderar","OK",IF(AW43="OK","OK",IF(AW40&lt;AW39,"D",IF(AW40&gt;AW41,"S","OK"))))</f>
        <v>OK</v>
      </c>
      <c r="AX38" s="503" t="str">
        <f t="shared" ref="AX38" si="41">IF(AX37="Desconsiderar","OK",IF(AX43="OK","OK",IF(AX40&lt;AX39,"D",IF(AX40&gt;AX41,"S","OK"))))</f>
        <v>OK</v>
      </c>
      <c r="AY38" s="503" t="str">
        <f t="shared" ref="AY38" si="42">IF(AY37="Desconsiderar","OK",IF(AY43="OK","OK",IF(AY40&lt;AY39,"D",IF(AY40&gt;AY41,"S","OK"))))</f>
        <v>OK</v>
      </c>
      <c r="AZ38" s="503" t="str">
        <f t="shared" ref="AZ38:BA38" si="43">IF(AZ37="Desconsiderar","OK",IF(AZ43="OK","OK",IF(AZ40&lt;AZ39,"D",IF(AZ40&gt;AZ41,"S","OK"))))</f>
        <v>OK</v>
      </c>
      <c r="BA38" s="503" t="str">
        <f t="shared" si="43"/>
        <v>OK</v>
      </c>
      <c r="BB38" s="503" t="str">
        <f t="shared" ref="BB38" si="44">IF(BB37="Desconsiderar","OK",IF(BB43="OK","OK",IF(BB40&lt;BB39,"D",IF(BB40&gt;BB41,"S","OK"))))</f>
        <v>OK</v>
      </c>
      <c r="BC38" s="262"/>
      <c r="BD38" s="503"/>
      <c r="BE38" s="321"/>
      <c r="BF38" s="321"/>
      <c r="BG38" s="321"/>
      <c r="BH38" s="483" t="s">
        <v>659</v>
      </c>
      <c r="BI38" s="321"/>
      <c r="BJ38" s="321"/>
      <c r="BK38" s="321"/>
      <c r="BL38" s="2003"/>
      <c r="BM38" s="309"/>
    </row>
    <row r="39" spans="1:71" ht="15" customHeight="1">
      <c r="A39" s="318"/>
      <c r="B39" s="472"/>
      <c r="C39" s="473"/>
      <c r="D39" s="473"/>
      <c r="E39" s="473"/>
      <c r="F39" s="473"/>
      <c r="G39" s="473" t="s">
        <v>45</v>
      </c>
      <c r="H39" s="391"/>
      <c r="I39" s="322">
        <f>IF(I37="Desconsiderar",0,IF(I46=0,IF(I47&gt;0,I47,SUMIFS(Exigência!G4:G53,Exigência!$BB$4:$BB$53,$A$4,Exigência!$BA$4:$BA$53,"Mín")),SUMIFS(Exigência!G4:G53,Exigência!$BB$4:$BB$53,$A$4,Exigência!$BA$4:$BA$53,"Mín"))-(SUMIFS(Exigência!G4:G53,Exigência!$BB$4:$BB$53,$A$4,Exigência!$BA$4:$BA$53,"Mín"))*I46)</f>
        <v>1</v>
      </c>
      <c r="J39" s="322">
        <f>IF(J37="Desconsiderar",0,IF(J46=0,IF(J47&gt;0,J47,SUMIFS(Exigência!H4:H53,Exigência!$BB$4:$BB$53,$A$4,Exigência!$BA$4:$BA$53,"Mín")),SUMIFS(Exigência!H4:H53,Exigência!$BB$4:$BB$53,$A$4,Exigência!$BA$4:$BA$53,"Mín"))-(SUMIFS(Exigência!H4:H53,Exigência!$BB$4:$BB$53,$A$4,Exigência!$BA$4:$BA$53,"Mín"))*J46)</f>
        <v>0</v>
      </c>
      <c r="K39" s="322">
        <f>IF(K37="Desconsiderar",0,IF(K46=0,IF(K47&gt;0,K47,SUMIFS(Exigência!I4:I53,Exigência!$BB$4:$BB$53,$A$4,Exigência!$BA$4:$BA$53,"Mín")),SUMIFS(Exigência!I4:I53,Exigência!$BB$4:$BB$53,$A$4,Exigência!$BA$4:$BA$53,"Mín"))-(SUMIFS(Exigência!I4:I53,Exigência!$BB$4:$BB$53,$A$4,Exigência!$BA$4:$BA$53,"Mín"))*K46)</f>
        <v>0</v>
      </c>
      <c r="L39" s="322">
        <f>IF(L37="Desconsiderar",0,IF(L46=0,IF(L47&gt;0,L47,SUMIFS(Exigência!J4:J53,Exigência!$BB$4:$BB$53,$A$4,Exigência!$BA$4:$BA$53,"Mín")),SUMIFS(Exigência!J4:J53,Exigência!$BB$4:$BB$53,$A$4,Exigência!$BA$4:$BA$53,"Mín"))-(SUMIFS(Exigência!J4:J53,Exigência!$BB$4:$BB$53,$A$4,Exigência!$BA$4:$BA$53,"Mín"))*L46)</f>
        <v>0</v>
      </c>
      <c r="M39" s="322">
        <f>IF(M37="Desconsiderar",0,IF(M46=0,IF(M47&gt;0,M47,SUMIFS(Exigência!K4:K53,Exigência!$BB$4:$BB$53,$A$4,Exigência!$BA$4:$BA$53,"Mín")),SUMIFS(Exigência!K4:K53,Exigência!$BB$4:$BB$53,$A$4,Exigência!$BA$4:$BA$53,"Mín"))-(SUMIFS(Exigência!K4:K53,Exigência!$BB$4:$BB$53,$A$4,Exigência!$BA$4:$BA$53,"Mín"))*M46)</f>
        <v>0</v>
      </c>
      <c r="N39" s="322">
        <f>IF(N37="Desconsiderar",0,IF(N46=0,IF(N47&gt;0,N47,SUMIFS(Exigência!L4:L53,Exigência!$BB$4:$BB$53,$A$4,Exigência!$BA$4:$BA$53,"Mín")),SUMIFS(Exigência!L4:L53,Exigência!$BB$4:$BB$53,$A$4,Exigência!$BA$4:$BA$53,"Mín"))-(SUMIFS(Exigência!L4:L53,Exigência!$BB$4:$BB$53,$A$4,Exigência!$BA$4:$BA$53,"Mín"))*N46)</f>
        <v>0</v>
      </c>
      <c r="O39" s="322">
        <f>IF(O37="Desconsiderar",0,IF(O46=0,IF(O47&gt;0,O47,SUMIFS(Exigência!M4:M53,Exigência!$BB$4:$BB$53,$A$4,Exigência!$BA$4:$BA$53,"Mín")),SUMIFS(Exigência!M4:M53,Exigência!$BB$4:$BB$53,$A$4,Exigência!$BA$4:$BA$53,"Mín"))-(SUMIFS(Exigência!M4:M53,Exigência!$BB$4:$BB$53,$A$4,Exigência!$BA$4:$BA$53,"Mín"))*O46)</f>
        <v>0</v>
      </c>
      <c r="P39" s="322">
        <f>IF(P37="Desconsiderar",0,IF(P46=0,IF(P47&gt;0,P47,SUMIFS(Exigência!N4:N53,Exigência!$BB$4:$BB$53,$A$4,Exigência!$BA$4:$BA$53,"Mín")),SUMIFS(Exigência!N4:N53,Exigência!$BB$4:$BB$53,$A$4,Exigência!$BA$4:$BA$53,"Mín"))-(SUMIFS(Exigência!N4:N53,Exigência!$BB$4:$BB$53,$A$4,Exigência!$BA$4:$BA$53,"Mín"))*P46)</f>
        <v>0</v>
      </c>
      <c r="Q39" s="322">
        <f>IF(Q37="Desconsiderar",0,IF(Q46=0,IF(Q47&gt;0,Q47,SUMIFS(Exigência!O4:O53,Exigência!$BB$4:$BB$53,$A$4,Exigência!$BA$4:$BA$53,"Mín")),SUMIFS(Exigência!O4:O53,Exigência!$BB$4:$BB$53,$A$4,Exigência!$BA$4:$BA$53,"Mín"))-(SUMIFS(Exigência!O4:O53,Exigência!$BB$4:$BB$53,$A$4,Exigência!$BA$4:$BA$53,"Mín"))*Q46)</f>
        <v>0</v>
      </c>
      <c r="R39" s="322">
        <f>IF(R37="Desconsiderar",0,IF(R46=0,IF(R47&gt;0,R47,SUMIFS(Exigência!P4:P53,Exigência!$BB$4:$BB$53,$A$4,Exigência!$BA$4:$BA$53,"Mín")),SUMIFS(Exigência!P4:P53,Exigência!$BB$4:$BB$53,$A$4,Exigência!$BA$4:$BA$53,"Mín"))-(SUMIFS(Exigência!P4:P53,Exigência!$BB$4:$BB$53,$A$4,Exigência!$BA$4:$BA$53,"Mín"))*R46)</f>
        <v>0</v>
      </c>
      <c r="S39" s="322">
        <f>IF(S37="Desconsiderar",0,IF(S46=0,IF(S47&gt;0,S47,SUMIFS(Exigência!Q4:Q53,Exigência!$BB$4:$BB$53,$A$4,Exigência!$BA$4:$BA$53,"Mín")),SUMIFS(Exigência!Q4:Q53,Exigência!$BB$4:$BB$53,$A$4,Exigência!$BA$4:$BA$53,"Mín"))-(SUMIFS(Exigência!Q4:Q53,Exigência!$BB$4:$BB$53,$A$4,Exigência!$BA$4:$BA$53,"Mín"))*S46)</f>
        <v>0</v>
      </c>
      <c r="T39" s="322">
        <f>IF(T37="Desconsiderar",0,IF(T46=0,IF(T47&gt;0,T47,SUMIFS(Exigência!R4:R53,Exigência!$BB$4:$BB$53,$A$4,Exigência!$BA$4:$BA$53,"Mín")),SUMIFS(Exigência!R4:R53,Exigência!$BB$4:$BB$53,$A$4,Exigência!$BA$4:$BA$53,"Mín"))-(SUMIFS(Exigência!R4:R53,Exigência!$BB$4:$BB$53,$A$4,Exigência!$BA$4:$BA$53,"Mín"))*T46)</f>
        <v>0</v>
      </c>
      <c r="U39" s="322">
        <f>IF(U37="Desconsiderar",0,IF(U46=0,IF(U47&gt;0,U47,SUMIFS(Exigência!S4:S53,Exigência!$BB$4:$BB$53,$A$4,Exigência!$BA$4:$BA$53,"Mín")),SUMIFS(Exigência!S4:S53,Exigência!$BB$4:$BB$53,$A$4,Exigência!$BA$4:$BA$53,"Mín"))-(SUMIFS(Exigência!S4:S53,Exigência!$BB$4:$BB$53,$A$4,Exigência!$BA$4:$BA$53,"Mín"))*U46)</f>
        <v>0</v>
      </c>
      <c r="V39" s="322">
        <f>IF(V37="Desconsiderar",0,IF(V46=0,IF(V47&gt;0,V47,SUMIFS(Exigência!T4:T53,Exigência!$BB$4:$BB$53,$A$4,Exigência!$BA$4:$BA$53,"Mín")),SUMIFS(Exigência!T4:T53,Exigência!$BB$4:$BB$53,$A$4,Exigência!$BA$4:$BA$53,"Mín"))-(SUMIFS(Exigência!T4:T53,Exigência!$BB$4:$BB$53,$A$4,Exigência!$BA$4:$BA$53,"Mín"))*V46)</f>
        <v>0</v>
      </c>
      <c r="W39" s="322">
        <f>IF(W37="Desconsiderar",0,IF(W46=0,IF(W47&gt;0,W47,SUMIFS(Exigência!U4:U53,Exigência!$BB$4:$BB$53,$A$4,Exigência!$BA$4:$BA$53,"Mín")),SUMIFS(Exigência!U4:U53,Exigência!$BB$4:$BB$53,$A$4,Exigência!$BA$4:$BA$53,"Mín"))-(SUMIFS(Exigência!U4:U53,Exigência!$BB$4:$BB$53,$A$4,Exigência!$BA$4:$BA$53,"Mín"))*W46)</f>
        <v>0</v>
      </c>
      <c r="X39" s="322">
        <f>IF(X37="Desconsiderar",0,IF(X46=0,IF(X47&gt;0,X47,SUMIFS(Exigência!V4:V53,Exigência!$BB$4:$BB$53,$A$4,Exigência!$BA$4:$BA$53,"Mín")),SUMIFS(Exigência!V4:V53,Exigência!$BB$4:$BB$53,$A$4,Exigência!$BA$4:$BA$53,"Mín"))-(SUMIFS(Exigência!V4:V53,Exigência!$BB$4:$BB$53,$A$4,Exigência!$BA$4:$BA$53,"Mín"))*X46)</f>
        <v>108</v>
      </c>
      <c r="Y39" s="322">
        <f>IF(Y37="Desconsiderar",0,IF(Y46=0,IF(Y47&gt;0,Y47,SUMIFS(Exigência!W4:W53,Exigência!$BB$4:$BB$53,$A$4,Exigência!$BA$4:$BA$53,"Mín")),SUMIFS(Exigência!W4:W53,Exigência!$BB$4:$BB$53,$A$4,Exigência!$BA$4:$BA$53,"Mín"))-(SUMIFS(Exigência!W4:W53,Exigência!$BB$4:$BB$53,$A$4,Exigência!$BA$4:$BA$53,"Mín"))*Y46)</f>
        <v>0</v>
      </c>
      <c r="Z39" s="322">
        <f>IF(Z37="Desconsiderar",0,IF(Z46=0,IF(Z47&gt;0,Z47,SUMIFS(Exigência!X4:X53,Exigência!$BB$4:$BB$53,$A$4,Exigência!$BA$4:$BA$53,"Mín")),SUMIFS(Exigência!X4:X53,Exigência!$BB$4:$BB$53,$A$4,Exigência!$BA$4:$BA$53,"Mín"))-(SUMIFS(Exigência!X4:X53,Exigência!$BB$4:$BB$53,$A$4,Exigência!$BA$4:$BA$53,"Mín"))*Z46)</f>
        <v>37</v>
      </c>
      <c r="AA39" s="322">
        <f>IF(AA37="Desconsiderar",0,IF(AA46=0,IF(AA47&gt;0,AA47,SUMIFS(Exigência!Y4:Y53,Exigência!$BB$4:$BB$53,$A$4,Exigência!$BA$4:$BA$53,"Mín")),SUMIFS(Exigência!Y4:Y53,Exigência!$BB$4:$BB$53,$A$4,Exigência!$BA$4:$BA$53,"Mín"))-(SUMIFS(Exigência!Y4:Y53,Exigência!$BB$4:$BB$53,$A$4,Exigência!$BA$4:$BA$53,"Mín"))*AA46)</f>
        <v>45</v>
      </c>
      <c r="AB39" s="322">
        <f>IF(AB37="Desconsiderar",0,IF(AB46=0,IF(AB47&gt;0,AB47,SUMIFS(Exigência!Z4:Z53,Exigência!$BB$4:$BB$53,$A$4,Exigência!$BA$4:$BA$53,"Mín")),SUMIFS(Exigência!Z4:Z53,Exigência!$BB$4:$BB$53,$A$4,Exigência!$BA$4:$BA$53,"Mín"))-(SUMIFS(Exigência!Z4:Z53,Exigência!$BB$4:$BB$53,$A$4,Exigência!$BA$4:$BA$53,"Mín"))*AB46)</f>
        <v>111</v>
      </c>
      <c r="AC39" s="322">
        <f>IF(AC37="Desconsiderar",0,IF(AC46=0,IF(AC47&gt;0,AC47,SUMIFS(Exigência!AA4:AA53,Exigência!$BB$4:$BB$53,$A$4,Exigência!$BA$4:$BA$53,"Mín")),SUMIFS(Exigência!AA4:AA53,Exigência!$BB$4:$BB$53,$A$4,Exigência!$BA$4:$BA$53,"Mín"))-(SUMIFS(Exigência!AA4:AA53,Exigência!$BB$4:$BB$53,$A$4,Exigência!$BA$4:$BA$53,"Mín"))*AC46)</f>
        <v>44</v>
      </c>
      <c r="AD39" s="322">
        <f>IF(AD37="Desconsiderar",0,IF(AD46=0,IF(AD47&gt;0,AD47,SUMIFS(Exigência!AB4:AB53,Exigência!$BB$4:$BB$53,$A$4,Exigência!$BA$4:$BA$53,"Mín")),SUMIFS(Exigência!AB4:AB53,Exigência!$BB$4:$BB$53,$A$4,Exigência!$BA$4:$BA$53,"Mín"))-(SUMIFS(Exigência!AB4:AB53,Exigência!$BB$4:$BB$53,$A$4,Exigência!$BA$4:$BA$53,"Mín"))*AD46)</f>
        <v>391</v>
      </c>
      <c r="AE39" s="322">
        <f>IF(AE37="Desconsiderar",0,IF(AE46=0,IF(AE47&gt;0,AE47,SUMIFS(Exigência!AC4:AC53,Exigência!$BB$4:$BB$53,$A$4,Exigência!$BA$4:$BA$53,"Mín")),SUMIFS(Exigência!AC4:AC53,Exigência!$BB$4:$BB$53,$A$4,Exigência!$BA$4:$BA$53,"Mín"))-(SUMIFS(Exigência!AC4:AC53,Exigência!$BB$4:$BB$53,$A$4,Exigência!$BA$4:$BA$53,"Mín"))*AE46)</f>
        <v>1171</v>
      </c>
      <c r="AF39" s="322">
        <f>IF(AF37="Desconsiderar",0,IF(AF46=0,IF(AF47&gt;0,AF47,SUMIFS(Exigência!AD4:AD53,Exigência!$BB$4:$BB$53,$A$4,Exigência!$BA$4:$BA$53,"Mín")),SUMIFS(Exigência!AD4:AD53,Exigência!$BB$4:$BB$53,$A$4,Exigência!$BA$4:$BA$53,"Mín"))-(SUMIFS(Exigência!AD4:AD53,Exigência!$BB$4:$BB$53,$A$4,Exigência!$BA$4:$BA$53,"Mín"))*AF46)</f>
        <v>0</v>
      </c>
      <c r="AG39" s="322">
        <f>IF(AG37="Desconsiderar",0,IF(AG46=0,IF(AG47&gt;0,AG47,SUMIFS(Exigência!AE4:AE53,Exigência!$BB$4:$BB$53,$A$4,Exigência!$BA$4:$BA$53,"Mín")),SUMIFS(Exigência!AE4:AE53,Exigência!$BB$4:$BB$53,$A$4,Exigência!$BA$4:$BA$53,"Mín"))-(SUMIFS(Exigência!AE4:AE53,Exigência!$BB$4:$BB$53,$A$4,Exigência!$BA$4:$BA$53,"Mín"))*AG46)</f>
        <v>781</v>
      </c>
      <c r="AH39" s="322">
        <f>IF(AH37="Desconsiderar",0,IF(AH46=0,IF(AH47&gt;0,AH47,SUMIFS(Exigência!AF4:AF53,Exigência!$BB$4:$BB$53,$A$4,Exigência!$BA$4:$BA$53,"Mín")),SUMIFS(Exigência!AF4:AF53,Exigência!$BB$4:$BB$53,$A$4,Exigência!$BA$4:$BA$53,"Mín"))-(SUMIFS(Exigência!AF4:AF53,Exigência!$BB$4:$BB$53,$A$4,Exigência!$BA$4:$BA$53,"Mín"))*AH46)</f>
        <v>20</v>
      </c>
      <c r="AI39" s="322">
        <f>IF(AI37="Desconsiderar",0,IF(AI46=0,IF(AI47&gt;0,AI47,SUMIFS(Exigência!AG4:AG53,Exigência!$BB$4:$BB$53,$A$4,Exigência!$BA$4:$BA$53,"Mín")),SUMIFS(Exigência!AG4:AG53,Exigência!$BB$4:$BB$53,$A$4,Exigência!$BA$4:$BA$53,"Mín"))-(SUMIFS(Exigência!AG4:AG53,Exigência!$BB$4:$BB$53,$A$4,Exigência!$BA$4:$BA$53,"Mín"))*AI46)</f>
        <v>4</v>
      </c>
      <c r="AJ39" s="322">
        <f>IF(AJ37="Desconsiderar",0,IF(AJ46=0,IF(AJ47&gt;0,AJ47,SUMIFS(Exigência!AH4:AH53,Exigência!$BB$4:$BB$53,$A$4,Exigência!$BA$4:$BA$53,"Mín")),SUMIFS(Exigência!AH4:AH53,Exigência!$BB$4:$BB$53,$A$4,Exigência!$BA$4:$BA$53,"Mín"))-(SUMIFS(Exigência!AH4:AH53,Exigência!$BB$4:$BB$53,$A$4,Exigência!$BA$4:$BA$53,"Mín"))*AJ46)</f>
        <v>8</v>
      </c>
      <c r="AK39" s="322">
        <f>IF(AK37="Desconsiderar",0,IF(AK46=0,IF(AK47&gt;0,AK47,SUMIFS(Exigência!AI4:AI53,Exigência!$BB$4:$BB$53,$A$4,Exigência!$BA$4:$BA$53,"Mín")),SUMIFS(Exigência!AI4:AI53,Exigência!$BB$4:$BB$53,$A$4,Exigência!$BA$4:$BA$53,"Mín"))-(SUMIFS(Exigência!AI4:AI53,Exigência!$BB$4:$BB$53,$A$4,Exigência!$BA$4:$BA$53,"Mín"))*AK46)</f>
        <v>0</v>
      </c>
      <c r="AL39" s="322">
        <f>IF(AL37="Desconsiderar",0,IF(AL46=0,IF(AL47&gt;0,AL47,SUMIFS(Exigência!AJ4:AJ53,Exigência!$BB$4:$BB$53,$A$4,Exigência!$BA$4:$BA$53,"Mín")),SUMIFS(Exigência!AJ4:AJ53,Exigência!$BB$4:$BB$53,$A$4,Exigência!$BA$4:$BA$53,"Mín"))-(SUMIFS(Exigência!AJ4:AJ53,Exigência!$BB$4:$BB$53,$A$4,Exigência!$BA$4:$BA$53,"Mín"))*AL46)</f>
        <v>0</v>
      </c>
      <c r="AM39" s="322">
        <f>IF(AM37="Desconsiderar",0,IF(AM46=0,IF(AM47&gt;0,AM47,SUMIFS(Exigência!AK4:AK53,Exigência!$BB$4:$BB$53,$A$4,Exigência!$BA$4:$BA$53,"Mín")),SUMIFS(Exigência!AK4:AK53,Exigência!$BB$4:$BB$53,$A$4,Exigência!$BA$4:$BA$53,"Mín"))-(SUMIFS(Exigência!AK4:AK53,Exigência!$BB$4:$BB$53,$A$4,Exigência!$BA$4:$BA$53,"Mín"))*AM46)</f>
        <v>0</v>
      </c>
      <c r="AN39" s="322">
        <f>IF(AN37="Desconsiderar",0,IF(AN46=0,IF(AN47&gt;0,AN47,SUMIFS(Exigência!AL4:AL53,Exigência!$BB$4:$BB$53,$A$4,Exigência!$BA$4:$BA$53,"Mín")),SUMIFS(Exigência!AL4:AL53,Exigência!$BB$4:$BB$53,$A$4,Exigência!$BA$4:$BA$53,"Mín"))-(SUMIFS(Exigência!AL4:AL53,Exigência!$BB$4:$BB$53,$A$4,Exigência!$BA$4:$BA$53,"Mín"))*AN46)</f>
        <v>0</v>
      </c>
      <c r="AO39" s="322">
        <f>IF(AO37="Desconsiderar",0,IF(AO46=0,IF(AO47&gt;0,AO47,SUMIFS(Exigência!AM4:AM53,Exigência!$BB$4:$BB$53,$A$4,Exigência!$BA$4:$BA$53,"Mín")),SUMIFS(Exigência!AM4:AM53,Exigência!$BB$4:$BB$53,$A$4,Exigência!$BA$4:$BA$53,"Mín"))-(SUMIFS(Exigência!AM4:AM53,Exigência!$BB$4:$BB$53,$A$4,Exigência!$BA$4:$BA$53,"Mín"))*AO46)</f>
        <v>0</v>
      </c>
      <c r="AP39" s="322">
        <f>IF(AP37="Desconsiderar",0,IF(AP46=0,IF(AP47&gt;0,AP47,SUMIFS(Exigência!AN4:AN53,Exigência!$BB$4:$BB$53,$A$4,Exigência!$BA$4:$BA$53,"Mín")),SUMIFS(Exigência!AN4:AN53,Exigência!$BB$4:$BB$53,$A$4,Exigência!$BA$4:$BA$53,"Mín"))-(SUMIFS(Exigência!AN4:AN53,Exigência!$BB$4:$BB$53,$A$4,Exigência!$BA$4:$BA$53,"Mín"))*AP46)</f>
        <v>0</v>
      </c>
      <c r="AQ39" s="322">
        <f>IF(AQ37="Desconsiderar",0,IF(AQ46=0,IF(AQ47&gt;0,AQ47,SUMIFS(Exigência!AO4:AO53,Exigência!$BB$4:$BB$53,$A$4,Exigência!$BA$4:$BA$53,"Mín")),SUMIFS(Exigência!AO4:AO53,Exigência!$BB$4:$BB$53,$A$4,Exigência!$BA$4:$BA$53,"Mín"))-(SUMIFS(Exigência!AO4:AO53,Exigência!$BB$4:$BB$53,$A$4,Exigência!$BA$4:$BA$53,"Mín"))*AQ46)</f>
        <v>0</v>
      </c>
      <c r="AR39" s="322">
        <f>IF(AR37="Desconsiderar",0,IF(AR46=0,IF(AR47&gt;0,AR47,SUMIFS(Exigência!AP4:AP53,Exigência!$BB$4:$BB$53,$A$4,Exigência!$BA$4:$BA$53,"Mín")),SUMIFS(Exigência!AP4:AP53,Exigência!$BB$4:$BB$53,$A$4,Exigência!$BA$4:$BA$53,"Mín"))-(SUMIFS(Exigência!AP4:AP53,Exigência!$BB$4:$BB$53,$A$4,Exigência!$BA$4:$BA$53,"Mín"))*AR46)</f>
        <v>0</v>
      </c>
      <c r="AS39" s="322">
        <f>IF(AS37="Desconsiderar",0,IF(AS46=0,IF(AS47&gt;0,AS47,SUMIFS(Exigência!AQ4:AQ53,Exigência!$BB$4:$BB$53,$A$4,Exigência!$BA$4:$BA$53,"Mín")),SUMIFS(Exigência!AQ4:AQ53,Exigência!$BB$4:$BB$53,$A$4,Exigência!$BA$4:$BA$53,"Mín"))-(SUMIFS(Exigência!AQ4:AQ53,Exigência!$BB$4:$BB$53,$A$4,Exigência!$BA$4:$BA$53,"Mín"))*AS46)</f>
        <v>0</v>
      </c>
      <c r="AT39" s="322">
        <f>IF(AT37="Desconsiderar",0,IF(AT46=0,IF(AT47&gt;0,AT47,SUMIFS(Exigência!AR4:AR53,Exigência!$BB$4:$BB$53,$A$4,Exigência!$BA$4:$BA$53,"Mín")),SUMIFS(Exigência!AR4:AR53,Exigência!$BB$4:$BB$53,$A$4,Exigência!$BA$4:$BA$53,"Mín"))-(SUMIFS(Exigência!AR4:AR53,Exigência!$BB$4:$BB$53,$A$4,Exigência!$BA$4:$BA$53,"Mín"))*AT46)</f>
        <v>0</v>
      </c>
      <c r="AU39" s="322">
        <f>IF(AU37="Desconsiderar",0,IF(AU46=0,IF(AU47&gt;0,AU47,SUMIFS(Exigência!AS4:AS53,Exigência!$BB$4:$BB$53,$A$4,Exigência!$BA$4:$BA$53,"Mín")),SUMIFS(Exigência!AS4:AS53,Exigência!$BB$4:$BB$53,$A$4,Exigência!$BA$4:$BA$53,"Mín"))-(SUMIFS(Exigência!AS4:AS53,Exigência!$BB$4:$BB$53,$A$4,Exigência!$BA$4:$BA$53,"Mín"))*AU46)</f>
        <v>0</v>
      </c>
      <c r="AV39" s="322">
        <f>IF(AV37="Desconsiderar",0,IF(AV46=0,IF(AV47&gt;0,AV47,SUMIFS(Exigência!AT4:AT53,Exigência!$BB$4:$BB$53,$A$4,Exigência!$BA$4:$BA$53,"Mín")),SUMIFS(Exigência!AT4:AT53,Exigência!$BB$4:$BB$53,$A$4,Exigência!$BA$4:$BA$53,"Mín"))-(SUMIFS(Exigência!AT4:AT53,Exigência!$BB$4:$BB$53,$A$4,Exigência!$BA$4:$BA$53,"Mín"))*AV46)</f>
        <v>0</v>
      </c>
      <c r="AW39" s="322">
        <f>IF(AW37="Desconsiderar",0,IF(AW46=0,IF(AW47&gt;0,AW47,SUMIFS(Exigência!AU4:AU53,Exigência!$BB$4:$BB$53,$A$4,Exigência!$BA$4:$BA$53,"Mín")),SUMIFS(Exigência!AU4:AU53,Exigência!$BB$4:$BB$53,$A$4,Exigência!$BA$4:$BA$53,"Mín"))-(SUMIFS(Exigência!AU4:AU53,Exigência!$BB$4:$BB$53,$A$4,Exigência!$BA$4:$BA$53,"Mín"))*AW46)</f>
        <v>0</v>
      </c>
      <c r="AX39" s="322">
        <f>IF(AX37="Desconsiderar",0,IF(AX46=0,IF(AX47&gt;0,AX47,SUMIFS(Exigência!AV4:AV53,Exigência!$BB$4:$BB$53,$A$4,Exigência!$BA$4:$BA$53,"Mín")),SUMIFS(Exigência!AV4:AV53,Exigência!$BB$4:$BB$53,$A$4,Exigência!$BA$4:$BA$53,"Mín"))-(SUMIFS(Exigência!AV4:AV53,Exigência!$BB$4:$BB$53,$A$4,Exigência!$BA$4:$BA$53,"Mín"))*AX46)</f>
        <v>0</v>
      </c>
      <c r="AY39" s="322">
        <f>IF(AY37="Desconsiderar",0,IF(AY46=0,IF(AY47&gt;0,AY47,SUMIFS(Exigência!AW4:AW53,Exigência!$BB$4:$BB$53,$A$4,Exigência!$BA$4:$BA$53,"Mín")),SUMIFS(Exigência!AW4:AW53,Exigência!$BB$4:$BB$53,$A$4,Exigência!$BA$4:$BA$53,"Mín"))-(SUMIFS(Exigência!AW4:AW53,Exigência!$BB$4:$BB$53,$A$4,Exigência!$BA$4:$BA$53,"Mín"))*AY46)</f>
        <v>0</v>
      </c>
      <c r="AZ39" s="322">
        <f>IF(AZ37="Desconsiderar",0,IF(AZ46=0,IF(AZ47&gt;0,AZ47,SUMIFS(Exigência!AX4:AX53,Exigência!$BB$4:$BB$53,$A$4,Exigência!$BA$4:$BA$53,"Mín")),SUMIFS(Exigência!AX4:AX53,Exigência!$BB$4:$BB$53,$A$4,Exigência!$BA$4:$BA$53,"Mín"))-(SUMIFS(Exigência!AX4:AX53,Exigência!$BB$4:$BB$53,$A$4,Exigência!$BA$4:$BA$53,"Mín"))*AZ46)</f>
        <v>0</v>
      </c>
      <c r="BA39" s="322">
        <f>IF(BA37="Desconsiderar",0,IF(BA46=0,IF(BA47&gt;0,BA47,SUMIFS(Exigência!AY4:AY53,Exigência!$BB$4:$BB$53,$A$4,Exigência!$BA$4:$BA$53,"Mín")),SUMIFS(Exigência!AY4:AY53,Exigência!$BB$4:$BB$53,$A$4,Exigência!$BA$4:$BA$53,"Mín"))-(SUMIFS(Exigência!AY4:AY53,Exigência!$BB$4:$BB$53,$A$4,Exigência!$BA$4:$BA$53,"Mín"))*BA46)</f>
        <v>0</v>
      </c>
      <c r="BB39" s="322">
        <f>IF(BB37="Desconsiderar",0,IF(BB46=0,IF(BB47&gt;0,BB47,SUMIFS(Exigência!AZ4:AZ53,Exigência!$BB$4:$BB$53,$A$4,Exigência!$BA$4:$BA$53,"Mín")),SUMIFS(Exigência!AZ4:AZ53,Exigência!$BB$4:$BB$53,$A$4,Exigência!$BA$4:$BA$53,"Mín"))-(SUMIFS(Exigência!AZ4:AZ53,Exigência!$BB$4:$BB$53,$A$4,Exigência!$BA$4:$BA$53,"Mín"))*BB46)</f>
        <v>0</v>
      </c>
      <c r="BC39" s="262"/>
      <c r="BD39" s="504"/>
      <c r="BE39" s="339">
        <f>IFERROR(NDT/Total.MS,"-")</f>
        <v>0</v>
      </c>
      <c r="BF39" s="340" t="s">
        <v>83</v>
      </c>
      <c r="BG39" s="262"/>
      <c r="BH39" s="506" t="s">
        <v>658</v>
      </c>
      <c r="BI39" s="341" t="s">
        <v>432</v>
      </c>
      <c r="BJ39" s="342" t="s">
        <v>0</v>
      </c>
      <c r="BK39" s="342" t="s">
        <v>1</v>
      </c>
      <c r="BL39" s="2004" t="s">
        <v>323</v>
      </c>
      <c r="BM39" s="323">
        <f>BI40</f>
        <v>0</v>
      </c>
    </row>
    <row r="40" spans="1:71" ht="16.5" customHeight="1">
      <c r="A40" s="318"/>
      <c r="B40" s="474"/>
      <c r="C40" s="475"/>
      <c r="D40" s="475"/>
      <c r="E40" s="475"/>
      <c r="F40" s="475"/>
      <c r="G40" s="475" t="s">
        <v>47</v>
      </c>
      <c r="H40" s="392"/>
      <c r="I40" s="324">
        <f>SUMPRODUCT(I9:I33,$C$9:$C$33)/1</f>
        <v>0.99999994080117671</v>
      </c>
      <c r="J40" s="324">
        <f>SUMPRODUCT(J9:J33,$C$9:$C$33)/1</f>
        <v>0.99216764145481651</v>
      </c>
      <c r="K40" s="324">
        <f t="shared" ref="K40:BA40" si="45">SUMPRODUCT(K9:K33,$C$9:$C$33)/1</f>
        <v>0</v>
      </c>
      <c r="L40" s="324">
        <f t="shared" si="45"/>
        <v>0</v>
      </c>
      <c r="M40" s="324">
        <f t="shared" si="45"/>
        <v>0</v>
      </c>
      <c r="N40" s="324">
        <f t="shared" si="45"/>
        <v>0</v>
      </c>
      <c r="O40" s="324">
        <f t="shared" si="45"/>
        <v>0</v>
      </c>
      <c r="P40" s="324">
        <f t="shared" si="45"/>
        <v>0</v>
      </c>
      <c r="Q40" s="324">
        <f t="shared" si="45"/>
        <v>0</v>
      </c>
      <c r="R40" s="324">
        <f t="shared" si="45"/>
        <v>0</v>
      </c>
      <c r="S40" s="324">
        <f t="shared" si="45"/>
        <v>0</v>
      </c>
      <c r="T40" s="324">
        <f t="shared" si="45"/>
        <v>0</v>
      </c>
      <c r="U40" s="324">
        <f t="shared" si="45"/>
        <v>0</v>
      </c>
      <c r="V40" s="324">
        <f t="shared" si="45"/>
        <v>0</v>
      </c>
      <c r="W40" s="324">
        <f t="shared" si="45"/>
        <v>0</v>
      </c>
      <c r="X40" s="324">
        <f t="shared" si="45"/>
        <v>108.00000000000004</v>
      </c>
      <c r="Y40" s="324">
        <f t="shared" si="45"/>
        <v>82.773702584502871</v>
      </c>
      <c r="Z40" s="324">
        <f t="shared" si="45"/>
        <v>37.000000000001116</v>
      </c>
      <c r="AA40" s="324">
        <f t="shared" si="45"/>
        <v>45.000000000000007</v>
      </c>
      <c r="AB40" s="324">
        <f t="shared" si="45"/>
        <v>111.00000000000001</v>
      </c>
      <c r="AC40" s="324">
        <f t="shared" si="45"/>
        <v>44.000043998157544</v>
      </c>
      <c r="AD40" s="324">
        <f t="shared" si="45"/>
        <v>391.00000000000006</v>
      </c>
      <c r="AE40" s="324">
        <f t="shared" si="45"/>
        <v>1170.9999999999998</v>
      </c>
      <c r="AF40" s="324">
        <f t="shared" si="45"/>
        <v>0</v>
      </c>
      <c r="AG40" s="324">
        <f t="shared" si="45"/>
        <v>781</v>
      </c>
      <c r="AH40" s="324">
        <f t="shared" si="45"/>
        <v>20</v>
      </c>
      <c r="AI40" s="324">
        <f t="shared" si="45"/>
        <v>4</v>
      </c>
      <c r="AJ40" s="324">
        <f t="shared" si="45"/>
        <v>8.0000000000000018</v>
      </c>
      <c r="AK40" s="324">
        <f t="shared" si="45"/>
        <v>0</v>
      </c>
      <c r="AL40" s="324">
        <f t="shared" si="45"/>
        <v>0</v>
      </c>
      <c r="AM40" s="324">
        <f t="shared" si="45"/>
        <v>0</v>
      </c>
      <c r="AN40" s="324">
        <f t="shared" si="45"/>
        <v>0</v>
      </c>
      <c r="AO40" s="324">
        <f t="shared" si="45"/>
        <v>0</v>
      </c>
      <c r="AP40" s="324">
        <f t="shared" si="45"/>
        <v>0</v>
      </c>
      <c r="AQ40" s="324">
        <f t="shared" si="45"/>
        <v>0</v>
      </c>
      <c r="AR40" s="324">
        <f t="shared" si="45"/>
        <v>0</v>
      </c>
      <c r="AS40" s="324">
        <f t="shared" si="45"/>
        <v>0</v>
      </c>
      <c r="AT40" s="324">
        <f t="shared" si="45"/>
        <v>0</v>
      </c>
      <c r="AU40" s="324">
        <f t="shared" si="45"/>
        <v>0</v>
      </c>
      <c r="AV40" s="324">
        <f t="shared" si="45"/>
        <v>0</v>
      </c>
      <c r="AW40" s="324">
        <f t="shared" si="45"/>
        <v>0</v>
      </c>
      <c r="AX40" s="324">
        <f t="shared" si="45"/>
        <v>0</v>
      </c>
      <c r="AY40" s="324">
        <f t="shared" si="45"/>
        <v>0</v>
      </c>
      <c r="AZ40" s="324">
        <f t="shared" si="45"/>
        <v>0</v>
      </c>
      <c r="BA40" s="324">
        <f t="shared" si="45"/>
        <v>0</v>
      </c>
      <c r="BB40" s="324">
        <f>SUMPRODUCT(BB9:BB33,$C$9:$C$33)/1</f>
        <v>0.99216764145481651</v>
      </c>
      <c r="BC40" s="262"/>
      <c r="BD40" s="504"/>
      <c r="BE40" s="1941">
        <f>IFERROR(Cálcio/Fósforo,"-")</f>
        <v>1.304762220703416</v>
      </c>
      <c r="BF40" s="343" t="s">
        <v>319</v>
      </c>
      <c r="BG40" s="262"/>
      <c r="BH40" s="507">
        <f>SUMIFS($BD$9:$BD$33,$BL$9:$BL$33,BL40)</f>
        <v>0</v>
      </c>
      <c r="BI40" s="344">
        <f>SUMIFS($BH$9:$BH$33,$BL$9:$BL$33,BL40)</f>
        <v>0</v>
      </c>
      <c r="BJ40" s="345">
        <v>0</v>
      </c>
      <c r="BK40" s="345">
        <v>1</v>
      </c>
      <c r="BL40" s="2005" t="s">
        <v>3</v>
      </c>
      <c r="BM40" s="323">
        <f>BI41</f>
        <v>1</v>
      </c>
    </row>
    <row r="41" spans="1:71" s="58" customFormat="1" ht="15">
      <c r="A41" s="325"/>
      <c r="B41" s="472"/>
      <c r="C41" s="473"/>
      <c r="D41" s="473"/>
      <c r="E41" s="473"/>
      <c r="F41" s="473"/>
      <c r="G41" s="473" t="s">
        <v>46</v>
      </c>
      <c r="H41" s="391"/>
      <c r="I41" s="326">
        <f>IF(I37="Desconsiderar",9999999,IF(I46=0,IF(I48&gt;0,I48,SUMIFS(Exigência!G4:G53,Exigência!$BB$4:$BB$53,$A$4,Exigência!$BA$4:$BA$53,"Máx")),SUMIFS(Exigência!G4:G53,Exigência!$BB$4:$BB$53,$A$4,Exigência!$BA$4:$BA$53,"Máx")+SUMIFS(Exigência!G4:G53,Exigência!$BB$4:$BB$53,$A$4,Exigência!$BA$4:$BA$53,"Máx")*I46))</f>
        <v>1</v>
      </c>
      <c r="J41" s="326">
        <f>IF(J37="Desconsiderar",9999999,IF(J46=0,IF(J48&gt;0,J48,SUMIFS(Exigência!H4:H53,Exigência!$BB$4:$BB$53,$A$4,Exigência!$BA$4:$BA$53,"Máx")),SUMIFS(Exigência!H4:H53,Exigência!$BB$4:$BB$53,$A$4,Exigência!$BA$4:$BA$53,"Máx")+SUMIFS(Exigência!H4:H53,Exigência!$BB$4:$BB$53,$A$4,Exigência!$BA$4:$BA$53,"Máx")*J46))</f>
        <v>1</v>
      </c>
      <c r="K41" s="326">
        <f>IF(K37="Desconsiderar",9999999,IF(K46=0,IF(K48&gt;0,K48,SUMIFS(Exigência!I4:I53,Exigência!$BB$4:$BB$53,$A$4,Exigência!$BA$4:$BA$53,"Máx")),SUMIFS(Exigência!I4:I53,Exigência!$BB$4:$BB$53,$A$4,Exigência!$BA$4:$BA$53,"Máx")+SUMIFS(Exigência!I4:I53,Exigência!$BB$4:$BB$53,$A$4,Exigência!$BA$4:$BA$53,"Máx")*K46))</f>
        <v>9999999</v>
      </c>
      <c r="L41" s="326">
        <f>IF(L37="Desconsiderar",9999999,IF(L46=0,IF(L48&gt;0,L48,SUMIFS(Exigência!J4:J53,Exigência!$BB$4:$BB$53,$A$4,Exigência!$BA$4:$BA$53,"Máx")),SUMIFS(Exigência!J4:J53,Exigência!$BB$4:$BB$53,$A$4,Exigência!$BA$4:$BA$53,"Máx")+SUMIFS(Exigência!J4:J53,Exigência!$BB$4:$BB$53,$A$4,Exigência!$BA$4:$BA$53,"Máx")*L46))</f>
        <v>9999999</v>
      </c>
      <c r="M41" s="326">
        <f>IF(M37="Desconsiderar",9999999,IF(M46=0,IF(M48&gt;0,M48,SUMIFS(Exigência!K4:K53,Exigência!$BB$4:$BB$53,$A$4,Exigência!$BA$4:$BA$53,"Máx")),SUMIFS(Exigência!K4:K53,Exigência!$BB$4:$BB$53,$A$4,Exigência!$BA$4:$BA$53,"Máx")+SUMIFS(Exigência!K4:K53,Exigência!$BB$4:$BB$53,$A$4,Exigência!$BA$4:$BA$53,"Máx")*M46))</f>
        <v>9999999</v>
      </c>
      <c r="N41" s="326">
        <f>IF(N37="Desconsiderar",9999999,IF(N46=0,IF(N48&gt;0,N48,SUMIFS(Exigência!L4:L53,Exigência!$BB$4:$BB$53,$A$4,Exigência!$BA$4:$BA$53,"Máx")),SUMIFS(Exigência!L4:L53,Exigência!$BB$4:$BB$53,$A$4,Exigência!$BA$4:$BA$53,"Máx")+SUMIFS(Exigência!L4:L53,Exigência!$BB$4:$BB$53,$A$4,Exigência!$BA$4:$BA$53,"Máx")*N46))</f>
        <v>9999999</v>
      </c>
      <c r="O41" s="326">
        <f>IF(O37="Desconsiderar",9999999,IF(O46=0,IF(O48&gt;0,O48,SUMIFS(Exigência!M4:M53,Exigência!$BB$4:$BB$53,$A$4,Exigência!$BA$4:$BA$53,"Máx")),SUMIFS(Exigência!M4:M53,Exigência!$BB$4:$BB$53,$A$4,Exigência!$BA$4:$BA$53,"Máx")+SUMIFS(Exigência!M4:M53,Exigência!$BB$4:$BB$53,$A$4,Exigência!$BA$4:$BA$53,"Máx")*O46))</f>
        <v>9999999</v>
      </c>
      <c r="P41" s="326">
        <f>IF(P37="Desconsiderar",9999999,IF(P46=0,IF(P48&gt;0,P48,SUMIFS(Exigência!N4:N53,Exigência!$BB$4:$BB$53,$A$4,Exigência!$BA$4:$BA$53,"Máx")),SUMIFS(Exigência!N4:N53,Exigência!$BB$4:$BB$53,$A$4,Exigência!$BA$4:$BA$53,"Máx")+SUMIFS(Exigência!N4:N53,Exigência!$BB$4:$BB$53,$A$4,Exigência!$BA$4:$BA$53,"Máx")*P46))</f>
        <v>9999999</v>
      </c>
      <c r="Q41" s="326">
        <f>IF(Q37="Desconsiderar",9999999,IF(Q46=0,IF(Q48&gt;0,Q48,SUMIFS(Exigência!O4:O53,Exigência!$BB$4:$BB$53,$A$4,Exigência!$BA$4:$BA$53,"Máx")),SUMIFS(Exigência!O4:O53,Exigência!$BB$4:$BB$53,$A$4,Exigência!$BA$4:$BA$53,"Máx")+SUMIFS(Exigência!O4:O53,Exigência!$BB$4:$BB$53,$A$4,Exigência!$BA$4:$BA$53,"Máx")*Q46))</f>
        <v>9999999</v>
      </c>
      <c r="R41" s="326">
        <f>IF(R37="Desconsiderar",9999999,IF(R46=0,IF(R48&gt;0,R48,SUMIFS(Exigência!P4:P53,Exigência!$BB$4:$BB$53,$A$4,Exigência!$BA$4:$BA$53,"Máx")),SUMIFS(Exigência!P4:P53,Exigência!$BB$4:$BB$53,$A$4,Exigência!$BA$4:$BA$53,"Máx")+SUMIFS(Exigência!P4:P53,Exigência!$BB$4:$BB$53,$A$4,Exigência!$BA$4:$BA$53,"Máx")*R46))</f>
        <v>9999999</v>
      </c>
      <c r="S41" s="326">
        <f>IF(S37="Desconsiderar",9999999,IF(S46=0,IF(S48&gt;0,S48,SUMIFS(Exigência!Q4:Q53,Exigência!$BB$4:$BB$53,$A$4,Exigência!$BA$4:$BA$53,"Máx")),SUMIFS(Exigência!Q4:Q53,Exigência!$BB$4:$BB$53,$A$4,Exigência!$BA$4:$BA$53,"Máx")+SUMIFS(Exigência!Q4:Q53,Exigência!$BB$4:$BB$53,$A$4,Exigência!$BA$4:$BA$53,"Máx")*S46))</f>
        <v>9999999</v>
      </c>
      <c r="T41" s="326">
        <f>IF(T37="Desconsiderar",9999999,IF(T46=0,IF(T48&gt;0,T48,SUMIFS(Exigência!R4:R53,Exigência!$BB$4:$BB$53,$A$4,Exigência!$BA$4:$BA$53,"Máx")),SUMIFS(Exigência!R4:R53,Exigência!$BB$4:$BB$53,$A$4,Exigência!$BA$4:$BA$53,"Máx")+SUMIFS(Exigência!R4:R53,Exigência!$BB$4:$BB$53,$A$4,Exigência!$BA$4:$BA$53,"Máx")*T46))</f>
        <v>9999999</v>
      </c>
      <c r="U41" s="326">
        <f>IF(U37="Desconsiderar",9999999,IF(U46=0,IF(U48&gt;0,U48,SUMIFS(Exigência!S4:S53,Exigência!$BB$4:$BB$53,$A$4,Exigência!$BA$4:$BA$53,"Máx")),SUMIFS(Exigência!S4:S53,Exigência!$BB$4:$BB$53,$A$4,Exigência!$BA$4:$BA$53,"Máx")+SUMIFS(Exigência!S4:S53,Exigência!$BB$4:$BB$53,$A$4,Exigência!$BA$4:$BA$53,"Máx")*U46))</f>
        <v>9999999</v>
      </c>
      <c r="V41" s="326">
        <f>IF(V37="Desconsiderar",9999999,IF(V46=0,IF(V48&gt;0,V48,SUMIFS(Exigência!T4:T53,Exigência!$BB$4:$BB$53,$A$4,Exigência!$BA$4:$BA$53,"Máx")),SUMIFS(Exigência!T4:T53,Exigência!$BB$4:$BB$53,$A$4,Exigência!$BA$4:$BA$53,"Máx")+SUMIFS(Exigência!T4:T53,Exigência!$BB$4:$BB$53,$A$4,Exigência!$BA$4:$BA$53,"Máx")*V46))</f>
        <v>9999999</v>
      </c>
      <c r="W41" s="326">
        <f>IF(W37="Desconsiderar",9999999,IF(W46=0,IF(W48&gt;0,W48,SUMIFS(Exigência!U4:U53,Exigência!$BB$4:$BB$53,$A$4,Exigência!$BA$4:$BA$53,"Máx")),SUMIFS(Exigência!U4:U53,Exigência!$BB$4:$BB$53,$A$4,Exigência!$BA$4:$BA$53,"Máx")+SUMIFS(Exigência!U4:U53,Exigência!$BB$4:$BB$53,$A$4,Exigência!$BA$4:$BA$53,"Máx")*W46))</f>
        <v>9999999</v>
      </c>
      <c r="X41" s="326">
        <f>IF(X37="Desconsiderar",9999999,IF(X46=0,IF(X48&gt;0,X48,SUMIFS(Exigência!V4:V53,Exigência!$BB$4:$BB$53,$A$4,Exigência!$BA$4:$BA$53,"Máx")),SUMIFS(Exigência!V4:V53,Exigência!$BB$4:$BB$53,$A$4,Exigência!$BA$4:$BA$53,"Máx")+SUMIFS(Exigência!V4:V53,Exigência!$BB$4:$BB$53,$A$4,Exigência!$BA$4:$BA$53,"Máx")*X46))</f>
        <v>108</v>
      </c>
      <c r="Y41" s="326">
        <f>IF(Y37="Desconsiderar",9999999,IF(Y46=0,IF(Y48&gt;0,Y48,SUMIFS(Exigência!W4:W53,Exigência!$BB$4:$BB$53,$A$4,Exigência!$BA$4:$BA$53,"Máx")),SUMIFS(Exigência!W4:W53,Exigência!$BB$4:$BB$53,$A$4,Exigência!$BA$4:$BA$53,"Máx")+SUMIFS(Exigência!W4:W53,Exigência!$BB$4:$BB$53,$A$4,Exigência!$BA$4:$BA$53,"Máx")*Y46))</f>
        <v>999</v>
      </c>
      <c r="Z41" s="326">
        <f>IF(Z37="Desconsiderar",9999999,IF(Z46=0,IF(Z48&gt;0,Z48,SUMIFS(Exigência!X4:X53,Exigência!$BB$4:$BB$53,$A$4,Exigência!$BA$4:$BA$53,"Máx")),SUMIFS(Exigência!X4:X53,Exigência!$BB$4:$BB$53,$A$4,Exigência!$BA$4:$BA$53,"Máx")+SUMIFS(Exigência!X4:X53,Exigência!$BB$4:$BB$53,$A$4,Exigência!$BA$4:$BA$53,"Máx")*Z46))</f>
        <v>37</v>
      </c>
      <c r="AA41" s="326">
        <f>IF(AA37="Desconsiderar",9999999,IF(AA46=0,IF(AA48&gt;0,AA48,SUMIFS(Exigência!Y4:Y53,Exigência!$BB$4:$BB$53,$A$4,Exigência!$BA$4:$BA$53,"Máx")),SUMIFS(Exigência!Y4:Y53,Exigência!$BB$4:$BB$53,$A$4,Exigência!$BA$4:$BA$53,"Máx")+SUMIFS(Exigência!Y4:Y53,Exigência!$BB$4:$BB$53,$A$4,Exigência!$BA$4:$BA$53,"Máx")*AA46))</f>
        <v>45</v>
      </c>
      <c r="AB41" s="326">
        <f>IF(AB37="Desconsiderar",9999999,IF(AB46=0,IF(AB48&gt;0,AB48,SUMIFS(Exigência!Z4:Z53,Exigência!$BB$4:$BB$53,$A$4,Exigência!$BA$4:$BA$53,"Máx")),SUMIFS(Exigência!Z4:Z53,Exigência!$BB$4:$BB$53,$A$4,Exigência!$BA$4:$BA$53,"Máx")+SUMIFS(Exigência!Z4:Z53,Exigência!$BB$4:$BB$53,$A$4,Exigência!$BA$4:$BA$53,"Máx")*AB46))</f>
        <v>111</v>
      </c>
      <c r="AC41" s="326">
        <f>IF(AC37="Desconsiderar",9999999,IF(AC46=0,IF(AC48&gt;0,AC48,SUMIFS(Exigência!AA4:AA53,Exigência!$BB$4:$BB$53,$A$4,Exigência!$BA$4:$BA$53,"Máx")),SUMIFS(Exigência!AA4:AA53,Exigência!$BB$4:$BB$53,$A$4,Exigência!$BA$4:$BA$53,"Máx")+SUMIFS(Exigência!AA4:AA53,Exigência!$BB$4:$BB$53,$A$4,Exigência!$BA$4:$BA$53,"Máx")*AC46))</f>
        <v>44</v>
      </c>
      <c r="AD41" s="326">
        <f>IF(AD37="Desconsiderar",9999999,IF(AD46=0,IF(AD48&gt;0,AD48,SUMIFS(Exigência!AB4:AB53,Exigência!$BB$4:$BB$53,$A$4,Exigência!$BA$4:$BA$53,"Máx")),SUMIFS(Exigência!AB4:AB53,Exigência!$BB$4:$BB$53,$A$4,Exigência!$BA$4:$BA$53,"Máx")+SUMIFS(Exigência!AB4:AB53,Exigência!$BB$4:$BB$53,$A$4,Exigência!$BA$4:$BA$53,"Máx")*AD46))</f>
        <v>391</v>
      </c>
      <c r="AE41" s="326">
        <f>IF(AE37="Desconsiderar",9999999,IF(AE46=0,IF(AE48&gt;0,AE48,SUMIFS(Exigência!AC4:AC53,Exigência!$BB$4:$BB$53,$A$4,Exigência!$BA$4:$BA$53,"Máx")),SUMIFS(Exigência!AC4:AC53,Exigência!$BB$4:$BB$53,$A$4,Exigência!$BA$4:$BA$53,"Máx")+SUMIFS(Exigência!AC4:AC53,Exigência!$BB$4:$BB$53,$A$4,Exigência!$BA$4:$BA$53,"Máx")*AE46))</f>
        <v>1171</v>
      </c>
      <c r="AF41" s="326">
        <f>IF(AF37="Desconsiderar",9999999,IF(AF46=0,IF(AF48&gt;0,AF48,SUMIFS(Exigência!AD4:AD53,Exigência!$BB$4:$BB$53,$A$4,Exigência!$BA$4:$BA$53,"Máx")),SUMIFS(Exigência!AD4:AD53,Exigência!$BB$4:$BB$53,$A$4,Exigência!$BA$4:$BA$53,"Máx")+SUMIFS(Exigência!AD4:AD53,Exigência!$BB$4:$BB$53,$A$4,Exigência!$BA$4:$BA$53,"Máx")*AF46))</f>
        <v>999</v>
      </c>
      <c r="AG41" s="326">
        <f>IF(AG37="Desconsiderar",9999999,IF(AG46=0,IF(AG48&gt;0,AG48,SUMIFS(Exigência!AE4:AE53,Exigência!$BB$4:$BB$53,$A$4,Exigência!$BA$4:$BA$53,"Máx")),SUMIFS(Exigência!AE4:AE53,Exigência!$BB$4:$BB$53,$A$4,Exigência!$BA$4:$BA$53,"Máx")+SUMIFS(Exigência!AE4:AE53,Exigência!$BB$4:$BB$53,$A$4,Exigência!$BA$4:$BA$53,"Máx")*AG46))</f>
        <v>781</v>
      </c>
      <c r="AH41" s="326">
        <f>IF(AH37="Desconsiderar",9999999,IF(AH46=0,IF(AH48&gt;0,AH48,SUMIFS(Exigência!AF4:AF53,Exigência!$BB$4:$BB$53,$A$4,Exigência!$BA$4:$BA$53,"Máx")),SUMIFS(Exigência!AF4:AF53,Exigência!$BB$4:$BB$53,$A$4,Exigência!$BA$4:$BA$53,"Máx")+SUMIFS(Exigência!AF4:AF53,Exigência!$BB$4:$BB$53,$A$4,Exigência!$BA$4:$BA$53,"Máx")*AH46))</f>
        <v>20</v>
      </c>
      <c r="AI41" s="326">
        <f>IF(AI37="Desconsiderar",9999999,IF(AI46=0,IF(AI48&gt;0,AI48,SUMIFS(Exigência!AG4:AG53,Exigência!$BB$4:$BB$53,$A$4,Exigência!$BA$4:$BA$53,"Máx")),SUMIFS(Exigência!AG4:AG53,Exigência!$BB$4:$BB$53,$A$4,Exigência!$BA$4:$BA$53,"Máx")+SUMIFS(Exigência!AG4:AG53,Exigência!$BB$4:$BB$53,$A$4,Exigência!$BA$4:$BA$53,"Máx")*AI46))</f>
        <v>4</v>
      </c>
      <c r="AJ41" s="326">
        <f>IF(AJ37="Desconsiderar",9999999,IF(AJ46=0,IF(AJ48&gt;0,AJ48,SUMIFS(Exigência!AH4:AH53,Exigência!$BB$4:$BB$53,$A$4,Exigência!$BA$4:$BA$53,"Máx")),SUMIFS(Exigência!AH4:AH53,Exigência!$BB$4:$BB$53,$A$4,Exigência!$BA$4:$BA$53,"Máx")+SUMIFS(Exigência!AH4:AH53,Exigência!$BB$4:$BB$53,$A$4,Exigência!$BA$4:$BA$53,"Máx")*AJ46))</f>
        <v>8</v>
      </c>
      <c r="AK41" s="326">
        <f>IF(AK37="Desconsiderar",9999999,IF(AK46=0,IF(AK48&gt;0,AK48,SUMIFS(Exigência!AI4:AI53,Exigência!$BB$4:$BB$53,$A$4,Exigência!$BA$4:$BA$53,"Máx")),SUMIFS(Exigência!AI4:AI53,Exigência!$BB$4:$BB$53,$A$4,Exigência!$BA$4:$BA$53,"Máx")+SUMIFS(Exigência!AI4:AI53,Exigência!$BB$4:$BB$53,$A$4,Exigência!$BA$4:$BA$53,"Máx")*AK46))</f>
        <v>9999999</v>
      </c>
      <c r="AL41" s="326">
        <f>IF(AL37="Desconsiderar",9999999,IF(AL46=0,IF(AL48&gt;0,AL48,SUMIFS(Exigência!AJ4:AJ53,Exigência!$BB$4:$BB$53,$A$4,Exigência!$BA$4:$BA$53,"Máx")),SUMIFS(Exigência!AJ4:AJ53,Exigência!$BB$4:$BB$53,$A$4,Exigência!$BA$4:$BA$53,"Máx")+SUMIFS(Exigência!AJ4:AJ53,Exigência!$BB$4:$BB$53,$A$4,Exigência!$BA$4:$BA$53,"Máx")*AL46))</f>
        <v>9999999</v>
      </c>
      <c r="AM41" s="326">
        <f>IF(AM37="Desconsiderar",9999999,IF(AM46=0,IF(AM48&gt;0,AM48,SUMIFS(Exigência!AK4:AK53,Exigência!$BB$4:$BB$53,$A$4,Exigência!$BA$4:$BA$53,"Máx")),SUMIFS(Exigência!AK4:AK53,Exigência!$BB$4:$BB$53,$A$4,Exigência!$BA$4:$BA$53,"Máx")+SUMIFS(Exigência!AK4:AK53,Exigência!$BB$4:$BB$53,$A$4,Exigência!$BA$4:$BA$53,"Máx")*AM46))</f>
        <v>9999999</v>
      </c>
      <c r="AN41" s="326">
        <f>IF(AN37="Desconsiderar",9999999,IF(AN46=0,IF(AN48&gt;0,AN48,SUMIFS(Exigência!AL4:AL53,Exigência!$BB$4:$BB$53,$A$4,Exigência!$BA$4:$BA$53,"Máx")),SUMIFS(Exigência!AL4:AL53,Exigência!$BB$4:$BB$53,$A$4,Exigência!$BA$4:$BA$53,"Máx")+SUMIFS(Exigência!AL4:AL53,Exigência!$BB$4:$BB$53,$A$4,Exigência!$BA$4:$BA$53,"Máx")*AN46))</f>
        <v>9999999</v>
      </c>
      <c r="AO41" s="326">
        <f>IF(AO37="Desconsiderar",9999999,IF(AO46=0,IF(AO48&gt;0,AO48,SUMIFS(Exigência!AM4:AM53,Exigência!$BB$4:$BB$53,$A$4,Exigência!$BA$4:$BA$53,"Máx")),SUMIFS(Exigência!AM4:AM53,Exigência!$BB$4:$BB$53,$A$4,Exigência!$BA$4:$BA$53,"Máx")+SUMIFS(Exigência!AM4:AM53,Exigência!$BB$4:$BB$53,$A$4,Exigência!$BA$4:$BA$53,"Máx")*AO46))</f>
        <v>9999999</v>
      </c>
      <c r="AP41" s="326">
        <f>IF(AP37="Desconsiderar",9999999,IF(AP46=0,IF(AP48&gt;0,AP48,SUMIFS(Exigência!AN4:AN53,Exigência!$BB$4:$BB$53,$A$4,Exigência!$BA$4:$BA$53,"Máx")),SUMIFS(Exigência!AN4:AN53,Exigência!$BB$4:$BB$53,$A$4,Exigência!$BA$4:$BA$53,"Máx")+SUMIFS(Exigência!AN4:AN53,Exigência!$BB$4:$BB$53,$A$4,Exigência!$BA$4:$BA$53,"Máx")*AP46))</f>
        <v>9999999</v>
      </c>
      <c r="AQ41" s="326">
        <f>IF(AQ37="Desconsiderar",9999999,IF(AQ46=0,IF(AQ48&gt;0,AQ48,SUMIFS(Exigência!AO4:AO53,Exigência!$BB$4:$BB$53,$A$4,Exigência!$BA$4:$BA$53,"Máx")),SUMIFS(Exigência!AO4:AO53,Exigência!$BB$4:$BB$53,$A$4,Exigência!$BA$4:$BA$53,"Máx")+SUMIFS(Exigência!AO4:AO53,Exigência!$BB$4:$BB$53,$A$4,Exigência!$BA$4:$BA$53,"Máx")*AQ46))</f>
        <v>9999999</v>
      </c>
      <c r="AR41" s="326">
        <f>IF(AR37="Desconsiderar",9999999,IF(AR46=0,IF(AR48&gt;0,AR48,SUMIFS(Exigência!AP4:AP53,Exigência!$BB$4:$BB$53,$A$4,Exigência!$BA$4:$BA$53,"Máx")),SUMIFS(Exigência!AP4:AP53,Exigência!$BB$4:$BB$53,$A$4,Exigência!$BA$4:$BA$53,"Máx")+SUMIFS(Exigência!AP4:AP53,Exigência!$BB$4:$BB$53,$A$4,Exigência!$BA$4:$BA$53,"Máx")*AR46))</f>
        <v>9999999</v>
      </c>
      <c r="AS41" s="326">
        <f>IF(AS37="Desconsiderar",9999999,IF(AS46=0,IF(AS48&gt;0,AS48,SUMIFS(Exigência!AQ4:AQ53,Exigência!$BB$4:$BB$53,$A$4,Exigência!$BA$4:$BA$53,"Máx")),SUMIFS(Exigência!AQ4:AQ53,Exigência!$BB$4:$BB$53,$A$4,Exigência!$BA$4:$BA$53,"Máx")+SUMIFS(Exigência!AQ4:AQ53,Exigência!$BB$4:$BB$53,$A$4,Exigência!$BA$4:$BA$53,"Máx")*AS46))</f>
        <v>9999999</v>
      </c>
      <c r="AT41" s="326">
        <f>IF(AT37="Desconsiderar",9999999,IF(AT46=0,IF(AT48&gt;0,AT48,SUMIFS(Exigência!AR4:AR53,Exigência!$BB$4:$BB$53,$A$4,Exigência!$BA$4:$BA$53,"Máx")),SUMIFS(Exigência!AR4:AR53,Exigência!$BB$4:$BB$53,$A$4,Exigência!$BA$4:$BA$53,"Máx")+SUMIFS(Exigência!AR4:AR53,Exigência!$BB$4:$BB$53,$A$4,Exigência!$BA$4:$BA$53,"Máx")*AT46))</f>
        <v>9999999</v>
      </c>
      <c r="AU41" s="326">
        <f>IF(AU37="Desconsiderar",9999999,IF(AU46=0,IF(AU48&gt;0,AU48,SUMIFS(Exigência!AS4:AS53,Exigência!$BB$4:$BB$53,$A$4,Exigência!$BA$4:$BA$53,"Máx")),SUMIFS(Exigência!AS4:AS53,Exigência!$BB$4:$BB$53,$A$4,Exigência!$BA$4:$BA$53,"Máx")+SUMIFS(Exigência!AS4:AS53,Exigência!$BB$4:$BB$53,$A$4,Exigência!$BA$4:$BA$53,"Máx")*AU46))</f>
        <v>9999999</v>
      </c>
      <c r="AV41" s="326">
        <f>IF(AV37="Desconsiderar",9999999,IF(AV46=0,IF(AV48&gt;0,AV48,SUMIFS(Exigência!AT4:AT53,Exigência!$BB$4:$BB$53,$A$4,Exigência!$BA$4:$BA$53,"Máx")),SUMIFS(Exigência!AT4:AT53,Exigência!$BB$4:$BB$53,$A$4,Exigência!$BA$4:$BA$53,"Máx")+SUMIFS(Exigência!AT4:AT53,Exigência!$BB$4:$BB$53,$A$4,Exigência!$BA$4:$BA$53,"Máx")*AV46))</f>
        <v>9999999</v>
      </c>
      <c r="AW41" s="326">
        <f>IF(AW37="Desconsiderar",9999999,IF(AW46=0,IF(AW48&gt;0,AW48,SUMIFS(Exigência!AU4:AU53,Exigência!$BB$4:$BB$53,$A$4,Exigência!$BA$4:$BA$53,"Máx")),SUMIFS(Exigência!AU4:AU53,Exigência!$BB$4:$BB$53,$A$4,Exigência!$BA$4:$BA$53,"Máx")+SUMIFS(Exigência!AU4:AU53,Exigência!$BB$4:$BB$53,$A$4,Exigência!$BA$4:$BA$53,"Máx")*AW46))</f>
        <v>9999999</v>
      </c>
      <c r="AX41" s="326">
        <f>IF(AX37="Desconsiderar",9999999,IF(AX46=0,IF(AX48&gt;0,AX48,SUMIFS(Exigência!AV4:AV53,Exigência!$BB$4:$BB$53,$A$4,Exigência!$BA$4:$BA$53,"Máx")),SUMIFS(Exigência!AV4:AV53,Exigência!$BB$4:$BB$53,$A$4,Exigência!$BA$4:$BA$53,"Máx")+SUMIFS(Exigência!AV4:AV53,Exigência!$BB$4:$BB$53,$A$4,Exigência!$BA$4:$BA$53,"Máx")*AX46))</f>
        <v>9999999</v>
      </c>
      <c r="AY41" s="326">
        <f>IF(AY37="Desconsiderar",9999999,IF(AY46=0,IF(AY48&gt;0,AY48,SUMIFS(Exigência!AW4:AW53,Exigência!$BB$4:$BB$53,$A$4,Exigência!$BA$4:$BA$53,"Máx")),SUMIFS(Exigência!AW4:AW53,Exigência!$BB$4:$BB$53,$A$4,Exigência!$BA$4:$BA$53,"Máx")+SUMIFS(Exigência!AW4:AW53,Exigência!$BB$4:$BB$53,$A$4,Exigência!$BA$4:$BA$53,"Máx")*AY46))</f>
        <v>9999999</v>
      </c>
      <c r="AZ41" s="326">
        <f>IF(AZ37="Desconsiderar",9999999,IF(AZ46=0,IF(AZ48&gt;0,AZ48,SUMIFS(Exigência!AX4:AX53,Exigência!$BB$4:$BB$53,$A$4,Exigência!$BA$4:$BA$53,"Máx")),SUMIFS(Exigência!AX4:AX53,Exigência!$BB$4:$BB$53,$A$4,Exigência!$BA$4:$BA$53,"Máx")+SUMIFS(Exigência!AX4:AX53,Exigência!$BB$4:$BB$53,$A$4,Exigência!$BA$4:$BA$53,"Máx")*AZ46))</f>
        <v>9999999</v>
      </c>
      <c r="BA41" s="326">
        <f>IF(BA37="Desconsiderar",9999999,IF(BA46=0,IF(BA48&gt;0,BA48,SUMIFS(Exigência!AY4:AY53,Exigência!$BB$4:$BB$53,$A$4,Exigência!$BA$4:$BA$53,"Máx")),SUMIFS(Exigência!AY4:AY53,Exigência!$BB$4:$BB$53,$A$4,Exigência!$BA$4:$BA$53,"Máx")+SUMIFS(Exigência!AY4:AY53,Exigência!$BB$4:$BB$53,$A$4,Exigência!$BA$4:$BA$53,"Máx")*BA46))</f>
        <v>9999999</v>
      </c>
      <c r="BB41" s="326">
        <f>IF(BB37="Desconsiderar",9999999,IF(BB46=0,IF(BB48&gt;0,BB48,SUMIFS(Exigência!AZ4:AZ53,Exigência!$BB$4:$BB$53,$A$4,Exigência!$BA$4:$BA$53,"Máx")),SUMIFS(Exigência!AZ4:AZ53,Exigência!$BB$4:$BB$53,$A$4,Exigência!$BA$4:$BA$53,"Máx")+SUMIFS(Exigência!AZ4:AZ53,Exigência!$BB$4:$BB$53,$A$4,Exigência!$BA$4:$BA$53,"Máx")*BB46))</f>
        <v>9999999</v>
      </c>
      <c r="BC41" s="262"/>
      <c r="BD41" s="504"/>
      <c r="BE41" s="760">
        <v>0</v>
      </c>
      <c r="BF41" s="759" t="s">
        <v>1187</v>
      </c>
      <c r="BG41" s="262"/>
      <c r="BH41" s="507">
        <f>SUMIFS($BD$9:$BD$33,$BL$9:$BL$33,BL41)</f>
        <v>1</v>
      </c>
      <c r="BI41" s="344">
        <f>SUMIFS($BH$9:$BH$33,$BL$9:$BL$33,BL41)</f>
        <v>1</v>
      </c>
      <c r="BJ41" s="345">
        <v>0</v>
      </c>
      <c r="BK41" s="345">
        <v>1</v>
      </c>
      <c r="BL41" s="2005" t="s">
        <v>4</v>
      </c>
      <c r="BM41" s="327"/>
      <c r="BN41" s="328"/>
      <c r="BO41" s="329"/>
      <c r="BP41" s="329"/>
      <c r="BQ41" s="329"/>
      <c r="BR41" s="329"/>
      <c r="BS41" s="329"/>
    </row>
    <row r="42" spans="1:71" s="58" customFormat="1" ht="15">
      <c r="A42" s="325"/>
      <c r="B42" s="472"/>
      <c r="C42" s="473"/>
      <c r="D42" s="473"/>
      <c r="E42" s="473"/>
      <c r="F42" s="473"/>
      <c r="G42" s="473" t="s">
        <v>657</v>
      </c>
      <c r="H42" s="391"/>
      <c r="I42" s="521">
        <f>IF(I38="OK","",IF(I38="D",I40-I39,I40-I41))</f>
        <v>-5.9198823287864855E-8</v>
      </c>
      <c r="J42" s="521" t="str">
        <f t="shared" ref="J42:BB42" si="46">IF(J38="OK","",IF(J38="D",J40-J39,J40-J41))</f>
        <v/>
      </c>
      <c r="K42" s="521" t="str">
        <f t="shared" si="46"/>
        <v/>
      </c>
      <c r="L42" s="521" t="str">
        <f t="shared" si="46"/>
        <v/>
      </c>
      <c r="M42" s="521" t="str">
        <f t="shared" si="46"/>
        <v/>
      </c>
      <c r="N42" s="521" t="str">
        <f t="shared" si="46"/>
        <v/>
      </c>
      <c r="O42" s="521" t="str">
        <f t="shared" si="46"/>
        <v/>
      </c>
      <c r="P42" s="521" t="str">
        <f t="shared" si="46"/>
        <v/>
      </c>
      <c r="Q42" s="521" t="str">
        <f t="shared" si="46"/>
        <v/>
      </c>
      <c r="R42" s="521" t="str">
        <f t="shared" si="46"/>
        <v/>
      </c>
      <c r="S42" s="521" t="str">
        <f t="shared" si="46"/>
        <v/>
      </c>
      <c r="T42" s="521" t="str">
        <f t="shared" si="46"/>
        <v/>
      </c>
      <c r="U42" s="521" t="str">
        <f t="shared" si="46"/>
        <v/>
      </c>
      <c r="V42" s="521" t="str">
        <f t="shared" si="46"/>
        <v/>
      </c>
      <c r="W42" s="521" t="str">
        <f t="shared" si="46"/>
        <v/>
      </c>
      <c r="X42" s="521" t="str">
        <f t="shared" si="46"/>
        <v/>
      </c>
      <c r="Y42" s="521" t="str">
        <f t="shared" si="46"/>
        <v/>
      </c>
      <c r="Z42" s="521">
        <f t="shared" si="46"/>
        <v>1.1155520951433573E-12</v>
      </c>
      <c r="AA42" s="521" t="str">
        <f t="shared" si="46"/>
        <v/>
      </c>
      <c r="AB42" s="521" t="str">
        <f t="shared" si="46"/>
        <v/>
      </c>
      <c r="AC42" s="521">
        <f t="shared" si="46"/>
        <v>4.3998157543967409E-5</v>
      </c>
      <c r="AD42" s="521" t="str">
        <f t="shared" si="46"/>
        <v/>
      </c>
      <c r="AE42" s="521" t="str">
        <f t="shared" si="46"/>
        <v/>
      </c>
      <c r="AF42" s="521" t="str">
        <f t="shared" si="46"/>
        <v/>
      </c>
      <c r="AG42" s="521" t="str">
        <f t="shared" si="46"/>
        <v/>
      </c>
      <c r="AH42" s="521" t="str">
        <f t="shared" si="46"/>
        <v/>
      </c>
      <c r="AI42" s="521" t="str">
        <f t="shared" si="46"/>
        <v/>
      </c>
      <c r="AJ42" s="521" t="str">
        <f t="shared" si="46"/>
        <v/>
      </c>
      <c r="AK42" s="521" t="str">
        <f t="shared" si="46"/>
        <v/>
      </c>
      <c r="AL42" s="521" t="str">
        <f t="shared" si="46"/>
        <v/>
      </c>
      <c r="AM42" s="521" t="str">
        <f t="shared" si="46"/>
        <v/>
      </c>
      <c r="AN42" s="521" t="str">
        <f t="shared" si="46"/>
        <v/>
      </c>
      <c r="AO42" s="521" t="str">
        <f t="shared" si="46"/>
        <v/>
      </c>
      <c r="AP42" s="521" t="str">
        <f t="shared" si="46"/>
        <v/>
      </c>
      <c r="AQ42" s="521" t="str">
        <f t="shared" si="46"/>
        <v/>
      </c>
      <c r="AR42" s="521" t="str">
        <f t="shared" si="46"/>
        <v/>
      </c>
      <c r="AS42" s="521" t="str">
        <f t="shared" si="46"/>
        <v/>
      </c>
      <c r="AT42" s="521" t="str">
        <f t="shared" si="46"/>
        <v/>
      </c>
      <c r="AU42" s="521" t="str">
        <f t="shared" si="46"/>
        <v/>
      </c>
      <c r="AV42" s="521" t="str">
        <f t="shared" si="46"/>
        <v/>
      </c>
      <c r="AW42" s="521" t="str">
        <f t="shared" si="46"/>
        <v/>
      </c>
      <c r="AX42" s="521" t="str">
        <f t="shared" si="46"/>
        <v/>
      </c>
      <c r="AY42" s="521" t="str">
        <f t="shared" si="46"/>
        <v/>
      </c>
      <c r="AZ42" s="521" t="str">
        <f t="shared" si="46"/>
        <v/>
      </c>
      <c r="BA42" s="521" t="str">
        <f t="shared" si="46"/>
        <v/>
      </c>
      <c r="BB42" s="521" t="str">
        <f t="shared" si="46"/>
        <v/>
      </c>
      <c r="BC42" s="262"/>
      <c r="BD42" s="504"/>
      <c r="BE42" s="760">
        <v>7</v>
      </c>
      <c r="BF42" s="759" t="s">
        <v>1188</v>
      </c>
      <c r="BG42" s="262"/>
      <c r="BH42" s="342"/>
      <c r="BI42" s="341"/>
      <c r="BJ42" s="342"/>
      <c r="BK42" s="342"/>
      <c r="BL42" s="2004"/>
      <c r="BM42" s="330"/>
      <c r="BN42" s="328"/>
      <c r="BO42" s="329"/>
      <c r="BP42" s="329"/>
      <c r="BQ42" s="329"/>
      <c r="BR42" s="329"/>
      <c r="BS42" s="329"/>
    </row>
    <row r="43" spans="1:71" ht="15.75" thickBot="1">
      <c r="A43" s="331"/>
      <c r="B43" s="332"/>
      <c r="C43" s="333"/>
      <c r="D43" s="333"/>
      <c r="E43" s="333"/>
      <c r="F43" s="333"/>
      <c r="G43" s="468" t="s">
        <v>49</v>
      </c>
      <c r="H43" s="388"/>
      <c r="I43" s="508">
        <f>IF(I37="Desconsiderar","OK",IF(AND(I40&gt;=I39,I40&lt;=I41),"OK",IF(I40&lt;I39,(I39-I40)/I39,IF(I40&gt;I41,(I40-I41)/I41))))</f>
        <v>5.9198823287864855E-8</v>
      </c>
      <c r="J43" s="508" t="str">
        <f t="shared" ref="J43:BB43" si="47">IF(J37="Desconsiderar","OK",IF(AND(J40&gt;=J39,J40&lt;=J41),"OK",IF(J40&lt;J39,(J39-J40)/J39,IF(J40&gt;J41,(J40-J41)/J41))))</f>
        <v>OK</v>
      </c>
      <c r="K43" s="508" t="str">
        <f t="shared" si="47"/>
        <v>OK</v>
      </c>
      <c r="L43" s="508" t="str">
        <f t="shared" si="47"/>
        <v>OK</v>
      </c>
      <c r="M43" s="508" t="str">
        <f t="shared" si="47"/>
        <v>OK</v>
      </c>
      <c r="N43" s="508" t="str">
        <f t="shared" si="47"/>
        <v>OK</v>
      </c>
      <c r="O43" s="508" t="str">
        <f t="shared" si="47"/>
        <v>OK</v>
      </c>
      <c r="P43" s="508" t="str">
        <f t="shared" si="47"/>
        <v>OK</v>
      </c>
      <c r="Q43" s="508" t="str">
        <f t="shared" si="47"/>
        <v>OK</v>
      </c>
      <c r="R43" s="508" t="str">
        <f t="shared" si="47"/>
        <v>OK</v>
      </c>
      <c r="S43" s="508" t="str">
        <f t="shared" si="47"/>
        <v>OK</v>
      </c>
      <c r="T43" s="508" t="str">
        <f t="shared" si="47"/>
        <v>OK</v>
      </c>
      <c r="U43" s="508" t="str">
        <f t="shared" si="47"/>
        <v>OK</v>
      </c>
      <c r="V43" s="508" t="str">
        <f t="shared" si="47"/>
        <v>OK</v>
      </c>
      <c r="W43" s="508" t="str">
        <f t="shared" si="47"/>
        <v>OK</v>
      </c>
      <c r="X43" s="508" t="str">
        <f>IF(X37="Desconsiderar","OK",IF(AND(X40&gt;=X39,X40&lt;=X41),"OK",IF(X40&lt;X39,(X39-X40)/X39,IF(X40&gt;X41,(X40-X41)/X41))))</f>
        <v>OK</v>
      </c>
      <c r="Y43" s="508" t="str">
        <f t="shared" si="47"/>
        <v>OK</v>
      </c>
      <c r="Z43" s="508">
        <f t="shared" si="47"/>
        <v>3.0150056625496141E-14</v>
      </c>
      <c r="AA43" s="508" t="str">
        <f t="shared" si="47"/>
        <v>OK</v>
      </c>
      <c r="AB43" s="508" t="str">
        <f t="shared" si="47"/>
        <v>OK</v>
      </c>
      <c r="AC43" s="508">
        <f t="shared" si="47"/>
        <v>9.9995812599925937E-7</v>
      </c>
      <c r="AD43" s="508" t="str">
        <f t="shared" si="47"/>
        <v>OK</v>
      </c>
      <c r="AE43" s="508" t="str">
        <f t="shared" si="47"/>
        <v>OK</v>
      </c>
      <c r="AF43" s="508" t="str">
        <f t="shared" si="47"/>
        <v>OK</v>
      </c>
      <c r="AG43" s="508" t="str">
        <f t="shared" si="47"/>
        <v>OK</v>
      </c>
      <c r="AH43" s="508" t="str">
        <f t="shared" si="47"/>
        <v>OK</v>
      </c>
      <c r="AI43" s="508" t="str">
        <f t="shared" si="47"/>
        <v>OK</v>
      </c>
      <c r="AJ43" s="508" t="str">
        <f t="shared" si="47"/>
        <v>OK</v>
      </c>
      <c r="AK43" s="508" t="str">
        <f t="shared" si="47"/>
        <v>OK</v>
      </c>
      <c r="AL43" s="508" t="str">
        <f t="shared" si="47"/>
        <v>OK</v>
      </c>
      <c r="AM43" s="508" t="str">
        <f t="shared" si="47"/>
        <v>OK</v>
      </c>
      <c r="AN43" s="508" t="str">
        <f t="shared" si="47"/>
        <v>OK</v>
      </c>
      <c r="AO43" s="508" t="str">
        <f t="shared" si="47"/>
        <v>OK</v>
      </c>
      <c r="AP43" s="508" t="str">
        <f t="shared" si="47"/>
        <v>OK</v>
      </c>
      <c r="AQ43" s="508" t="str">
        <f t="shared" si="47"/>
        <v>OK</v>
      </c>
      <c r="AR43" s="508" t="str">
        <f t="shared" si="47"/>
        <v>OK</v>
      </c>
      <c r="AS43" s="508" t="str">
        <f t="shared" si="47"/>
        <v>OK</v>
      </c>
      <c r="AT43" s="508" t="str">
        <f t="shared" si="47"/>
        <v>OK</v>
      </c>
      <c r="AU43" s="508" t="str">
        <f t="shared" si="47"/>
        <v>OK</v>
      </c>
      <c r="AV43" s="508" t="str">
        <f t="shared" si="47"/>
        <v>OK</v>
      </c>
      <c r="AW43" s="508" t="str">
        <f t="shared" si="47"/>
        <v>OK</v>
      </c>
      <c r="AX43" s="508" t="str">
        <f t="shared" si="47"/>
        <v>OK</v>
      </c>
      <c r="AY43" s="508" t="str">
        <f t="shared" si="47"/>
        <v>OK</v>
      </c>
      <c r="AZ43" s="508" t="str">
        <f t="shared" si="47"/>
        <v>OK</v>
      </c>
      <c r="BA43" s="508" t="str">
        <f t="shared" si="47"/>
        <v>OK</v>
      </c>
      <c r="BB43" s="508" t="str">
        <f t="shared" si="47"/>
        <v>OK</v>
      </c>
      <c r="BC43" s="262"/>
      <c r="BD43" s="505"/>
      <c r="BE43" s="333"/>
      <c r="BF43" s="333"/>
      <c r="BG43" s="333"/>
      <c r="BH43" s="333"/>
      <c r="BI43" s="333"/>
      <c r="BJ43" s="333"/>
      <c r="BK43" s="333"/>
      <c r="BL43" s="2006"/>
      <c r="BM43" s="262"/>
      <c r="BN43" s="334"/>
      <c r="BO43" s="335"/>
      <c r="BP43" s="335"/>
      <c r="BQ43" s="335"/>
      <c r="BR43" s="335"/>
      <c r="BS43" s="335"/>
    </row>
    <row r="44" spans="1:71" ht="8.25" customHeight="1" thickTop="1">
      <c r="A44" s="336"/>
      <c r="B44" s="336"/>
      <c r="C44" s="336"/>
      <c r="D44" s="336"/>
      <c r="E44" s="336"/>
      <c r="F44" s="336"/>
      <c r="G44" s="336"/>
      <c r="H44" s="336"/>
      <c r="I44" s="336"/>
      <c r="J44" s="262"/>
      <c r="K44" s="337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262"/>
      <c r="BF44" s="262"/>
      <c r="BG44" s="262"/>
      <c r="BH44" s="262"/>
      <c r="BI44" s="262"/>
      <c r="BJ44" s="262"/>
      <c r="BK44" s="262"/>
      <c r="BL44" s="2007"/>
      <c r="BM44" s="262"/>
      <c r="BN44" s="334"/>
      <c r="BO44" s="335"/>
      <c r="BP44" s="335"/>
      <c r="BQ44" s="335"/>
      <c r="BR44" s="335"/>
      <c r="BS44" s="335"/>
    </row>
    <row r="45" spans="1:71" ht="14.25" customHeight="1" thickBot="1">
      <c r="A45" s="336"/>
      <c r="B45" s="336"/>
      <c r="C45" s="336"/>
      <c r="D45" s="336"/>
      <c r="E45" s="336"/>
      <c r="F45" s="336"/>
      <c r="G45" s="336"/>
      <c r="H45" s="336"/>
      <c r="I45" s="336"/>
      <c r="J45" s="336"/>
      <c r="K45" s="336"/>
      <c r="L45" s="336"/>
      <c r="M45" s="336"/>
      <c r="N45" s="336"/>
      <c r="O45" s="336"/>
      <c r="P45" s="336"/>
      <c r="Q45" s="336"/>
      <c r="R45" s="336"/>
      <c r="S45" s="336"/>
      <c r="T45" s="336"/>
      <c r="U45" s="336"/>
      <c r="V45" s="336"/>
      <c r="W45" s="336"/>
      <c r="X45" s="336"/>
      <c r="Y45" s="336"/>
      <c r="Z45" s="336"/>
      <c r="AA45" s="336"/>
      <c r="AB45" s="336"/>
      <c r="AC45" s="336"/>
      <c r="AD45" s="336"/>
      <c r="AE45" s="336"/>
      <c r="AF45" s="336"/>
      <c r="AG45" s="336"/>
      <c r="AH45" s="336"/>
      <c r="AI45" s="336"/>
      <c r="AJ45" s="336"/>
      <c r="AK45" s="336"/>
      <c r="AL45" s="336"/>
      <c r="AM45" s="336"/>
      <c r="AN45" s="336"/>
      <c r="AO45" s="336"/>
      <c r="AP45" s="336"/>
      <c r="AQ45" s="336"/>
      <c r="AR45" s="336"/>
      <c r="AS45" s="336"/>
      <c r="AT45" s="336"/>
      <c r="AU45" s="336"/>
      <c r="AV45" s="336"/>
      <c r="AW45" s="336"/>
      <c r="AX45" s="336"/>
      <c r="AY45" s="336"/>
      <c r="AZ45" s="336"/>
      <c r="BA45" s="336"/>
      <c r="BB45" s="336"/>
      <c r="BC45" s="262"/>
      <c r="BD45" s="262"/>
      <c r="BE45" s="262"/>
      <c r="BF45" s="262"/>
      <c r="BG45" s="262"/>
      <c r="BH45" s="262"/>
      <c r="BI45" s="262"/>
      <c r="BJ45" s="262"/>
      <c r="BK45" s="262"/>
      <c r="BL45" s="2007"/>
      <c r="BM45" s="262"/>
      <c r="BN45" s="334"/>
      <c r="BO45" s="335"/>
      <c r="BP45" s="335"/>
      <c r="BQ45" s="335"/>
      <c r="BR45" s="335"/>
      <c r="BS45" s="335"/>
    </row>
    <row r="46" spans="1:71" ht="15.75" thickTop="1">
      <c r="A46" s="338"/>
      <c r="B46" s="926"/>
      <c r="C46" s="927"/>
      <c r="D46" s="927"/>
      <c r="E46" s="927"/>
      <c r="F46" s="927"/>
      <c r="G46" s="928" t="s">
        <v>50</v>
      </c>
      <c r="H46" s="336"/>
      <c r="I46" s="1931"/>
      <c r="J46" s="1932">
        <f>I46</f>
        <v>0</v>
      </c>
      <c r="K46" s="1932">
        <f>J46</f>
        <v>0</v>
      </c>
      <c r="L46" s="1932">
        <f t="shared" ref="L46:AV46" si="48">K46</f>
        <v>0</v>
      </c>
      <c r="M46" s="1932">
        <f t="shared" si="48"/>
        <v>0</v>
      </c>
      <c r="N46" s="1932">
        <f t="shared" si="48"/>
        <v>0</v>
      </c>
      <c r="O46" s="1932">
        <f t="shared" si="48"/>
        <v>0</v>
      </c>
      <c r="P46" s="1932">
        <f t="shared" si="48"/>
        <v>0</v>
      </c>
      <c r="Q46" s="1932">
        <f t="shared" si="48"/>
        <v>0</v>
      </c>
      <c r="R46" s="1932">
        <f t="shared" si="48"/>
        <v>0</v>
      </c>
      <c r="S46" s="1932">
        <f t="shared" si="48"/>
        <v>0</v>
      </c>
      <c r="T46" s="1932">
        <f t="shared" si="48"/>
        <v>0</v>
      </c>
      <c r="U46" s="1932">
        <f t="shared" si="48"/>
        <v>0</v>
      </c>
      <c r="V46" s="1932">
        <f t="shared" si="48"/>
        <v>0</v>
      </c>
      <c r="W46" s="1932">
        <f t="shared" si="48"/>
        <v>0</v>
      </c>
      <c r="X46" s="1932">
        <f t="shared" si="48"/>
        <v>0</v>
      </c>
      <c r="Y46" s="1932">
        <f t="shared" si="48"/>
        <v>0</v>
      </c>
      <c r="Z46" s="1932">
        <f t="shared" si="48"/>
        <v>0</v>
      </c>
      <c r="AA46" s="1932">
        <f t="shared" si="48"/>
        <v>0</v>
      </c>
      <c r="AB46" s="1932">
        <f t="shared" si="48"/>
        <v>0</v>
      </c>
      <c r="AC46" s="1932">
        <f t="shared" si="48"/>
        <v>0</v>
      </c>
      <c r="AD46" s="1932">
        <f t="shared" si="48"/>
        <v>0</v>
      </c>
      <c r="AE46" s="1932">
        <f t="shared" si="48"/>
        <v>0</v>
      </c>
      <c r="AF46" s="1932">
        <f t="shared" si="48"/>
        <v>0</v>
      </c>
      <c r="AG46" s="1932">
        <f t="shared" si="48"/>
        <v>0</v>
      </c>
      <c r="AH46" s="1932">
        <f t="shared" si="48"/>
        <v>0</v>
      </c>
      <c r="AI46" s="1932">
        <f t="shared" si="48"/>
        <v>0</v>
      </c>
      <c r="AJ46" s="1932">
        <f t="shared" si="48"/>
        <v>0</v>
      </c>
      <c r="AK46" s="1932">
        <f t="shared" si="48"/>
        <v>0</v>
      </c>
      <c r="AL46" s="1932">
        <f t="shared" si="48"/>
        <v>0</v>
      </c>
      <c r="AM46" s="1932">
        <f t="shared" si="48"/>
        <v>0</v>
      </c>
      <c r="AN46" s="1932">
        <f t="shared" si="48"/>
        <v>0</v>
      </c>
      <c r="AO46" s="1932">
        <f t="shared" si="48"/>
        <v>0</v>
      </c>
      <c r="AP46" s="1932">
        <f t="shared" si="48"/>
        <v>0</v>
      </c>
      <c r="AQ46" s="1932">
        <f t="shared" si="48"/>
        <v>0</v>
      </c>
      <c r="AR46" s="1932">
        <f t="shared" si="48"/>
        <v>0</v>
      </c>
      <c r="AS46" s="1932">
        <f t="shared" si="48"/>
        <v>0</v>
      </c>
      <c r="AT46" s="1932">
        <f t="shared" si="48"/>
        <v>0</v>
      </c>
      <c r="AU46" s="1932">
        <f t="shared" si="48"/>
        <v>0</v>
      </c>
      <c r="AV46" s="1932">
        <f t="shared" si="48"/>
        <v>0</v>
      </c>
      <c r="AW46" s="1932">
        <f t="shared" ref="AW46" si="49">AV46</f>
        <v>0</v>
      </c>
      <c r="AX46" s="1932">
        <f t="shared" ref="AX46" si="50">AW46</f>
        <v>0</v>
      </c>
      <c r="AY46" s="1932">
        <f t="shared" ref="AY46" si="51">AX46</f>
        <v>0</v>
      </c>
      <c r="AZ46" s="1932">
        <f t="shared" ref="AZ46" si="52">AY46</f>
        <v>0</v>
      </c>
      <c r="BA46" s="1932">
        <f>AZ46</f>
        <v>0</v>
      </c>
      <c r="BB46" s="1932">
        <f>BA46</f>
        <v>0</v>
      </c>
      <c r="BC46" s="262"/>
      <c r="BD46" s="459"/>
      <c r="BE46" s="460"/>
      <c r="BF46" s="460"/>
      <c r="BG46" s="460"/>
      <c r="BH46" s="460"/>
      <c r="BI46" s="460"/>
      <c r="BJ46" s="460"/>
      <c r="BK46" s="460"/>
      <c r="BL46" s="2008"/>
      <c r="BM46" s="262"/>
      <c r="BN46" s="334"/>
      <c r="BO46" s="335"/>
      <c r="BP46" s="335"/>
      <c r="BQ46" s="335"/>
      <c r="BR46" s="335"/>
      <c r="BS46" s="335"/>
    </row>
    <row r="47" spans="1:71" ht="15">
      <c r="A47" s="338"/>
      <c r="B47" s="929"/>
      <c r="C47" s="930"/>
      <c r="D47" s="930"/>
      <c r="E47" s="930"/>
      <c r="F47" s="930"/>
      <c r="G47" s="931" t="s">
        <v>59</v>
      </c>
      <c r="H47" s="932"/>
      <c r="I47" s="1930"/>
      <c r="J47" s="1930"/>
      <c r="K47" s="1930"/>
      <c r="L47" s="1930"/>
      <c r="M47" s="1930"/>
      <c r="N47" s="1930"/>
      <c r="O47" s="1930"/>
      <c r="P47" s="1930"/>
      <c r="Q47" s="1930"/>
      <c r="R47" s="1930"/>
      <c r="S47" s="1930"/>
      <c r="T47" s="1930"/>
      <c r="U47" s="1930"/>
      <c r="V47" s="1930"/>
      <c r="W47" s="1930"/>
      <c r="X47" s="1930"/>
      <c r="Y47" s="1930"/>
      <c r="Z47" s="1930"/>
      <c r="AA47" s="1930"/>
      <c r="AB47" s="1930"/>
      <c r="AC47" s="1930"/>
      <c r="AD47" s="1930"/>
      <c r="AE47" s="1930"/>
      <c r="AF47" s="1930"/>
      <c r="AG47" s="1930"/>
      <c r="AH47" s="1930"/>
      <c r="AI47" s="1930"/>
      <c r="AJ47" s="1930"/>
      <c r="AK47" s="1930"/>
      <c r="AL47" s="1930"/>
      <c r="AM47" s="1930"/>
      <c r="AN47" s="1930"/>
      <c r="AO47" s="1930"/>
      <c r="AP47" s="1930"/>
      <c r="AQ47" s="1930"/>
      <c r="AR47" s="1930"/>
      <c r="AS47" s="1930"/>
      <c r="AT47" s="1930"/>
      <c r="AU47" s="1930"/>
      <c r="AV47" s="1930"/>
      <c r="AW47" s="1930"/>
      <c r="AX47" s="1930"/>
      <c r="AY47" s="1930"/>
      <c r="AZ47" s="1930"/>
      <c r="BA47" s="1930"/>
      <c r="BB47" s="1930"/>
      <c r="BC47" s="262"/>
      <c r="BD47" s="461"/>
      <c r="BE47" s="262"/>
      <c r="BF47" s="262"/>
      <c r="BG47" s="262"/>
      <c r="BH47" s="262"/>
      <c r="BI47" s="262"/>
      <c r="BJ47" s="262"/>
      <c r="BK47" s="262"/>
      <c r="BL47" s="2009"/>
      <c r="BM47" s="262"/>
      <c r="BN47" s="334"/>
      <c r="BO47" s="335"/>
      <c r="BP47" s="335"/>
      <c r="BQ47" s="335"/>
      <c r="BR47" s="335"/>
      <c r="BS47" s="335"/>
    </row>
    <row r="48" spans="1:71" ht="15" customHeight="1" thickBot="1">
      <c r="A48" s="346"/>
      <c r="B48" s="933"/>
      <c r="C48" s="934"/>
      <c r="D48" s="934"/>
      <c r="E48" s="934"/>
      <c r="F48" s="934"/>
      <c r="G48" s="935" t="s">
        <v>60</v>
      </c>
      <c r="H48" s="932"/>
      <c r="I48" s="936"/>
      <c r="J48" s="936"/>
      <c r="K48" s="936"/>
      <c r="L48" s="936"/>
      <c r="M48" s="936"/>
      <c r="N48" s="936"/>
      <c r="O48" s="936"/>
      <c r="P48" s="936"/>
      <c r="Q48" s="936"/>
      <c r="R48" s="936"/>
      <c r="S48" s="936"/>
      <c r="T48" s="936"/>
      <c r="U48" s="936"/>
      <c r="V48" s="936"/>
      <c r="W48" s="936"/>
      <c r="X48" s="936"/>
      <c r="Y48" s="936"/>
      <c r="Z48" s="936"/>
      <c r="AA48" s="936"/>
      <c r="AB48" s="936"/>
      <c r="AC48" s="936"/>
      <c r="AD48" s="936"/>
      <c r="AE48" s="936"/>
      <c r="AF48" s="936"/>
      <c r="AG48" s="936"/>
      <c r="AH48" s="936"/>
      <c r="AI48" s="936"/>
      <c r="AJ48" s="936"/>
      <c r="AK48" s="936"/>
      <c r="AL48" s="936"/>
      <c r="AM48" s="936"/>
      <c r="AN48" s="937"/>
      <c r="AO48" s="936"/>
      <c r="AP48" s="936"/>
      <c r="AQ48" s="936"/>
      <c r="AR48" s="936"/>
      <c r="AS48" s="936"/>
      <c r="AT48" s="936"/>
      <c r="AU48" s="936"/>
      <c r="AV48" s="936"/>
      <c r="AW48" s="936"/>
      <c r="AX48" s="936"/>
      <c r="AY48" s="936"/>
      <c r="AZ48" s="936"/>
      <c r="BA48" s="936"/>
      <c r="BB48" s="936"/>
      <c r="BC48" s="262"/>
      <c r="BD48" s="462"/>
      <c r="BE48" s="463"/>
      <c r="BF48" s="463"/>
      <c r="BG48" s="463"/>
      <c r="BH48" s="463"/>
      <c r="BI48" s="463"/>
      <c r="BJ48" s="463"/>
      <c r="BK48" s="463"/>
      <c r="BL48" s="2010"/>
      <c r="BM48" s="262"/>
    </row>
    <row r="49" spans="1:66" ht="15.75" thickTop="1">
      <c r="A49" s="262"/>
      <c r="B49" s="262"/>
      <c r="C49" s="262"/>
      <c r="D49" s="262"/>
      <c r="E49" s="262"/>
      <c r="F49" s="262"/>
      <c r="G49" s="262"/>
      <c r="H49" s="387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262"/>
      <c r="BF49" s="262"/>
      <c r="BG49" s="262"/>
      <c r="BH49" s="262"/>
      <c r="BI49" s="262"/>
      <c r="BJ49" s="262"/>
      <c r="BK49" s="262"/>
      <c r="BL49" s="2007"/>
      <c r="BM49" s="262"/>
    </row>
    <row r="50" spans="1:66" ht="15">
      <c r="A50" s="262"/>
      <c r="B50" s="465"/>
      <c r="C50" s="465"/>
      <c r="D50" s="465"/>
      <c r="E50" s="465"/>
      <c r="F50" s="465"/>
      <c r="G50" s="465"/>
      <c r="H50" s="387"/>
      <c r="I50" s="465"/>
      <c r="J50" s="465"/>
      <c r="K50" s="465"/>
      <c r="L50" s="465"/>
      <c r="M50" s="465"/>
      <c r="N50" s="465"/>
      <c r="O50" s="465"/>
      <c r="P50" s="465"/>
      <c r="Q50" s="465"/>
      <c r="R50" s="465"/>
      <c r="S50" s="465"/>
      <c r="T50" s="465"/>
      <c r="U50" s="465"/>
      <c r="V50" s="465"/>
      <c r="W50" s="465"/>
      <c r="X50" s="465"/>
      <c r="Y50" s="465"/>
      <c r="Z50" s="465"/>
      <c r="AA50" s="465"/>
      <c r="AB50" s="465"/>
      <c r="AC50" s="465"/>
      <c r="AD50" s="465"/>
      <c r="AE50" s="465"/>
      <c r="AF50" s="465"/>
      <c r="AG50" s="465"/>
      <c r="AH50" s="465"/>
      <c r="AI50" s="465"/>
      <c r="AJ50" s="465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65"/>
      <c r="AV50" s="465"/>
      <c r="AW50" s="465"/>
      <c r="AX50" s="465"/>
      <c r="AY50" s="465"/>
      <c r="AZ50" s="465"/>
      <c r="BA50" s="465"/>
      <c r="BB50" s="465"/>
      <c r="BC50" s="262"/>
      <c r="BD50" s="464" t="s">
        <v>489</v>
      </c>
      <c r="BE50" s="464"/>
      <c r="BF50" s="464"/>
      <c r="BG50" s="464"/>
      <c r="BH50" s="464"/>
      <c r="BI50" s="464"/>
      <c r="BJ50" s="464"/>
      <c r="BK50" s="464"/>
      <c r="BL50" s="2011"/>
      <c r="BM50" s="262"/>
    </row>
    <row r="51" spans="1:66" ht="15" customHeight="1">
      <c r="A51" s="262"/>
      <c r="B51" s="584" t="s">
        <v>312</v>
      </c>
      <c r="C51" s="585"/>
      <c r="D51" s="585"/>
      <c r="E51" s="585"/>
      <c r="F51" s="585"/>
      <c r="G51" s="585"/>
      <c r="H51" s="387"/>
      <c r="I51" s="586" t="s">
        <v>312</v>
      </c>
      <c r="J51" s="586"/>
      <c r="K51" s="586"/>
      <c r="L51" s="586"/>
      <c r="M51" s="586"/>
      <c r="N51" s="586"/>
      <c r="O51" s="586"/>
      <c r="P51" s="586" t="s">
        <v>312</v>
      </c>
      <c r="Q51" s="586"/>
      <c r="R51" s="586"/>
      <c r="S51" s="586"/>
      <c r="T51" s="586"/>
      <c r="U51" s="586"/>
      <c r="V51" s="586"/>
      <c r="W51" s="586" t="s">
        <v>312</v>
      </c>
      <c r="X51" s="586"/>
      <c r="Y51" s="586"/>
      <c r="Z51" s="586"/>
      <c r="AA51" s="586"/>
      <c r="AB51" s="586"/>
      <c r="AC51" s="586"/>
      <c r="AD51" s="586" t="s">
        <v>312</v>
      </c>
      <c r="AE51" s="586"/>
      <c r="AF51" s="586"/>
      <c r="AG51" s="586"/>
      <c r="AH51" s="586"/>
      <c r="AI51" s="586"/>
      <c r="AJ51" s="586"/>
      <c r="AK51" s="586" t="s">
        <v>312</v>
      </c>
      <c r="AL51" s="586"/>
      <c r="AM51" s="586"/>
      <c r="AN51" s="586"/>
      <c r="AO51" s="586"/>
      <c r="AP51" s="586"/>
      <c r="AQ51" s="586"/>
      <c r="AR51" s="586" t="s">
        <v>312</v>
      </c>
      <c r="AS51" s="586"/>
      <c r="AT51" s="586"/>
      <c r="AU51" s="586"/>
      <c r="AV51" s="586"/>
      <c r="AW51" s="586"/>
      <c r="AX51" s="586"/>
      <c r="AY51" s="466"/>
      <c r="AZ51" s="466"/>
      <c r="BA51" s="466"/>
      <c r="BB51" s="466"/>
      <c r="BC51" s="262"/>
      <c r="BD51" s="347" t="s">
        <v>495</v>
      </c>
      <c r="BE51" s="347"/>
      <c r="BF51" s="347"/>
      <c r="BG51" s="347"/>
      <c r="BH51" s="348" t="s">
        <v>494</v>
      </c>
      <c r="BI51" s="349"/>
      <c r="BJ51" s="349"/>
      <c r="BK51" s="349"/>
      <c r="BL51" s="2012" t="str">
        <f>TEXT(BI40,"##0%")&amp;"V : "&amp;TEXT(BI41,"##0%")&amp;"C"</f>
        <v>0%V : 100%C</v>
      </c>
      <c r="BM51" s="262"/>
    </row>
    <row r="52" spans="1:66" ht="22.5" customHeight="1" thickBot="1">
      <c r="A52" s="262"/>
      <c r="B52" s="450"/>
      <c r="C52" s="448"/>
      <c r="D52" s="448"/>
      <c r="E52" s="448"/>
      <c r="F52" s="448"/>
      <c r="G52" s="448"/>
      <c r="H52" s="387"/>
      <c r="I52" s="448"/>
      <c r="J52" s="449"/>
      <c r="K52" s="449"/>
      <c r="L52" s="448"/>
      <c r="M52" s="448"/>
      <c r="N52" s="448"/>
      <c r="O52" s="448"/>
      <c r="P52" s="448"/>
      <c r="Q52" s="448"/>
      <c r="R52" s="448"/>
      <c r="S52" s="448"/>
      <c r="T52" s="448"/>
      <c r="U52" s="448"/>
      <c r="V52" s="448"/>
      <c r="W52" s="448"/>
      <c r="X52" s="448"/>
      <c r="Y52" s="448"/>
      <c r="Z52" s="448"/>
      <c r="AA52" s="448"/>
      <c r="AB52" s="448"/>
      <c r="AC52" s="448"/>
      <c r="AD52" s="448"/>
      <c r="AE52" s="448"/>
      <c r="AF52" s="448"/>
      <c r="AG52" s="448"/>
      <c r="AH52" s="448"/>
      <c r="AI52" s="448"/>
      <c r="AJ52" s="448"/>
      <c r="AK52" s="448"/>
      <c r="AL52" s="448"/>
      <c r="AM52" s="448"/>
      <c r="AN52" s="448"/>
      <c r="AO52" s="448"/>
      <c r="AP52" s="448"/>
      <c r="AQ52" s="448"/>
      <c r="AR52" s="448"/>
      <c r="AS52" s="448"/>
      <c r="AT52" s="448"/>
      <c r="AU52" s="448"/>
      <c r="AV52" s="448"/>
      <c r="AW52" s="448"/>
      <c r="AX52" s="448"/>
      <c r="AY52" s="448"/>
      <c r="AZ52" s="448"/>
      <c r="BA52" s="448"/>
      <c r="BB52" s="448"/>
      <c r="BC52" s="262"/>
      <c r="BD52" s="2017" t="s">
        <v>321</v>
      </c>
      <c r="BE52" s="2018" t="s">
        <v>1506</v>
      </c>
      <c r="BF52" s="2018" t="s">
        <v>63</v>
      </c>
      <c r="BG52" s="2019" t="s">
        <v>64</v>
      </c>
      <c r="BH52" s="2020" t="s">
        <v>321</v>
      </c>
      <c r="BI52" s="2018" t="s">
        <v>1506</v>
      </c>
      <c r="BJ52" s="2018" t="s">
        <v>63</v>
      </c>
      <c r="BK52" s="2018" t="s">
        <v>63</v>
      </c>
      <c r="BL52" s="2013" t="s">
        <v>74</v>
      </c>
      <c r="BM52" s="350"/>
    </row>
    <row r="53" spans="1:66" ht="15" customHeight="1" thickBot="1">
      <c r="A53" s="262"/>
      <c r="B53" s="367" t="str">
        <f>IF(B9=0,"",B9)</f>
        <v>CAPIM BRAQUIÁRIA DECUMBENS ÁGUAS-SECA</v>
      </c>
      <c r="C53" s="469" t="str">
        <f>IF(C9=0,"",C9)</f>
        <v/>
      </c>
      <c r="D53" s="469" t="str">
        <f>IF(D9=0,"",D9)</f>
        <v/>
      </c>
      <c r="E53" s="469">
        <f>IF(B53="","",E9)</f>
        <v>0</v>
      </c>
      <c r="F53" s="469" t="str">
        <f t="shared" ref="F53" si="53">IF(F9=0,"",F9)</f>
        <v/>
      </c>
      <c r="G53" s="351">
        <f t="shared" ref="G53:BB53" si="54">IFERROR($C9*G9,"")</f>
        <v>0</v>
      </c>
      <c r="H53" s="387"/>
      <c r="I53" s="444">
        <f t="shared" si="54"/>
        <v>0</v>
      </c>
      <c r="J53" s="352">
        <f t="shared" si="54"/>
        <v>0</v>
      </c>
      <c r="K53" s="352">
        <f t="shared" si="54"/>
        <v>0</v>
      </c>
      <c r="L53" s="352">
        <f t="shared" si="54"/>
        <v>0</v>
      </c>
      <c r="M53" s="352">
        <f t="shared" si="54"/>
        <v>0</v>
      </c>
      <c r="N53" s="352">
        <f t="shared" si="54"/>
        <v>0</v>
      </c>
      <c r="O53" s="352">
        <f t="shared" si="54"/>
        <v>0</v>
      </c>
      <c r="P53" s="352">
        <f t="shared" si="54"/>
        <v>0</v>
      </c>
      <c r="Q53" s="352">
        <f t="shared" si="54"/>
        <v>0</v>
      </c>
      <c r="R53" s="352">
        <f t="shared" si="54"/>
        <v>0</v>
      </c>
      <c r="S53" s="352">
        <f t="shared" si="54"/>
        <v>0</v>
      </c>
      <c r="T53" s="352">
        <f t="shared" si="54"/>
        <v>0</v>
      </c>
      <c r="U53" s="352">
        <f t="shared" si="54"/>
        <v>0</v>
      </c>
      <c r="V53" s="352">
        <f t="shared" si="54"/>
        <v>0</v>
      </c>
      <c r="W53" s="352">
        <f t="shared" si="54"/>
        <v>0</v>
      </c>
      <c r="X53" s="352">
        <f t="shared" si="54"/>
        <v>0</v>
      </c>
      <c r="Y53" s="352">
        <f t="shared" si="54"/>
        <v>0</v>
      </c>
      <c r="Z53" s="352">
        <f t="shared" si="54"/>
        <v>0</v>
      </c>
      <c r="AA53" s="352">
        <f t="shared" si="54"/>
        <v>0</v>
      </c>
      <c r="AB53" s="352">
        <f t="shared" si="54"/>
        <v>0</v>
      </c>
      <c r="AC53" s="352">
        <f t="shared" si="54"/>
        <v>0</v>
      </c>
      <c r="AD53" s="352">
        <f t="shared" si="54"/>
        <v>0</v>
      </c>
      <c r="AE53" s="352">
        <f t="shared" si="54"/>
        <v>0</v>
      </c>
      <c r="AF53" s="352">
        <f t="shared" si="54"/>
        <v>0</v>
      </c>
      <c r="AG53" s="352">
        <f t="shared" si="54"/>
        <v>0</v>
      </c>
      <c r="AH53" s="352">
        <f t="shared" si="54"/>
        <v>0</v>
      </c>
      <c r="AI53" s="352">
        <f t="shared" si="54"/>
        <v>0</v>
      </c>
      <c r="AJ53" s="352">
        <f t="shared" si="54"/>
        <v>0</v>
      </c>
      <c r="AK53" s="352">
        <f t="shared" si="54"/>
        <v>0</v>
      </c>
      <c r="AL53" s="352">
        <f t="shared" si="54"/>
        <v>0</v>
      </c>
      <c r="AM53" s="352">
        <f t="shared" si="54"/>
        <v>0</v>
      </c>
      <c r="AN53" s="352">
        <f t="shared" si="54"/>
        <v>0</v>
      </c>
      <c r="AO53" s="352">
        <f t="shared" si="54"/>
        <v>0</v>
      </c>
      <c r="AP53" s="352">
        <f t="shared" si="54"/>
        <v>0</v>
      </c>
      <c r="AQ53" s="352">
        <f t="shared" si="54"/>
        <v>0</v>
      </c>
      <c r="AR53" s="352">
        <f t="shared" si="54"/>
        <v>0</v>
      </c>
      <c r="AS53" s="352">
        <f t="shared" si="54"/>
        <v>0</v>
      </c>
      <c r="AT53" s="352">
        <f t="shared" si="54"/>
        <v>0</v>
      </c>
      <c r="AU53" s="352">
        <f t="shared" si="54"/>
        <v>0</v>
      </c>
      <c r="AV53" s="352">
        <f t="shared" si="54"/>
        <v>0</v>
      </c>
      <c r="AW53" s="352">
        <f t="shared" si="54"/>
        <v>0</v>
      </c>
      <c r="AX53" s="352">
        <f t="shared" si="54"/>
        <v>0</v>
      </c>
      <c r="AY53" s="352">
        <f t="shared" si="54"/>
        <v>0</v>
      </c>
      <c r="AZ53" s="352">
        <f t="shared" si="54"/>
        <v>0</v>
      </c>
      <c r="BA53" s="352">
        <f t="shared" si="54"/>
        <v>0</v>
      </c>
      <c r="BB53" s="353">
        <f t="shared" si="54"/>
        <v>0</v>
      </c>
      <c r="BC53" s="262"/>
      <c r="BD53" s="451">
        <f>IFERROR(BE53/BE$77,"")</f>
        <v>0.2792595803090987</v>
      </c>
      <c r="BE53" s="452">
        <f t="shared" ref="BE53:BG68" si="55">IFERROR(INDEX(BE$9:BE$33,MATCH($BM53,$BN$9:$BN$33,0)),"")</f>
        <v>0.27925956377726013</v>
      </c>
      <c r="BF53" s="452">
        <f t="shared" si="55"/>
        <v>1</v>
      </c>
      <c r="BG53" s="453">
        <f t="shared" si="55"/>
        <v>0.27925956377726013</v>
      </c>
      <c r="BH53" s="454">
        <f>IFERROR(BI53/BI$77,"")</f>
        <v>0.28146409145916262</v>
      </c>
      <c r="BI53" s="452">
        <f>IFERROR(INDEX(BI$9:BI$33,MATCH($BM53,$BN$9:$BN$33,0)),"")</f>
        <v>0.27925956377726013</v>
      </c>
      <c r="BJ53" s="452">
        <f t="shared" ref="BI53:BK68" si="56">IFERROR(INDEX(BJ$9:BJ$33,MATCH($BM53,$BN$9:$BN$33,0)),"")</f>
        <v>1</v>
      </c>
      <c r="BK53" s="452">
        <f>IFERROR(INDEX(BK$9:BK$33,MATCH($BM53,$BN$9:$BN$33,0)),"")</f>
        <v>0.27925956377726013</v>
      </c>
      <c r="BL53" s="2014" t="str">
        <f t="shared" ref="BL53:BL76" si="57">IFERROR(INDEX(B$9:B$33,MATCH($BM53,$BN$9:$BN$33,0)),"")</f>
        <v>Cloreto de Potássio</v>
      </c>
      <c r="BM53" s="354">
        <v>1</v>
      </c>
      <c r="BN53" s="355"/>
    </row>
    <row r="54" spans="1:66" ht="15.75" thickBot="1">
      <c r="A54" s="262"/>
      <c r="B54" s="368" t="str">
        <f t="shared" ref="B54:F77" si="58">IF(B10=0,"",B10)</f>
        <v>Cloreto de Potássio</v>
      </c>
      <c r="C54" s="470">
        <f t="shared" si="58"/>
        <v>0.27925956377726013</v>
      </c>
      <c r="D54" s="470" t="str">
        <f t="shared" si="58"/>
        <v/>
      </c>
      <c r="E54" s="470">
        <f t="shared" ref="E54:E77" si="59">IF(B54="","",E10)</f>
        <v>100</v>
      </c>
      <c r="F54" s="470" t="str">
        <f t="shared" si="58"/>
        <v/>
      </c>
      <c r="G54" s="356">
        <f t="shared" ref="G54:BB54" si="60">IFERROR($C10*G10,"")</f>
        <v>0.27925956377726013</v>
      </c>
      <c r="H54" s="387"/>
      <c r="I54" s="445">
        <f t="shared" si="60"/>
        <v>0.27925956377726013</v>
      </c>
      <c r="J54" s="357">
        <f t="shared" si="60"/>
        <v>0.27925956377726013</v>
      </c>
      <c r="K54" s="357">
        <f t="shared" si="60"/>
        <v>0</v>
      </c>
      <c r="L54" s="357">
        <f t="shared" si="60"/>
        <v>0</v>
      </c>
      <c r="M54" s="357">
        <f t="shared" si="60"/>
        <v>0</v>
      </c>
      <c r="N54" s="357">
        <f t="shared" si="60"/>
        <v>0</v>
      </c>
      <c r="O54" s="357">
        <f t="shared" si="60"/>
        <v>0</v>
      </c>
      <c r="P54" s="357">
        <f t="shared" si="60"/>
        <v>0</v>
      </c>
      <c r="Q54" s="357">
        <f t="shared" si="60"/>
        <v>0</v>
      </c>
      <c r="R54" s="357">
        <f t="shared" si="60"/>
        <v>0</v>
      </c>
      <c r="S54" s="357">
        <f t="shared" si="60"/>
        <v>0</v>
      </c>
      <c r="T54" s="357">
        <f t="shared" si="60"/>
        <v>0</v>
      </c>
      <c r="U54" s="357">
        <f t="shared" si="60"/>
        <v>0</v>
      </c>
      <c r="V54" s="357">
        <f t="shared" si="60"/>
        <v>0</v>
      </c>
      <c r="W54" s="357">
        <f t="shared" si="60"/>
        <v>0</v>
      </c>
      <c r="X54" s="357">
        <f t="shared" si="60"/>
        <v>0</v>
      </c>
      <c r="Y54" s="357">
        <f t="shared" si="60"/>
        <v>0</v>
      </c>
      <c r="Z54" s="357">
        <f t="shared" si="60"/>
        <v>0</v>
      </c>
      <c r="AA54" s="357">
        <f t="shared" si="60"/>
        <v>0</v>
      </c>
      <c r="AB54" s="357">
        <f t="shared" si="60"/>
        <v>110.64263916855046</v>
      </c>
      <c r="AC54" s="357">
        <f t="shared" si="60"/>
        <v>0</v>
      </c>
      <c r="AD54" s="357">
        <f t="shared" si="60"/>
        <v>0</v>
      </c>
      <c r="AE54" s="357">
        <f t="shared" si="60"/>
        <v>0</v>
      </c>
      <c r="AF54" s="357">
        <f t="shared" si="60"/>
        <v>0</v>
      </c>
      <c r="AG54" s="357">
        <f t="shared" si="60"/>
        <v>0</v>
      </c>
      <c r="AH54" s="357">
        <f t="shared" si="60"/>
        <v>0</v>
      </c>
      <c r="AI54" s="357">
        <f t="shared" si="60"/>
        <v>0</v>
      </c>
      <c r="AJ54" s="357">
        <f t="shared" si="60"/>
        <v>0</v>
      </c>
      <c r="AK54" s="357">
        <f t="shared" si="60"/>
        <v>0</v>
      </c>
      <c r="AL54" s="357">
        <f t="shared" si="60"/>
        <v>0</v>
      </c>
      <c r="AM54" s="357">
        <f t="shared" si="60"/>
        <v>0</v>
      </c>
      <c r="AN54" s="357">
        <f t="shared" si="60"/>
        <v>0</v>
      </c>
      <c r="AO54" s="357">
        <f t="shared" si="60"/>
        <v>0</v>
      </c>
      <c r="AP54" s="357">
        <f t="shared" si="60"/>
        <v>0</v>
      </c>
      <c r="AQ54" s="357">
        <f t="shared" si="60"/>
        <v>0</v>
      </c>
      <c r="AR54" s="357">
        <f t="shared" si="60"/>
        <v>0</v>
      </c>
      <c r="AS54" s="357">
        <f t="shared" si="60"/>
        <v>0</v>
      </c>
      <c r="AT54" s="357">
        <f t="shared" si="60"/>
        <v>0</v>
      </c>
      <c r="AU54" s="357">
        <f t="shared" si="60"/>
        <v>0</v>
      </c>
      <c r="AV54" s="357">
        <f t="shared" si="60"/>
        <v>0</v>
      </c>
      <c r="AW54" s="357">
        <f t="shared" si="60"/>
        <v>0</v>
      </c>
      <c r="AX54" s="357">
        <f t="shared" si="60"/>
        <v>0</v>
      </c>
      <c r="AY54" s="357">
        <f t="shared" si="60"/>
        <v>0</v>
      </c>
      <c r="AZ54" s="357">
        <f t="shared" si="60"/>
        <v>0</v>
      </c>
      <c r="BA54" s="357">
        <f t="shared" si="60"/>
        <v>0</v>
      </c>
      <c r="BB54" s="358">
        <f t="shared" si="60"/>
        <v>0.27925956377726013</v>
      </c>
      <c r="BC54" s="262"/>
      <c r="BD54" s="455">
        <f t="shared" ref="BD54:BD76" si="61">IFERROR(BE54/BE$77,"")</f>
        <v>5.1306041799196091E-3</v>
      </c>
      <c r="BE54" s="456">
        <f t="shared" si="55"/>
        <v>5.1306038761938788E-3</v>
      </c>
      <c r="BF54" s="456">
        <f t="shared" si="55"/>
        <v>1</v>
      </c>
      <c r="BG54" s="457">
        <f t="shared" si="55"/>
        <v>5.1306038761938788E-3</v>
      </c>
      <c r="BH54" s="458">
        <f t="shared" ref="BH54:BH76" si="62">IFERROR(BI54/BI$77,"")</f>
        <v>5.1711058311384442E-3</v>
      </c>
      <c r="BI54" s="456">
        <f t="shared" si="56"/>
        <v>5.1306038761938788E-3</v>
      </c>
      <c r="BJ54" s="456">
        <f t="shared" si="56"/>
        <v>1</v>
      </c>
      <c r="BK54" s="456">
        <f t="shared" si="56"/>
        <v>5.1306038761938788E-3</v>
      </c>
      <c r="BL54" s="2015" t="str">
        <f t="shared" si="57"/>
        <v>Sulfato de Zinco</v>
      </c>
      <c r="BM54" s="354">
        <v>2</v>
      </c>
      <c r="BN54" s="355"/>
    </row>
    <row r="55" spans="1:66" ht="15.75" customHeight="1" thickBot="1">
      <c r="A55" s="262"/>
      <c r="B55" s="368" t="str">
        <f t="shared" si="58"/>
        <v>Sulfato de Zinco</v>
      </c>
      <c r="C55" s="470">
        <f t="shared" si="58"/>
        <v>5.1306038761938788E-3</v>
      </c>
      <c r="D55" s="470" t="str">
        <f t="shared" si="58"/>
        <v/>
      </c>
      <c r="E55" s="470">
        <f t="shared" si="59"/>
        <v>100</v>
      </c>
      <c r="F55" s="470" t="str">
        <f t="shared" si="58"/>
        <v/>
      </c>
      <c r="G55" s="356">
        <f>IFERROR($C11*G11,"")</f>
        <v>5.1306038761938788E-3</v>
      </c>
      <c r="H55" s="387"/>
      <c r="I55" s="445">
        <f t="shared" ref="I55" si="63">IFERROR($C11*I11,"")</f>
        <v>5.1306038761938788E-3</v>
      </c>
      <c r="J55" s="357">
        <f t="shared" ref="J55:BB55" si="64">IFERROR($C11*J11,"")</f>
        <v>5.1306038761938788E-3</v>
      </c>
      <c r="K55" s="357">
        <f t="shared" si="64"/>
        <v>0</v>
      </c>
      <c r="L55" s="357">
        <f t="shared" si="64"/>
        <v>0</v>
      </c>
      <c r="M55" s="357">
        <f t="shared" si="64"/>
        <v>0</v>
      </c>
      <c r="N55" s="357">
        <f t="shared" si="64"/>
        <v>0</v>
      </c>
      <c r="O55" s="357">
        <f t="shared" si="64"/>
        <v>0</v>
      </c>
      <c r="P55" s="357">
        <f t="shared" si="64"/>
        <v>0</v>
      </c>
      <c r="Q55" s="357">
        <f t="shared" si="64"/>
        <v>0</v>
      </c>
      <c r="R55" s="357">
        <f t="shared" si="64"/>
        <v>0</v>
      </c>
      <c r="S55" s="357">
        <f t="shared" si="64"/>
        <v>0</v>
      </c>
      <c r="T55" s="357">
        <f t="shared" si="64"/>
        <v>0</v>
      </c>
      <c r="U55" s="357">
        <f t="shared" si="64"/>
        <v>0</v>
      </c>
      <c r="V55" s="357">
        <f t="shared" si="64"/>
        <v>0</v>
      </c>
      <c r="W55" s="357">
        <f t="shared" si="64"/>
        <v>0</v>
      </c>
      <c r="X55" s="357">
        <f t="shared" si="64"/>
        <v>0</v>
      </c>
      <c r="Y55" s="357">
        <f t="shared" si="64"/>
        <v>0</v>
      </c>
      <c r="Z55" s="357">
        <f t="shared" si="64"/>
        <v>0</v>
      </c>
      <c r="AA55" s="357">
        <f t="shared" si="64"/>
        <v>0</v>
      </c>
      <c r="AB55" s="357">
        <f t="shared" si="64"/>
        <v>0</v>
      </c>
      <c r="AC55" s="357">
        <f t="shared" si="64"/>
        <v>0.56949703025752052</v>
      </c>
      <c r="AD55" s="357">
        <f t="shared" si="64"/>
        <v>0</v>
      </c>
      <c r="AE55" s="357">
        <f t="shared" si="64"/>
        <v>1164.6470798960104</v>
      </c>
      <c r="AF55" s="357">
        <f t="shared" si="64"/>
        <v>0</v>
      </c>
      <c r="AG55" s="357">
        <f t="shared" si="64"/>
        <v>0</v>
      </c>
      <c r="AH55" s="357">
        <f t="shared" si="64"/>
        <v>0</v>
      </c>
      <c r="AI55" s="357">
        <f t="shared" si="64"/>
        <v>0</v>
      </c>
      <c r="AJ55" s="357">
        <f t="shared" si="64"/>
        <v>0</v>
      </c>
      <c r="AK55" s="357">
        <f t="shared" si="64"/>
        <v>0</v>
      </c>
      <c r="AL55" s="357">
        <f t="shared" si="64"/>
        <v>0</v>
      </c>
      <c r="AM55" s="357">
        <f t="shared" si="64"/>
        <v>0</v>
      </c>
      <c r="AN55" s="357">
        <f t="shared" si="64"/>
        <v>0</v>
      </c>
      <c r="AO55" s="357">
        <f t="shared" si="64"/>
        <v>0</v>
      </c>
      <c r="AP55" s="357">
        <f t="shared" si="64"/>
        <v>0</v>
      </c>
      <c r="AQ55" s="357">
        <f t="shared" si="64"/>
        <v>0</v>
      </c>
      <c r="AR55" s="357">
        <f t="shared" si="64"/>
        <v>0</v>
      </c>
      <c r="AS55" s="357">
        <f t="shared" si="64"/>
        <v>0</v>
      </c>
      <c r="AT55" s="357">
        <f t="shared" si="64"/>
        <v>0</v>
      </c>
      <c r="AU55" s="357">
        <f t="shared" si="64"/>
        <v>0</v>
      </c>
      <c r="AV55" s="357">
        <f t="shared" si="64"/>
        <v>0</v>
      </c>
      <c r="AW55" s="357">
        <f t="shared" si="64"/>
        <v>0</v>
      </c>
      <c r="AX55" s="357">
        <f t="shared" si="64"/>
        <v>0</v>
      </c>
      <c r="AY55" s="357">
        <f t="shared" si="64"/>
        <v>0</v>
      </c>
      <c r="AZ55" s="357">
        <f t="shared" si="64"/>
        <v>0</v>
      </c>
      <c r="BA55" s="357">
        <f t="shared" si="64"/>
        <v>0</v>
      </c>
      <c r="BB55" s="358">
        <f t="shared" si="64"/>
        <v>5.1306038761938788E-3</v>
      </c>
      <c r="BC55" s="262"/>
      <c r="BD55" s="455">
        <f t="shared" si="61"/>
        <v>1.5413976488366122E-3</v>
      </c>
      <c r="BE55" s="456">
        <f t="shared" si="55"/>
        <v>1.5413975575876851E-3</v>
      </c>
      <c r="BF55" s="456">
        <f t="shared" si="55"/>
        <v>1</v>
      </c>
      <c r="BG55" s="457">
        <f t="shared" si="55"/>
        <v>1.5413975575876851E-3</v>
      </c>
      <c r="BH55" s="458">
        <f t="shared" si="62"/>
        <v>1.5535656407091973E-3</v>
      </c>
      <c r="BI55" s="456">
        <f t="shared" si="56"/>
        <v>1.5413975575876851E-3</v>
      </c>
      <c r="BJ55" s="456">
        <f t="shared" si="56"/>
        <v>1</v>
      </c>
      <c r="BK55" s="456">
        <f t="shared" si="56"/>
        <v>1.5413975575876851E-3</v>
      </c>
      <c r="BL55" s="2015" t="str">
        <f t="shared" si="57"/>
        <v>Sulfato de Manganês</v>
      </c>
      <c r="BM55" s="354">
        <v>3</v>
      </c>
      <c r="BN55" s="355"/>
    </row>
    <row r="56" spans="1:66" ht="15.75" customHeight="1" thickBot="1">
      <c r="A56" s="262"/>
      <c r="B56" s="368" t="str">
        <f t="shared" si="58"/>
        <v>Sulfato de Manganês</v>
      </c>
      <c r="C56" s="470">
        <f t="shared" si="58"/>
        <v>1.5413975575876851E-3</v>
      </c>
      <c r="D56" s="470" t="str">
        <f t="shared" si="58"/>
        <v/>
      </c>
      <c r="E56" s="470">
        <f t="shared" si="59"/>
        <v>100</v>
      </c>
      <c r="F56" s="470" t="str">
        <f t="shared" si="58"/>
        <v/>
      </c>
      <c r="G56" s="356">
        <f t="shared" ref="G56:BB56" si="65">IFERROR($C12*G12,"")</f>
        <v>1.5413975575876851E-3</v>
      </c>
      <c r="H56" s="387"/>
      <c r="I56" s="445">
        <f t="shared" ref="I56" si="66">IFERROR($C12*I12,"")</f>
        <v>1.5413975575876851E-3</v>
      </c>
      <c r="J56" s="357">
        <f t="shared" si="65"/>
        <v>1.5413975575876851E-3</v>
      </c>
      <c r="K56" s="357">
        <f t="shared" si="65"/>
        <v>0</v>
      </c>
      <c r="L56" s="357">
        <f t="shared" si="65"/>
        <v>0</v>
      </c>
      <c r="M56" s="357">
        <f t="shared" si="65"/>
        <v>0</v>
      </c>
      <c r="N56" s="357">
        <f t="shared" si="65"/>
        <v>0</v>
      </c>
      <c r="O56" s="357">
        <f t="shared" si="65"/>
        <v>0</v>
      </c>
      <c r="P56" s="357">
        <f t="shared" si="65"/>
        <v>0</v>
      </c>
      <c r="Q56" s="357">
        <f t="shared" si="65"/>
        <v>0</v>
      </c>
      <c r="R56" s="357">
        <f t="shared" si="65"/>
        <v>0</v>
      </c>
      <c r="S56" s="357">
        <f t="shared" si="65"/>
        <v>0</v>
      </c>
      <c r="T56" s="357">
        <f t="shared" si="65"/>
        <v>0</v>
      </c>
      <c r="U56" s="357">
        <f t="shared" si="65"/>
        <v>0</v>
      </c>
      <c r="V56" s="357">
        <f t="shared" si="65"/>
        <v>0</v>
      </c>
      <c r="W56" s="357">
        <f t="shared" si="65"/>
        <v>0</v>
      </c>
      <c r="X56" s="357">
        <f t="shared" si="65"/>
        <v>0</v>
      </c>
      <c r="Y56" s="357">
        <f t="shared" si="65"/>
        <v>0</v>
      </c>
      <c r="Z56" s="357">
        <f t="shared" si="65"/>
        <v>0</v>
      </c>
      <c r="AA56" s="357">
        <f t="shared" si="65"/>
        <v>0</v>
      </c>
      <c r="AB56" s="357">
        <f t="shared" si="65"/>
        <v>0</v>
      </c>
      <c r="AC56" s="357">
        <f t="shared" si="65"/>
        <v>0.29132413838407251</v>
      </c>
      <c r="AD56" s="357">
        <f t="shared" si="65"/>
        <v>0</v>
      </c>
      <c r="AE56" s="357">
        <f t="shared" si="65"/>
        <v>0</v>
      </c>
      <c r="AF56" s="357">
        <f t="shared" si="65"/>
        <v>0</v>
      </c>
      <c r="AG56" s="357">
        <f t="shared" si="65"/>
        <v>500.95420621599766</v>
      </c>
      <c r="AH56" s="357">
        <f t="shared" si="65"/>
        <v>0</v>
      </c>
      <c r="AI56" s="357">
        <f t="shared" si="65"/>
        <v>0</v>
      </c>
      <c r="AJ56" s="357">
        <f t="shared" si="65"/>
        <v>0</v>
      </c>
      <c r="AK56" s="357">
        <f t="shared" si="65"/>
        <v>0</v>
      </c>
      <c r="AL56" s="357">
        <f t="shared" si="65"/>
        <v>0</v>
      </c>
      <c r="AM56" s="357">
        <f t="shared" si="65"/>
        <v>0</v>
      </c>
      <c r="AN56" s="357">
        <f t="shared" si="65"/>
        <v>0</v>
      </c>
      <c r="AO56" s="357">
        <f t="shared" si="65"/>
        <v>0</v>
      </c>
      <c r="AP56" s="357">
        <f t="shared" si="65"/>
        <v>0</v>
      </c>
      <c r="AQ56" s="357">
        <f t="shared" si="65"/>
        <v>0</v>
      </c>
      <c r="AR56" s="357">
        <f t="shared" si="65"/>
        <v>0</v>
      </c>
      <c r="AS56" s="357">
        <f t="shared" si="65"/>
        <v>0</v>
      </c>
      <c r="AT56" s="357">
        <f t="shared" si="65"/>
        <v>0</v>
      </c>
      <c r="AU56" s="357">
        <f t="shared" si="65"/>
        <v>0</v>
      </c>
      <c r="AV56" s="357">
        <f t="shared" si="65"/>
        <v>0</v>
      </c>
      <c r="AW56" s="357">
        <f t="shared" si="65"/>
        <v>0</v>
      </c>
      <c r="AX56" s="357">
        <f t="shared" si="65"/>
        <v>0</v>
      </c>
      <c r="AY56" s="357">
        <f t="shared" si="65"/>
        <v>0</v>
      </c>
      <c r="AZ56" s="357">
        <f t="shared" si="65"/>
        <v>0</v>
      </c>
      <c r="BA56" s="357">
        <f t="shared" si="65"/>
        <v>0</v>
      </c>
      <c r="BB56" s="358">
        <f t="shared" si="65"/>
        <v>1.5413975575876851E-3</v>
      </c>
      <c r="BC56" s="262"/>
      <c r="BD56" s="455">
        <f>IFERROR(BE56/BE$77,"")</f>
        <v>4.484114732634318E-2</v>
      </c>
      <c r="BE56" s="456">
        <f t="shared" si="55"/>
        <v>4.4841144671800025E-2</v>
      </c>
      <c r="BF56" s="456">
        <f t="shared" si="55"/>
        <v>1</v>
      </c>
      <c r="BG56" s="457">
        <f t="shared" si="55"/>
        <v>4.4841144671800025E-2</v>
      </c>
      <c r="BH56" s="458">
        <f t="shared" si="62"/>
        <v>4.4435850958279358E-2</v>
      </c>
      <c r="BI56" s="456">
        <f t="shared" si="56"/>
        <v>4.4087813441313781E-2</v>
      </c>
      <c r="BJ56" s="456">
        <f t="shared" si="56"/>
        <v>1.017087062652563</v>
      </c>
      <c r="BK56" s="456">
        <f t="shared" si="56"/>
        <v>4.4841144671800018E-2</v>
      </c>
      <c r="BL56" s="2015" t="str">
        <f t="shared" si="57"/>
        <v>Óxido de Magnésio</v>
      </c>
      <c r="BM56" s="354">
        <v>4</v>
      </c>
      <c r="BN56" s="355"/>
    </row>
    <row r="57" spans="1:66" ht="15.75" customHeight="1" thickBot="1">
      <c r="A57" s="262"/>
      <c r="B57" s="368" t="str">
        <f t="shared" si="58"/>
        <v>Calcário Calcítico</v>
      </c>
      <c r="C57" s="470" t="str">
        <f t="shared" si="58"/>
        <v/>
      </c>
      <c r="D57" s="470" t="str">
        <f t="shared" si="58"/>
        <v/>
      </c>
      <c r="E57" s="470">
        <f t="shared" si="59"/>
        <v>100</v>
      </c>
      <c r="F57" s="470" t="str">
        <f t="shared" si="58"/>
        <v/>
      </c>
      <c r="G57" s="356">
        <f t="shared" ref="G57:BB57" si="67">IFERROR($C13*G13,"")</f>
        <v>0</v>
      </c>
      <c r="H57" s="387"/>
      <c r="I57" s="445">
        <f t="shared" ref="I57" si="68">IFERROR($C13*I13,"")</f>
        <v>0</v>
      </c>
      <c r="J57" s="357">
        <f t="shared" si="67"/>
        <v>0</v>
      </c>
      <c r="K57" s="357">
        <f t="shared" si="67"/>
        <v>0</v>
      </c>
      <c r="L57" s="357">
        <f t="shared" si="67"/>
        <v>0</v>
      </c>
      <c r="M57" s="357">
        <f t="shared" si="67"/>
        <v>0</v>
      </c>
      <c r="N57" s="357">
        <f t="shared" si="67"/>
        <v>0</v>
      </c>
      <c r="O57" s="357">
        <f t="shared" si="67"/>
        <v>0</v>
      </c>
      <c r="P57" s="357">
        <f t="shared" si="67"/>
        <v>0</v>
      </c>
      <c r="Q57" s="357">
        <f t="shared" si="67"/>
        <v>0</v>
      </c>
      <c r="R57" s="357">
        <f t="shared" si="67"/>
        <v>0</v>
      </c>
      <c r="S57" s="357">
        <f t="shared" si="67"/>
        <v>0</v>
      </c>
      <c r="T57" s="357">
        <f t="shared" si="67"/>
        <v>0</v>
      </c>
      <c r="U57" s="357">
        <f t="shared" si="67"/>
        <v>0</v>
      </c>
      <c r="V57" s="357">
        <f t="shared" si="67"/>
        <v>0</v>
      </c>
      <c r="W57" s="357">
        <f t="shared" si="67"/>
        <v>0</v>
      </c>
      <c r="X57" s="357">
        <f t="shared" si="67"/>
        <v>0</v>
      </c>
      <c r="Y57" s="357">
        <f t="shared" si="67"/>
        <v>0</v>
      </c>
      <c r="Z57" s="357">
        <f t="shared" si="67"/>
        <v>0</v>
      </c>
      <c r="AA57" s="357">
        <f t="shared" si="67"/>
        <v>0</v>
      </c>
      <c r="AB57" s="357">
        <f t="shared" si="67"/>
        <v>0</v>
      </c>
      <c r="AC57" s="357">
        <f t="shared" si="67"/>
        <v>0</v>
      </c>
      <c r="AD57" s="357">
        <f t="shared" si="67"/>
        <v>0</v>
      </c>
      <c r="AE57" s="357">
        <f t="shared" si="67"/>
        <v>0</v>
      </c>
      <c r="AF57" s="357">
        <f t="shared" si="67"/>
        <v>0</v>
      </c>
      <c r="AG57" s="357">
        <f t="shared" si="67"/>
        <v>0</v>
      </c>
      <c r="AH57" s="357">
        <f t="shared" si="67"/>
        <v>0</v>
      </c>
      <c r="AI57" s="357">
        <f t="shared" si="67"/>
        <v>0</v>
      </c>
      <c r="AJ57" s="357">
        <f t="shared" si="67"/>
        <v>0</v>
      </c>
      <c r="AK57" s="357">
        <f t="shared" si="67"/>
        <v>0</v>
      </c>
      <c r="AL57" s="357">
        <f t="shared" si="67"/>
        <v>0</v>
      </c>
      <c r="AM57" s="357">
        <f t="shared" si="67"/>
        <v>0</v>
      </c>
      <c r="AN57" s="357">
        <f t="shared" si="67"/>
        <v>0</v>
      </c>
      <c r="AO57" s="357">
        <f t="shared" si="67"/>
        <v>0</v>
      </c>
      <c r="AP57" s="357">
        <f t="shared" si="67"/>
        <v>0</v>
      </c>
      <c r="AQ57" s="357">
        <f t="shared" si="67"/>
        <v>0</v>
      </c>
      <c r="AR57" s="357">
        <f t="shared" si="67"/>
        <v>0</v>
      </c>
      <c r="AS57" s="357">
        <f t="shared" si="67"/>
        <v>0</v>
      </c>
      <c r="AT57" s="357">
        <f t="shared" si="67"/>
        <v>0</v>
      </c>
      <c r="AU57" s="357">
        <f t="shared" si="67"/>
        <v>0</v>
      </c>
      <c r="AV57" s="357">
        <f t="shared" si="67"/>
        <v>0</v>
      </c>
      <c r="AW57" s="357">
        <f t="shared" si="67"/>
        <v>0</v>
      </c>
      <c r="AX57" s="357">
        <f t="shared" si="67"/>
        <v>0</v>
      </c>
      <c r="AY57" s="357">
        <f t="shared" si="67"/>
        <v>0</v>
      </c>
      <c r="AZ57" s="357">
        <f t="shared" si="67"/>
        <v>0</v>
      </c>
      <c r="BA57" s="357">
        <f t="shared" si="67"/>
        <v>0</v>
      </c>
      <c r="BB57" s="358">
        <f t="shared" si="67"/>
        <v>0</v>
      </c>
      <c r="BC57" s="262"/>
      <c r="BD57" s="455">
        <f t="shared" si="61"/>
        <v>1.5100215870491312E-3</v>
      </c>
      <c r="BE57" s="456">
        <f t="shared" si="55"/>
        <v>1.51002149765763E-3</v>
      </c>
      <c r="BF57" s="456">
        <f t="shared" si="55"/>
        <v>1</v>
      </c>
      <c r="BG57" s="457">
        <f t="shared" si="55"/>
        <v>1.51002149765763E-3</v>
      </c>
      <c r="BH57" s="458">
        <f t="shared" si="62"/>
        <v>1.5219418922426092E-3</v>
      </c>
      <c r="BI57" s="456">
        <f t="shared" si="56"/>
        <v>1.51002149765763E-3</v>
      </c>
      <c r="BJ57" s="456">
        <f t="shared" si="56"/>
        <v>1</v>
      </c>
      <c r="BK57" s="456">
        <f t="shared" si="56"/>
        <v>1.51002149765763E-3</v>
      </c>
      <c r="BL57" s="2015" t="str">
        <f t="shared" si="57"/>
        <v>SULFATO COBRE</v>
      </c>
      <c r="BM57" s="354">
        <v>5</v>
      </c>
      <c r="BN57" s="355"/>
    </row>
    <row r="58" spans="1:66" ht="15.75" customHeight="1" thickBot="1">
      <c r="A58" s="262"/>
      <c r="B58" s="368" t="str">
        <f t="shared" si="58"/>
        <v>Óxido de Magnésio</v>
      </c>
      <c r="C58" s="470">
        <f t="shared" si="58"/>
        <v>4.4841144671800025E-2</v>
      </c>
      <c r="D58" s="470" t="str">
        <f t="shared" si="58"/>
        <v/>
      </c>
      <c r="E58" s="470">
        <f t="shared" si="59"/>
        <v>100</v>
      </c>
      <c r="F58" s="470" t="str">
        <f t="shared" si="58"/>
        <v/>
      </c>
      <c r="G58" s="356">
        <f t="shared" ref="G58:BB58" si="69">IFERROR($C14*G14,"")</f>
        <v>4.4841144671800025E-2</v>
      </c>
      <c r="H58" s="387"/>
      <c r="I58" s="445">
        <f t="shared" ref="I58" si="70">IFERROR($C14*I14,"")</f>
        <v>4.4841144671800025E-2</v>
      </c>
      <c r="J58" s="357">
        <f t="shared" si="69"/>
        <v>4.4087813441313781E-2</v>
      </c>
      <c r="K58" s="357">
        <f t="shared" si="69"/>
        <v>0</v>
      </c>
      <c r="L58" s="357">
        <f t="shared" si="69"/>
        <v>0</v>
      </c>
      <c r="M58" s="357">
        <f t="shared" si="69"/>
        <v>0</v>
      </c>
      <c r="N58" s="357">
        <f t="shared" si="69"/>
        <v>0</v>
      </c>
      <c r="O58" s="357">
        <f t="shared" si="69"/>
        <v>0</v>
      </c>
      <c r="P58" s="357">
        <f t="shared" si="69"/>
        <v>0</v>
      </c>
      <c r="Q58" s="357">
        <f t="shared" si="69"/>
        <v>0</v>
      </c>
      <c r="R58" s="357">
        <f t="shared" si="69"/>
        <v>0</v>
      </c>
      <c r="S58" s="357">
        <f t="shared" si="69"/>
        <v>0</v>
      </c>
      <c r="T58" s="357">
        <f t="shared" si="69"/>
        <v>0</v>
      </c>
      <c r="U58" s="357">
        <f t="shared" si="69"/>
        <v>0</v>
      </c>
      <c r="V58" s="357">
        <f t="shared" si="69"/>
        <v>0</v>
      </c>
      <c r="W58" s="357">
        <f t="shared" si="69"/>
        <v>0</v>
      </c>
      <c r="X58" s="357">
        <f t="shared" si="69"/>
        <v>0.25570931795961993</v>
      </c>
      <c r="Y58" s="357">
        <f t="shared" si="69"/>
        <v>0</v>
      </c>
      <c r="Z58" s="357">
        <f t="shared" si="69"/>
        <v>23.736878756803339</v>
      </c>
      <c r="AA58" s="357">
        <f t="shared" si="69"/>
        <v>1.3226344032394135E-2</v>
      </c>
      <c r="AB58" s="357">
        <f t="shared" si="69"/>
        <v>0</v>
      </c>
      <c r="AC58" s="357">
        <f t="shared" si="69"/>
        <v>0</v>
      </c>
      <c r="AD58" s="357">
        <f t="shared" si="69"/>
        <v>0</v>
      </c>
      <c r="AE58" s="357">
        <f t="shared" si="69"/>
        <v>0</v>
      </c>
      <c r="AF58" s="357">
        <f t="shared" si="69"/>
        <v>0</v>
      </c>
      <c r="AG58" s="357">
        <f t="shared" si="69"/>
        <v>0</v>
      </c>
      <c r="AH58" s="357">
        <f t="shared" si="69"/>
        <v>0</v>
      </c>
      <c r="AI58" s="357">
        <f t="shared" si="69"/>
        <v>0</v>
      </c>
      <c r="AJ58" s="357">
        <f t="shared" si="69"/>
        <v>0</v>
      </c>
      <c r="AK58" s="357">
        <f t="shared" si="69"/>
        <v>0</v>
      </c>
      <c r="AL58" s="357">
        <f t="shared" si="69"/>
        <v>0</v>
      </c>
      <c r="AM58" s="357">
        <f t="shared" si="69"/>
        <v>0</v>
      </c>
      <c r="AN58" s="357">
        <f t="shared" si="69"/>
        <v>0</v>
      </c>
      <c r="AO58" s="357">
        <f t="shared" si="69"/>
        <v>0</v>
      </c>
      <c r="AP58" s="357">
        <f t="shared" si="69"/>
        <v>0</v>
      </c>
      <c r="AQ58" s="357">
        <f t="shared" si="69"/>
        <v>0</v>
      </c>
      <c r="AR58" s="357">
        <f t="shared" si="69"/>
        <v>0</v>
      </c>
      <c r="AS58" s="357">
        <f t="shared" si="69"/>
        <v>0</v>
      </c>
      <c r="AT58" s="357">
        <f t="shared" si="69"/>
        <v>0</v>
      </c>
      <c r="AU58" s="357">
        <f t="shared" si="69"/>
        <v>0</v>
      </c>
      <c r="AV58" s="357">
        <f t="shared" si="69"/>
        <v>0</v>
      </c>
      <c r="AW58" s="357">
        <f t="shared" si="69"/>
        <v>0</v>
      </c>
      <c r="AX58" s="357">
        <f t="shared" si="69"/>
        <v>0</v>
      </c>
      <c r="AY58" s="357">
        <f t="shared" si="69"/>
        <v>0</v>
      </c>
      <c r="AZ58" s="357">
        <f t="shared" si="69"/>
        <v>0</v>
      </c>
      <c r="BA58" s="357">
        <f t="shared" si="69"/>
        <v>0</v>
      </c>
      <c r="BB58" s="358">
        <f t="shared" si="69"/>
        <v>4.4087813441313781E-2</v>
      </c>
      <c r="BC58" s="262"/>
      <c r="BD58" s="455">
        <f t="shared" si="61"/>
        <v>3.7039950469451639E-2</v>
      </c>
      <c r="BE58" s="456">
        <f t="shared" si="55"/>
        <v>3.7039948276730156E-2</v>
      </c>
      <c r="BF58" s="456">
        <f t="shared" si="55"/>
        <v>1</v>
      </c>
      <c r="BG58" s="457">
        <f t="shared" si="55"/>
        <v>3.7039948276730156E-2</v>
      </c>
      <c r="BH58" s="458">
        <f t="shared" si="62"/>
        <v>3.7332348616427806E-2</v>
      </c>
      <c r="BI58" s="456">
        <f t="shared" si="56"/>
        <v>3.7039948276730156E-2</v>
      </c>
      <c r="BJ58" s="456">
        <f t="shared" si="56"/>
        <v>1</v>
      </c>
      <c r="BK58" s="456">
        <f t="shared" si="56"/>
        <v>3.7039948276730156E-2</v>
      </c>
      <c r="BL58" s="2015" t="str">
        <f t="shared" si="57"/>
        <v xml:space="preserve">Flor de S </v>
      </c>
      <c r="BM58" s="354">
        <v>6</v>
      </c>
      <c r="BN58" s="355"/>
    </row>
    <row r="59" spans="1:66" ht="15.75" customHeight="1" thickBot="1">
      <c r="A59" s="262"/>
      <c r="B59" s="368" t="str">
        <f t="shared" si="58"/>
        <v>SULFATO COBRE</v>
      </c>
      <c r="C59" s="470">
        <f t="shared" si="58"/>
        <v>1.51002149765763E-3</v>
      </c>
      <c r="D59" s="470" t="str">
        <f t="shared" si="58"/>
        <v/>
      </c>
      <c r="E59" s="470">
        <f t="shared" si="59"/>
        <v>100</v>
      </c>
      <c r="F59" s="470" t="str">
        <f t="shared" si="58"/>
        <v/>
      </c>
      <c r="G59" s="356">
        <f t="shared" ref="G59:BB59" si="71">IFERROR($C15*G15,"")</f>
        <v>1.51002149765763E-3</v>
      </c>
      <c r="H59" s="387"/>
      <c r="I59" s="445">
        <f t="shared" ref="I59" si="72">IFERROR($C15*I15,"")</f>
        <v>1.51002149765763E-3</v>
      </c>
      <c r="J59" s="357">
        <f t="shared" si="71"/>
        <v>1.51002149765763E-3</v>
      </c>
      <c r="K59" s="357">
        <f t="shared" si="71"/>
        <v>0</v>
      </c>
      <c r="L59" s="357">
        <f t="shared" si="71"/>
        <v>0</v>
      </c>
      <c r="M59" s="357">
        <f t="shared" si="71"/>
        <v>0</v>
      </c>
      <c r="N59" s="357">
        <f t="shared" si="71"/>
        <v>0</v>
      </c>
      <c r="O59" s="357">
        <f t="shared" si="71"/>
        <v>0</v>
      </c>
      <c r="P59" s="357">
        <f t="shared" si="71"/>
        <v>0</v>
      </c>
      <c r="Q59" s="357">
        <f t="shared" si="71"/>
        <v>0</v>
      </c>
      <c r="R59" s="357">
        <f t="shared" si="71"/>
        <v>0</v>
      </c>
      <c r="S59" s="357">
        <f t="shared" si="71"/>
        <v>0</v>
      </c>
      <c r="T59" s="357">
        <f t="shared" si="71"/>
        <v>0</v>
      </c>
      <c r="U59" s="357">
        <f t="shared" si="71"/>
        <v>0</v>
      </c>
      <c r="V59" s="357">
        <f t="shared" si="71"/>
        <v>0</v>
      </c>
      <c r="W59" s="357">
        <f t="shared" si="71"/>
        <v>0</v>
      </c>
      <c r="X59" s="357">
        <f t="shared" si="71"/>
        <v>0</v>
      </c>
      <c r="Y59" s="357">
        <f t="shared" si="71"/>
        <v>0</v>
      </c>
      <c r="Z59" s="357">
        <f t="shared" si="71"/>
        <v>0</v>
      </c>
      <c r="AA59" s="357">
        <f t="shared" si="71"/>
        <v>0</v>
      </c>
      <c r="AB59" s="357">
        <f t="shared" si="71"/>
        <v>0</v>
      </c>
      <c r="AC59" s="357">
        <f t="shared" si="71"/>
        <v>0.19328275170017664</v>
      </c>
      <c r="AD59" s="357">
        <f t="shared" si="71"/>
        <v>385.05548190269565</v>
      </c>
      <c r="AE59" s="357">
        <f t="shared" si="71"/>
        <v>0</v>
      </c>
      <c r="AF59" s="357">
        <f t="shared" si="71"/>
        <v>0</v>
      </c>
      <c r="AG59" s="357">
        <f t="shared" si="71"/>
        <v>0</v>
      </c>
      <c r="AH59" s="357">
        <f t="shared" si="71"/>
        <v>0</v>
      </c>
      <c r="AI59" s="357">
        <f t="shared" si="71"/>
        <v>0</v>
      </c>
      <c r="AJ59" s="357">
        <f t="shared" si="71"/>
        <v>0</v>
      </c>
      <c r="AK59" s="357">
        <f t="shared" si="71"/>
        <v>0</v>
      </c>
      <c r="AL59" s="357">
        <f t="shared" si="71"/>
        <v>0</v>
      </c>
      <c r="AM59" s="357">
        <f t="shared" si="71"/>
        <v>0</v>
      </c>
      <c r="AN59" s="357">
        <f t="shared" si="71"/>
        <v>0</v>
      </c>
      <c r="AO59" s="357">
        <f t="shared" si="71"/>
        <v>0</v>
      </c>
      <c r="AP59" s="357">
        <f t="shared" si="71"/>
        <v>0</v>
      </c>
      <c r="AQ59" s="357">
        <f t="shared" si="71"/>
        <v>0</v>
      </c>
      <c r="AR59" s="357">
        <f t="shared" si="71"/>
        <v>0</v>
      </c>
      <c r="AS59" s="357">
        <f t="shared" si="71"/>
        <v>0</v>
      </c>
      <c r="AT59" s="357">
        <f t="shared" si="71"/>
        <v>0</v>
      </c>
      <c r="AU59" s="357">
        <f t="shared" si="71"/>
        <v>0</v>
      </c>
      <c r="AV59" s="357">
        <f t="shared" si="71"/>
        <v>0</v>
      </c>
      <c r="AW59" s="357">
        <f t="shared" si="71"/>
        <v>0</v>
      </c>
      <c r="AX59" s="357">
        <f t="shared" si="71"/>
        <v>0</v>
      </c>
      <c r="AY59" s="357">
        <f t="shared" si="71"/>
        <v>0</v>
      </c>
      <c r="AZ59" s="357">
        <f t="shared" si="71"/>
        <v>0</v>
      </c>
      <c r="BA59" s="357">
        <f t="shared" si="71"/>
        <v>0</v>
      </c>
      <c r="BB59" s="358">
        <f t="shared" si="71"/>
        <v>1.51002149765763E-3</v>
      </c>
      <c r="BC59" s="262"/>
      <c r="BD59" s="455">
        <f t="shared" si="61"/>
        <v>0.45378003429106012</v>
      </c>
      <c r="BE59" s="456">
        <f t="shared" si="55"/>
        <v>0.45378000742781605</v>
      </c>
      <c r="BF59" s="456">
        <f t="shared" si="55"/>
        <v>1</v>
      </c>
      <c r="BG59" s="457">
        <f t="shared" si="55"/>
        <v>0.45378000742781605</v>
      </c>
      <c r="BH59" s="458">
        <f t="shared" si="62"/>
        <v>0.45022738159142528</v>
      </c>
      <c r="BI59" s="456">
        <f t="shared" si="56"/>
        <v>0.44670103931194211</v>
      </c>
      <c r="BJ59" s="456">
        <f t="shared" si="56"/>
        <v>1.0158472165786265</v>
      </c>
      <c r="BK59" s="456">
        <f t="shared" si="56"/>
        <v>0.45378000742781599</v>
      </c>
      <c r="BL59" s="2015" t="str">
        <f t="shared" si="57"/>
        <v>Fosfato Bicálcico</v>
      </c>
      <c r="BM59" s="354">
        <v>7</v>
      </c>
      <c r="BN59" s="355"/>
    </row>
    <row r="60" spans="1:66" ht="15.75" customHeight="1" thickBot="1">
      <c r="A60" s="262"/>
      <c r="B60" s="368" t="str">
        <f t="shared" si="58"/>
        <v xml:space="preserve">Flor de S </v>
      </c>
      <c r="C60" s="470">
        <f t="shared" si="58"/>
        <v>3.7039948276730156E-2</v>
      </c>
      <c r="D60" s="470" t="str">
        <f t="shared" si="58"/>
        <v/>
      </c>
      <c r="E60" s="470">
        <f t="shared" si="59"/>
        <v>100</v>
      </c>
      <c r="F60" s="470" t="str">
        <f t="shared" si="58"/>
        <v/>
      </c>
      <c r="G60" s="356">
        <f t="shared" ref="G60:BB60" si="73">IFERROR($C16*G16,"")</f>
        <v>3.7039948276730156E-2</v>
      </c>
      <c r="H60" s="387"/>
      <c r="I60" s="445">
        <f t="shared" ref="I60" si="74">IFERROR($C16*I16,"")</f>
        <v>3.7039948276730156E-2</v>
      </c>
      <c r="J60" s="357">
        <f t="shared" si="73"/>
        <v>3.7039948276730156E-2</v>
      </c>
      <c r="K60" s="357">
        <f t="shared" si="73"/>
        <v>0</v>
      </c>
      <c r="L60" s="357">
        <f t="shared" si="73"/>
        <v>0</v>
      </c>
      <c r="M60" s="357">
        <f t="shared" si="73"/>
        <v>0</v>
      </c>
      <c r="N60" s="357">
        <f t="shared" si="73"/>
        <v>0</v>
      </c>
      <c r="O60" s="357">
        <f t="shared" si="73"/>
        <v>0</v>
      </c>
      <c r="P60" s="357">
        <f t="shared" si="73"/>
        <v>0</v>
      </c>
      <c r="Q60" s="357">
        <f t="shared" si="73"/>
        <v>0</v>
      </c>
      <c r="R60" s="357">
        <f t="shared" si="73"/>
        <v>0</v>
      </c>
      <c r="S60" s="357">
        <f t="shared" si="73"/>
        <v>0</v>
      </c>
      <c r="T60" s="357">
        <f t="shared" si="73"/>
        <v>0</v>
      </c>
      <c r="U60" s="357">
        <f t="shared" si="73"/>
        <v>0</v>
      </c>
      <c r="V60" s="357">
        <f t="shared" si="73"/>
        <v>0</v>
      </c>
      <c r="W60" s="357">
        <f t="shared" si="73"/>
        <v>0</v>
      </c>
      <c r="X60" s="357">
        <f t="shared" si="73"/>
        <v>0</v>
      </c>
      <c r="Y60" s="357">
        <f t="shared" si="73"/>
        <v>0</v>
      </c>
      <c r="Z60" s="357">
        <f t="shared" si="73"/>
        <v>0</v>
      </c>
      <c r="AA60" s="357">
        <f t="shared" si="73"/>
        <v>0</v>
      </c>
      <c r="AB60" s="357">
        <f t="shared" si="73"/>
        <v>0</v>
      </c>
      <c r="AC60" s="357">
        <f t="shared" si="73"/>
        <v>35.558350345660948</v>
      </c>
      <c r="AD60" s="357">
        <f t="shared" si="73"/>
        <v>0</v>
      </c>
      <c r="AE60" s="357">
        <f t="shared" si="73"/>
        <v>0</v>
      </c>
      <c r="AF60" s="357">
        <f t="shared" si="73"/>
        <v>0</v>
      </c>
      <c r="AG60" s="357">
        <f t="shared" si="73"/>
        <v>0</v>
      </c>
      <c r="AH60" s="357">
        <f t="shared" si="73"/>
        <v>0</v>
      </c>
      <c r="AI60" s="357">
        <f t="shared" si="73"/>
        <v>0</v>
      </c>
      <c r="AJ60" s="357">
        <f t="shared" si="73"/>
        <v>0</v>
      </c>
      <c r="AK60" s="357">
        <f t="shared" si="73"/>
        <v>0</v>
      </c>
      <c r="AL60" s="357">
        <f t="shared" si="73"/>
        <v>0</v>
      </c>
      <c r="AM60" s="357">
        <f t="shared" si="73"/>
        <v>0</v>
      </c>
      <c r="AN60" s="357">
        <f t="shared" si="73"/>
        <v>0</v>
      </c>
      <c r="AO60" s="357">
        <f t="shared" si="73"/>
        <v>0</v>
      </c>
      <c r="AP60" s="357">
        <f t="shared" si="73"/>
        <v>0</v>
      </c>
      <c r="AQ60" s="357">
        <f t="shared" si="73"/>
        <v>0</v>
      </c>
      <c r="AR60" s="357">
        <f t="shared" si="73"/>
        <v>0</v>
      </c>
      <c r="AS60" s="357">
        <f t="shared" si="73"/>
        <v>0</v>
      </c>
      <c r="AT60" s="357">
        <f t="shared" si="73"/>
        <v>0</v>
      </c>
      <c r="AU60" s="357">
        <f t="shared" si="73"/>
        <v>0</v>
      </c>
      <c r="AV60" s="357">
        <f t="shared" si="73"/>
        <v>0</v>
      </c>
      <c r="AW60" s="357">
        <f t="shared" si="73"/>
        <v>0</v>
      </c>
      <c r="AX60" s="357">
        <f t="shared" si="73"/>
        <v>0</v>
      </c>
      <c r="AY60" s="357">
        <f t="shared" si="73"/>
        <v>0</v>
      </c>
      <c r="AZ60" s="357">
        <f t="shared" si="73"/>
        <v>0</v>
      </c>
      <c r="BA60" s="357">
        <f t="shared" si="73"/>
        <v>0</v>
      </c>
      <c r="BB60" s="358">
        <f t="shared" si="73"/>
        <v>3.7039948276730156E-2</v>
      </c>
      <c r="BC60" s="262"/>
      <c r="BD60" s="455">
        <f t="shared" si="61"/>
        <v>1.7543860687698718E-5</v>
      </c>
      <c r="BE60" s="456">
        <f t="shared" si="55"/>
        <v>1.7543859649122809E-5</v>
      </c>
      <c r="BF60" s="456">
        <f t="shared" si="55"/>
        <v>45</v>
      </c>
      <c r="BG60" s="457">
        <f t="shared" si="55"/>
        <v>7.8947368421052641E-4</v>
      </c>
      <c r="BH60" s="458">
        <f t="shared" si="62"/>
        <v>1.7682354187038623E-5</v>
      </c>
      <c r="BI60" s="456">
        <f t="shared" si="56"/>
        <v>1.7543859649122809E-5</v>
      </c>
      <c r="BJ60" s="456">
        <f t="shared" si="56"/>
        <v>45</v>
      </c>
      <c r="BK60" s="456">
        <f t="shared" si="56"/>
        <v>7.8947368421052641E-4</v>
      </c>
      <c r="BL60" s="2015" t="str">
        <f t="shared" si="57"/>
        <v>Selenito de Sódio</v>
      </c>
      <c r="BM60" s="354">
        <v>8</v>
      </c>
      <c r="BN60" s="355"/>
    </row>
    <row r="61" spans="1:66" ht="15.75" customHeight="1" thickBot="1">
      <c r="A61" s="262"/>
      <c r="B61" s="368" t="str">
        <f t="shared" si="58"/>
        <v>Fosfato Bicálcico</v>
      </c>
      <c r="C61" s="470">
        <f t="shared" si="58"/>
        <v>0.45378000742781605</v>
      </c>
      <c r="D61" s="470" t="str">
        <f t="shared" si="58"/>
        <v/>
      </c>
      <c r="E61" s="470">
        <f t="shared" si="59"/>
        <v>100</v>
      </c>
      <c r="F61" s="470" t="str">
        <f t="shared" si="58"/>
        <v/>
      </c>
      <c r="G61" s="356">
        <f t="shared" ref="G61:BB61" si="75">IFERROR($C17*G17,"")</f>
        <v>0.45378000742781605</v>
      </c>
      <c r="H61" s="387"/>
      <c r="I61" s="445">
        <f t="shared" ref="I61" si="76">IFERROR($C17*I17,"")</f>
        <v>0.45378000742781605</v>
      </c>
      <c r="J61" s="357">
        <f t="shared" si="75"/>
        <v>0.44670103931194211</v>
      </c>
      <c r="K61" s="357">
        <f t="shared" si="75"/>
        <v>0</v>
      </c>
      <c r="L61" s="357">
        <f t="shared" si="75"/>
        <v>0</v>
      </c>
      <c r="M61" s="357">
        <f t="shared" si="75"/>
        <v>0</v>
      </c>
      <c r="N61" s="357">
        <f t="shared" si="75"/>
        <v>0</v>
      </c>
      <c r="O61" s="357">
        <f t="shared" si="75"/>
        <v>0</v>
      </c>
      <c r="P61" s="357">
        <f t="shared" si="75"/>
        <v>0</v>
      </c>
      <c r="Q61" s="357">
        <f t="shared" si="75"/>
        <v>0</v>
      </c>
      <c r="R61" s="357">
        <f t="shared" si="75"/>
        <v>0</v>
      </c>
      <c r="S61" s="357">
        <f t="shared" si="75"/>
        <v>0</v>
      </c>
      <c r="T61" s="357">
        <f t="shared" si="75"/>
        <v>0</v>
      </c>
      <c r="U61" s="357">
        <f t="shared" si="75"/>
        <v>0</v>
      </c>
      <c r="V61" s="357">
        <f t="shared" si="75"/>
        <v>0</v>
      </c>
      <c r="W61" s="357">
        <f t="shared" si="75"/>
        <v>0</v>
      </c>
      <c r="X61" s="357">
        <f t="shared" si="75"/>
        <v>107.74429068204043</v>
      </c>
      <c r="Y61" s="357">
        <f t="shared" si="75"/>
        <v>82.773702584502871</v>
      </c>
      <c r="Z61" s="357">
        <f t="shared" si="75"/>
        <v>7.6385877722342101</v>
      </c>
      <c r="AA61" s="357">
        <f t="shared" si="75"/>
        <v>0.58071135110552463</v>
      </c>
      <c r="AB61" s="357">
        <f t="shared" si="75"/>
        <v>0.35736083144955372</v>
      </c>
      <c r="AC61" s="357">
        <f t="shared" si="75"/>
        <v>0</v>
      </c>
      <c r="AD61" s="357">
        <f t="shared" si="75"/>
        <v>5.9445180973043898</v>
      </c>
      <c r="AE61" s="357">
        <f t="shared" si="75"/>
        <v>6.3529201039894243</v>
      </c>
      <c r="AF61" s="357">
        <f t="shared" si="75"/>
        <v>0</v>
      </c>
      <c r="AG61" s="357">
        <f t="shared" si="75"/>
        <v>280.0457937840024</v>
      </c>
      <c r="AH61" s="357">
        <f t="shared" si="75"/>
        <v>0</v>
      </c>
      <c r="AI61" s="357">
        <f t="shared" si="75"/>
        <v>0</v>
      </c>
      <c r="AJ61" s="357">
        <f t="shared" si="75"/>
        <v>0</v>
      </c>
      <c r="AK61" s="357">
        <f t="shared" si="75"/>
        <v>0</v>
      </c>
      <c r="AL61" s="357">
        <f t="shared" si="75"/>
        <v>0</v>
      </c>
      <c r="AM61" s="357">
        <f t="shared" si="75"/>
        <v>0</v>
      </c>
      <c r="AN61" s="357">
        <f t="shared" si="75"/>
        <v>0</v>
      </c>
      <c r="AO61" s="357">
        <f t="shared" si="75"/>
        <v>0</v>
      </c>
      <c r="AP61" s="357">
        <f t="shared" si="75"/>
        <v>0</v>
      </c>
      <c r="AQ61" s="357">
        <f t="shared" si="75"/>
        <v>0</v>
      </c>
      <c r="AR61" s="357">
        <f t="shared" si="75"/>
        <v>0</v>
      </c>
      <c r="AS61" s="357">
        <f t="shared" si="75"/>
        <v>0</v>
      </c>
      <c r="AT61" s="357">
        <f t="shared" si="75"/>
        <v>0</v>
      </c>
      <c r="AU61" s="357">
        <f t="shared" si="75"/>
        <v>0</v>
      </c>
      <c r="AV61" s="357">
        <f t="shared" si="75"/>
        <v>0</v>
      </c>
      <c r="AW61" s="357">
        <f t="shared" si="75"/>
        <v>0</v>
      </c>
      <c r="AX61" s="357">
        <f t="shared" si="75"/>
        <v>0</v>
      </c>
      <c r="AY61" s="357">
        <f t="shared" si="75"/>
        <v>0</v>
      </c>
      <c r="AZ61" s="357">
        <f t="shared" si="75"/>
        <v>0</v>
      </c>
      <c r="BA61" s="357">
        <f t="shared" si="75"/>
        <v>0</v>
      </c>
      <c r="BB61" s="358">
        <f t="shared" si="75"/>
        <v>0.44670103931194211</v>
      </c>
      <c r="BC61" s="262"/>
      <c r="BD61" s="455">
        <f t="shared" si="61"/>
        <v>3.3726814812776619E-5</v>
      </c>
      <c r="BE61" s="456">
        <f t="shared" si="55"/>
        <v>3.3726812816188869E-5</v>
      </c>
      <c r="BF61" s="456">
        <f t="shared" si="55"/>
        <v>1</v>
      </c>
      <c r="BG61" s="457">
        <f t="shared" si="55"/>
        <v>3.3726812816188869E-5</v>
      </c>
      <c r="BH61" s="458">
        <f t="shared" si="62"/>
        <v>3.3993058639500886E-5</v>
      </c>
      <c r="BI61" s="456">
        <f t="shared" si="56"/>
        <v>3.3726812816188869E-5</v>
      </c>
      <c r="BJ61" s="456">
        <f t="shared" si="56"/>
        <v>1</v>
      </c>
      <c r="BK61" s="456">
        <f t="shared" si="56"/>
        <v>3.3726812816188869E-5</v>
      </c>
      <c r="BL61" s="2015" t="str">
        <f t="shared" si="57"/>
        <v>Iodato de Potássio</v>
      </c>
      <c r="BM61" s="354">
        <v>9</v>
      </c>
      <c r="BN61" s="355"/>
    </row>
    <row r="62" spans="1:66" ht="15.75" customHeight="1" thickBot="1">
      <c r="A62" s="262"/>
      <c r="B62" s="368" t="str">
        <f t="shared" si="58"/>
        <v>Selenito de Sódio</v>
      </c>
      <c r="C62" s="470">
        <f t="shared" si="58"/>
        <v>1.7543859649122809E-5</v>
      </c>
      <c r="D62" s="470" t="str">
        <f t="shared" si="58"/>
        <v/>
      </c>
      <c r="E62" s="470">
        <f t="shared" si="59"/>
        <v>100</v>
      </c>
      <c r="F62" s="470" t="str">
        <f t="shared" si="58"/>
        <v/>
      </c>
      <c r="G62" s="356">
        <f t="shared" ref="G62:BB62" si="77">IFERROR($C18*G18,"")</f>
        <v>7.8947368421052641E-4</v>
      </c>
      <c r="H62" s="387"/>
      <c r="I62" s="445">
        <f t="shared" ref="I62" si="78">IFERROR($C18*I18,"")</f>
        <v>1.7543859649122809E-5</v>
      </c>
      <c r="J62" s="357">
        <f t="shared" si="77"/>
        <v>1.7543859649122809E-5</v>
      </c>
      <c r="K62" s="357">
        <f t="shared" si="77"/>
        <v>0</v>
      </c>
      <c r="L62" s="357">
        <f t="shared" si="77"/>
        <v>0</v>
      </c>
      <c r="M62" s="357">
        <f t="shared" si="77"/>
        <v>0</v>
      </c>
      <c r="N62" s="357">
        <f t="shared" si="77"/>
        <v>0</v>
      </c>
      <c r="O62" s="357">
        <f t="shared" si="77"/>
        <v>0</v>
      </c>
      <c r="P62" s="357">
        <f t="shared" si="77"/>
        <v>0</v>
      </c>
      <c r="Q62" s="357">
        <f t="shared" si="77"/>
        <v>0</v>
      </c>
      <c r="R62" s="357">
        <f t="shared" si="77"/>
        <v>0</v>
      </c>
      <c r="S62" s="357">
        <f t="shared" si="77"/>
        <v>0</v>
      </c>
      <c r="T62" s="357">
        <f t="shared" si="77"/>
        <v>0</v>
      </c>
      <c r="U62" s="357">
        <f t="shared" si="77"/>
        <v>0</v>
      </c>
      <c r="V62" s="357">
        <f t="shared" si="77"/>
        <v>0</v>
      </c>
      <c r="W62" s="357">
        <f t="shared" si="77"/>
        <v>0</v>
      </c>
      <c r="X62" s="357">
        <f t="shared" si="77"/>
        <v>0</v>
      </c>
      <c r="Y62" s="357">
        <f t="shared" si="77"/>
        <v>0</v>
      </c>
      <c r="Z62" s="357">
        <f t="shared" si="77"/>
        <v>0</v>
      </c>
      <c r="AA62" s="357">
        <f t="shared" si="77"/>
        <v>0</v>
      </c>
      <c r="AB62" s="357">
        <f t="shared" si="77"/>
        <v>0</v>
      </c>
      <c r="AC62" s="357">
        <f t="shared" si="77"/>
        <v>0</v>
      </c>
      <c r="AD62" s="357">
        <f t="shared" si="77"/>
        <v>0</v>
      </c>
      <c r="AE62" s="357">
        <f t="shared" si="77"/>
        <v>0</v>
      </c>
      <c r="AF62" s="357">
        <f t="shared" si="77"/>
        <v>0</v>
      </c>
      <c r="AG62" s="357">
        <f t="shared" si="77"/>
        <v>0</v>
      </c>
      <c r="AH62" s="357">
        <f t="shared" si="77"/>
        <v>0</v>
      </c>
      <c r="AI62" s="357">
        <f t="shared" si="77"/>
        <v>0</v>
      </c>
      <c r="AJ62" s="357">
        <f t="shared" si="77"/>
        <v>8.0000000000000018</v>
      </c>
      <c r="AK62" s="357">
        <f t="shared" si="77"/>
        <v>0</v>
      </c>
      <c r="AL62" s="357">
        <f t="shared" si="77"/>
        <v>0</v>
      </c>
      <c r="AM62" s="357">
        <f t="shared" si="77"/>
        <v>0</v>
      </c>
      <c r="AN62" s="357">
        <f t="shared" si="77"/>
        <v>0</v>
      </c>
      <c r="AO62" s="357">
        <f t="shared" si="77"/>
        <v>0</v>
      </c>
      <c r="AP62" s="357">
        <f t="shared" si="77"/>
        <v>0</v>
      </c>
      <c r="AQ62" s="357">
        <f t="shared" si="77"/>
        <v>0</v>
      </c>
      <c r="AR62" s="357">
        <f t="shared" si="77"/>
        <v>0</v>
      </c>
      <c r="AS62" s="357">
        <f t="shared" si="77"/>
        <v>0</v>
      </c>
      <c r="AT62" s="357">
        <f t="shared" si="77"/>
        <v>0</v>
      </c>
      <c r="AU62" s="357">
        <f t="shared" si="77"/>
        <v>0</v>
      </c>
      <c r="AV62" s="357">
        <f t="shared" si="77"/>
        <v>0</v>
      </c>
      <c r="AW62" s="357">
        <f t="shared" si="77"/>
        <v>0</v>
      </c>
      <c r="AX62" s="357">
        <f t="shared" si="77"/>
        <v>0</v>
      </c>
      <c r="AY62" s="357">
        <f t="shared" si="77"/>
        <v>0</v>
      </c>
      <c r="AZ62" s="357">
        <f t="shared" si="77"/>
        <v>0</v>
      </c>
      <c r="BA62" s="357">
        <f t="shared" si="77"/>
        <v>0</v>
      </c>
      <c r="BB62" s="358">
        <f t="shared" si="77"/>
        <v>1.7543859649122809E-5</v>
      </c>
      <c r="BC62" s="262"/>
      <c r="BD62" s="455">
        <f t="shared" si="61"/>
        <v>1.6129033212884304E-5</v>
      </c>
      <c r="BE62" s="456">
        <f t="shared" si="55"/>
        <v>1.6129032258064517E-5</v>
      </c>
      <c r="BF62" s="456">
        <f t="shared" si="55"/>
        <v>1</v>
      </c>
      <c r="BG62" s="457">
        <f t="shared" si="55"/>
        <v>1.6129032258064517E-5</v>
      </c>
      <c r="BH62" s="458">
        <f t="shared" si="62"/>
        <v>1.625635788163228E-5</v>
      </c>
      <c r="BI62" s="456">
        <f t="shared" si="56"/>
        <v>1.6129032258064517E-5</v>
      </c>
      <c r="BJ62" s="456">
        <f t="shared" si="56"/>
        <v>1</v>
      </c>
      <c r="BK62" s="456">
        <f t="shared" si="56"/>
        <v>1.6129032258064517E-5</v>
      </c>
      <c r="BL62" s="2015" t="str">
        <f t="shared" si="57"/>
        <v>Sulfato Cobalto</v>
      </c>
      <c r="BM62" s="354">
        <v>10</v>
      </c>
      <c r="BN62" s="355"/>
    </row>
    <row r="63" spans="1:66" ht="15.75" customHeight="1" thickBot="1">
      <c r="A63" s="262"/>
      <c r="B63" s="368" t="str">
        <f t="shared" si="58"/>
        <v>Iodato de Potássio</v>
      </c>
      <c r="C63" s="470">
        <f t="shared" si="58"/>
        <v>3.3726812816188869E-5</v>
      </c>
      <c r="D63" s="470" t="str">
        <f t="shared" si="58"/>
        <v/>
      </c>
      <c r="E63" s="470">
        <f t="shared" si="59"/>
        <v>100</v>
      </c>
      <c r="F63" s="470" t="str">
        <f t="shared" si="58"/>
        <v/>
      </c>
      <c r="G63" s="356">
        <f t="shared" ref="G63:BB63" si="79">IFERROR($C19*G19,"")</f>
        <v>3.3726812816188869E-5</v>
      </c>
      <c r="H63" s="387"/>
      <c r="I63" s="445">
        <f t="shared" ref="I63" si="80">IFERROR($C19*I19,"")</f>
        <v>3.3726812816188869E-5</v>
      </c>
      <c r="J63" s="357">
        <f t="shared" si="79"/>
        <v>3.3726812816188869E-5</v>
      </c>
      <c r="K63" s="357">
        <f t="shared" si="79"/>
        <v>0</v>
      </c>
      <c r="L63" s="357">
        <f t="shared" si="79"/>
        <v>0</v>
      </c>
      <c r="M63" s="357">
        <f t="shared" si="79"/>
        <v>0</v>
      </c>
      <c r="N63" s="357">
        <f t="shared" si="79"/>
        <v>0</v>
      </c>
      <c r="O63" s="357">
        <f t="shared" si="79"/>
        <v>0</v>
      </c>
      <c r="P63" s="357">
        <f t="shared" si="79"/>
        <v>0</v>
      </c>
      <c r="Q63" s="357">
        <f t="shared" si="79"/>
        <v>0</v>
      </c>
      <c r="R63" s="357">
        <f t="shared" si="79"/>
        <v>0</v>
      </c>
      <c r="S63" s="357">
        <f t="shared" si="79"/>
        <v>0</v>
      </c>
      <c r="T63" s="357">
        <f t="shared" si="79"/>
        <v>0</v>
      </c>
      <c r="U63" s="357">
        <f t="shared" si="79"/>
        <v>0</v>
      </c>
      <c r="V63" s="357">
        <f t="shared" si="79"/>
        <v>0</v>
      </c>
      <c r="W63" s="357">
        <f t="shared" si="79"/>
        <v>0</v>
      </c>
      <c r="X63" s="357">
        <f t="shared" si="79"/>
        <v>0</v>
      </c>
      <c r="Y63" s="357">
        <f t="shared" si="79"/>
        <v>0</v>
      </c>
      <c r="Z63" s="357">
        <f t="shared" si="79"/>
        <v>0</v>
      </c>
      <c r="AA63" s="357">
        <f t="shared" si="79"/>
        <v>0</v>
      </c>
      <c r="AB63" s="357">
        <f t="shared" si="79"/>
        <v>0</v>
      </c>
      <c r="AC63" s="357">
        <f t="shared" si="79"/>
        <v>0</v>
      </c>
      <c r="AD63" s="357">
        <f t="shared" si="79"/>
        <v>0</v>
      </c>
      <c r="AE63" s="357">
        <f t="shared" si="79"/>
        <v>0</v>
      </c>
      <c r="AF63" s="357">
        <f t="shared" si="79"/>
        <v>0</v>
      </c>
      <c r="AG63" s="357">
        <f t="shared" si="79"/>
        <v>0</v>
      </c>
      <c r="AH63" s="357">
        <f t="shared" si="79"/>
        <v>20</v>
      </c>
      <c r="AI63" s="357">
        <f t="shared" si="79"/>
        <v>0</v>
      </c>
      <c r="AJ63" s="357">
        <f t="shared" si="79"/>
        <v>0</v>
      </c>
      <c r="AK63" s="357">
        <f t="shared" si="79"/>
        <v>0</v>
      </c>
      <c r="AL63" s="357">
        <f t="shared" si="79"/>
        <v>0</v>
      </c>
      <c r="AM63" s="357">
        <f t="shared" si="79"/>
        <v>0</v>
      </c>
      <c r="AN63" s="357">
        <f t="shared" si="79"/>
        <v>0</v>
      </c>
      <c r="AO63" s="357">
        <f t="shared" si="79"/>
        <v>0</v>
      </c>
      <c r="AP63" s="357">
        <f t="shared" si="79"/>
        <v>0</v>
      </c>
      <c r="AQ63" s="357">
        <f t="shared" si="79"/>
        <v>0</v>
      </c>
      <c r="AR63" s="357">
        <f t="shared" si="79"/>
        <v>0</v>
      </c>
      <c r="AS63" s="357">
        <f t="shared" si="79"/>
        <v>0</v>
      </c>
      <c r="AT63" s="357">
        <f t="shared" si="79"/>
        <v>0</v>
      </c>
      <c r="AU63" s="357">
        <f t="shared" si="79"/>
        <v>0</v>
      </c>
      <c r="AV63" s="357">
        <f t="shared" si="79"/>
        <v>0</v>
      </c>
      <c r="AW63" s="357">
        <f t="shared" si="79"/>
        <v>0</v>
      </c>
      <c r="AX63" s="357">
        <f t="shared" si="79"/>
        <v>0</v>
      </c>
      <c r="AY63" s="357">
        <f t="shared" si="79"/>
        <v>0</v>
      </c>
      <c r="AZ63" s="357">
        <f t="shared" si="79"/>
        <v>0</v>
      </c>
      <c r="BA63" s="357">
        <f t="shared" si="79"/>
        <v>0</v>
      </c>
      <c r="BB63" s="358">
        <f t="shared" si="79"/>
        <v>3.3726812816188869E-5</v>
      </c>
      <c r="BC63" s="262"/>
      <c r="BD63" s="455">
        <f t="shared" si="61"/>
        <v>5.6813472766963108E-2</v>
      </c>
      <c r="BE63" s="456">
        <f t="shared" si="55"/>
        <v>5.6813469403672372E-2</v>
      </c>
      <c r="BF63" s="456">
        <f t="shared" si="55"/>
        <v>1</v>
      </c>
      <c r="BG63" s="457">
        <f t="shared" si="55"/>
        <v>5.6813469403672372E-2</v>
      </c>
      <c r="BH63" s="458">
        <f t="shared" si="62"/>
        <v>5.7261965649642352E-2</v>
      </c>
      <c r="BI63" s="456">
        <f t="shared" si="56"/>
        <v>5.6813469403672372E-2</v>
      </c>
      <c r="BJ63" s="456">
        <f t="shared" si="56"/>
        <v>1</v>
      </c>
      <c r="BK63" s="456">
        <f t="shared" si="56"/>
        <v>5.6813469403672372E-2</v>
      </c>
      <c r="BL63" s="2015" t="str">
        <f t="shared" si="57"/>
        <v>Sulfato Magnésio</v>
      </c>
      <c r="BM63" s="354">
        <v>11</v>
      </c>
      <c r="BN63" s="355"/>
    </row>
    <row r="64" spans="1:66" ht="15.75" customHeight="1" thickBot="1">
      <c r="A64" s="262"/>
      <c r="B64" s="368" t="str">
        <f t="shared" si="58"/>
        <v>Sulfato Cobalto</v>
      </c>
      <c r="C64" s="470">
        <f t="shared" si="58"/>
        <v>1.6129032258064517E-5</v>
      </c>
      <c r="D64" s="470" t="str">
        <f t="shared" si="58"/>
        <v/>
      </c>
      <c r="E64" s="470">
        <f t="shared" si="59"/>
        <v>100</v>
      </c>
      <c r="F64" s="470" t="str">
        <f t="shared" si="58"/>
        <v/>
      </c>
      <c r="G64" s="356">
        <f t="shared" ref="G64:BB64" si="81">IFERROR($C20*G20,"")</f>
        <v>1.6129032258064517E-5</v>
      </c>
      <c r="H64" s="387"/>
      <c r="I64" s="445">
        <f t="shared" ref="I64" si="82">IFERROR($C20*I20,"")</f>
        <v>1.6129032258064517E-5</v>
      </c>
      <c r="J64" s="357">
        <f t="shared" si="81"/>
        <v>1.6129032258064517E-5</v>
      </c>
      <c r="K64" s="357">
        <f t="shared" si="81"/>
        <v>0</v>
      </c>
      <c r="L64" s="357">
        <f t="shared" si="81"/>
        <v>0</v>
      </c>
      <c r="M64" s="357">
        <f t="shared" si="81"/>
        <v>0</v>
      </c>
      <c r="N64" s="357">
        <f t="shared" si="81"/>
        <v>0</v>
      </c>
      <c r="O64" s="357">
        <f t="shared" si="81"/>
        <v>0</v>
      </c>
      <c r="P64" s="357">
        <f t="shared" si="81"/>
        <v>0</v>
      </c>
      <c r="Q64" s="357">
        <f t="shared" si="81"/>
        <v>0</v>
      </c>
      <c r="R64" s="357">
        <f t="shared" si="81"/>
        <v>0</v>
      </c>
      <c r="S64" s="357">
        <f t="shared" si="81"/>
        <v>0</v>
      </c>
      <c r="T64" s="357">
        <f t="shared" si="81"/>
        <v>0</v>
      </c>
      <c r="U64" s="357">
        <f t="shared" si="81"/>
        <v>0</v>
      </c>
      <c r="V64" s="357">
        <f t="shared" si="81"/>
        <v>0</v>
      </c>
      <c r="W64" s="357">
        <f t="shared" si="81"/>
        <v>0</v>
      </c>
      <c r="X64" s="357">
        <f t="shared" si="81"/>
        <v>0</v>
      </c>
      <c r="Y64" s="357">
        <f t="shared" si="81"/>
        <v>0</v>
      </c>
      <c r="Z64" s="357">
        <f t="shared" si="81"/>
        <v>0</v>
      </c>
      <c r="AA64" s="357">
        <f t="shared" si="81"/>
        <v>0</v>
      </c>
      <c r="AB64" s="357">
        <f t="shared" si="81"/>
        <v>0</v>
      </c>
      <c r="AC64" s="357">
        <f t="shared" si="81"/>
        <v>1.838709677419355E-3</v>
      </c>
      <c r="AD64" s="357">
        <f t="shared" si="81"/>
        <v>0</v>
      </c>
      <c r="AE64" s="357">
        <f t="shared" si="81"/>
        <v>0</v>
      </c>
      <c r="AF64" s="357">
        <f t="shared" si="81"/>
        <v>0</v>
      </c>
      <c r="AG64" s="357">
        <f t="shared" si="81"/>
        <v>0</v>
      </c>
      <c r="AH64" s="357">
        <f t="shared" si="81"/>
        <v>0</v>
      </c>
      <c r="AI64" s="357">
        <f t="shared" si="81"/>
        <v>4</v>
      </c>
      <c r="AJ64" s="357">
        <f t="shared" si="81"/>
        <v>0</v>
      </c>
      <c r="AK64" s="357">
        <f t="shared" si="81"/>
        <v>0</v>
      </c>
      <c r="AL64" s="357">
        <f t="shared" si="81"/>
        <v>0</v>
      </c>
      <c r="AM64" s="357">
        <f t="shared" si="81"/>
        <v>0</v>
      </c>
      <c r="AN64" s="357">
        <f t="shared" si="81"/>
        <v>0</v>
      </c>
      <c r="AO64" s="357">
        <f t="shared" si="81"/>
        <v>0</v>
      </c>
      <c r="AP64" s="357">
        <f t="shared" si="81"/>
        <v>0</v>
      </c>
      <c r="AQ64" s="357">
        <f t="shared" si="81"/>
        <v>0</v>
      </c>
      <c r="AR64" s="357">
        <f t="shared" si="81"/>
        <v>0</v>
      </c>
      <c r="AS64" s="357">
        <f t="shared" si="81"/>
        <v>0</v>
      </c>
      <c r="AT64" s="357">
        <f t="shared" si="81"/>
        <v>0</v>
      </c>
      <c r="AU64" s="357">
        <f t="shared" si="81"/>
        <v>0</v>
      </c>
      <c r="AV64" s="357">
        <f t="shared" si="81"/>
        <v>0</v>
      </c>
      <c r="AW64" s="357">
        <f t="shared" si="81"/>
        <v>0</v>
      </c>
      <c r="AX64" s="357">
        <f t="shared" si="81"/>
        <v>0</v>
      </c>
      <c r="AY64" s="357">
        <f t="shared" si="81"/>
        <v>0</v>
      </c>
      <c r="AZ64" s="357">
        <f t="shared" si="81"/>
        <v>0</v>
      </c>
      <c r="BA64" s="357">
        <f t="shared" si="81"/>
        <v>0</v>
      </c>
      <c r="BB64" s="358">
        <f t="shared" si="81"/>
        <v>1.6129032258064517E-5</v>
      </c>
      <c r="BC64" s="262"/>
      <c r="BD64" s="455">
        <f t="shared" si="61"/>
        <v>0.12001639171256455</v>
      </c>
      <c r="BE64" s="456">
        <f t="shared" si="55"/>
        <v>0.12001638460773538</v>
      </c>
      <c r="BF64" s="456">
        <f t="shared" si="55"/>
        <v>1.5</v>
      </c>
      <c r="BG64" s="457">
        <f t="shared" si="55"/>
        <v>0.18002457691160306</v>
      </c>
      <c r="BH64" s="458">
        <f t="shared" si="62"/>
        <v>0.12096381659026414</v>
      </c>
      <c r="BI64" s="456">
        <f t="shared" si="56"/>
        <v>0.12001638460773538</v>
      </c>
      <c r="BJ64" s="456">
        <f t="shared" si="56"/>
        <v>1.5</v>
      </c>
      <c r="BK64" s="456">
        <f t="shared" si="56"/>
        <v>0.18002457691160306</v>
      </c>
      <c r="BL64" s="2015" t="str">
        <f t="shared" si="57"/>
        <v>Sal Comum (NaCl)</v>
      </c>
      <c r="BM64" s="354">
        <v>12</v>
      </c>
      <c r="BN64" s="355"/>
    </row>
    <row r="65" spans="1:66" ht="15.75" customHeight="1" thickBot="1">
      <c r="A65" s="262"/>
      <c r="B65" s="368" t="str">
        <f t="shared" si="58"/>
        <v>Sulfato Ferro</v>
      </c>
      <c r="C65" s="470" t="str">
        <f t="shared" si="58"/>
        <v/>
      </c>
      <c r="D65" s="470" t="str">
        <f t="shared" si="58"/>
        <v/>
      </c>
      <c r="E65" s="470">
        <f t="shared" si="59"/>
        <v>100</v>
      </c>
      <c r="F65" s="470" t="str">
        <f t="shared" si="58"/>
        <v/>
      </c>
      <c r="G65" s="356">
        <f t="shared" ref="G65:BB65" si="83">IFERROR($C21*G21,"")</f>
        <v>0</v>
      </c>
      <c r="H65" s="387"/>
      <c r="I65" s="445">
        <f t="shared" ref="I65" si="84">IFERROR($C21*I21,"")</f>
        <v>0</v>
      </c>
      <c r="J65" s="357">
        <f t="shared" si="83"/>
        <v>0</v>
      </c>
      <c r="K65" s="357">
        <f t="shared" si="83"/>
        <v>0</v>
      </c>
      <c r="L65" s="357">
        <f t="shared" si="83"/>
        <v>0</v>
      </c>
      <c r="M65" s="357">
        <f t="shared" si="83"/>
        <v>0</v>
      </c>
      <c r="N65" s="357">
        <f t="shared" si="83"/>
        <v>0</v>
      </c>
      <c r="O65" s="357">
        <f t="shared" si="83"/>
        <v>0</v>
      </c>
      <c r="P65" s="357">
        <f t="shared" si="83"/>
        <v>0</v>
      </c>
      <c r="Q65" s="357">
        <f t="shared" si="83"/>
        <v>0</v>
      </c>
      <c r="R65" s="357">
        <f t="shared" si="83"/>
        <v>0</v>
      </c>
      <c r="S65" s="357">
        <f t="shared" si="83"/>
        <v>0</v>
      </c>
      <c r="T65" s="357">
        <f t="shared" si="83"/>
        <v>0</v>
      </c>
      <c r="U65" s="357">
        <f t="shared" si="83"/>
        <v>0</v>
      </c>
      <c r="V65" s="357">
        <f t="shared" si="83"/>
        <v>0</v>
      </c>
      <c r="W65" s="357">
        <f t="shared" si="83"/>
        <v>0</v>
      </c>
      <c r="X65" s="357">
        <f t="shared" si="83"/>
        <v>0</v>
      </c>
      <c r="Y65" s="357">
        <f t="shared" si="83"/>
        <v>0</v>
      </c>
      <c r="Z65" s="357">
        <f t="shared" si="83"/>
        <v>0</v>
      </c>
      <c r="AA65" s="357">
        <f t="shared" si="83"/>
        <v>0</v>
      </c>
      <c r="AB65" s="357">
        <f t="shared" si="83"/>
        <v>0</v>
      </c>
      <c r="AC65" s="357">
        <f t="shared" si="83"/>
        <v>0</v>
      </c>
      <c r="AD65" s="357">
        <f t="shared" si="83"/>
        <v>0</v>
      </c>
      <c r="AE65" s="357">
        <f t="shared" si="83"/>
        <v>0</v>
      </c>
      <c r="AF65" s="357">
        <f t="shared" si="83"/>
        <v>0</v>
      </c>
      <c r="AG65" s="357">
        <f t="shared" si="83"/>
        <v>0</v>
      </c>
      <c r="AH65" s="357">
        <f t="shared" si="83"/>
        <v>0</v>
      </c>
      <c r="AI65" s="357">
        <f t="shared" si="83"/>
        <v>0</v>
      </c>
      <c r="AJ65" s="357">
        <f t="shared" si="83"/>
        <v>0</v>
      </c>
      <c r="AK65" s="357">
        <f t="shared" si="83"/>
        <v>0</v>
      </c>
      <c r="AL65" s="357">
        <f t="shared" si="83"/>
        <v>0</v>
      </c>
      <c r="AM65" s="357">
        <f t="shared" si="83"/>
        <v>0</v>
      </c>
      <c r="AN65" s="357">
        <f t="shared" si="83"/>
        <v>0</v>
      </c>
      <c r="AO65" s="357">
        <f t="shared" si="83"/>
        <v>0</v>
      </c>
      <c r="AP65" s="357">
        <f t="shared" si="83"/>
        <v>0</v>
      </c>
      <c r="AQ65" s="357">
        <f t="shared" si="83"/>
        <v>0</v>
      </c>
      <c r="AR65" s="357">
        <f t="shared" si="83"/>
        <v>0</v>
      </c>
      <c r="AS65" s="357">
        <f t="shared" si="83"/>
        <v>0</v>
      </c>
      <c r="AT65" s="357">
        <f t="shared" si="83"/>
        <v>0</v>
      </c>
      <c r="AU65" s="357">
        <f t="shared" si="83"/>
        <v>0</v>
      </c>
      <c r="AV65" s="357">
        <f t="shared" si="83"/>
        <v>0</v>
      </c>
      <c r="AW65" s="357">
        <f t="shared" si="83"/>
        <v>0</v>
      </c>
      <c r="AX65" s="357">
        <f t="shared" si="83"/>
        <v>0</v>
      </c>
      <c r="AY65" s="357">
        <f t="shared" si="83"/>
        <v>0</v>
      </c>
      <c r="AZ65" s="357">
        <f t="shared" si="83"/>
        <v>0</v>
      </c>
      <c r="BA65" s="357">
        <f t="shared" si="83"/>
        <v>0</v>
      </c>
      <c r="BB65" s="358">
        <f t="shared" si="83"/>
        <v>0</v>
      </c>
      <c r="BC65" s="262"/>
      <c r="BD65" s="455" t="str">
        <f t="shared" si="61"/>
        <v/>
      </c>
      <c r="BE65" s="456" t="str">
        <f t="shared" si="55"/>
        <v/>
      </c>
      <c r="BF65" s="456" t="str">
        <f t="shared" si="55"/>
        <v/>
      </c>
      <c r="BG65" s="457" t="str">
        <f t="shared" si="55"/>
        <v/>
      </c>
      <c r="BH65" s="458" t="str">
        <f t="shared" si="62"/>
        <v/>
      </c>
      <c r="BI65" s="456" t="str">
        <f t="shared" si="56"/>
        <v/>
      </c>
      <c r="BJ65" s="456" t="str">
        <f t="shared" si="56"/>
        <v/>
      </c>
      <c r="BK65" s="456" t="str">
        <f t="shared" si="56"/>
        <v/>
      </c>
      <c r="BL65" s="2015" t="str">
        <f t="shared" si="57"/>
        <v/>
      </c>
      <c r="BM65" s="354">
        <v>13</v>
      </c>
      <c r="BN65" s="355"/>
    </row>
    <row r="66" spans="1:66" ht="15.75" customHeight="1" thickBot="1">
      <c r="A66" s="262"/>
      <c r="B66" s="368" t="str">
        <f t="shared" si="58"/>
        <v>Sulfato Magnésio</v>
      </c>
      <c r="C66" s="470">
        <f t="shared" si="58"/>
        <v>5.6813469403672372E-2</v>
      </c>
      <c r="D66" s="470" t="str">
        <f t="shared" si="58"/>
        <v/>
      </c>
      <c r="E66" s="470">
        <f t="shared" si="59"/>
        <v>100</v>
      </c>
      <c r="F66" s="470" t="str">
        <f t="shared" si="58"/>
        <v/>
      </c>
      <c r="G66" s="356">
        <f t="shared" ref="G66:BB66" si="85">IFERROR($C22*G22,"")</f>
        <v>5.6813469403672372E-2</v>
      </c>
      <c r="H66" s="387"/>
      <c r="I66" s="445">
        <f t="shared" ref="I66" si="86">IFERROR($C22*I22,"")</f>
        <v>5.6813469403672372E-2</v>
      </c>
      <c r="J66" s="357">
        <f t="shared" si="85"/>
        <v>5.6813469403672372E-2</v>
      </c>
      <c r="K66" s="357">
        <f t="shared" si="85"/>
        <v>0</v>
      </c>
      <c r="L66" s="357">
        <f t="shared" si="85"/>
        <v>0</v>
      </c>
      <c r="M66" s="357">
        <f t="shared" si="85"/>
        <v>0</v>
      </c>
      <c r="N66" s="357">
        <f t="shared" si="85"/>
        <v>0</v>
      </c>
      <c r="O66" s="357">
        <f t="shared" si="85"/>
        <v>0</v>
      </c>
      <c r="P66" s="357">
        <f t="shared" si="85"/>
        <v>0</v>
      </c>
      <c r="Q66" s="357">
        <f t="shared" si="85"/>
        <v>0</v>
      </c>
      <c r="R66" s="357">
        <f t="shared" si="85"/>
        <v>0</v>
      </c>
      <c r="S66" s="357">
        <f t="shared" si="85"/>
        <v>0</v>
      </c>
      <c r="T66" s="357">
        <f t="shared" si="85"/>
        <v>0</v>
      </c>
      <c r="U66" s="357">
        <f t="shared" si="85"/>
        <v>0</v>
      </c>
      <c r="V66" s="357">
        <f t="shared" si="85"/>
        <v>0</v>
      </c>
      <c r="W66" s="357">
        <f t="shared" si="85"/>
        <v>0</v>
      </c>
      <c r="X66" s="357">
        <f t="shared" si="85"/>
        <v>0</v>
      </c>
      <c r="Y66" s="357">
        <f t="shared" si="85"/>
        <v>0</v>
      </c>
      <c r="Z66" s="357">
        <f t="shared" si="85"/>
        <v>5.6245334709635646</v>
      </c>
      <c r="AA66" s="357">
        <f t="shared" si="85"/>
        <v>0</v>
      </c>
      <c r="AB66" s="357">
        <f t="shared" si="85"/>
        <v>0</v>
      </c>
      <c r="AC66" s="357">
        <f t="shared" si="85"/>
        <v>7.3857510224774083</v>
      </c>
      <c r="AD66" s="357">
        <f t="shared" si="85"/>
        <v>0</v>
      </c>
      <c r="AE66" s="357">
        <f t="shared" si="85"/>
        <v>0</v>
      </c>
      <c r="AF66" s="357">
        <f t="shared" si="85"/>
        <v>0</v>
      </c>
      <c r="AG66" s="357">
        <f t="shared" si="85"/>
        <v>0</v>
      </c>
      <c r="AH66" s="357">
        <f t="shared" si="85"/>
        <v>0</v>
      </c>
      <c r="AI66" s="357">
        <f t="shared" si="85"/>
        <v>0</v>
      </c>
      <c r="AJ66" s="357">
        <f t="shared" si="85"/>
        <v>0</v>
      </c>
      <c r="AK66" s="357">
        <f t="shared" si="85"/>
        <v>0</v>
      </c>
      <c r="AL66" s="357">
        <f t="shared" si="85"/>
        <v>0</v>
      </c>
      <c r="AM66" s="357">
        <f t="shared" si="85"/>
        <v>0</v>
      </c>
      <c r="AN66" s="357">
        <f t="shared" si="85"/>
        <v>0</v>
      </c>
      <c r="AO66" s="357">
        <f t="shared" si="85"/>
        <v>0</v>
      </c>
      <c r="AP66" s="357">
        <f t="shared" si="85"/>
        <v>0</v>
      </c>
      <c r="AQ66" s="357">
        <f t="shared" si="85"/>
        <v>0</v>
      </c>
      <c r="AR66" s="357">
        <f t="shared" si="85"/>
        <v>0</v>
      </c>
      <c r="AS66" s="357">
        <f t="shared" si="85"/>
        <v>0</v>
      </c>
      <c r="AT66" s="357">
        <f t="shared" si="85"/>
        <v>0</v>
      </c>
      <c r="AU66" s="357">
        <f t="shared" si="85"/>
        <v>0</v>
      </c>
      <c r="AV66" s="357">
        <f t="shared" si="85"/>
        <v>0</v>
      </c>
      <c r="AW66" s="357">
        <f t="shared" si="85"/>
        <v>0</v>
      </c>
      <c r="AX66" s="357">
        <f t="shared" si="85"/>
        <v>0</v>
      </c>
      <c r="AY66" s="357">
        <f t="shared" si="85"/>
        <v>0</v>
      </c>
      <c r="AZ66" s="357">
        <f t="shared" si="85"/>
        <v>0</v>
      </c>
      <c r="BA66" s="357">
        <f t="shared" si="85"/>
        <v>0</v>
      </c>
      <c r="BB66" s="358">
        <f t="shared" si="85"/>
        <v>5.6813469403672372E-2</v>
      </c>
      <c r="BC66" s="262"/>
      <c r="BD66" s="455" t="str">
        <f t="shared" si="61"/>
        <v/>
      </c>
      <c r="BE66" s="456" t="str">
        <f t="shared" si="55"/>
        <v/>
      </c>
      <c r="BF66" s="456" t="str">
        <f t="shared" si="55"/>
        <v/>
      </c>
      <c r="BG66" s="457" t="str">
        <f t="shared" si="55"/>
        <v/>
      </c>
      <c r="BH66" s="458" t="str">
        <f t="shared" si="62"/>
        <v/>
      </c>
      <c r="BI66" s="456" t="str">
        <f t="shared" si="56"/>
        <v/>
      </c>
      <c r="BJ66" s="456" t="str">
        <f t="shared" si="56"/>
        <v/>
      </c>
      <c r="BK66" s="456" t="str">
        <f t="shared" si="56"/>
        <v/>
      </c>
      <c r="BL66" s="2015" t="str">
        <f t="shared" si="57"/>
        <v/>
      </c>
      <c r="BM66" s="354">
        <v>14</v>
      </c>
      <c r="BN66" s="355"/>
    </row>
    <row r="67" spans="1:66" ht="15.75" customHeight="1" thickBot="1">
      <c r="A67" s="262"/>
      <c r="B67" s="368" t="str">
        <f t="shared" si="58"/>
        <v>Sal Comum (NaCl)</v>
      </c>
      <c r="C67" s="470">
        <f t="shared" si="58"/>
        <v>0.12001638460773538</v>
      </c>
      <c r="D67" s="470" t="str">
        <f t="shared" si="58"/>
        <v/>
      </c>
      <c r="E67" s="470">
        <f t="shared" si="59"/>
        <v>100</v>
      </c>
      <c r="F67" s="470" t="str">
        <f t="shared" si="58"/>
        <v/>
      </c>
      <c r="G67" s="356">
        <f t="shared" ref="G67:BB67" si="87">IFERROR($C23*G23,"")</f>
        <v>0.18002457691160306</v>
      </c>
      <c r="H67" s="387"/>
      <c r="I67" s="445">
        <f t="shared" ref="I67" si="88">IFERROR($C23*I23,"")</f>
        <v>0.12001638460773538</v>
      </c>
      <c r="J67" s="357">
        <f t="shared" si="87"/>
        <v>0.12001638460773538</v>
      </c>
      <c r="K67" s="357">
        <f t="shared" si="87"/>
        <v>0</v>
      </c>
      <c r="L67" s="357">
        <f t="shared" si="87"/>
        <v>0</v>
      </c>
      <c r="M67" s="357">
        <f t="shared" si="87"/>
        <v>0</v>
      </c>
      <c r="N67" s="357">
        <f t="shared" si="87"/>
        <v>0</v>
      </c>
      <c r="O67" s="357">
        <f t="shared" si="87"/>
        <v>0</v>
      </c>
      <c r="P67" s="357">
        <f t="shared" si="87"/>
        <v>0</v>
      </c>
      <c r="Q67" s="357">
        <f t="shared" si="87"/>
        <v>0</v>
      </c>
      <c r="R67" s="357">
        <f t="shared" si="87"/>
        <v>0</v>
      </c>
      <c r="S67" s="357">
        <f t="shared" si="87"/>
        <v>0</v>
      </c>
      <c r="T67" s="357">
        <f t="shared" si="87"/>
        <v>0</v>
      </c>
      <c r="U67" s="357">
        <f t="shared" si="87"/>
        <v>0</v>
      </c>
      <c r="V67" s="357">
        <f t="shared" si="87"/>
        <v>0</v>
      </c>
      <c r="W67" s="357">
        <f t="shared" si="87"/>
        <v>0</v>
      </c>
      <c r="X67" s="357">
        <f t="shared" si="87"/>
        <v>0</v>
      </c>
      <c r="Y67" s="357">
        <f t="shared" si="87"/>
        <v>0</v>
      </c>
      <c r="Z67" s="357">
        <f t="shared" si="87"/>
        <v>0</v>
      </c>
      <c r="AA67" s="357">
        <f t="shared" si="87"/>
        <v>44.40606230486209</v>
      </c>
      <c r="AB67" s="357">
        <f t="shared" si="87"/>
        <v>0</v>
      </c>
      <c r="AC67" s="357">
        <f t="shared" si="87"/>
        <v>0</v>
      </c>
      <c r="AD67" s="357">
        <f t="shared" si="87"/>
        <v>0</v>
      </c>
      <c r="AE67" s="357">
        <f t="shared" si="87"/>
        <v>0</v>
      </c>
      <c r="AF67" s="357">
        <f t="shared" si="87"/>
        <v>0</v>
      </c>
      <c r="AG67" s="357">
        <f t="shared" si="87"/>
        <v>0</v>
      </c>
      <c r="AH67" s="357">
        <f t="shared" si="87"/>
        <v>0</v>
      </c>
      <c r="AI67" s="357">
        <f t="shared" si="87"/>
        <v>0</v>
      </c>
      <c r="AJ67" s="357">
        <f t="shared" si="87"/>
        <v>0</v>
      </c>
      <c r="AK67" s="357">
        <f t="shared" si="87"/>
        <v>0</v>
      </c>
      <c r="AL67" s="357">
        <f t="shared" si="87"/>
        <v>0</v>
      </c>
      <c r="AM67" s="357">
        <f t="shared" si="87"/>
        <v>0</v>
      </c>
      <c r="AN67" s="357">
        <f t="shared" si="87"/>
        <v>0</v>
      </c>
      <c r="AO67" s="357">
        <f t="shared" si="87"/>
        <v>0</v>
      </c>
      <c r="AP67" s="357">
        <f t="shared" si="87"/>
        <v>0</v>
      </c>
      <c r="AQ67" s="357">
        <f t="shared" si="87"/>
        <v>0</v>
      </c>
      <c r="AR67" s="357">
        <f t="shared" si="87"/>
        <v>0</v>
      </c>
      <c r="AS67" s="357">
        <f t="shared" si="87"/>
        <v>0</v>
      </c>
      <c r="AT67" s="357">
        <f t="shared" si="87"/>
        <v>0</v>
      </c>
      <c r="AU67" s="357">
        <f t="shared" si="87"/>
        <v>0</v>
      </c>
      <c r="AV67" s="357">
        <f t="shared" si="87"/>
        <v>0</v>
      </c>
      <c r="AW67" s="357">
        <f t="shared" si="87"/>
        <v>0</v>
      </c>
      <c r="AX67" s="357">
        <f t="shared" si="87"/>
        <v>0</v>
      </c>
      <c r="AY67" s="357">
        <f t="shared" si="87"/>
        <v>0</v>
      </c>
      <c r="AZ67" s="357">
        <f t="shared" si="87"/>
        <v>0</v>
      </c>
      <c r="BA67" s="357">
        <f t="shared" si="87"/>
        <v>0</v>
      </c>
      <c r="BB67" s="358">
        <f t="shared" si="87"/>
        <v>0.12001638460773538</v>
      </c>
      <c r="BC67" s="262"/>
      <c r="BD67" s="455" t="str">
        <f t="shared" si="61"/>
        <v/>
      </c>
      <c r="BE67" s="456" t="str">
        <f t="shared" si="55"/>
        <v/>
      </c>
      <c r="BF67" s="456" t="str">
        <f t="shared" si="55"/>
        <v/>
      </c>
      <c r="BG67" s="457" t="str">
        <f t="shared" si="55"/>
        <v/>
      </c>
      <c r="BH67" s="458" t="str">
        <f t="shared" si="62"/>
        <v/>
      </c>
      <c r="BI67" s="456" t="str">
        <f t="shared" si="56"/>
        <v/>
      </c>
      <c r="BJ67" s="456" t="str">
        <f t="shared" si="56"/>
        <v/>
      </c>
      <c r="BK67" s="456" t="str">
        <f t="shared" si="56"/>
        <v/>
      </c>
      <c r="BL67" s="2015" t="str">
        <f t="shared" si="57"/>
        <v/>
      </c>
      <c r="BM67" s="354">
        <v>15</v>
      </c>
      <c r="BN67" s="355"/>
    </row>
    <row r="68" spans="1:66" ht="15.75" customHeight="1" thickBot="1">
      <c r="A68" s="262"/>
      <c r="B68" s="368" t="str">
        <f t="shared" si="58"/>
        <v/>
      </c>
      <c r="C68" s="470" t="str">
        <f t="shared" si="58"/>
        <v/>
      </c>
      <c r="D68" s="470" t="str">
        <f t="shared" si="58"/>
        <v/>
      </c>
      <c r="E68" s="470" t="str">
        <f t="shared" si="59"/>
        <v/>
      </c>
      <c r="F68" s="470" t="str">
        <f t="shared" si="58"/>
        <v/>
      </c>
      <c r="G68" s="356" t="str">
        <f t="shared" ref="G68:BB68" si="89">IFERROR($C24*G24,"")</f>
        <v/>
      </c>
      <c r="H68" s="387"/>
      <c r="I68" s="445" t="str">
        <f t="shared" ref="I68" si="90">IFERROR($C24*I24,"")</f>
        <v/>
      </c>
      <c r="J68" s="357" t="str">
        <f t="shared" si="89"/>
        <v/>
      </c>
      <c r="K68" s="357" t="str">
        <f t="shared" si="89"/>
        <v/>
      </c>
      <c r="L68" s="357" t="str">
        <f t="shared" si="89"/>
        <v/>
      </c>
      <c r="M68" s="357" t="str">
        <f t="shared" si="89"/>
        <v/>
      </c>
      <c r="N68" s="357" t="str">
        <f t="shared" si="89"/>
        <v/>
      </c>
      <c r="O68" s="357" t="str">
        <f t="shared" si="89"/>
        <v/>
      </c>
      <c r="P68" s="357" t="str">
        <f t="shared" si="89"/>
        <v/>
      </c>
      <c r="Q68" s="357" t="str">
        <f t="shared" si="89"/>
        <v/>
      </c>
      <c r="R68" s="357" t="str">
        <f t="shared" si="89"/>
        <v/>
      </c>
      <c r="S68" s="357" t="str">
        <f t="shared" si="89"/>
        <v/>
      </c>
      <c r="T68" s="357" t="str">
        <f t="shared" si="89"/>
        <v/>
      </c>
      <c r="U68" s="357" t="str">
        <f t="shared" si="89"/>
        <v/>
      </c>
      <c r="V68" s="357" t="str">
        <f t="shared" si="89"/>
        <v/>
      </c>
      <c r="W68" s="357" t="str">
        <f t="shared" si="89"/>
        <v/>
      </c>
      <c r="X68" s="357" t="str">
        <f t="shared" si="89"/>
        <v/>
      </c>
      <c r="Y68" s="357" t="str">
        <f t="shared" si="89"/>
        <v/>
      </c>
      <c r="Z68" s="357" t="str">
        <f t="shared" si="89"/>
        <v/>
      </c>
      <c r="AA68" s="357" t="str">
        <f t="shared" si="89"/>
        <v/>
      </c>
      <c r="AB68" s="357" t="str">
        <f t="shared" si="89"/>
        <v/>
      </c>
      <c r="AC68" s="357" t="str">
        <f t="shared" si="89"/>
        <v/>
      </c>
      <c r="AD68" s="357" t="str">
        <f t="shared" si="89"/>
        <v/>
      </c>
      <c r="AE68" s="357" t="str">
        <f t="shared" si="89"/>
        <v/>
      </c>
      <c r="AF68" s="357" t="str">
        <f t="shared" si="89"/>
        <v/>
      </c>
      <c r="AG68" s="357" t="str">
        <f t="shared" si="89"/>
        <v/>
      </c>
      <c r="AH68" s="357" t="str">
        <f t="shared" si="89"/>
        <v/>
      </c>
      <c r="AI68" s="357" t="str">
        <f t="shared" si="89"/>
        <v/>
      </c>
      <c r="AJ68" s="357" t="str">
        <f t="shared" si="89"/>
        <v/>
      </c>
      <c r="AK68" s="357" t="str">
        <f t="shared" si="89"/>
        <v/>
      </c>
      <c r="AL68" s="357" t="str">
        <f t="shared" si="89"/>
        <v/>
      </c>
      <c r="AM68" s="357" t="str">
        <f t="shared" si="89"/>
        <v/>
      </c>
      <c r="AN68" s="357" t="str">
        <f t="shared" si="89"/>
        <v/>
      </c>
      <c r="AO68" s="357" t="str">
        <f t="shared" si="89"/>
        <v/>
      </c>
      <c r="AP68" s="357" t="str">
        <f t="shared" si="89"/>
        <v/>
      </c>
      <c r="AQ68" s="357" t="str">
        <f t="shared" si="89"/>
        <v/>
      </c>
      <c r="AR68" s="357" t="str">
        <f t="shared" si="89"/>
        <v/>
      </c>
      <c r="AS68" s="357" t="str">
        <f t="shared" si="89"/>
        <v/>
      </c>
      <c r="AT68" s="357" t="str">
        <f t="shared" si="89"/>
        <v/>
      </c>
      <c r="AU68" s="357" t="str">
        <f t="shared" si="89"/>
        <v/>
      </c>
      <c r="AV68" s="357" t="str">
        <f t="shared" si="89"/>
        <v/>
      </c>
      <c r="AW68" s="357" t="str">
        <f t="shared" si="89"/>
        <v/>
      </c>
      <c r="AX68" s="357" t="str">
        <f t="shared" si="89"/>
        <v/>
      </c>
      <c r="AY68" s="357" t="str">
        <f t="shared" si="89"/>
        <v/>
      </c>
      <c r="AZ68" s="357" t="str">
        <f t="shared" si="89"/>
        <v/>
      </c>
      <c r="BA68" s="357" t="str">
        <f t="shared" si="89"/>
        <v/>
      </c>
      <c r="BB68" s="358" t="str">
        <f t="shared" si="89"/>
        <v/>
      </c>
      <c r="BC68" s="262"/>
      <c r="BD68" s="455" t="str">
        <f t="shared" si="61"/>
        <v/>
      </c>
      <c r="BE68" s="456" t="str">
        <f t="shared" si="55"/>
        <v/>
      </c>
      <c r="BF68" s="456" t="str">
        <f t="shared" si="55"/>
        <v/>
      </c>
      <c r="BG68" s="457" t="str">
        <f t="shared" si="55"/>
        <v/>
      </c>
      <c r="BH68" s="458" t="str">
        <f t="shared" si="62"/>
        <v/>
      </c>
      <c r="BI68" s="456" t="str">
        <f t="shared" si="56"/>
        <v/>
      </c>
      <c r="BJ68" s="456" t="str">
        <f t="shared" si="56"/>
        <v/>
      </c>
      <c r="BK68" s="456" t="str">
        <f t="shared" si="56"/>
        <v/>
      </c>
      <c r="BL68" s="2015" t="str">
        <f t="shared" si="57"/>
        <v/>
      </c>
      <c r="BM68" s="354">
        <v>16</v>
      </c>
      <c r="BN68" s="355"/>
    </row>
    <row r="69" spans="1:66" ht="15.75" customHeight="1" thickBot="1">
      <c r="A69" s="262"/>
      <c r="B69" s="368" t="str">
        <f t="shared" si="58"/>
        <v/>
      </c>
      <c r="C69" s="470" t="str">
        <f t="shared" si="58"/>
        <v/>
      </c>
      <c r="D69" s="470" t="str">
        <f t="shared" si="58"/>
        <v/>
      </c>
      <c r="E69" s="470" t="str">
        <f t="shared" si="59"/>
        <v/>
      </c>
      <c r="F69" s="470" t="str">
        <f t="shared" si="58"/>
        <v/>
      </c>
      <c r="G69" s="356" t="str">
        <f t="shared" ref="G69:BB69" si="91">IFERROR($C25*G25,"")</f>
        <v/>
      </c>
      <c r="H69" s="387"/>
      <c r="I69" s="445" t="str">
        <f t="shared" ref="I69" si="92">IFERROR($C25*I25,"")</f>
        <v/>
      </c>
      <c r="J69" s="357" t="str">
        <f t="shared" si="91"/>
        <v/>
      </c>
      <c r="K69" s="357" t="str">
        <f t="shared" si="91"/>
        <v/>
      </c>
      <c r="L69" s="357" t="str">
        <f t="shared" si="91"/>
        <v/>
      </c>
      <c r="M69" s="357" t="str">
        <f t="shared" si="91"/>
        <v/>
      </c>
      <c r="N69" s="357" t="str">
        <f t="shared" si="91"/>
        <v/>
      </c>
      <c r="O69" s="357" t="str">
        <f t="shared" si="91"/>
        <v/>
      </c>
      <c r="P69" s="357" t="str">
        <f t="shared" si="91"/>
        <v/>
      </c>
      <c r="Q69" s="357" t="str">
        <f t="shared" si="91"/>
        <v/>
      </c>
      <c r="R69" s="357" t="str">
        <f t="shared" si="91"/>
        <v/>
      </c>
      <c r="S69" s="357" t="str">
        <f t="shared" si="91"/>
        <v/>
      </c>
      <c r="T69" s="357" t="str">
        <f t="shared" si="91"/>
        <v/>
      </c>
      <c r="U69" s="357" t="str">
        <f t="shared" si="91"/>
        <v/>
      </c>
      <c r="V69" s="357" t="str">
        <f t="shared" si="91"/>
        <v/>
      </c>
      <c r="W69" s="357" t="str">
        <f t="shared" si="91"/>
        <v/>
      </c>
      <c r="X69" s="357" t="str">
        <f t="shared" si="91"/>
        <v/>
      </c>
      <c r="Y69" s="357" t="str">
        <f t="shared" si="91"/>
        <v/>
      </c>
      <c r="Z69" s="357" t="str">
        <f t="shared" si="91"/>
        <v/>
      </c>
      <c r="AA69" s="357" t="str">
        <f t="shared" si="91"/>
        <v/>
      </c>
      <c r="AB69" s="357" t="str">
        <f t="shared" si="91"/>
        <v/>
      </c>
      <c r="AC69" s="357" t="str">
        <f t="shared" si="91"/>
        <v/>
      </c>
      <c r="AD69" s="357" t="str">
        <f t="shared" si="91"/>
        <v/>
      </c>
      <c r="AE69" s="357" t="str">
        <f t="shared" si="91"/>
        <v/>
      </c>
      <c r="AF69" s="357" t="str">
        <f t="shared" si="91"/>
        <v/>
      </c>
      <c r="AG69" s="357" t="str">
        <f t="shared" si="91"/>
        <v/>
      </c>
      <c r="AH69" s="357" t="str">
        <f t="shared" si="91"/>
        <v/>
      </c>
      <c r="AI69" s="357" t="str">
        <f t="shared" si="91"/>
        <v/>
      </c>
      <c r="AJ69" s="357" t="str">
        <f t="shared" si="91"/>
        <v/>
      </c>
      <c r="AK69" s="357" t="str">
        <f t="shared" si="91"/>
        <v/>
      </c>
      <c r="AL69" s="357" t="str">
        <f t="shared" si="91"/>
        <v/>
      </c>
      <c r="AM69" s="357" t="str">
        <f t="shared" si="91"/>
        <v/>
      </c>
      <c r="AN69" s="357" t="str">
        <f t="shared" si="91"/>
        <v/>
      </c>
      <c r="AO69" s="357" t="str">
        <f t="shared" si="91"/>
        <v/>
      </c>
      <c r="AP69" s="357" t="str">
        <f t="shared" si="91"/>
        <v/>
      </c>
      <c r="AQ69" s="357" t="str">
        <f t="shared" si="91"/>
        <v/>
      </c>
      <c r="AR69" s="357" t="str">
        <f t="shared" si="91"/>
        <v/>
      </c>
      <c r="AS69" s="357" t="str">
        <f t="shared" si="91"/>
        <v/>
      </c>
      <c r="AT69" s="357" t="str">
        <f t="shared" si="91"/>
        <v/>
      </c>
      <c r="AU69" s="357" t="str">
        <f t="shared" si="91"/>
        <v/>
      </c>
      <c r="AV69" s="357" t="str">
        <f t="shared" si="91"/>
        <v/>
      </c>
      <c r="AW69" s="357" t="str">
        <f t="shared" si="91"/>
        <v/>
      </c>
      <c r="AX69" s="357" t="str">
        <f t="shared" si="91"/>
        <v/>
      </c>
      <c r="AY69" s="357" t="str">
        <f t="shared" si="91"/>
        <v/>
      </c>
      <c r="AZ69" s="357" t="str">
        <f t="shared" si="91"/>
        <v/>
      </c>
      <c r="BA69" s="357" t="str">
        <f t="shared" si="91"/>
        <v/>
      </c>
      <c r="BB69" s="358" t="str">
        <f t="shared" si="91"/>
        <v/>
      </c>
      <c r="BC69" s="262"/>
      <c r="BD69" s="455" t="str">
        <f t="shared" si="61"/>
        <v/>
      </c>
      <c r="BE69" s="456" t="str">
        <f t="shared" ref="BE69:BG76" si="93">IFERROR(INDEX(BE$9:BE$33,MATCH($BM69,$BN$9:$BN$33,0)),"")</f>
        <v/>
      </c>
      <c r="BF69" s="456" t="str">
        <f t="shared" si="93"/>
        <v/>
      </c>
      <c r="BG69" s="457" t="str">
        <f t="shared" si="93"/>
        <v/>
      </c>
      <c r="BH69" s="458" t="str">
        <f t="shared" si="62"/>
        <v/>
      </c>
      <c r="BI69" s="456" t="str">
        <f t="shared" ref="BI69:BK76" si="94">IFERROR(INDEX(BI$9:BI$33,MATCH($BM69,$BN$9:$BN$33,0)),"")</f>
        <v/>
      </c>
      <c r="BJ69" s="456" t="str">
        <f t="shared" si="94"/>
        <v/>
      </c>
      <c r="BK69" s="456" t="str">
        <f t="shared" si="94"/>
        <v/>
      </c>
      <c r="BL69" s="2015" t="str">
        <f t="shared" si="57"/>
        <v/>
      </c>
      <c r="BM69" s="354">
        <v>17</v>
      </c>
      <c r="BN69" s="355"/>
    </row>
    <row r="70" spans="1:66" ht="15.75" customHeight="1" thickBot="1">
      <c r="A70" s="262"/>
      <c r="B70" s="368" t="str">
        <f t="shared" si="58"/>
        <v/>
      </c>
      <c r="C70" s="470" t="str">
        <f t="shared" si="58"/>
        <v/>
      </c>
      <c r="D70" s="470" t="str">
        <f t="shared" si="58"/>
        <v/>
      </c>
      <c r="E70" s="470" t="str">
        <f t="shared" si="59"/>
        <v/>
      </c>
      <c r="F70" s="470" t="str">
        <f t="shared" si="58"/>
        <v/>
      </c>
      <c r="G70" s="356" t="str">
        <f t="shared" ref="G70:BB70" si="95">IFERROR($C26*G26,"")</f>
        <v/>
      </c>
      <c r="H70" s="387"/>
      <c r="I70" s="445" t="str">
        <f t="shared" ref="I70" si="96">IFERROR($C26*I26,"")</f>
        <v/>
      </c>
      <c r="J70" s="357" t="str">
        <f t="shared" si="95"/>
        <v/>
      </c>
      <c r="K70" s="357" t="str">
        <f t="shared" si="95"/>
        <v/>
      </c>
      <c r="L70" s="357" t="str">
        <f t="shared" si="95"/>
        <v/>
      </c>
      <c r="M70" s="357" t="str">
        <f t="shared" si="95"/>
        <v/>
      </c>
      <c r="N70" s="357" t="str">
        <f t="shared" si="95"/>
        <v/>
      </c>
      <c r="O70" s="357" t="str">
        <f t="shared" si="95"/>
        <v/>
      </c>
      <c r="P70" s="357" t="str">
        <f t="shared" si="95"/>
        <v/>
      </c>
      <c r="Q70" s="357" t="str">
        <f t="shared" si="95"/>
        <v/>
      </c>
      <c r="R70" s="357" t="str">
        <f t="shared" si="95"/>
        <v/>
      </c>
      <c r="S70" s="357" t="str">
        <f t="shared" si="95"/>
        <v/>
      </c>
      <c r="T70" s="357" t="str">
        <f t="shared" si="95"/>
        <v/>
      </c>
      <c r="U70" s="357" t="str">
        <f t="shared" si="95"/>
        <v/>
      </c>
      <c r="V70" s="357" t="str">
        <f t="shared" si="95"/>
        <v/>
      </c>
      <c r="W70" s="357" t="str">
        <f t="shared" si="95"/>
        <v/>
      </c>
      <c r="X70" s="357" t="str">
        <f t="shared" si="95"/>
        <v/>
      </c>
      <c r="Y70" s="357" t="str">
        <f t="shared" si="95"/>
        <v/>
      </c>
      <c r="Z70" s="357" t="str">
        <f t="shared" si="95"/>
        <v/>
      </c>
      <c r="AA70" s="357" t="str">
        <f t="shared" si="95"/>
        <v/>
      </c>
      <c r="AB70" s="357" t="str">
        <f t="shared" si="95"/>
        <v/>
      </c>
      <c r="AC70" s="357" t="str">
        <f t="shared" si="95"/>
        <v/>
      </c>
      <c r="AD70" s="357" t="str">
        <f t="shared" si="95"/>
        <v/>
      </c>
      <c r="AE70" s="357" t="str">
        <f t="shared" si="95"/>
        <v/>
      </c>
      <c r="AF70" s="357" t="str">
        <f t="shared" si="95"/>
        <v/>
      </c>
      <c r="AG70" s="357" t="str">
        <f t="shared" si="95"/>
        <v/>
      </c>
      <c r="AH70" s="357" t="str">
        <f t="shared" si="95"/>
        <v/>
      </c>
      <c r="AI70" s="357" t="str">
        <f t="shared" si="95"/>
        <v/>
      </c>
      <c r="AJ70" s="357" t="str">
        <f t="shared" si="95"/>
        <v/>
      </c>
      <c r="AK70" s="357" t="str">
        <f t="shared" si="95"/>
        <v/>
      </c>
      <c r="AL70" s="357" t="str">
        <f t="shared" si="95"/>
        <v/>
      </c>
      <c r="AM70" s="357" t="str">
        <f t="shared" si="95"/>
        <v/>
      </c>
      <c r="AN70" s="357" t="str">
        <f t="shared" si="95"/>
        <v/>
      </c>
      <c r="AO70" s="357" t="str">
        <f t="shared" si="95"/>
        <v/>
      </c>
      <c r="AP70" s="357" t="str">
        <f t="shared" si="95"/>
        <v/>
      </c>
      <c r="AQ70" s="357" t="str">
        <f t="shared" si="95"/>
        <v/>
      </c>
      <c r="AR70" s="357" t="str">
        <f t="shared" si="95"/>
        <v/>
      </c>
      <c r="AS70" s="357" t="str">
        <f t="shared" si="95"/>
        <v/>
      </c>
      <c r="AT70" s="357" t="str">
        <f t="shared" si="95"/>
        <v/>
      </c>
      <c r="AU70" s="357" t="str">
        <f t="shared" si="95"/>
        <v/>
      </c>
      <c r="AV70" s="357" t="str">
        <f t="shared" si="95"/>
        <v/>
      </c>
      <c r="AW70" s="357" t="str">
        <f t="shared" si="95"/>
        <v/>
      </c>
      <c r="AX70" s="357" t="str">
        <f t="shared" si="95"/>
        <v/>
      </c>
      <c r="AY70" s="357" t="str">
        <f t="shared" si="95"/>
        <v/>
      </c>
      <c r="AZ70" s="357" t="str">
        <f t="shared" si="95"/>
        <v/>
      </c>
      <c r="BA70" s="357" t="str">
        <f t="shared" si="95"/>
        <v/>
      </c>
      <c r="BB70" s="358" t="str">
        <f t="shared" si="95"/>
        <v/>
      </c>
      <c r="BC70" s="262"/>
      <c r="BD70" s="455" t="str">
        <f t="shared" si="61"/>
        <v/>
      </c>
      <c r="BE70" s="456" t="str">
        <f t="shared" si="93"/>
        <v/>
      </c>
      <c r="BF70" s="456" t="str">
        <f t="shared" si="93"/>
        <v/>
      </c>
      <c r="BG70" s="457" t="str">
        <f t="shared" si="93"/>
        <v/>
      </c>
      <c r="BH70" s="458" t="str">
        <f t="shared" si="62"/>
        <v/>
      </c>
      <c r="BI70" s="456" t="str">
        <f t="shared" si="94"/>
        <v/>
      </c>
      <c r="BJ70" s="456" t="str">
        <f t="shared" si="94"/>
        <v/>
      </c>
      <c r="BK70" s="456" t="str">
        <f t="shared" si="94"/>
        <v/>
      </c>
      <c r="BL70" s="2015" t="str">
        <f t="shared" si="57"/>
        <v/>
      </c>
      <c r="BM70" s="354">
        <v>18</v>
      </c>
      <c r="BN70" s="355"/>
    </row>
    <row r="71" spans="1:66" ht="15.75" customHeight="1" thickBot="1">
      <c r="A71" s="262"/>
      <c r="B71" s="368" t="str">
        <f t="shared" si="58"/>
        <v/>
      </c>
      <c r="C71" s="470" t="str">
        <f t="shared" si="58"/>
        <v/>
      </c>
      <c r="D71" s="470" t="str">
        <f t="shared" si="58"/>
        <v/>
      </c>
      <c r="E71" s="470" t="str">
        <f t="shared" si="59"/>
        <v/>
      </c>
      <c r="F71" s="470" t="str">
        <f t="shared" si="58"/>
        <v/>
      </c>
      <c r="G71" s="356" t="str">
        <f t="shared" ref="G71:BB71" si="97">IFERROR($C27*G27,"")</f>
        <v/>
      </c>
      <c r="H71" s="387"/>
      <c r="I71" s="445" t="str">
        <f t="shared" ref="I71" si="98">IFERROR($C27*I27,"")</f>
        <v/>
      </c>
      <c r="J71" s="357" t="str">
        <f t="shared" si="97"/>
        <v/>
      </c>
      <c r="K71" s="357" t="str">
        <f t="shared" si="97"/>
        <v/>
      </c>
      <c r="L71" s="357" t="str">
        <f t="shared" si="97"/>
        <v/>
      </c>
      <c r="M71" s="357" t="str">
        <f t="shared" si="97"/>
        <v/>
      </c>
      <c r="N71" s="357" t="str">
        <f t="shared" si="97"/>
        <v/>
      </c>
      <c r="O71" s="357" t="str">
        <f t="shared" si="97"/>
        <v/>
      </c>
      <c r="P71" s="357" t="str">
        <f t="shared" si="97"/>
        <v/>
      </c>
      <c r="Q71" s="357" t="str">
        <f t="shared" si="97"/>
        <v/>
      </c>
      <c r="R71" s="357" t="str">
        <f t="shared" si="97"/>
        <v/>
      </c>
      <c r="S71" s="357" t="str">
        <f t="shared" si="97"/>
        <v/>
      </c>
      <c r="T71" s="357" t="str">
        <f t="shared" si="97"/>
        <v/>
      </c>
      <c r="U71" s="357" t="str">
        <f t="shared" si="97"/>
        <v/>
      </c>
      <c r="V71" s="357" t="str">
        <f t="shared" si="97"/>
        <v/>
      </c>
      <c r="W71" s="357" t="str">
        <f t="shared" si="97"/>
        <v/>
      </c>
      <c r="X71" s="357" t="str">
        <f t="shared" si="97"/>
        <v/>
      </c>
      <c r="Y71" s="357" t="str">
        <f t="shared" si="97"/>
        <v/>
      </c>
      <c r="Z71" s="357" t="str">
        <f t="shared" si="97"/>
        <v/>
      </c>
      <c r="AA71" s="357" t="str">
        <f t="shared" si="97"/>
        <v/>
      </c>
      <c r="AB71" s="357" t="str">
        <f t="shared" si="97"/>
        <v/>
      </c>
      <c r="AC71" s="357" t="str">
        <f t="shared" si="97"/>
        <v/>
      </c>
      <c r="AD71" s="357" t="str">
        <f t="shared" si="97"/>
        <v/>
      </c>
      <c r="AE71" s="357" t="str">
        <f t="shared" si="97"/>
        <v/>
      </c>
      <c r="AF71" s="357" t="str">
        <f t="shared" si="97"/>
        <v/>
      </c>
      <c r="AG71" s="357" t="str">
        <f t="shared" si="97"/>
        <v/>
      </c>
      <c r="AH71" s="357" t="str">
        <f t="shared" si="97"/>
        <v/>
      </c>
      <c r="AI71" s="357" t="str">
        <f t="shared" si="97"/>
        <v/>
      </c>
      <c r="AJ71" s="357" t="str">
        <f t="shared" si="97"/>
        <v/>
      </c>
      <c r="AK71" s="357" t="str">
        <f t="shared" si="97"/>
        <v/>
      </c>
      <c r="AL71" s="357" t="str">
        <f t="shared" si="97"/>
        <v/>
      </c>
      <c r="AM71" s="357" t="str">
        <f t="shared" si="97"/>
        <v/>
      </c>
      <c r="AN71" s="357" t="str">
        <f t="shared" si="97"/>
        <v/>
      </c>
      <c r="AO71" s="357" t="str">
        <f t="shared" si="97"/>
        <v/>
      </c>
      <c r="AP71" s="357" t="str">
        <f t="shared" si="97"/>
        <v/>
      </c>
      <c r="AQ71" s="357" t="str">
        <f t="shared" si="97"/>
        <v/>
      </c>
      <c r="AR71" s="357" t="str">
        <f t="shared" si="97"/>
        <v/>
      </c>
      <c r="AS71" s="357" t="str">
        <f t="shared" si="97"/>
        <v/>
      </c>
      <c r="AT71" s="357" t="str">
        <f t="shared" si="97"/>
        <v/>
      </c>
      <c r="AU71" s="357" t="str">
        <f t="shared" si="97"/>
        <v/>
      </c>
      <c r="AV71" s="357" t="str">
        <f t="shared" si="97"/>
        <v/>
      </c>
      <c r="AW71" s="357" t="str">
        <f t="shared" si="97"/>
        <v/>
      </c>
      <c r="AX71" s="357" t="str">
        <f t="shared" si="97"/>
        <v/>
      </c>
      <c r="AY71" s="357" t="str">
        <f t="shared" si="97"/>
        <v/>
      </c>
      <c r="AZ71" s="357" t="str">
        <f t="shared" si="97"/>
        <v/>
      </c>
      <c r="BA71" s="357" t="str">
        <f t="shared" si="97"/>
        <v/>
      </c>
      <c r="BB71" s="358" t="str">
        <f t="shared" si="97"/>
        <v/>
      </c>
      <c r="BC71" s="262"/>
      <c r="BD71" s="455" t="str">
        <f t="shared" si="61"/>
        <v/>
      </c>
      <c r="BE71" s="456" t="str">
        <f t="shared" si="93"/>
        <v/>
      </c>
      <c r="BF71" s="456" t="str">
        <f t="shared" si="93"/>
        <v/>
      </c>
      <c r="BG71" s="457" t="str">
        <f t="shared" si="93"/>
        <v/>
      </c>
      <c r="BH71" s="458" t="str">
        <f t="shared" si="62"/>
        <v/>
      </c>
      <c r="BI71" s="456" t="str">
        <f t="shared" si="94"/>
        <v/>
      </c>
      <c r="BJ71" s="456" t="str">
        <f t="shared" si="94"/>
        <v/>
      </c>
      <c r="BK71" s="456" t="str">
        <f t="shared" si="94"/>
        <v/>
      </c>
      <c r="BL71" s="2015" t="str">
        <f t="shared" si="57"/>
        <v/>
      </c>
      <c r="BM71" s="354">
        <v>19</v>
      </c>
      <c r="BN71" s="355"/>
    </row>
    <row r="72" spans="1:66" ht="15.75" customHeight="1" thickBot="1">
      <c r="A72" s="262"/>
      <c r="B72" s="368" t="str">
        <f t="shared" si="58"/>
        <v/>
      </c>
      <c r="C72" s="470" t="str">
        <f t="shared" si="58"/>
        <v/>
      </c>
      <c r="D72" s="470" t="str">
        <f t="shared" si="58"/>
        <v/>
      </c>
      <c r="E72" s="470" t="str">
        <f t="shared" si="59"/>
        <v/>
      </c>
      <c r="F72" s="470" t="str">
        <f t="shared" si="58"/>
        <v/>
      </c>
      <c r="G72" s="356" t="str">
        <f t="shared" ref="G72:BB72" si="99">IFERROR($C28*G28,"")</f>
        <v/>
      </c>
      <c r="H72" s="387"/>
      <c r="I72" s="445" t="str">
        <f t="shared" ref="I72" si="100">IFERROR($C28*I28,"")</f>
        <v/>
      </c>
      <c r="J72" s="357" t="str">
        <f t="shared" si="99"/>
        <v/>
      </c>
      <c r="K72" s="357" t="str">
        <f t="shared" si="99"/>
        <v/>
      </c>
      <c r="L72" s="357" t="str">
        <f t="shared" si="99"/>
        <v/>
      </c>
      <c r="M72" s="357" t="str">
        <f t="shared" si="99"/>
        <v/>
      </c>
      <c r="N72" s="357" t="str">
        <f t="shared" si="99"/>
        <v/>
      </c>
      <c r="O72" s="357" t="str">
        <f t="shared" si="99"/>
        <v/>
      </c>
      <c r="P72" s="357" t="str">
        <f t="shared" si="99"/>
        <v/>
      </c>
      <c r="Q72" s="357" t="str">
        <f t="shared" si="99"/>
        <v/>
      </c>
      <c r="R72" s="357" t="str">
        <f t="shared" si="99"/>
        <v/>
      </c>
      <c r="S72" s="357" t="str">
        <f t="shared" si="99"/>
        <v/>
      </c>
      <c r="T72" s="357" t="str">
        <f t="shared" si="99"/>
        <v/>
      </c>
      <c r="U72" s="357" t="str">
        <f t="shared" si="99"/>
        <v/>
      </c>
      <c r="V72" s="357" t="str">
        <f t="shared" si="99"/>
        <v/>
      </c>
      <c r="W72" s="357" t="str">
        <f t="shared" si="99"/>
        <v/>
      </c>
      <c r="X72" s="357" t="str">
        <f t="shared" si="99"/>
        <v/>
      </c>
      <c r="Y72" s="357" t="str">
        <f t="shared" si="99"/>
        <v/>
      </c>
      <c r="Z72" s="357" t="str">
        <f t="shared" si="99"/>
        <v/>
      </c>
      <c r="AA72" s="357" t="str">
        <f t="shared" si="99"/>
        <v/>
      </c>
      <c r="AB72" s="357" t="str">
        <f t="shared" si="99"/>
        <v/>
      </c>
      <c r="AC72" s="357" t="str">
        <f t="shared" si="99"/>
        <v/>
      </c>
      <c r="AD72" s="357" t="str">
        <f t="shared" si="99"/>
        <v/>
      </c>
      <c r="AE72" s="357" t="str">
        <f t="shared" si="99"/>
        <v/>
      </c>
      <c r="AF72" s="357" t="str">
        <f t="shared" si="99"/>
        <v/>
      </c>
      <c r="AG72" s="357" t="str">
        <f t="shared" si="99"/>
        <v/>
      </c>
      <c r="AH72" s="357" t="str">
        <f t="shared" si="99"/>
        <v/>
      </c>
      <c r="AI72" s="357" t="str">
        <f t="shared" si="99"/>
        <v/>
      </c>
      <c r="AJ72" s="357" t="str">
        <f t="shared" si="99"/>
        <v/>
      </c>
      <c r="AK72" s="357" t="str">
        <f t="shared" si="99"/>
        <v/>
      </c>
      <c r="AL72" s="357" t="str">
        <f t="shared" si="99"/>
        <v/>
      </c>
      <c r="AM72" s="357" t="str">
        <f t="shared" si="99"/>
        <v/>
      </c>
      <c r="AN72" s="357" t="str">
        <f t="shared" si="99"/>
        <v/>
      </c>
      <c r="AO72" s="357" t="str">
        <f t="shared" si="99"/>
        <v/>
      </c>
      <c r="AP72" s="357" t="str">
        <f t="shared" si="99"/>
        <v/>
      </c>
      <c r="AQ72" s="357" t="str">
        <f t="shared" si="99"/>
        <v/>
      </c>
      <c r="AR72" s="357" t="str">
        <f t="shared" si="99"/>
        <v/>
      </c>
      <c r="AS72" s="357" t="str">
        <f t="shared" si="99"/>
        <v/>
      </c>
      <c r="AT72" s="357" t="str">
        <f t="shared" si="99"/>
        <v/>
      </c>
      <c r="AU72" s="357" t="str">
        <f t="shared" si="99"/>
        <v/>
      </c>
      <c r="AV72" s="357" t="str">
        <f t="shared" si="99"/>
        <v/>
      </c>
      <c r="AW72" s="357" t="str">
        <f t="shared" si="99"/>
        <v/>
      </c>
      <c r="AX72" s="357" t="str">
        <f t="shared" si="99"/>
        <v/>
      </c>
      <c r="AY72" s="357" t="str">
        <f t="shared" si="99"/>
        <v/>
      </c>
      <c r="AZ72" s="357" t="str">
        <f t="shared" si="99"/>
        <v/>
      </c>
      <c r="BA72" s="357" t="str">
        <f t="shared" si="99"/>
        <v/>
      </c>
      <c r="BB72" s="358" t="str">
        <f t="shared" si="99"/>
        <v/>
      </c>
      <c r="BC72" s="262"/>
      <c r="BD72" s="455" t="str">
        <f t="shared" si="61"/>
        <v/>
      </c>
      <c r="BE72" s="456" t="str">
        <f t="shared" si="93"/>
        <v/>
      </c>
      <c r="BF72" s="456" t="str">
        <f t="shared" si="93"/>
        <v/>
      </c>
      <c r="BG72" s="457" t="str">
        <f t="shared" si="93"/>
        <v/>
      </c>
      <c r="BH72" s="458" t="str">
        <f t="shared" si="62"/>
        <v/>
      </c>
      <c r="BI72" s="456" t="str">
        <f t="shared" si="94"/>
        <v/>
      </c>
      <c r="BJ72" s="456" t="str">
        <f t="shared" si="94"/>
        <v/>
      </c>
      <c r="BK72" s="456" t="str">
        <f t="shared" si="94"/>
        <v/>
      </c>
      <c r="BL72" s="2015" t="str">
        <f t="shared" si="57"/>
        <v/>
      </c>
      <c r="BM72" s="354">
        <v>20</v>
      </c>
      <c r="BN72" s="355"/>
    </row>
    <row r="73" spans="1:66" ht="15.75" customHeight="1" thickBot="1">
      <c r="A73" s="262"/>
      <c r="B73" s="368" t="str">
        <f t="shared" si="58"/>
        <v/>
      </c>
      <c r="C73" s="470" t="str">
        <f t="shared" si="58"/>
        <v/>
      </c>
      <c r="D73" s="470" t="str">
        <f t="shared" si="58"/>
        <v/>
      </c>
      <c r="E73" s="470" t="str">
        <f t="shared" si="59"/>
        <v/>
      </c>
      <c r="F73" s="470" t="str">
        <f t="shared" si="58"/>
        <v/>
      </c>
      <c r="G73" s="356" t="str">
        <f t="shared" ref="G73:BB73" si="101">IFERROR($C29*G29,"")</f>
        <v/>
      </c>
      <c r="H73" s="387"/>
      <c r="I73" s="445" t="str">
        <f t="shared" ref="I73" si="102">IFERROR($C29*I29,"")</f>
        <v/>
      </c>
      <c r="J73" s="357" t="str">
        <f t="shared" si="101"/>
        <v/>
      </c>
      <c r="K73" s="357" t="str">
        <f t="shared" si="101"/>
        <v/>
      </c>
      <c r="L73" s="357" t="str">
        <f t="shared" si="101"/>
        <v/>
      </c>
      <c r="M73" s="357" t="str">
        <f t="shared" si="101"/>
        <v/>
      </c>
      <c r="N73" s="357" t="str">
        <f t="shared" si="101"/>
        <v/>
      </c>
      <c r="O73" s="357" t="str">
        <f t="shared" si="101"/>
        <v/>
      </c>
      <c r="P73" s="357" t="str">
        <f t="shared" si="101"/>
        <v/>
      </c>
      <c r="Q73" s="357" t="str">
        <f t="shared" si="101"/>
        <v/>
      </c>
      <c r="R73" s="357" t="str">
        <f t="shared" si="101"/>
        <v/>
      </c>
      <c r="S73" s="357" t="str">
        <f t="shared" si="101"/>
        <v/>
      </c>
      <c r="T73" s="357" t="str">
        <f t="shared" si="101"/>
        <v/>
      </c>
      <c r="U73" s="357" t="str">
        <f t="shared" si="101"/>
        <v/>
      </c>
      <c r="V73" s="357" t="str">
        <f t="shared" si="101"/>
        <v/>
      </c>
      <c r="W73" s="357" t="str">
        <f t="shared" si="101"/>
        <v/>
      </c>
      <c r="X73" s="357" t="str">
        <f t="shared" si="101"/>
        <v/>
      </c>
      <c r="Y73" s="357" t="str">
        <f t="shared" si="101"/>
        <v/>
      </c>
      <c r="Z73" s="357" t="str">
        <f t="shared" si="101"/>
        <v/>
      </c>
      <c r="AA73" s="357" t="str">
        <f t="shared" si="101"/>
        <v/>
      </c>
      <c r="AB73" s="357" t="str">
        <f t="shared" si="101"/>
        <v/>
      </c>
      <c r="AC73" s="357" t="str">
        <f t="shared" si="101"/>
        <v/>
      </c>
      <c r="AD73" s="357" t="str">
        <f t="shared" si="101"/>
        <v/>
      </c>
      <c r="AE73" s="357" t="str">
        <f t="shared" si="101"/>
        <v/>
      </c>
      <c r="AF73" s="357" t="str">
        <f t="shared" si="101"/>
        <v/>
      </c>
      <c r="AG73" s="357" t="str">
        <f t="shared" si="101"/>
        <v/>
      </c>
      <c r="AH73" s="357" t="str">
        <f t="shared" si="101"/>
        <v/>
      </c>
      <c r="AI73" s="357" t="str">
        <f t="shared" si="101"/>
        <v/>
      </c>
      <c r="AJ73" s="357" t="str">
        <f t="shared" si="101"/>
        <v/>
      </c>
      <c r="AK73" s="357" t="str">
        <f t="shared" si="101"/>
        <v/>
      </c>
      <c r="AL73" s="357" t="str">
        <f t="shared" si="101"/>
        <v/>
      </c>
      <c r="AM73" s="357" t="str">
        <f t="shared" si="101"/>
        <v/>
      </c>
      <c r="AN73" s="357" t="str">
        <f t="shared" si="101"/>
        <v/>
      </c>
      <c r="AO73" s="357" t="str">
        <f t="shared" si="101"/>
        <v/>
      </c>
      <c r="AP73" s="357" t="str">
        <f t="shared" si="101"/>
        <v/>
      </c>
      <c r="AQ73" s="357" t="str">
        <f t="shared" si="101"/>
        <v/>
      </c>
      <c r="AR73" s="357" t="str">
        <f t="shared" si="101"/>
        <v/>
      </c>
      <c r="AS73" s="357" t="str">
        <f t="shared" si="101"/>
        <v/>
      </c>
      <c r="AT73" s="357" t="str">
        <f t="shared" si="101"/>
        <v/>
      </c>
      <c r="AU73" s="357" t="str">
        <f t="shared" si="101"/>
        <v/>
      </c>
      <c r="AV73" s="357" t="str">
        <f t="shared" si="101"/>
        <v/>
      </c>
      <c r="AW73" s="357" t="str">
        <f t="shared" si="101"/>
        <v/>
      </c>
      <c r="AX73" s="357" t="str">
        <f t="shared" si="101"/>
        <v/>
      </c>
      <c r="AY73" s="357" t="str">
        <f t="shared" si="101"/>
        <v/>
      </c>
      <c r="AZ73" s="357" t="str">
        <f t="shared" si="101"/>
        <v/>
      </c>
      <c r="BA73" s="357" t="str">
        <f t="shared" si="101"/>
        <v/>
      </c>
      <c r="BB73" s="358" t="str">
        <f t="shared" si="101"/>
        <v/>
      </c>
      <c r="BC73" s="262"/>
      <c r="BD73" s="455" t="str">
        <f t="shared" si="61"/>
        <v/>
      </c>
      <c r="BE73" s="456" t="str">
        <f t="shared" si="93"/>
        <v/>
      </c>
      <c r="BF73" s="456" t="str">
        <f t="shared" si="93"/>
        <v/>
      </c>
      <c r="BG73" s="457" t="str">
        <f t="shared" si="93"/>
        <v/>
      </c>
      <c r="BH73" s="458" t="str">
        <f t="shared" si="62"/>
        <v/>
      </c>
      <c r="BI73" s="456" t="str">
        <f t="shared" si="94"/>
        <v/>
      </c>
      <c r="BJ73" s="456" t="str">
        <f t="shared" si="94"/>
        <v/>
      </c>
      <c r="BK73" s="456" t="str">
        <f t="shared" si="94"/>
        <v/>
      </c>
      <c r="BL73" s="2015" t="str">
        <f t="shared" si="57"/>
        <v/>
      </c>
      <c r="BM73" s="354">
        <v>21</v>
      </c>
      <c r="BN73" s="355"/>
    </row>
    <row r="74" spans="1:66" ht="15.75" customHeight="1" thickBot="1">
      <c r="A74" s="262"/>
      <c r="B74" s="368" t="str">
        <f t="shared" si="58"/>
        <v/>
      </c>
      <c r="C74" s="470" t="str">
        <f t="shared" si="58"/>
        <v/>
      </c>
      <c r="D74" s="470" t="str">
        <f t="shared" si="58"/>
        <v/>
      </c>
      <c r="E74" s="470" t="str">
        <f t="shared" si="59"/>
        <v/>
      </c>
      <c r="F74" s="470" t="str">
        <f t="shared" si="58"/>
        <v/>
      </c>
      <c r="G74" s="356" t="str">
        <f t="shared" ref="G74:BB74" si="103">IFERROR($C30*G30,"")</f>
        <v/>
      </c>
      <c r="H74" s="387"/>
      <c r="I74" s="445" t="str">
        <f t="shared" ref="I74" si="104">IFERROR($C30*I30,"")</f>
        <v/>
      </c>
      <c r="J74" s="357" t="str">
        <f t="shared" si="103"/>
        <v/>
      </c>
      <c r="K74" s="357" t="str">
        <f t="shared" si="103"/>
        <v/>
      </c>
      <c r="L74" s="357" t="str">
        <f t="shared" si="103"/>
        <v/>
      </c>
      <c r="M74" s="357" t="str">
        <f t="shared" si="103"/>
        <v/>
      </c>
      <c r="N74" s="357" t="str">
        <f t="shared" si="103"/>
        <v/>
      </c>
      <c r="O74" s="357" t="str">
        <f t="shared" si="103"/>
        <v/>
      </c>
      <c r="P74" s="357" t="str">
        <f t="shared" si="103"/>
        <v/>
      </c>
      <c r="Q74" s="357" t="str">
        <f t="shared" si="103"/>
        <v/>
      </c>
      <c r="R74" s="357" t="str">
        <f t="shared" si="103"/>
        <v/>
      </c>
      <c r="S74" s="357" t="str">
        <f t="shared" si="103"/>
        <v/>
      </c>
      <c r="T74" s="357" t="str">
        <f t="shared" si="103"/>
        <v/>
      </c>
      <c r="U74" s="357" t="str">
        <f t="shared" si="103"/>
        <v/>
      </c>
      <c r="V74" s="357" t="str">
        <f t="shared" si="103"/>
        <v/>
      </c>
      <c r="W74" s="357" t="str">
        <f t="shared" si="103"/>
        <v/>
      </c>
      <c r="X74" s="357" t="str">
        <f t="shared" si="103"/>
        <v/>
      </c>
      <c r="Y74" s="357" t="str">
        <f t="shared" si="103"/>
        <v/>
      </c>
      <c r="Z74" s="357" t="str">
        <f t="shared" si="103"/>
        <v/>
      </c>
      <c r="AA74" s="357" t="str">
        <f t="shared" si="103"/>
        <v/>
      </c>
      <c r="AB74" s="357" t="str">
        <f t="shared" si="103"/>
        <v/>
      </c>
      <c r="AC74" s="357" t="str">
        <f t="shared" si="103"/>
        <v/>
      </c>
      <c r="AD74" s="357" t="str">
        <f t="shared" si="103"/>
        <v/>
      </c>
      <c r="AE74" s="357" t="str">
        <f t="shared" si="103"/>
        <v/>
      </c>
      <c r="AF74" s="357" t="str">
        <f t="shared" si="103"/>
        <v/>
      </c>
      <c r="AG74" s="357" t="str">
        <f t="shared" si="103"/>
        <v/>
      </c>
      <c r="AH74" s="357" t="str">
        <f t="shared" si="103"/>
        <v/>
      </c>
      <c r="AI74" s="357" t="str">
        <f t="shared" si="103"/>
        <v/>
      </c>
      <c r="AJ74" s="357" t="str">
        <f t="shared" si="103"/>
        <v/>
      </c>
      <c r="AK74" s="357" t="str">
        <f t="shared" si="103"/>
        <v/>
      </c>
      <c r="AL74" s="357" t="str">
        <f t="shared" si="103"/>
        <v/>
      </c>
      <c r="AM74" s="357" t="str">
        <f t="shared" si="103"/>
        <v/>
      </c>
      <c r="AN74" s="357" t="str">
        <f t="shared" si="103"/>
        <v/>
      </c>
      <c r="AO74" s="357" t="str">
        <f t="shared" si="103"/>
        <v/>
      </c>
      <c r="AP74" s="357" t="str">
        <f t="shared" si="103"/>
        <v/>
      </c>
      <c r="AQ74" s="357" t="str">
        <f t="shared" si="103"/>
        <v/>
      </c>
      <c r="AR74" s="357" t="str">
        <f t="shared" si="103"/>
        <v/>
      </c>
      <c r="AS74" s="357" t="str">
        <f t="shared" si="103"/>
        <v/>
      </c>
      <c r="AT74" s="357" t="str">
        <f t="shared" si="103"/>
        <v/>
      </c>
      <c r="AU74" s="357" t="str">
        <f t="shared" si="103"/>
        <v/>
      </c>
      <c r="AV74" s="357" t="str">
        <f t="shared" si="103"/>
        <v/>
      </c>
      <c r="AW74" s="357" t="str">
        <f t="shared" si="103"/>
        <v/>
      </c>
      <c r="AX74" s="357" t="str">
        <f t="shared" si="103"/>
        <v/>
      </c>
      <c r="AY74" s="357" t="str">
        <f t="shared" si="103"/>
        <v/>
      </c>
      <c r="AZ74" s="357" t="str">
        <f t="shared" si="103"/>
        <v/>
      </c>
      <c r="BA74" s="357" t="str">
        <f t="shared" si="103"/>
        <v/>
      </c>
      <c r="BB74" s="358" t="str">
        <f t="shared" si="103"/>
        <v/>
      </c>
      <c r="BC74" s="262"/>
      <c r="BD74" s="455" t="str">
        <f t="shared" si="61"/>
        <v/>
      </c>
      <c r="BE74" s="456" t="str">
        <f t="shared" si="93"/>
        <v/>
      </c>
      <c r="BF74" s="456" t="str">
        <f t="shared" si="93"/>
        <v/>
      </c>
      <c r="BG74" s="457" t="str">
        <f t="shared" si="93"/>
        <v/>
      </c>
      <c r="BH74" s="458" t="str">
        <f t="shared" si="62"/>
        <v/>
      </c>
      <c r="BI74" s="456" t="str">
        <f t="shared" si="94"/>
        <v/>
      </c>
      <c r="BJ74" s="456" t="str">
        <f t="shared" si="94"/>
        <v/>
      </c>
      <c r="BK74" s="456" t="str">
        <f t="shared" si="94"/>
        <v/>
      </c>
      <c r="BL74" s="2015" t="str">
        <f t="shared" si="57"/>
        <v/>
      </c>
      <c r="BM74" s="354">
        <v>22</v>
      </c>
      <c r="BN74" s="355"/>
    </row>
    <row r="75" spans="1:66" ht="15.75" customHeight="1" thickBot="1">
      <c r="A75" s="262"/>
      <c r="B75" s="368" t="str">
        <f t="shared" si="58"/>
        <v/>
      </c>
      <c r="C75" s="470" t="str">
        <f t="shared" si="58"/>
        <v/>
      </c>
      <c r="D75" s="470" t="str">
        <f t="shared" si="58"/>
        <v/>
      </c>
      <c r="E75" s="470" t="str">
        <f t="shared" si="59"/>
        <v/>
      </c>
      <c r="F75" s="470" t="str">
        <f t="shared" si="58"/>
        <v/>
      </c>
      <c r="G75" s="356" t="str">
        <f t="shared" ref="G75:BB75" si="105">IFERROR($C31*G31,"")</f>
        <v/>
      </c>
      <c r="H75" s="387"/>
      <c r="I75" s="445" t="str">
        <f t="shared" ref="I75" si="106">IFERROR($C31*I31,"")</f>
        <v/>
      </c>
      <c r="J75" s="357" t="str">
        <f t="shared" si="105"/>
        <v/>
      </c>
      <c r="K75" s="357" t="str">
        <f t="shared" si="105"/>
        <v/>
      </c>
      <c r="L75" s="357" t="str">
        <f t="shared" si="105"/>
        <v/>
      </c>
      <c r="M75" s="357" t="str">
        <f t="shared" si="105"/>
        <v/>
      </c>
      <c r="N75" s="357" t="str">
        <f t="shared" si="105"/>
        <v/>
      </c>
      <c r="O75" s="357" t="str">
        <f t="shared" si="105"/>
        <v/>
      </c>
      <c r="P75" s="357" t="str">
        <f t="shared" si="105"/>
        <v/>
      </c>
      <c r="Q75" s="357" t="str">
        <f t="shared" si="105"/>
        <v/>
      </c>
      <c r="R75" s="357" t="str">
        <f t="shared" si="105"/>
        <v/>
      </c>
      <c r="S75" s="357" t="str">
        <f t="shared" si="105"/>
        <v/>
      </c>
      <c r="T75" s="357" t="str">
        <f t="shared" si="105"/>
        <v/>
      </c>
      <c r="U75" s="357" t="str">
        <f t="shared" si="105"/>
        <v/>
      </c>
      <c r="V75" s="357" t="str">
        <f t="shared" si="105"/>
        <v/>
      </c>
      <c r="W75" s="357" t="str">
        <f t="shared" si="105"/>
        <v/>
      </c>
      <c r="X75" s="357" t="str">
        <f t="shared" si="105"/>
        <v/>
      </c>
      <c r="Y75" s="357" t="str">
        <f t="shared" si="105"/>
        <v/>
      </c>
      <c r="Z75" s="357" t="str">
        <f t="shared" si="105"/>
        <v/>
      </c>
      <c r="AA75" s="357" t="str">
        <f t="shared" si="105"/>
        <v/>
      </c>
      <c r="AB75" s="357" t="str">
        <f t="shared" si="105"/>
        <v/>
      </c>
      <c r="AC75" s="357" t="str">
        <f t="shared" si="105"/>
        <v/>
      </c>
      <c r="AD75" s="357" t="str">
        <f t="shared" si="105"/>
        <v/>
      </c>
      <c r="AE75" s="357" t="str">
        <f t="shared" si="105"/>
        <v/>
      </c>
      <c r="AF75" s="357" t="str">
        <f t="shared" si="105"/>
        <v/>
      </c>
      <c r="AG75" s="357" t="str">
        <f t="shared" si="105"/>
        <v/>
      </c>
      <c r="AH75" s="357" t="str">
        <f t="shared" si="105"/>
        <v/>
      </c>
      <c r="AI75" s="357" t="str">
        <f t="shared" si="105"/>
        <v/>
      </c>
      <c r="AJ75" s="357" t="str">
        <f t="shared" si="105"/>
        <v/>
      </c>
      <c r="AK75" s="357" t="str">
        <f t="shared" si="105"/>
        <v/>
      </c>
      <c r="AL75" s="357" t="str">
        <f t="shared" si="105"/>
        <v/>
      </c>
      <c r="AM75" s="357" t="str">
        <f t="shared" si="105"/>
        <v/>
      </c>
      <c r="AN75" s="357" t="str">
        <f t="shared" si="105"/>
        <v/>
      </c>
      <c r="AO75" s="357" t="str">
        <f t="shared" si="105"/>
        <v/>
      </c>
      <c r="AP75" s="357" t="str">
        <f t="shared" si="105"/>
        <v/>
      </c>
      <c r="AQ75" s="357" t="str">
        <f t="shared" si="105"/>
        <v/>
      </c>
      <c r="AR75" s="357" t="str">
        <f t="shared" si="105"/>
        <v/>
      </c>
      <c r="AS75" s="357" t="str">
        <f t="shared" si="105"/>
        <v/>
      </c>
      <c r="AT75" s="357" t="str">
        <f t="shared" si="105"/>
        <v/>
      </c>
      <c r="AU75" s="357" t="str">
        <f t="shared" si="105"/>
        <v/>
      </c>
      <c r="AV75" s="357" t="str">
        <f t="shared" si="105"/>
        <v/>
      </c>
      <c r="AW75" s="357" t="str">
        <f t="shared" si="105"/>
        <v/>
      </c>
      <c r="AX75" s="357" t="str">
        <f t="shared" si="105"/>
        <v/>
      </c>
      <c r="AY75" s="357" t="str">
        <f t="shared" si="105"/>
        <v/>
      </c>
      <c r="AZ75" s="357" t="str">
        <f t="shared" si="105"/>
        <v/>
      </c>
      <c r="BA75" s="357" t="str">
        <f t="shared" si="105"/>
        <v/>
      </c>
      <c r="BB75" s="358" t="str">
        <f t="shared" si="105"/>
        <v/>
      </c>
      <c r="BC75" s="262"/>
      <c r="BD75" s="455" t="str">
        <f t="shared" si="61"/>
        <v/>
      </c>
      <c r="BE75" s="456" t="str">
        <f t="shared" si="93"/>
        <v/>
      </c>
      <c r="BF75" s="456" t="str">
        <f t="shared" si="93"/>
        <v/>
      </c>
      <c r="BG75" s="457" t="str">
        <f t="shared" si="93"/>
        <v/>
      </c>
      <c r="BH75" s="458" t="str">
        <f t="shared" si="62"/>
        <v/>
      </c>
      <c r="BI75" s="456" t="str">
        <f t="shared" si="94"/>
        <v/>
      </c>
      <c r="BJ75" s="456" t="str">
        <f t="shared" si="94"/>
        <v/>
      </c>
      <c r="BK75" s="456" t="str">
        <f t="shared" si="94"/>
        <v/>
      </c>
      <c r="BL75" s="2015" t="str">
        <f t="shared" si="57"/>
        <v/>
      </c>
      <c r="BM75" s="354">
        <v>23</v>
      </c>
      <c r="BN75" s="355"/>
    </row>
    <row r="76" spans="1:66" ht="15.75" customHeight="1">
      <c r="A76" s="262"/>
      <c r="B76" s="368" t="str">
        <f t="shared" si="58"/>
        <v/>
      </c>
      <c r="C76" s="470" t="str">
        <f t="shared" si="58"/>
        <v/>
      </c>
      <c r="D76" s="470" t="str">
        <f t="shared" si="58"/>
        <v/>
      </c>
      <c r="E76" s="470" t="str">
        <f t="shared" si="59"/>
        <v/>
      </c>
      <c r="F76" s="470" t="str">
        <f t="shared" si="58"/>
        <v/>
      </c>
      <c r="G76" s="356" t="str">
        <f t="shared" ref="G76:BB76" si="107">IFERROR($C32*G32,"")</f>
        <v/>
      </c>
      <c r="H76" s="387"/>
      <c r="I76" s="445" t="str">
        <f t="shared" ref="I76:J76" si="108">IFERROR($C32*I32,"")</f>
        <v/>
      </c>
      <c r="J76" s="357" t="str">
        <f t="shared" si="108"/>
        <v/>
      </c>
      <c r="K76" s="357" t="str">
        <f t="shared" si="107"/>
        <v/>
      </c>
      <c r="L76" s="357" t="str">
        <f t="shared" si="107"/>
        <v/>
      </c>
      <c r="M76" s="357" t="str">
        <f t="shared" si="107"/>
        <v/>
      </c>
      <c r="N76" s="357" t="str">
        <f t="shared" si="107"/>
        <v/>
      </c>
      <c r="O76" s="357" t="str">
        <f t="shared" si="107"/>
        <v/>
      </c>
      <c r="P76" s="357" t="str">
        <f t="shared" si="107"/>
        <v/>
      </c>
      <c r="Q76" s="357" t="str">
        <f t="shared" si="107"/>
        <v/>
      </c>
      <c r="R76" s="357" t="str">
        <f t="shared" si="107"/>
        <v/>
      </c>
      <c r="S76" s="357" t="str">
        <f t="shared" si="107"/>
        <v/>
      </c>
      <c r="T76" s="357" t="str">
        <f t="shared" si="107"/>
        <v/>
      </c>
      <c r="U76" s="357" t="str">
        <f t="shared" si="107"/>
        <v/>
      </c>
      <c r="V76" s="357" t="str">
        <f t="shared" si="107"/>
        <v/>
      </c>
      <c r="W76" s="357" t="str">
        <f t="shared" si="107"/>
        <v/>
      </c>
      <c r="X76" s="357" t="str">
        <f t="shared" si="107"/>
        <v/>
      </c>
      <c r="Y76" s="357" t="str">
        <f t="shared" si="107"/>
        <v/>
      </c>
      <c r="Z76" s="357" t="str">
        <f t="shared" si="107"/>
        <v/>
      </c>
      <c r="AA76" s="357" t="str">
        <f t="shared" si="107"/>
        <v/>
      </c>
      <c r="AB76" s="357" t="str">
        <f t="shared" si="107"/>
        <v/>
      </c>
      <c r="AC76" s="357" t="str">
        <f t="shared" si="107"/>
        <v/>
      </c>
      <c r="AD76" s="357" t="str">
        <f t="shared" si="107"/>
        <v/>
      </c>
      <c r="AE76" s="357" t="str">
        <f t="shared" si="107"/>
        <v/>
      </c>
      <c r="AF76" s="357" t="str">
        <f t="shared" si="107"/>
        <v/>
      </c>
      <c r="AG76" s="357" t="str">
        <f t="shared" si="107"/>
        <v/>
      </c>
      <c r="AH76" s="357" t="str">
        <f t="shared" si="107"/>
        <v/>
      </c>
      <c r="AI76" s="357" t="str">
        <f t="shared" si="107"/>
        <v/>
      </c>
      <c r="AJ76" s="357" t="str">
        <f t="shared" si="107"/>
        <v/>
      </c>
      <c r="AK76" s="357" t="str">
        <f t="shared" si="107"/>
        <v/>
      </c>
      <c r="AL76" s="357" t="str">
        <f t="shared" si="107"/>
        <v/>
      </c>
      <c r="AM76" s="357" t="str">
        <f t="shared" si="107"/>
        <v/>
      </c>
      <c r="AN76" s="357" t="str">
        <f t="shared" si="107"/>
        <v/>
      </c>
      <c r="AO76" s="357" t="str">
        <f t="shared" si="107"/>
        <v/>
      </c>
      <c r="AP76" s="357" t="str">
        <f t="shared" si="107"/>
        <v/>
      </c>
      <c r="AQ76" s="357" t="str">
        <f t="shared" si="107"/>
        <v/>
      </c>
      <c r="AR76" s="357" t="str">
        <f t="shared" si="107"/>
        <v/>
      </c>
      <c r="AS76" s="357" t="str">
        <f t="shared" si="107"/>
        <v/>
      </c>
      <c r="AT76" s="357" t="str">
        <f t="shared" si="107"/>
        <v/>
      </c>
      <c r="AU76" s="357" t="str">
        <f t="shared" si="107"/>
        <v/>
      </c>
      <c r="AV76" s="357" t="str">
        <f t="shared" si="107"/>
        <v/>
      </c>
      <c r="AW76" s="357" t="str">
        <f t="shared" si="107"/>
        <v/>
      </c>
      <c r="AX76" s="357" t="str">
        <f t="shared" si="107"/>
        <v/>
      </c>
      <c r="AY76" s="357" t="str">
        <f t="shared" si="107"/>
        <v/>
      </c>
      <c r="AZ76" s="357" t="str">
        <f t="shared" si="107"/>
        <v/>
      </c>
      <c r="BA76" s="357" t="str">
        <f t="shared" si="107"/>
        <v/>
      </c>
      <c r="BB76" s="358" t="str">
        <f t="shared" si="107"/>
        <v/>
      </c>
      <c r="BC76" s="262"/>
      <c r="BD76" s="455" t="str">
        <f t="shared" si="61"/>
        <v/>
      </c>
      <c r="BE76" s="456" t="str">
        <f t="shared" si="93"/>
        <v/>
      </c>
      <c r="BF76" s="456" t="str">
        <f t="shared" si="93"/>
        <v/>
      </c>
      <c r="BG76" s="457" t="str">
        <f t="shared" si="93"/>
        <v/>
      </c>
      <c r="BH76" s="458" t="str">
        <f t="shared" si="62"/>
        <v/>
      </c>
      <c r="BI76" s="456" t="str">
        <f t="shared" si="94"/>
        <v/>
      </c>
      <c r="BJ76" s="456" t="str">
        <f t="shared" si="94"/>
        <v/>
      </c>
      <c r="BK76" s="456" t="str">
        <f t="shared" si="94"/>
        <v/>
      </c>
      <c r="BL76" s="2015" t="str">
        <f t="shared" si="57"/>
        <v/>
      </c>
      <c r="BM76" s="354">
        <v>24</v>
      </c>
      <c r="BN76" s="355"/>
    </row>
    <row r="77" spans="1:66" ht="15.75" customHeight="1" thickBot="1">
      <c r="A77" s="262"/>
      <c r="B77" s="369" t="str">
        <f t="shared" si="58"/>
        <v/>
      </c>
      <c r="C77" s="471" t="str">
        <f t="shared" si="58"/>
        <v/>
      </c>
      <c r="D77" s="471" t="str">
        <f t="shared" si="58"/>
        <v/>
      </c>
      <c r="E77" s="471" t="str">
        <f t="shared" si="59"/>
        <v/>
      </c>
      <c r="F77" s="471" t="str">
        <f t="shared" si="58"/>
        <v/>
      </c>
      <c r="G77" s="359" t="str">
        <f t="shared" ref="G77:BB77" si="109">IFERROR($C33*G33,"")</f>
        <v/>
      </c>
      <c r="H77" s="387"/>
      <c r="I77" s="446"/>
      <c r="J77" s="447" t="str">
        <f t="shared" ref="J77" si="110">IFERROR($C33*J33,"")</f>
        <v/>
      </c>
      <c r="K77" s="360" t="str">
        <f t="shared" si="109"/>
        <v/>
      </c>
      <c r="L77" s="360" t="str">
        <f t="shared" si="109"/>
        <v/>
      </c>
      <c r="M77" s="360" t="str">
        <f t="shared" si="109"/>
        <v/>
      </c>
      <c r="N77" s="360" t="str">
        <f t="shared" si="109"/>
        <v/>
      </c>
      <c r="O77" s="360" t="str">
        <f t="shared" si="109"/>
        <v/>
      </c>
      <c r="P77" s="360" t="str">
        <f t="shared" si="109"/>
        <v/>
      </c>
      <c r="Q77" s="360" t="str">
        <f t="shared" si="109"/>
        <v/>
      </c>
      <c r="R77" s="360" t="str">
        <f t="shared" si="109"/>
        <v/>
      </c>
      <c r="S77" s="360" t="str">
        <f t="shared" si="109"/>
        <v/>
      </c>
      <c r="T77" s="360" t="str">
        <f t="shared" si="109"/>
        <v/>
      </c>
      <c r="U77" s="360" t="str">
        <f t="shared" si="109"/>
        <v/>
      </c>
      <c r="V77" s="360" t="str">
        <f t="shared" si="109"/>
        <v/>
      </c>
      <c r="W77" s="360" t="str">
        <f t="shared" si="109"/>
        <v/>
      </c>
      <c r="X77" s="360" t="str">
        <f t="shared" si="109"/>
        <v/>
      </c>
      <c r="Y77" s="360" t="str">
        <f t="shared" si="109"/>
        <v/>
      </c>
      <c r="Z77" s="360" t="str">
        <f t="shared" si="109"/>
        <v/>
      </c>
      <c r="AA77" s="360" t="str">
        <f t="shared" si="109"/>
        <v/>
      </c>
      <c r="AB77" s="360" t="str">
        <f t="shared" si="109"/>
        <v/>
      </c>
      <c r="AC77" s="360" t="str">
        <f t="shared" si="109"/>
        <v/>
      </c>
      <c r="AD77" s="360" t="str">
        <f t="shared" si="109"/>
        <v/>
      </c>
      <c r="AE77" s="360" t="str">
        <f t="shared" si="109"/>
        <v/>
      </c>
      <c r="AF77" s="360" t="str">
        <f t="shared" si="109"/>
        <v/>
      </c>
      <c r="AG77" s="360" t="str">
        <f t="shared" si="109"/>
        <v/>
      </c>
      <c r="AH77" s="360" t="str">
        <f t="shared" si="109"/>
        <v/>
      </c>
      <c r="AI77" s="360" t="str">
        <f t="shared" si="109"/>
        <v/>
      </c>
      <c r="AJ77" s="360" t="str">
        <f t="shared" si="109"/>
        <v/>
      </c>
      <c r="AK77" s="360" t="str">
        <f t="shared" si="109"/>
        <v/>
      </c>
      <c r="AL77" s="360" t="str">
        <f t="shared" si="109"/>
        <v/>
      </c>
      <c r="AM77" s="360" t="str">
        <f t="shared" si="109"/>
        <v/>
      </c>
      <c r="AN77" s="360" t="str">
        <f t="shared" si="109"/>
        <v/>
      </c>
      <c r="AO77" s="360" t="str">
        <f t="shared" si="109"/>
        <v/>
      </c>
      <c r="AP77" s="360" t="str">
        <f t="shared" si="109"/>
        <v/>
      </c>
      <c r="AQ77" s="360" t="str">
        <f t="shared" si="109"/>
        <v/>
      </c>
      <c r="AR77" s="360" t="str">
        <f t="shared" si="109"/>
        <v/>
      </c>
      <c r="AS77" s="360" t="str">
        <f t="shared" si="109"/>
        <v/>
      </c>
      <c r="AT77" s="360" t="str">
        <f t="shared" si="109"/>
        <v/>
      </c>
      <c r="AU77" s="360" t="str">
        <f t="shared" si="109"/>
        <v/>
      </c>
      <c r="AV77" s="360" t="str">
        <f t="shared" si="109"/>
        <v/>
      </c>
      <c r="AW77" s="360" t="str">
        <f t="shared" si="109"/>
        <v/>
      </c>
      <c r="AX77" s="360" t="str">
        <f t="shared" si="109"/>
        <v/>
      </c>
      <c r="AY77" s="360" t="str">
        <f t="shared" si="109"/>
        <v/>
      </c>
      <c r="AZ77" s="360" t="str">
        <f t="shared" si="109"/>
        <v/>
      </c>
      <c r="BA77" s="360" t="str">
        <f t="shared" si="109"/>
        <v/>
      </c>
      <c r="BB77" s="361" t="str">
        <f t="shared" si="109"/>
        <v/>
      </c>
      <c r="BC77" s="262"/>
      <c r="BD77" s="362">
        <f>SUM(BD53:BD76)</f>
        <v>1</v>
      </c>
      <c r="BE77" s="363">
        <f t="shared" ref="BE77" si="111">SUM(BE53:BE76)</f>
        <v>0.99999994080117671</v>
      </c>
      <c r="BF77" s="363">
        <f t="shared" ref="BF77" si="112">SUM(BF53:BF76)</f>
        <v>56.5</v>
      </c>
      <c r="BG77" s="364">
        <f t="shared" ref="BG77" si="113">SUM(BG53:BG76)</f>
        <v>1.0607800629296058</v>
      </c>
      <c r="BH77" s="365">
        <f t="shared" ref="BH77:BJ77" si="114">SUM(BH53:BH76)</f>
        <v>1</v>
      </c>
      <c r="BI77" s="363">
        <f t="shared" si="114"/>
        <v>0.99216764145481651</v>
      </c>
      <c r="BJ77" s="363">
        <f t="shared" si="114"/>
        <v>56.532934279231192</v>
      </c>
      <c r="BK77" s="363">
        <f>SUM(BK53:BK76)</f>
        <v>1.0607800629296058</v>
      </c>
      <c r="BL77" s="2016">
        <v>100</v>
      </c>
      <c r="BM77" s="354">
        <v>25</v>
      </c>
      <c r="BN77" s="355"/>
    </row>
    <row r="78" spans="1:66" ht="15.75" customHeight="1">
      <c r="A78" s="262"/>
      <c r="B78" s="366"/>
      <c r="C78" s="262"/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62"/>
      <c r="S78" s="262"/>
      <c r="T78" s="262"/>
      <c r="U78" s="262"/>
      <c r="V78" s="262"/>
      <c r="W78" s="262"/>
      <c r="X78" s="262"/>
      <c r="Y78" s="262"/>
      <c r="Z78" s="262"/>
      <c r="AA78" s="262"/>
      <c r="AB78" s="262"/>
      <c r="AC78" s="262"/>
      <c r="AD78" s="262"/>
      <c r="AE78" s="262"/>
      <c r="AF78" s="262"/>
      <c r="AG78" s="262"/>
      <c r="AH78" s="262"/>
      <c r="AI78" s="262"/>
      <c r="AJ78" s="262"/>
      <c r="AK78" s="262"/>
      <c r="AL78" s="262"/>
      <c r="AM78" s="262"/>
      <c r="AN78" s="262"/>
      <c r="AO78" s="262"/>
      <c r="AP78" s="262"/>
      <c r="AQ78" s="262"/>
      <c r="AR78" s="262"/>
      <c r="AS78" s="262"/>
      <c r="AT78" s="262"/>
      <c r="AU78" s="262"/>
      <c r="AV78" s="262"/>
      <c r="AW78" s="262"/>
      <c r="AX78" s="262"/>
      <c r="AY78" s="262"/>
      <c r="AZ78" s="262"/>
      <c r="BA78" s="262"/>
      <c r="BB78" s="262"/>
      <c r="BC78" s="262"/>
      <c r="BD78" s="262"/>
      <c r="BE78" s="262"/>
      <c r="BF78" s="262"/>
      <c r="BG78" s="262"/>
      <c r="BH78" s="262"/>
      <c r="BI78" s="262"/>
      <c r="BJ78" s="262"/>
      <c r="BK78" s="262"/>
      <c r="BL78" s="262"/>
      <c r="BM78" s="262"/>
    </row>
    <row r="79" spans="1:66" ht="15.75" hidden="1" customHeight="1"/>
    <row r="80" spans="1:66" ht="15.75" hidden="1" customHeight="1"/>
    <row r="81" ht="15.75" hidden="1" customHeight="1"/>
    <row r="82" ht="15.75" hidden="1" customHeight="1"/>
    <row r="83" ht="15.75" hidden="1" customHeight="1"/>
    <row r="84" ht="15.75" hidden="1" customHeight="1"/>
    <row r="85" ht="15.75" hidden="1" customHeight="1"/>
    <row r="86" ht="15.75" hidden="1" customHeight="1"/>
    <row r="87" ht="15.75" hidden="1" customHeight="1"/>
    <row r="88" ht="15.75" hidden="1" customHeight="1"/>
    <row r="89" ht="15.75" hidden="1" customHeight="1"/>
    <row r="90" ht="15.75" hidden="1" customHeight="1"/>
    <row r="91" ht="15.75" hidden="1" customHeight="1"/>
    <row r="92" ht="15.75" hidden="1" customHeight="1"/>
    <row r="93" ht="15.75" hidden="1" customHeight="1"/>
    <row r="94" ht="15.75" hidden="1" customHeight="1"/>
    <row r="95" ht="15.75" hidden="1" customHeight="1"/>
    <row r="96" ht="15.75" hidden="1" customHeight="1"/>
    <row r="97" ht="15.75" hidden="1" customHeight="1"/>
    <row r="98" ht="15.75" hidden="1" customHeight="1"/>
    <row r="99" ht="15.75" hidden="1" customHeight="1"/>
    <row r="100" ht="15.75" hidden="1" customHeight="1"/>
    <row r="101" ht="15.75" hidden="1" customHeight="1"/>
    <row r="102" ht="15.75" hidden="1" customHeight="1"/>
    <row r="103" ht="15.75" hidden="1" customHeight="1"/>
    <row r="104" ht="15.75" hidden="1" customHeight="1"/>
    <row r="105" ht="15.75" hidden="1" customHeight="1"/>
    <row r="106" ht="15.75" hidden="1" customHeight="1"/>
    <row r="107" ht="15.75" hidden="1" customHeight="1"/>
    <row r="108" ht="15.75" hidden="1" customHeight="1"/>
    <row r="109" ht="15.75" hidden="1" customHeight="1"/>
    <row r="110" ht="15.75" hidden="1" customHeight="1"/>
    <row r="111" ht="15.75" hidden="1" customHeight="1"/>
    <row r="112" ht="15.75" hidden="1" customHeight="1"/>
    <row r="113" ht="15.75" hidden="1" customHeight="1"/>
    <row r="114" ht="15.75" hidden="1" customHeight="1"/>
    <row r="115" ht="15.75" hidden="1" customHeight="1"/>
    <row r="116" ht="15.75" hidden="1" customHeight="1"/>
    <row r="117" ht="15.75" hidden="1" customHeight="1"/>
    <row r="118" ht="15.75" hidden="1" customHeight="1"/>
    <row r="119" ht="15.75" hidden="1" customHeight="1"/>
    <row r="120" ht="15.75" hidden="1" customHeight="1"/>
    <row r="121" ht="15.75" hidden="1" customHeight="1"/>
    <row r="122" ht="15.75" hidden="1" customHeight="1"/>
    <row r="123" ht="15.75" hidden="1" customHeight="1"/>
    <row r="124" ht="15.75" hidden="1" customHeight="1"/>
    <row r="125" ht="15.75" hidden="1" customHeight="1"/>
    <row r="126" ht="15.75" hidden="1" customHeight="1"/>
    <row r="127" ht="15.75" hidden="1" customHeight="1"/>
    <row r="128" ht="15.75" hidden="1" customHeight="1"/>
    <row r="129" ht="15.75" hidden="1" customHeight="1"/>
    <row r="130" ht="15.75" hidden="1" customHeight="1"/>
    <row r="131" ht="15.75" hidden="1" customHeight="1"/>
    <row r="132" ht="15.75" hidden="1" customHeight="1"/>
    <row r="133" ht="15.75" hidden="1" customHeight="1"/>
    <row r="134" ht="15.75" hidden="1" customHeight="1"/>
    <row r="135" ht="15.75" hidden="1" customHeight="1"/>
    <row r="136" ht="15.75" hidden="1" customHeight="1"/>
    <row r="137" ht="15.75" hidden="1" customHeight="1"/>
    <row r="138" ht="15.75" hidden="1" customHeight="1"/>
    <row r="139" ht="15.75" hidden="1" customHeight="1"/>
    <row r="140" ht="15.75" hidden="1" customHeight="1"/>
    <row r="141" ht="15.75" hidden="1" customHeight="1"/>
    <row r="142" ht="15.75" hidden="1" customHeight="1"/>
    <row r="143" ht="15.75" hidden="1" customHeight="1"/>
    <row r="144" ht="15.75" hidden="1" customHeight="1"/>
    <row r="145" ht="15.75" hidden="1" customHeight="1"/>
    <row r="146" ht="15.75" hidden="1" customHeight="1"/>
    <row r="147" ht="15.75" hidden="1" customHeight="1"/>
    <row r="148" ht="15.75" hidden="1" customHeight="1"/>
    <row r="149" ht="15.75" hidden="1" customHeight="1"/>
    <row r="150" ht="15.75" hidden="1" customHeight="1"/>
    <row r="151" ht="15.75" hidden="1" customHeight="1"/>
    <row r="152" ht="15.75" hidden="1" customHeight="1"/>
    <row r="153" ht="15.75" hidden="1" customHeight="1"/>
    <row r="154" ht="15.75" hidden="1" customHeight="1"/>
    <row r="155" ht="15.75" hidden="1" customHeight="1"/>
    <row r="156" ht="15.75" hidden="1" customHeight="1"/>
    <row r="157" ht="15.75" hidden="1" customHeight="1"/>
    <row r="158" ht="15.75" hidden="1" customHeight="1"/>
    <row r="159" ht="15.75" hidden="1" customHeight="1"/>
    <row r="160" ht="15.75" hidden="1" customHeight="1"/>
    <row r="161" ht="15.75" hidden="1" customHeight="1"/>
    <row r="162" ht="15.75" hidden="1" customHeight="1"/>
    <row r="163" ht="15.75" hidden="1" customHeight="1"/>
    <row r="164" ht="15.75" hidden="1" customHeight="1"/>
    <row r="165" ht="15.75" hidden="1" customHeight="1"/>
    <row r="166" ht="15.75" hidden="1" customHeight="1"/>
    <row r="167" ht="15.75" hidden="1" customHeight="1"/>
    <row r="168" ht="15.75" hidden="1" customHeight="1"/>
    <row r="169" ht="15.75" hidden="1" customHeight="1"/>
    <row r="170" ht="15.75" hidden="1" customHeight="1"/>
    <row r="171" ht="15.75" hidden="1" customHeight="1"/>
    <row r="172" ht="15.75" hidden="1" customHeight="1"/>
    <row r="173" ht="15.75" hidden="1" customHeight="1"/>
    <row r="174" ht="15.75" hidden="1" customHeight="1"/>
    <row r="175" ht="15.75" hidden="1" customHeight="1"/>
    <row r="176" ht="15.75" hidden="1" customHeight="1"/>
    <row r="177" ht="15.75" hidden="1" customHeight="1"/>
    <row r="178" ht="15.75" hidden="1" customHeight="1"/>
    <row r="179" ht="15.75" hidden="1" customHeight="1"/>
    <row r="180" ht="15.75" hidden="1" customHeight="1"/>
    <row r="181" ht="15.75" hidden="1" customHeight="1"/>
    <row r="182" ht="15.75" hidden="1" customHeight="1"/>
    <row r="183" ht="15.75" hidden="1" customHeight="1"/>
    <row r="184" ht="15.75" hidden="1" customHeight="1"/>
    <row r="185" ht="15.75" hidden="1" customHeight="1"/>
    <row r="186" ht="15.75" hidden="1" customHeight="1"/>
    <row r="187" ht="15.75" hidden="1" customHeight="1"/>
    <row r="188" ht="15.75" hidden="1" customHeight="1"/>
    <row r="189" ht="15.75" hidden="1" customHeight="1"/>
    <row r="190" ht="15.75" hidden="1" customHeight="1"/>
    <row r="191" ht="15.75" hidden="1" customHeight="1"/>
    <row r="192" ht="15.75" hidden="1" customHeight="1"/>
    <row r="193" ht="15.75" hidden="1" customHeight="1"/>
    <row r="194" ht="15.75" hidden="1" customHeight="1"/>
    <row r="195" ht="15.75" hidden="1" customHeight="1"/>
    <row r="196" ht="15.75" hidden="1" customHeight="1"/>
    <row r="197" ht="15.75" hidden="1" customHeight="1"/>
    <row r="198" ht="15.75" hidden="1" customHeight="1"/>
    <row r="199" ht="15.75" hidden="1" customHeight="1"/>
    <row r="200" ht="15.75" hidden="1" customHeight="1"/>
    <row r="201" ht="15.75" hidden="1" customHeight="1"/>
    <row r="202" ht="15.75" hidden="1" customHeight="1"/>
    <row r="203" ht="15.75" hidden="1" customHeight="1"/>
    <row r="204" ht="15.75" hidden="1" customHeight="1"/>
    <row r="205" ht="15.75" hidden="1" customHeight="1"/>
    <row r="206" ht="15.75" hidden="1" customHeight="1"/>
    <row r="207" ht="15.75" hidden="1" customHeight="1"/>
    <row r="208" ht="15.75" hidden="1" customHeight="1"/>
    <row r="209" ht="15.75" hidden="1" customHeight="1"/>
    <row r="210" ht="15.75" hidden="1" customHeight="1"/>
    <row r="211" ht="15.75" hidden="1" customHeight="1"/>
    <row r="212" ht="15.75" hidden="1" customHeight="1"/>
    <row r="213" ht="15.75" hidden="1" customHeight="1"/>
    <row r="214" ht="15.75" hidden="1" customHeight="1"/>
    <row r="215" ht="15.75" hidden="1" customHeight="1"/>
    <row r="216" ht="15.75" hidden="1" customHeight="1"/>
    <row r="217" ht="15.75" hidden="1" customHeight="1"/>
    <row r="218" ht="15.75" hidden="1" customHeight="1"/>
    <row r="219" ht="15.75" hidden="1" customHeight="1"/>
    <row r="220" ht="15.75" hidden="1" customHeight="1"/>
    <row r="221" ht="15.75" hidden="1" customHeight="1"/>
    <row r="222" ht="15.75" hidden="1" customHeight="1"/>
    <row r="223" ht="15.75" hidden="1" customHeight="1"/>
    <row r="224" ht="15.75" hidden="1" customHeight="1"/>
    <row r="225" ht="15.75" hidden="1" customHeight="1"/>
    <row r="226" ht="15.75" hidden="1" customHeight="1"/>
    <row r="227" ht="15.75" hidden="1" customHeight="1"/>
    <row r="228" ht="15.75" hidden="1" customHeight="1"/>
    <row r="229" ht="15.75" hidden="1" customHeight="1"/>
    <row r="230" ht="15.75" hidden="1" customHeight="1"/>
    <row r="231" ht="15.75" hidden="1" customHeight="1"/>
    <row r="232" ht="15.75" hidden="1" customHeight="1"/>
    <row r="233" ht="15.75" hidden="1" customHeight="1"/>
    <row r="234" ht="15.75" hidden="1" customHeight="1"/>
    <row r="235" ht="15.75" hidden="1" customHeight="1"/>
    <row r="236" ht="15.75" hidden="1" customHeight="1"/>
    <row r="237" ht="15.75" hidden="1" customHeight="1"/>
    <row r="238" ht="15.75" hidden="1" customHeight="1"/>
    <row r="239" ht="15.75" hidden="1" customHeight="1"/>
    <row r="240" ht="15.75" hidden="1" customHeight="1"/>
    <row r="241" ht="15.75" hidden="1" customHeight="1"/>
    <row r="242" ht="15.75" hidden="1" customHeight="1"/>
    <row r="243" ht="15.75" hidden="1" customHeight="1"/>
    <row r="244" ht="15.75" hidden="1" customHeight="1"/>
    <row r="245" ht="15.75" hidden="1" customHeight="1"/>
    <row r="246" ht="15.75" hidden="1" customHeight="1"/>
    <row r="247" ht="15.75" hidden="1" customHeight="1"/>
    <row r="248" ht="15.75" hidden="1" customHeight="1"/>
    <row r="249" ht="15.75" hidden="1" customHeight="1"/>
    <row r="250" ht="15.75" hidden="1" customHeight="1"/>
    <row r="251" ht="15.75" hidden="1" customHeight="1"/>
    <row r="252" ht="15.75" hidden="1" customHeight="1"/>
    <row r="253" ht="15.75" hidden="1" customHeight="1"/>
    <row r="254" ht="15.75" hidden="1" customHeight="1"/>
    <row r="255" ht="15.75" hidden="1" customHeight="1"/>
    <row r="256" ht="15.75" hidden="1" customHeight="1"/>
    <row r="257" ht="15.75" hidden="1" customHeight="1"/>
    <row r="258" ht="15.75" hidden="1" customHeight="1"/>
    <row r="259" ht="15.75" hidden="1" customHeight="1"/>
    <row r="260" ht="15.75" hidden="1" customHeight="1"/>
    <row r="261" ht="15.75" hidden="1" customHeight="1"/>
    <row r="262" ht="15.75" hidden="1" customHeight="1"/>
    <row r="263" ht="15.75" hidden="1" customHeight="1"/>
    <row r="264" ht="15.75" hidden="1" customHeight="1"/>
    <row r="265" ht="15.75" hidden="1" customHeight="1"/>
    <row r="266" ht="15.75" hidden="1" customHeight="1"/>
    <row r="267" ht="15.75" hidden="1" customHeight="1"/>
    <row r="268" ht="15.75" hidden="1" customHeight="1"/>
    <row r="269" ht="15.75" hidden="1" customHeight="1"/>
    <row r="270" ht="15.75" hidden="1" customHeight="1"/>
    <row r="271" ht="15.75" hidden="1" customHeight="1"/>
    <row r="272" ht="15.75" hidden="1" customHeight="1"/>
    <row r="273" ht="15.75" hidden="1" customHeight="1"/>
    <row r="274" ht="15.75" hidden="1" customHeight="1"/>
    <row r="275" ht="15.75" hidden="1" customHeight="1"/>
    <row r="276" ht="15.75" hidden="1" customHeight="1"/>
    <row r="277" ht="15.75" hidden="1" customHeight="1"/>
    <row r="278" ht="15.75" hidden="1" customHeight="1"/>
    <row r="279" ht="15.75" hidden="1" customHeight="1"/>
    <row r="280" ht="15.75" hidden="1" customHeight="1"/>
    <row r="281" ht="15.75" hidden="1" customHeight="1"/>
    <row r="282" ht="15.75" hidden="1" customHeight="1"/>
    <row r="283" ht="15.75" hidden="1" customHeight="1"/>
    <row r="284" ht="15.75" hidden="1" customHeight="1"/>
    <row r="285" ht="15.75" hidden="1" customHeight="1"/>
    <row r="286" ht="15.75" hidden="1" customHeight="1"/>
    <row r="287" ht="15.75" hidden="1" customHeight="1"/>
    <row r="288" ht="15.75" hidden="1" customHeight="1"/>
    <row r="289" ht="15.75" hidden="1" customHeight="1"/>
    <row r="290" ht="15.75" hidden="1" customHeight="1"/>
    <row r="291" ht="15.75" hidden="1" customHeight="1"/>
    <row r="292" ht="15.75" hidden="1" customHeight="1"/>
    <row r="293" ht="15.75" hidden="1" customHeight="1"/>
    <row r="294" ht="15.75" hidden="1" customHeight="1"/>
    <row r="295" ht="15.75" hidden="1" customHeight="1"/>
    <row r="296" ht="15.75" hidden="1" customHeight="1"/>
    <row r="297" ht="15.75" hidden="1" customHeight="1"/>
    <row r="298" ht="15.75" hidden="1" customHeight="1"/>
    <row r="299" ht="15.75" hidden="1" customHeight="1"/>
    <row r="300" ht="15.75" hidden="1" customHeight="1"/>
    <row r="301" ht="15.75" hidden="1" customHeight="1"/>
    <row r="302" ht="15.75" hidden="1" customHeight="1"/>
    <row r="303" ht="15.75" hidden="1" customHeight="1"/>
    <row r="304" ht="15.75" hidden="1" customHeight="1"/>
    <row r="305" ht="15.75" hidden="1" customHeight="1"/>
    <row r="306" ht="15.75" hidden="1" customHeight="1"/>
    <row r="307" ht="15.75" hidden="1" customHeight="1"/>
    <row r="308" ht="15.75" hidden="1" customHeight="1"/>
    <row r="309" ht="15.75" hidden="1" customHeight="1"/>
    <row r="310" ht="15.75" hidden="1" customHeight="1"/>
    <row r="311" ht="15.75" hidden="1" customHeight="1"/>
    <row r="312" ht="15.75" hidden="1" customHeight="1"/>
    <row r="313" ht="15.75" hidden="1" customHeight="1"/>
    <row r="314" ht="15.75" hidden="1" customHeight="1"/>
    <row r="315" ht="15.75" hidden="1" customHeight="1"/>
    <row r="316" ht="15.75" hidden="1" customHeight="1"/>
    <row r="317" ht="15.75" hidden="1" customHeight="1"/>
    <row r="318" ht="15.75" hidden="1" customHeight="1"/>
    <row r="319" ht="15.75" hidden="1" customHeight="1"/>
    <row r="320" ht="15.75" hidden="1" customHeight="1"/>
    <row r="321" ht="15.75" hidden="1" customHeight="1"/>
    <row r="322" ht="15.75" hidden="1" customHeight="1"/>
    <row r="323" ht="15.75" hidden="1" customHeight="1"/>
    <row r="324" ht="15.75" hidden="1" customHeight="1"/>
    <row r="325" ht="15.75" hidden="1" customHeight="1"/>
    <row r="326" ht="15.75" hidden="1" customHeight="1"/>
    <row r="327" ht="15.75" hidden="1" customHeight="1"/>
    <row r="328" ht="15.75" hidden="1" customHeight="1"/>
    <row r="329" ht="15.75" hidden="1" customHeight="1"/>
    <row r="330" ht="15.75" hidden="1" customHeight="1"/>
    <row r="331" ht="15.75" hidden="1" customHeight="1"/>
    <row r="332" ht="15.75" hidden="1" customHeight="1"/>
    <row r="333" ht="15.75" hidden="1" customHeight="1"/>
    <row r="334" ht="15.75" hidden="1" customHeight="1"/>
    <row r="335" ht="15.75" hidden="1" customHeight="1"/>
    <row r="336" ht="15.75" hidden="1" customHeight="1"/>
    <row r="337" ht="15.75" hidden="1" customHeight="1"/>
    <row r="338" ht="15.75" hidden="1" customHeight="1"/>
    <row r="339" ht="15.75" hidden="1" customHeight="1"/>
    <row r="340" ht="15.75" hidden="1" customHeight="1"/>
    <row r="341" ht="15.75" hidden="1" customHeight="1"/>
    <row r="342" ht="15.75" hidden="1" customHeight="1"/>
    <row r="343" ht="15.75" hidden="1" customHeight="1"/>
    <row r="344" ht="15.75" hidden="1" customHeight="1"/>
    <row r="345" ht="15.75" hidden="1" customHeight="1"/>
    <row r="346" ht="15.75" hidden="1" customHeight="1"/>
    <row r="347" ht="15.75" hidden="1" customHeight="1"/>
    <row r="348" ht="15.75" hidden="1" customHeight="1"/>
    <row r="349" ht="15.75" hidden="1" customHeight="1"/>
    <row r="350" ht="15.75" hidden="1" customHeight="1"/>
    <row r="351" ht="15.75" hidden="1" customHeight="1"/>
    <row r="352" ht="15.75" hidden="1" customHeight="1"/>
    <row r="353" ht="15.75" hidden="1" customHeight="1"/>
    <row r="354" ht="15.75" hidden="1" customHeight="1"/>
    <row r="355" ht="15.75" hidden="1" customHeight="1"/>
    <row r="356" ht="15.75" hidden="1" customHeight="1"/>
    <row r="357" ht="15.75" hidden="1" customHeight="1"/>
    <row r="358" ht="15.75" hidden="1" customHeight="1"/>
    <row r="359" ht="15.75" hidden="1" customHeight="1"/>
    <row r="360" ht="15.75" hidden="1" customHeight="1"/>
    <row r="361" ht="15.75" hidden="1" customHeight="1"/>
    <row r="362" ht="15.75" hidden="1" customHeight="1"/>
    <row r="363" ht="15.75" hidden="1" customHeight="1"/>
    <row r="364" ht="15.75" hidden="1" customHeight="1"/>
    <row r="365" ht="15.75" hidden="1" customHeight="1"/>
    <row r="366" ht="15.75" hidden="1" customHeight="1"/>
    <row r="367" ht="15.75" hidden="1" customHeight="1"/>
    <row r="368" ht="15.75" hidden="1" customHeight="1"/>
    <row r="369" ht="15.75" hidden="1" customHeight="1"/>
    <row r="370" ht="15.75" hidden="1" customHeight="1"/>
    <row r="371" ht="15.75" hidden="1" customHeight="1"/>
    <row r="372" ht="15.75" hidden="1" customHeight="1"/>
    <row r="373" ht="15.75" hidden="1" customHeight="1"/>
    <row r="374" ht="15.75" hidden="1" customHeight="1"/>
    <row r="375" ht="15.75" hidden="1" customHeight="1"/>
    <row r="376" ht="15.75" hidden="1" customHeight="1"/>
    <row r="377" ht="15.75" hidden="1" customHeight="1"/>
    <row r="378" ht="15.75" hidden="1" customHeight="1"/>
    <row r="379" ht="15.75" hidden="1" customHeight="1"/>
    <row r="380" ht="15.75" hidden="1" customHeight="1"/>
    <row r="381" ht="15.75" hidden="1" customHeight="1"/>
    <row r="382" ht="15.75" hidden="1" customHeight="1"/>
    <row r="383" ht="15.75" hidden="1" customHeight="1"/>
    <row r="384" ht="15.75" hidden="1" customHeight="1"/>
    <row r="385" ht="15.75" hidden="1" customHeight="1"/>
    <row r="386" ht="15.75" hidden="1" customHeight="1"/>
    <row r="387" ht="15.75" hidden="1" customHeight="1"/>
    <row r="388" ht="15.75" hidden="1" customHeight="1"/>
    <row r="389" ht="15.75" hidden="1" customHeight="1"/>
    <row r="390" ht="15.75" hidden="1" customHeight="1"/>
    <row r="391" ht="15.75" hidden="1" customHeight="1"/>
    <row r="392" ht="15.75" hidden="1" customHeight="1"/>
    <row r="393" ht="15.75" hidden="1" customHeight="1"/>
    <row r="394" ht="15.75" hidden="1" customHeight="1"/>
    <row r="395" ht="15.75" hidden="1" customHeight="1"/>
    <row r="396" ht="15.75" hidden="1" customHeight="1"/>
    <row r="397" ht="15.75" hidden="1" customHeight="1"/>
    <row r="398" ht="15.75" hidden="1" customHeight="1"/>
    <row r="399" ht="15.75" hidden="1" customHeight="1"/>
    <row r="400" ht="15.75" hidden="1" customHeight="1"/>
    <row r="401" ht="15.75" hidden="1" customHeight="1"/>
    <row r="402" ht="15.75" hidden="1" customHeight="1"/>
    <row r="403" ht="15.75" hidden="1" customHeight="1"/>
    <row r="404" ht="15.75" hidden="1" customHeight="1"/>
    <row r="405" ht="15.75" hidden="1" customHeight="1"/>
    <row r="406" ht="15.75" hidden="1" customHeight="1"/>
    <row r="407" ht="15.75" hidden="1" customHeight="1"/>
    <row r="408" ht="15.75" hidden="1" customHeight="1"/>
    <row r="409" ht="15.75" hidden="1" customHeight="1"/>
    <row r="410" ht="15.75" hidden="1" customHeight="1"/>
    <row r="411" ht="15.75" hidden="1" customHeight="1"/>
    <row r="412" ht="15.75" hidden="1" customHeight="1"/>
    <row r="413" ht="15.75" hidden="1" customHeight="1"/>
    <row r="414" ht="15.75" hidden="1" customHeight="1"/>
    <row r="415" ht="15.75" hidden="1" customHeight="1"/>
    <row r="416" ht="15.75" hidden="1" customHeight="1"/>
    <row r="417" ht="15.75" hidden="1" customHeight="1"/>
    <row r="418" ht="15.75" hidden="1" customHeight="1"/>
    <row r="419" ht="15.75" hidden="1" customHeight="1"/>
    <row r="420" ht="15.75" hidden="1" customHeight="1"/>
    <row r="421" ht="15.75" hidden="1" customHeight="1"/>
    <row r="422" ht="15.75" hidden="1" customHeight="1"/>
    <row r="423" ht="15.75" hidden="1" customHeight="1"/>
    <row r="424" ht="15.75" hidden="1" customHeight="1"/>
    <row r="425" ht="15.75" hidden="1" customHeight="1"/>
    <row r="426" ht="15.75" hidden="1" customHeight="1"/>
    <row r="427" ht="15.75" hidden="1" customHeight="1"/>
    <row r="428" ht="15.75" hidden="1" customHeight="1"/>
    <row r="429" ht="15.75" hidden="1" customHeight="1"/>
    <row r="430" ht="15.75" hidden="1" customHeight="1"/>
    <row r="431" ht="15.75" hidden="1" customHeight="1"/>
    <row r="432" ht="15.75" hidden="1" customHeight="1"/>
    <row r="433" ht="15.75" hidden="1" customHeight="1"/>
    <row r="434" ht="15.75" hidden="1" customHeight="1"/>
    <row r="435" ht="15.75" hidden="1" customHeight="1"/>
    <row r="436" ht="15.75" hidden="1" customHeight="1"/>
    <row r="437" ht="15.75" hidden="1" customHeight="1"/>
    <row r="438" ht="15.75" hidden="1" customHeight="1"/>
    <row r="439" ht="15.75" hidden="1" customHeight="1"/>
    <row r="440" ht="15.75" hidden="1" customHeight="1"/>
    <row r="441" ht="15.75" hidden="1" customHeight="1"/>
    <row r="442" ht="15.75" hidden="1" customHeight="1"/>
    <row r="443" ht="15.75" hidden="1" customHeight="1"/>
    <row r="444" ht="15.75" hidden="1" customHeight="1"/>
    <row r="445" ht="15.75" hidden="1" customHeight="1"/>
    <row r="446" ht="15.75" hidden="1" customHeight="1"/>
    <row r="447" ht="15.75" hidden="1" customHeight="1"/>
    <row r="448" ht="15.75" hidden="1" customHeight="1"/>
    <row r="449" ht="15.75" hidden="1" customHeight="1"/>
    <row r="450" ht="15.75" hidden="1" customHeight="1"/>
    <row r="451" ht="15.75" hidden="1" customHeight="1"/>
    <row r="452" ht="15.75" hidden="1" customHeight="1"/>
    <row r="453" ht="15.75" hidden="1" customHeight="1"/>
    <row r="454" ht="15.75" hidden="1" customHeight="1"/>
    <row r="455" ht="15.75" hidden="1" customHeight="1"/>
    <row r="456" ht="15.75" hidden="1" customHeight="1"/>
    <row r="457" ht="15.75" hidden="1" customHeight="1"/>
    <row r="458" ht="15.75" hidden="1" customHeight="1"/>
    <row r="459" ht="15.75" hidden="1" customHeight="1"/>
    <row r="460" ht="15.75" hidden="1" customHeight="1"/>
    <row r="461" ht="15.75" hidden="1" customHeight="1"/>
    <row r="462" ht="15.75" hidden="1" customHeight="1"/>
    <row r="463" ht="15.75" hidden="1" customHeight="1"/>
    <row r="464" ht="15.75" hidden="1" customHeight="1"/>
    <row r="465" ht="15.75" hidden="1" customHeight="1"/>
    <row r="466" ht="15.75" hidden="1" customHeight="1"/>
    <row r="467" ht="15.75" hidden="1" customHeight="1"/>
    <row r="468" ht="15.75" hidden="1" customHeight="1"/>
    <row r="469" ht="15.75" hidden="1" customHeight="1"/>
    <row r="470" ht="15.75" hidden="1" customHeight="1"/>
    <row r="471" ht="15.75" hidden="1" customHeight="1"/>
    <row r="472" ht="15.75" hidden="1" customHeight="1"/>
    <row r="473" ht="15.75" hidden="1" customHeight="1"/>
    <row r="474" ht="15.75" hidden="1" customHeight="1"/>
    <row r="475" ht="15.75" hidden="1" customHeight="1"/>
    <row r="476" ht="15.75" hidden="1" customHeight="1"/>
    <row r="477" ht="15.75" hidden="1" customHeight="1"/>
    <row r="478" ht="15.75" hidden="1" customHeight="1"/>
    <row r="479" ht="15.75" hidden="1" customHeight="1"/>
    <row r="480" ht="15.75" hidden="1" customHeight="1"/>
    <row r="481" ht="15.75" hidden="1" customHeight="1"/>
    <row r="482" ht="15.75" hidden="1" customHeight="1"/>
    <row r="483" ht="15.75" hidden="1" customHeight="1"/>
    <row r="484" ht="15.75" hidden="1" customHeight="1"/>
    <row r="485" ht="15.75" hidden="1" customHeight="1"/>
    <row r="486" ht="15.75" hidden="1" customHeight="1"/>
    <row r="487" ht="15.75" hidden="1" customHeight="1"/>
    <row r="488" ht="15.75" hidden="1" customHeight="1"/>
    <row r="489" ht="15.75" hidden="1" customHeight="1"/>
    <row r="490" ht="15.75" hidden="1" customHeight="1"/>
    <row r="491" ht="15.75" hidden="1" customHeight="1"/>
    <row r="492" ht="15.75" hidden="1" customHeight="1"/>
    <row r="493" ht="15.75" hidden="1" customHeight="1"/>
    <row r="494" ht="15.75" hidden="1" customHeight="1"/>
    <row r="495" ht="15.75" hidden="1" customHeight="1"/>
    <row r="496" ht="15.75" hidden="1" customHeight="1"/>
    <row r="497" ht="15.75" hidden="1" customHeight="1"/>
    <row r="498" ht="15.75" hidden="1" customHeight="1"/>
    <row r="499" ht="15.75" hidden="1" customHeight="1"/>
    <row r="500" ht="15.75" hidden="1" customHeight="1"/>
    <row r="501" ht="15.75" hidden="1" customHeight="1"/>
    <row r="502" ht="15.75" hidden="1" customHeight="1"/>
    <row r="503" ht="15.75" hidden="1" customHeight="1"/>
    <row r="504" ht="15.75" hidden="1" customHeight="1"/>
    <row r="505" ht="15.75" hidden="1" customHeight="1"/>
    <row r="506" ht="15.75" hidden="1" customHeight="1"/>
    <row r="507" ht="15.75" hidden="1" customHeight="1"/>
    <row r="508" ht="15.75" hidden="1" customHeight="1"/>
    <row r="509" ht="15.75" hidden="1" customHeight="1"/>
    <row r="510" ht="15.75" hidden="1" customHeight="1"/>
    <row r="511" ht="15.75" hidden="1" customHeight="1"/>
    <row r="512" ht="15.75" hidden="1" customHeight="1"/>
    <row r="513" ht="15.75" hidden="1" customHeight="1"/>
    <row r="514" ht="15.75" hidden="1" customHeight="1"/>
    <row r="515" ht="15.75" hidden="1" customHeight="1"/>
    <row r="516" ht="15.75" hidden="1" customHeight="1"/>
    <row r="517" ht="15.75" hidden="1" customHeight="1"/>
    <row r="518" ht="15.75" hidden="1" customHeight="1"/>
    <row r="519" ht="15.75" hidden="1" customHeight="1"/>
    <row r="520" ht="15.75" hidden="1" customHeight="1"/>
    <row r="521" ht="15.75" hidden="1" customHeight="1"/>
    <row r="522" ht="15.75" hidden="1" customHeight="1"/>
    <row r="523" ht="15.75" hidden="1" customHeight="1"/>
    <row r="524" ht="15.75" hidden="1" customHeight="1"/>
    <row r="525" ht="15.75" hidden="1" customHeight="1"/>
    <row r="526" ht="15.75" hidden="1" customHeight="1"/>
    <row r="527" ht="15.75" hidden="1" customHeight="1"/>
    <row r="528" ht="15.75" hidden="1" customHeight="1"/>
    <row r="529" ht="15.75" hidden="1" customHeight="1"/>
    <row r="530" ht="15.75" hidden="1" customHeight="1"/>
    <row r="531" ht="15.75" hidden="1" customHeight="1"/>
    <row r="532" ht="15.75" hidden="1" customHeight="1"/>
    <row r="533" ht="15.75" hidden="1" customHeight="1"/>
    <row r="534" ht="15.75" hidden="1" customHeight="1"/>
    <row r="535" ht="15.75" hidden="1" customHeight="1"/>
    <row r="536" ht="15.75" hidden="1" customHeight="1"/>
    <row r="537" ht="15.75" hidden="1" customHeight="1"/>
    <row r="538" ht="15.75" hidden="1" customHeight="1"/>
    <row r="539" ht="15.75" hidden="1" customHeight="1"/>
    <row r="540" ht="15.75" hidden="1" customHeight="1"/>
    <row r="541" ht="15.75" hidden="1" customHeight="1"/>
    <row r="542" ht="15.75" hidden="1" customHeight="1"/>
    <row r="543" ht="15.75" hidden="1" customHeight="1"/>
    <row r="544" ht="15.75" hidden="1" customHeight="1"/>
    <row r="545" ht="15.75" hidden="1" customHeight="1"/>
    <row r="546" ht="15.75" hidden="1" customHeight="1"/>
    <row r="547" ht="15.75" hidden="1" customHeight="1"/>
    <row r="548" ht="15.75" hidden="1" customHeight="1"/>
    <row r="549" ht="15.75" hidden="1" customHeight="1"/>
    <row r="550" ht="15.75" hidden="1" customHeight="1"/>
    <row r="551" ht="15.75" hidden="1" customHeight="1"/>
    <row r="552" ht="15.75" hidden="1" customHeight="1"/>
    <row r="553" ht="15.75" hidden="1" customHeight="1"/>
    <row r="554" ht="15.75" hidden="1" customHeight="1"/>
    <row r="555" ht="15.75" hidden="1" customHeight="1"/>
    <row r="556" ht="15.75" hidden="1" customHeight="1"/>
    <row r="557" ht="15.75" hidden="1" customHeight="1"/>
    <row r="558" ht="15.75" hidden="1" customHeight="1"/>
    <row r="559" ht="15.75" hidden="1" customHeight="1"/>
    <row r="560" ht="15.75" hidden="1" customHeight="1"/>
    <row r="561" ht="15.75" hidden="1" customHeight="1"/>
    <row r="562" ht="15.75" hidden="1" customHeight="1"/>
    <row r="563" ht="15.75" hidden="1" customHeight="1"/>
    <row r="564" ht="15.75" hidden="1" customHeight="1"/>
    <row r="565" ht="15.75" hidden="1" customHeight="1"/>
    <row r="566" ht="15.75" hidden="1" customHeight="1"/>
    <row r="567" ht="15.75" hidden="1" customHeight="1"/>
    <row r="568" ht="15.75" hidden="1" customHeight="1"/>
    <row r="569" ht="15.75" hidden="1" customHeight="1"/>
    <row r="570" ht="15.75" hidden="1" customHeight="1"/>
    <row r="571" ht="15.75" hidden="1" customHeight="1"/>
    <row r="572" ht="15.75" hidden="1" customHeight="1"/>
    <row r="573" ht="15.75" hidden="1" customHeight="1"/>
    <row r="574" ht="15.75" hidden="1" customHeight="1"/>
    <row r="575" ht="15.75" hidden="1" customHeight="1"/>
    <row r="576" ht="15.75" hidden="1" customHeight="1"/>
    <row r="577" ht="15.75" hidden="1" customHeight="1"/>
    <row r="578" ht="15.75" hidden="1" customHeight="1"/>
    <row r="579" ht="15.75" hidden="1" customHeight="1"/>
    <row r="580" ht="15.75" hidden="1" customHeight="1"/>
    <row r="581" ht="15.75" hidden="1" customHeight="1"/>
    <row r="582" ht="15.75" hidden="1" customHeight="1"/>
    <row r="583" ht="15.75" hidden="1" customHeight="1"/>
    <row r="584" ht="15.75" hidden="1" customHeight="1"/>
    <row r="585" ht="15.75" hidden="1" customHeight="1"/>
    <row r="586" ht="15.75" hidden="1" customHeight="1"/>
    <row r="587" ht="15.75" hidden="1" customHeight="1"/>
    <row r="588" ht="15.75" hidden="1" customHeight="1"/>
    <row r="589" ht="15.75" hidden="1" customHeight="1"/>
    <row r="590" ht="15.75" hidden="1" customHeight="1"/>
    <row r="591" ht="15.75" hidden="1" customHeight="1"/>
    <row r="592" ht="15.75" hidden="1" customHeight="1"/>
    <row r="593" ht="15.75" hidden="1" customHeight="1"/>
    <row r="594" ht="15.75" hidden="1" customHeight="1"/>
    <row r="595" ht="15.75" hidden="1" customHeight="1"/>
    <row r="596" ht="15.75" hidden="1" customHeight="1"/>
    <row r="597" ht="15.75" hidden="1" customHeight="1"/>
    <row r="598" ht="15.75" hidden="1" customHeight="1"/>
    <row r="599" ht="15.75" hidden="1" customHeight="1"/>
    <row r="600" ht="15.75" hidden="1" customHeight="1"/>
    <row r="601" ht="15.75" hidden="1" customHeight="1"/>
    <row r="602" ht="15.75" hidden="1" customHeight="1"/>
    <row r="603" ht="15.75" hidden="1" customHeight="1"/>
    <row r="604" ht="15.75" hidden="1" customHeight="1"/>
    <row r="605" ht="15.75" hidden="1" customHeight="1"/>
    <row r="606" ht="15.75" hidden="1" customHeight="1"/>
    <row r="607" ht="15.75" hidden="1" customHeight="1"/>
    <row r="608" ht="15.75" hidden="1" customHeight="1"/>
    <row r="609" ht="15.75" hidden="1" customHeight="1"/>
    <row r="610" ht="15.75" hidden="1" customHeight="1"/>
    <row r="611" ht="15.75" hidden="1" customHeight="1"/>
    <row r="612" ht="15.75" hidden="1" customHeight="1"/>
    <row r="613" ht="15.75" hidden="1" customHeight="1"/>
    <row r="614" ht="15.75" hidden="1" customHeight="1"/>
    <row r="615" ht="15.75" hidden="1" customHeight="1"/>
    <row r="616" ht="15.75" hidden="1" customHeight="1"/>
    <row r="617" ht="15.75" hidden="1" customHeight="1"/>
    <row r="618" ht="15.75" hidden="1" customHeight="1"/>
    <row r="619" ht="15.75" hidden="1" customHeight="1"/>
    <row r="620" ht="15.75" hidden="1" customHeight="1"/>
    <row r="621" ht="15.75" hidden="1" customHeight="1"/>
    <row r="622" ht="15.75" hidden="1" customHeight="1"/>
    <row r="623" ht="15.75" hidden="1" customHeight="1"/>
    <row r="624" ht="15.75" hidden="1" customHeight="1"/>
    <row r="625" ht="15.75" hidden="1" customHeight="1"/>
    <row r="626" ht="15.75" hidden="1" customHeight="1"/>
    <row r="627" ht="15.75" hidden="1" customHeight="1"/>
    <row r="628" ht="15.75" hidden="1" customHeight="1"/>
    <row r="629" ht="15.75" hidden="1" customHeight="1"/>
    <row r="630" ht="15.75" hidden="1" customHeight="1"/>
    <row r="631" ht="15.75" hidden="1" customHeight="1"/>
    <row r="632" ht="15.75" hidden="1" customHeight="1"/>
    <row r="633" ht="15.75" hidden="1" customHeight="1"/>
    <row r="634" ht="15.75" hidden="1" customHeight="1"/>
    <row r="635" ht="15.75" hidden="1" customHeight="1"/>
    <row r="636" ht="15.75" hidden="1" customHeight="1"/>
    <row r="637" ht="15.75" hidden="1" customHeight="1"/>
    <row r="638" ht="15.75" hidden="1" customHeight="1"/>
    <row r="639" ht="15.75" hidden="1" customHeight="1"/>
    <row r="640" ht="15.75" hidden="1" customHeight="1"/>
    <row r="641" ht="15.75" hidden="1" customHeight="1"/>
    <row r="642" ht="15.75" hidden="1" customHeight="1"/>
    <row r="643" ht="15.75" hidden="1" customHeight="1"/>
    <row r="644" ht="15.75" hidden="1" customHeight="1"/>
    <row r="645" ht="15.75" hidden="1" customHeight="1"/>
    <row r="646" ht="15.75" hidden="1" customHeight="1"/>
    <row r="647" ht="15.75" hidden="1" customHeight="1"/>
    <row r="648" ht="15.75" hidden="1" customHeight="1"/>
    <row r="649" ht="15.75" hidden="1" customHeight="1"/>
    <row r="650" ht="15.75" hidden="1" customHeight="1"/>
    <row r="651" ht="15.75" hidden="1" customHeight="1"/>
    <row r="652" ht="15.75" hidden="1" customHeight="1"/>
    <row r="653" ht="15.75" hidden="1" customHeight="1"/>
    <row r="654" ht="15.75" hidden="1" customHeight="1"/>
    <row r="655" ht="15.75" hidden="1" customHeight="1"/>
    <row r="656" ht="15.75" hidden="1" customHeight="1"/>
    <row r="657" ht="15.75" hidden="1" customHeight="1"/>
    <row r="658" ht="15.75" hidden="1" customHeight="1"/>
    <row r="659" ht="15.75" hidden="1" customHeight="1"/>
    <row r="660" ht="15.75" hidden="1" customHeight="1"/>
    <row r="661" ht="15.75" hidden="1" customHeight="1"/>
    <row r="662" ht="15.75" hidden="1" customHeight="1"/>
    <row r="663" ht="15.75" hidden="1" customHeight="1"/>
    <row r="664" ht="15.75" hidden="1" customHeight="1"/>
    <row r="665" ht="15.75" hidden="1" customHeight="1"/>
    <row r="666" ht="15.75" hidden="1" customHeight="1"/>
    <row r="667" ht="15.75" hidden="1" customHeight="1"/>
    <row r="668" ht="15.75" hidden="1" customHeight="1"/>
    <row r="669" ht="15.75" hidden="1" customHeight="1"/>
    <row r="670" ht="15.75" hidden="1" customHeight="1"/>
    <row r="671" ht="15.75" hidden="1" customHeight="1"/>
    <row r="672" ht="15.75" hidden="1" customHeight="1"/>
    <row r="673" ht="15.75" hidden="1" customHeight="1"/>
    <row r="674" ht="15.75" hidden="1" customHeight="1"/>
    <row r="675" ht="15.75" hidden="1" customHeight="1"/>
    <row r="676" ht="15.75" hidden="1" customHeight="1"/>
    <row r="677" ht="15.75" hidden="1" customHeight="1"/>
    <row r="678" ht="15.75" hidden="1" customHeight="1"/>
    <row r="679" ht="15.75" hidden="1" customHeight="1"/>
    <row r="680" ht="15.75" hidden="1" customHeight="1"/>
    <row r="681" ht="15.75" hidden="1" customHeight="1"/>
    <row r="682" ht="15.75" hidden="1" customHeight="1"/>
    <row r="683" ht="15.75" hidden="1" customHeight="1"/>
    <row r="684" ht="15.75" hidden="1" customHeight="1"/>
    <row r="685" ht="15.75" hidden="1" customHeight="1"/>
    <row r="686" ht="15.75" hidden="1" customHeight="1"/>
    <row r="687" ht="15.75" hidden="1" customHeight="1"/>
    <row r="688" ht="15.75" hidden="1" customHeight="1"/>
    <row r="689" ht="15.75" hidden="1" customHeight="1"/>
    <row r="690" ht="15.75" hidden="1" customHeight="1"/>
    <row r="691" ht="15.75" hidden="1" customHeight="1"/>
    <row r="692" ht="15.75" hidden="1" customHeight="1"/>
    <row r="693" ht="15.75" hidden="1" customHeight="1"/>
    <row r="694" ht="15.75" hidden="1" customHeight="1"/>
    <row r="695" ht="15.75" hidden="1" customHeight="1"/>
    <row r="696" ht="15.75" hidden="1" customHeight="1"/>
    <row r="697" ht="15.75" hidden="1" customHeight="1"/>
    <row r="698" ht="15.75" hidden="1" customHeight="1"/>
    <row r="699" ht="15.75" hidden="1" customHeight="1"/>
    <row r="700" ht="15.75" hidden="1" customHeight="1"/>
    <row r="701" ht="15.75" hidden="1" customHeight="1"/>
    <row r="702" ht="15.75" hidden="1" customHeight="1"/>
    <row r="703" ht="15.75" hidden="1" customHeight="1"/>
    <row r="704" ht="15.75" hidden="1" customHeight="1"/>
    <row r="705" ht="15.75" hidden="1" customHeight="1"/>
    <row r="706" ht="15.75" hidden="1" customHeight="1"/>
    <row r="707" ht="15.75" hidden="1" customHeight="1"/>
    <row r="708" ht="15.75" hidden="1" customHeight="1"/>
    <row r="709" ht="15.75" hidden="1" customHeight="1"/>
    <row r="710" ht="15.75" hidden="1" customHeight="1"/>
    <row r="711" ht="15.75" hidden="1" customHeight="1"/>
    <row r="712" ht="15.75" hidden="1" customHeight="1"/>
    <row r="713" ht="15.75" hidden="1" customHeight="1"/>
    <row r="714" ht="15.75" hidden="1" customHeight="1"/>
    <row r="715" ht="15.75" hidden="1" customHeight="1"/>
    <row r="716" ht="15.75" hidden="1" customHeight="1"/>
    <row r="717" ht="15.75" hidden="1" customHeight="1"/>
    <row r="718" ht="15.75" hidden="1" customHeight="1"/>
    <row r="719" ht="15.75" hidden="1" customHeight="1"/>
    <row r="720" ht="15.75" hidden="1" customHeight="1"/>
    <row r="721" ht="15.75" hidden="1" customHeight="1"/>
    <row r="722" ht="15.75" hidden="1" customHeight="1"/>
    <row r="723" ht="15.75" hidden="1" customHeight="1"/>
    <row r="724" ht="15.75" hidden="1" customHeight="1"/>
    <row r="725" ht="15.75" hidden="1" customHeight="1"/>
    <row r="726" ht="15.75" hidden="1" customHeight="1"/>
    <row r="727" ht="15.75" hidden="1" customHeight="1"/>
    <row r="728" ht="15.75" hidden="1" customHeight="1"/>
    <row r="729" ht="15.75" hidden="1" customHeight="1"/>
    <row r="730" ht="15.75" hidden="1" customHeight="1"/>
    <row r="731" ht="15.75" hidden="1" customHeight="1"/>
    <row r="732" ht="15.75" hidden="1" customHeight="1"/>
    <row r="733" ht="15.75" hidden="1" customHeight="1"/>
    <row r="734" ht="15.75" hidden="1" customHeight="1"/>
    <row r="735" ht="15.75" hidden="1" customHeight="1"/>
    <row r="736" ht="15.75" hidden="1" customHeight="1"/>
    <row r="737" ht="15.75" hidden="1" customHeight="1"/>
    <row r="738" ht="15.75" hidden="1" customHeight="1"/>
    <row r="739" ht="15.75" hidden="1" customHeight="1"/>
    <row r="740" ht="15.75" hidden="1" customHeight="1"/>
    <row r="741" ht="15.75" hidden="1" customHeight="1"/>
    <row r="742" ht="15.75" hidden="1" customHeight="1"/>
    <row r="743" ht="15.75" hidden="1" customHeight="1"/>
    <row r="744" ht="15.75" hidden="1" customHeight="1"/>
    <row r="745" ht="15.75" hidden="1" customHeight="1"/>
    <row r="746" ht="15.75" hidden="1" customHeight="1"/>
    <row r="747" ht="15.75" hidden="1" customHeight="1"/>
    <row r="748" ht="15.75" hidden="1" customHeight="1"/>
    <row r="749" ht="15.75" hidden="1" customHeight="1"/>
    <row r="750" ht="15.75" hidden="1" customHeight="1"/>
    <row r="751" ht="15.75" hidden="1" customHeight="1"/>
    <row r="752" ht="15.75" hidden="1" customHeight="1"/>
    <row r="753" ht="15.75" hidden="1" customHeight="1"/>
    <row r="754" ht="15.75" hidden="1" customHeight="1"/>
    <row r="755" ht="15.75" hidden="1" customHeight="1"/>
    <row r="756" ht="15.75" hidden="1" customHeight="1"/>
    <row r="757" ht="15.75" hidden="1" customHeight="1"/>
    <row r="758" ht="15.75" hidden="1" customHeight="1"/>
    <row r="759" ht="15.75" hidden="1" customHeight="1"/>
    <row r="760" ht="15.75" hidden="1" customHeight="1"/>
    <row r="761" ht="15.75" hidden="1" customHeight="1"/>
    <row r="762" ht="15.75" hidden="1" customHeight="1"/>
    <row r="763" ht="15.75" hidden="1" customHeight="1"/>
    <row r="764" ht="15.75" hidden="1" customHeight="1"/>
    <row r="765" ht="15.75" hidden="1" customHeight="1"/>
    <row r="766" ht="15.75" hidden="1" customHeight="1"/>
    <row r="767" ht="15.75" hidden="1" customHeight="1"/>
    <row r="768" ht="15.75" hidden="1" customHeight="1"/>
    <row r="769" ht="15.75" hidden="1" customHeight="1"/>
    <row r="770" ht="15.75" hidden="1" customHeight="1"/>
    <row r="771" ht="15.75" hidden="1" customHeight="1"/>
    <row r="772" ht="15.75" hidden="1" customHeight="1"/>
    <row r="773" ht="15.75" hidden="1" customHeight="1"/>
    <row r="774" ht="15.75" hidden="1" customHeight="1"/>
    <row r="775" ht="15.75" hidden="1" customHeight="1"/>
    <row r="776" ht="15.75" hidden="1" customHeight="1"/>
    <row r="777" ht="15.75" hidden="1" customHeight="1"/>
    <row r="778" ht="15.75" hidden="1" customHeight="1"/>
    <row r="779" ht="15.75" hidden="1" customHeight="1"/>
    <row r="780" ht="15.75" hidden="1" customHeight="1"/>
    <row r="781" ht="15.75" hidden="1" customHeight="1"/>
    <row r="782" ht="15.75" hidden="1" customHeight="1"/>
    <row r="783" ht="15.75" hidden="1" customHeight="1"/>
    <row r="784" ht="15.75" hidden="1" customHeight="1"/>
    <row r="785" ht="15.75" hidden="1" customHeight="1"/>
    <row r="786" ht="15.75" hidden="1" customHeight="1"/>
    <row r="787" ht="15.75" hidden="1" customHeight="1"/>
    <row r="788" ht="15.75" hidden="1" customHeight="1"/>
    <row r="789" ht="15.75" hidden="1" customHeight="1"/>
    <row r="790" ht="15.75" hidden="1" customHeight="1"/>
    <row r="791" ht="15.75" hidden="1" customHeight="1"/>
    <row r="792" ht="15.75" hidden="1" customHeight="1"/>
    <row r="793" ht="15.75" hidden="1" customHeight="1"/>
    <row r="794" ht="15.75" hidden="1" customHeight="1"/>
    <row r="795" ht="15.75" hidden="1" customHeight="1"/>
    <row r="796" ht="15.75" hidden="1" customHeight="1"/>
    <row r="797" ht="15.75" hidden="1" customHeight="1"/>
    <row r="798" ht="15.75" hidden="1" customHeight="1"/>
    <row r="799" ht="15.75" hidden="1" customHeight="1"/>
    <row r="800" ht="15.75" hidden="1" customHeight="1"/>
    <row r="801" ht="15.75" hidden="1" customHeight="1"/>
    <row r="802" ht="15.75" hidden="1" customHeight="1"/>
    <row r="803" ht="15.75" hidden="1" customHeight="1"/>
    <row r="804" ht="15.75" hidden="1" customHeight="1"/>
    <row r="805" ht="15.75" hidden="1" customHeight="1"/>
    <row r="806" ht="15.75" hidden="1" customHeight="1"/>
    <row r="807" ht="15.75" hidden="1" customHeight="1"/>
    <row r="808" ht="15.75" hidden="1" customHeight="1"/>
    <row r="809" ht="15.75" hidden="1" customHeight="1"/>
    <row r="810" ht="15.75" hidden="1" customHeight="1"/>
    <row r="811" ht="15.75" hidden="1" customHeight="1"/>
    <row r="812" ht="15.75" hidden="1" customHeight="1"/>
    <row r="813" ht="15.75" hidden="1" customHeight="1"/>
    <row r="814" ht="15.75" hidden="1" customHeight="1"/>
    <row r="815" ht="15.75" hidden="1" customHeight="1"/>
    <row r="816" ht="15.75" hidden="1" customHeight="1"/>
    <row r="817" ht="15.75" hidden="1" customHeight="1"/>
    <row r="818" ht="15.75" hidden="1" customHeight="1"/>
    <row r="819" ht="15.75" hidden="1" customHeight="1"/>
    <row r="820" ht="15.75" hidden="1" customHeight="1"/>
    <row r="821" ht="15.75" hidden="1" customHeight="1"/>
    <row r="822" ht="15.75" hidden="1" customHeight="1"/>
    <row r="823" ht="15.75" hidden="1" customHeight="1"/>
    <row r="824" ht="15.75" hidden="1" customHeight="1"/>
    <row r="825" ht="15.75" hidden="1" customHeight="1"/>
    <row r="826" ht="15.75" hidden="1" customHeight="1"/>
    <row r="827" ht="15.75" hidden="1" customHeight="1"/>
    <row r="828" ht="15.75" hidden="1" customHeight="1"/>
    <row r="829" ht="15.75" hidden="1" customHeight="1"/>
    <row r="830" ht="15.75" hidden="1" customHeight="1"/>
    <row r="831" ht="15.75" hidden="1" customHeight="1"/>
    <row r="832" ht="15.75" hidden="1" customHeight="1"/>
    <row r="833" ht="15.75" hidden="1" customHeight="1"/>
    <row r="834" ht="15.75" hidden="1" customHeight="1"/>
    <row r="835" ht="15.75" hidden="1" customHeight="1"/>
    <row r="836" ht="15.75" hidden="1" customHeight="1"/>
    <row r="837" ht="15.75" hidden="1" customHeight="1"/>
    <row r="838" ht="15.75" hidden="1" customHeight="1"/>
    <row r="839" ht="15.75" hidden="1" customHeight="1"/>
    <row r="840" ht="15.75" hidden="1" customHeight="1"/>
    <row r="841" ht="15.75" hidden="1" customHeight="1"/>
    <row r="842" ht="15.75" hidden="1" customHeight="1"/>
    <row r="843" ht="15.75" hidden="1" customHeight="1"/>
    <row r="844" ht="15.75" hidden="1" customHeight="1"/>
    <row r="845" ht="15.75" hidden="1" customHeight="1"/>
    <row r="846" ht="15.75" hidden="1" customHeight="1"/>
    <row r="847" ht="15.75" hidden="1" customHeight="1"/>
    <row r="848" ht="15.75" hidden="1" customHeight="1"/>
    <row r="849" ht="15.75" hidden="1" customHeight="1"/>
    <row r="850" ht="15.75" hidden="1" customHeight="1"/>
    <row r="851" ht="15.75" hidden="1" customHeight="1"/>
    <row r="852" ht="15.75" hidden="1" customHeight="1"/>
    <row r="853" ht="15.75" hidden="1" customHeight="1"/>
    <row r="854" ht="15.75" hidden="1" customHeight="1"/>
    <row r="855" ht="15.75" hidden="1" customHeight="1"/>
    <row r="856" ht="15.75" hidden="1" customHeight="1"/>
    <row r="857" ht="15.75" hidden="1" customHeight="1"/>
    <row r="858" ht="15.75" hidden="1" customHeight="1"/>
    <row r="859" ht="15.75" hidden="1" customHeight="1"/>
    <row r="860" ht="15.75" hidden="1" customHeight="1"/>
    <row r="861" ht="15.75" hidden="1" customHeight="1"/>
    <row r="862" ht="15.75" hidden="1" customHeight="1"/>
    <row r="863" ht="15.75" hidden="1" customHeight="1"/>
    <row r="864" ht="15.75" hidden="1" customHeight="1"/>
    <row r="865" ht="15.75" hidden="1" customHeight="1"/>
    <row r="866" ht="15.75" hidden="1" customHeight="1"/>
    <row r="867" ht="15.75" hidden="1" customHeight="1"/>
    <row r="868" ht="15.75" hidden="1" customHeight="1"/>
    <row r="869" ht="15.75" hidden="1" customHeight="1"/>
    <row r="870" ht="15.75" hidden="1" customHeight="1"/>
    <row r="871" ht="15.75" hidden="1" customHeight="1"/>
    <row r="872" ht="15.75" hidden="1" customHeight="1"/>
    <row r="873" ht="15.75" hidden="1" customHeight="1"/>
    <row r="874" ht="15.75" hidden="1" customHeight="1"/>
    <row r="875" ht="15.75" hidden="1" customHeight="1"/>
    <row r="876" ht="15.75" hidden="1" customHeight="1"/>
    <row r="877" ht="15.75" hidden="1" customHeight="1"/>
    <row r="878" ht="15.75" hidden="1" customHeight="1"/>
    <row r="879" ht="15.75" hidden="1" customHeight="1"/>
    <row r="880" ht="15.75" hidden="1" customHeight="1"/>
    <row r="881" ht="15.75" hidden="1" customHeight="1"/>
    <row r="882" ht="15.75" hidden="1" customHeight="1"/>
    <row r="883" ht="15.75" hidden="1" customHeight="1"/>
    <row r="884" ht="15.75" hidden="1" customHeight="1"/>
    <row r="885" ht="15.75" hidden="1" customHeight="1"/>
    <row r="886" ht="15.75" hidden="1" customHeight="1"/>
    <row r="887" ht="15.75" hidden="1" customHeight="1"/>
    <row r="888" ht="15.75" hidden="1" customHeight="1"/>
    <row r="889" ht="15.75" hidden="1" customHeight="1"/>
    <row r="890" ht="15.75" hidden="1" customHeight="1"/>
    <row r="891" ht="15.75" hidden="1" customHeight="1"/>
    <row r="892" ht="15.75" hidden="1" customHeight="1"/>
    <row r="893" ht="15.75" hidden="1" customHeight="1"/>
    <row r="894" ht="15.75" hidden="1" customHeight="1"/>
    <row r="895" ht="15.75" hidden="1" customHeight="1"/>
    <row r="896" ht="15.75" hidden="1" customHeight="1"/>
    <row r="897" ht="15.75" hidden="1" customHeight="1"/>
    <row r="898" ht="15.75" hidden="1" customHeight="1"/>
    <row r="899" ht="15.75" hidden="1" customHeight="1"/>
    <row r="900" ht="15.75" hidden="1" customHeight="1"/>
    <row r="901" ht="15.75" hidden="1" customHeight="1"/>
    <row r="902" ht="15.75" hidden="1" customHeight="1"/>
    <row r="903" ht="15.75" hidden="1" customHeight="1"/>
    <row r="904" ht="15.75" hidden="1" customHeight="1"/>
    <row r="905" ht="15.75" hidden="1" customHeight="1"/>
    <row r="906" ht="15.75" hidden="1" customHeight="1"/>
    <row r="907" ht="15.75" hidden="1" customHeight="1"/>
    <row r="908" ht="15.75" hidden="1" customHeight="1"/>
    <row r="909" ht="15.75" hidden="1" customHeight="1"/>
    <row r="910" ht="15.75" hidden="1" customHeight="1"/>
    <row r="911" ht="15.75" hidden="1" customHeight="1"/>
    <row r="912" ht="15.75" hidden="1" customHeight="1"/>
    <row r="913" ht="15.75" hidden="1" customHeight="1"/>
    <row r="914" ht="15.75" hidden="1" customHeight="1"/>
    <row r="915" ht="15.75" hidden="1" customHeight="1"/>
    <row r="916" ht="15.75" hidden="1" customHeight="1"/>
    <row r="917" ht="15.75" hidden="1" customHeight="1"/>
    <row r="918" ht="15.75" hidden="1" customHeight="1"/>
    <row r="919" ht="15.75" hidden="1" customHeight="1"/>
    <row r="920" ht="15.75" hidden="1" customHeight="1"/>
    <row r="921" ht="15.75" hidden="1" customHeight="1"/>
    <row r="922" ht="15.75" hidden="1" customHeight="1"/>
    <row r="923" ht="15.75" hidden="1" customHeight="1"/>
    <row r="924" ht="15.75" hidden="1" customHeight="1"/>
    <row r="925" ht="15.75" hidden="1" customHeight="1"/>
    <row r="926" ht="15.75" hidden="1" customHeight="1"/>
    <row r="927" ht="15.75" hidden="1" customHeight="1"/>
    <row r="928" ht="15.75" hidden="1" customHeight="1"/>
    <row r="929" ht="15.75" hidden="1" customHeight="1"/>
    <row r="930" ht="15.75" hidden="1" customHeight="1"/>
    <row r="931" ht="15.75" hidden="1" customHeight="1"/>
    <row r="932" ht="15.75" hidden="1" customHeight="1"/>
    <row r="933" ht="15.75" hidden="1" customHeight="1"/>
    <row r="934" ht="15.75" hidden="1" customHeight="1"/>
    <row r="935" ht="15.75" hidden="1" customHeight="1"/>
    <row r="936" ht="15.75" hidden="1" customHeight="1"/>
    <row r="937" ht="15.75" hidden="1" customHeight="1"/>
    <row r="938" ht="15.75" hidden="1" customHeight="1"/>
    <row r="939" ht="15.75" hidden="1" customHeight="1"/>
    <row r="940" ht="15.75" hidden="1" customHeight="1"/>
    <row r="941" ht="15.75" hidden="1" customHeight="1"/>
    <row r="942" ht="15.75" hidden="1" customHeight="1"/>
    <row r="943" ht="15.75" hidden="1" customHeight="1"/>
    <row r="944" ht="15.75" hidden="1" customHeight="1"/>
    <row r="945" ht="15.75" hidden="1" customHeight="1"/>
    <row r="946" ht="15.75" hidden="1" customHeight="1"/>
    <row r="947" ht="15.75" hidden="1" customHeight="1"/>
    <row r="948" ht="15.75" hidden="1" customHeight="1"/>
    <row r="949" ht="15.75" hidden="1" customHeight="1"/>
    <row r="950" ht="15.75" hidden="1" customHeight="1"/>
    <row r="951" ht="15.75" hidden="1" customHeight="1"/>
    <row r="952" ht="15.75" hidden="1" customHeight="1"/>
    <row r="953" ht="15.75" hidden="1" customHeight="1"/>
    <row r="954" ht="15.75" hidden="1" customHeight="1"/>
    <row r="955" ht="15.75" hidden="1" customHeight="1"/>
    <row r="956" ht="15.75" hidden="1" customHeight="1"/>
    <row r="957" ht="15.75" hidden="1" customHeight="1"/>
    <row r="958" ht="15.75" hidden="1" customHeight="1"/>
    <row r="959" ht="15.75" hidden="1" customHeight="1"/>
    <row r="960" ht="15.75" hidden="1" customHeight="1"/>
    <row r="961" ht="15.75" hidden="1" customHeight="1"/>
    <row r="962" ht="15.75" hidden="1" customHeight="1"/>
    <row r="963" ht="15.75" hidden="1" customHeight="1"/>
    <row r="964" ht="15.75" hidden="1" customHeight="1"/>
    <row r="965" ht="15.75" hidden="1" customHeight="1"/>
    <row r="966" ht="15.75" hidden="1" customHeight="1"/>
    <row r="967" ht="15.75" hidden="1" customHeight="1"/>
    <row r="968" ht="15.75" hidden="1" customHeight="1"/>
    <row r="969" ht="15.75" hidden="1" customHeight="1"/>
    <row r="970" ht="15.75" hidden="1" customHeight="1"/>
    <row r="971" ht="15.75" hidden="1" customHeight="1"/>
    <row r="972" ht="15.75" hidden="1" customHeight="1"/>
    <row r="973" ht="15.75" hidden="1" customHeight="1"/>
    <row r="974" ht="15.75" hidden="1" customHeight="1"/>
    <row r="975" ht="15.75" hidden="1" customHeight="1"/>
    <row r="976" ht="15.75" hidden="1" customHeight="1"/>
    <row r="977" ht="15.75" hidden="1" customHeight="1"/>
    <row r="978" ht="15.75" hidden="1" customHeight="1"/>
    <row r="979" ht="15.75" hidden="1" customHeight="1"/>
    <row r="980" ht="15.75" hidden="1" customHeight="1"/>
    <row r="981" ht="15.75" hidden="1" customHeight="1"/>
    <row r="982" ht="15.75" hidden="1" customHeight="1"/>
    <row r="983" ht="15.75" hidden="1" customHeight="1"/>
    <row r="984" ht="15.75" hidden="1" customHeight="1"/>
    <row r="985" ht="15.75" hidden="1" customHeight="1"/>
    <row r="986" ht="15.75" hidden="1" customHeight="1"/>
    <row r="987" ht="15.75" hidden="1" customHeight="1"/>
    <row r="988" ht="15.75" hidden="1" customHeight="1"/>
    <row r="989" ht="15.75" hidden="1" customHeight="1"/>
    <row r="990" ht="15.75" hidden="1" customHeight="1"/>
    <row r="991" ht="15.75" hidden="1" customHeight="1"/>
    <row r="992" ht="15.75" hidden="1" customHeight="1"/>
    <row r="993" ht="15.75" hidden="1" customHeight="1"/>
    <row r="994" ht="15.75" hidden="1" customHeight="1"/>
    <row r="995" ht="15.75" hidden="1" customHeight="1"/>
    <row r="996" ht="15.75" hidden="1" customHeight="1"/>
    <row r="997" ht="15.75" hidden="1" customHeight="1"/>
    <row r="998" ht="15.75" hidden="1" customHeight="1"/>
    <row r="999" ht="15.75" hidden="1" customHeight="1"/>
    <row r="1000" ht="15.75" hidden="1" customHeight="1"/>
    <row r="1001" ht="15.75" hidden="1" customHeight="1"/>
    <row r="1002" ht="15.75" hidden="1" customHeight="1"/>
    <row r="1003" ht="15.75" hidden="1" customHeight="1"/>
    <row r="1004" ht="15.75" hidden="1" customHeight="1"/>
    <row r="1005" ht="15.75" hidden="1" customHeight="1"/>
    <row r="1006" ht="15.75" hidden="1" customHeight="1"/>
    <row r="1007" ht="15.75" hidden="1" customHeight="1"/>
    <row r="1008" ht="15.75" hidden="1" customHeight="1"/>
    <row r="1009" ht="15.75" hidden="1" customHeight="1"/>
    <row r="1010" ht="15.75" hidden="1" customHeight="1"/>
    <row r="1011" ht="15.75" hidden="1" customHeight="1"/>
    <row r="1012" ht="15.75" hidden="1" customHeight="1"/>
    <row r="1013" ht="15.75" hidden="1" customHeight="1"/>
    <row r="1014" ht="15.75" hidden="1" customHeight="1"/>
    <row r="1015" ht="15.75" hidden="1" customHeight="1"/>
    <row r="1016" ht="15.75" hidden="1" customHeight="1"/>
    <row r="1017" ht="15.75" hidden="1" customHeight="1"/>
    <row r="1018" ht="15.75" hidden="1" customHeight="1"/>
    <row r="1019" ht="15.75" hidden="1" customHeight="1"/>
    <row r="1020" ht="15.75" hidden="1" customHeight="1"/>
    <row r="1021" ht="15.75" hidden="1" customHeight="1"/>
    <row r="1022" ht="15.75" hidden="1" customHeight="1"/>
    <row r="1023" ht="15.75" hidden="1" customHeight="1"/>
    <row r="1024" ht="15.75" hidden="1" customHeight="1"/>
    <row r="1025" ht="15.75" hidden="1" customHeight="1"/>
    <row r="1026" ht="15.75" hidden="1" customHeight="1"/>
    <row r="1027" ht="15.75" hidden="1" customHeight="1"/>
    <row r="1028" ht="15.75" hidden="1" customHeight="1"/>
    <row r="1029" ht="15.75" hidden="1" customHeight="1"/>
    <row r="1030" ht="15.75" hidden="1" customHeight="1"/>
    <row r="1031" ht="15.75" hidden="1" customHeight="1"/>
    <row r="1032" ht="15.75" hidden="1" customHeight="1"/>
  </sheetData>
  <sheetProtection formatRows="0" autoFilter="0"/>
  <mergeCells count="1">
    <mergeCell ref="B6:G6"/>
  </mergeCells>
  <phoneticPr fontId="14" type="noConversion"/>
  <conditionalFormatting sqref="B9:B33">
    <cfRule type="duplicateValues" dxfId="24" priority="11"/>
  </conditionalFormatting>
  <conditionalFormatting sqref="C9:C33">
    <cfRule type="cellIs" dxfId="23" priority="12" operator="between">
      <formula>1E-28</formula>
      <formula>0.00005</formula>
    </cfRule>
    <cfRule type="cellIs" dxfId="22" priority="31" stopIfTrue="1" operator="equal">
      <formula>0</formula>
    </cfRule>
  </conditionalFormatting>
  <conditionalFormatting sqref="G8:H8">
    <cfRule type="expression" dxfId="21" priority="32">
      <formula>#REF!=0</formula>
    </cfRule>
  </conditionalFormatting>
  <conditionalFormatting sqref="I8:BB8">
    <cfRule type="expression" dxfId="20" priority="8">
      <formula>I38="S"</formula>
    </cfRule>
    <cfRule type="expression" dxfId="19" priority="9">
      <formula>I38="D"</formula>
    </cfRule>
  </conditionalFormatting>
  <conditionalFormatting sqref="I9:BB33">
    <cfRule type="cellIs" dxfId="18" priority="30" operator="equal">
      <formula>0</formula>
    </cfRule>
  </conditionalFormatting>
  <conditionalFormatting sqref="I37:BB37">
    <cfRule type="cellIs" dxfId="17" priority="13" operator="equal">
      <formula>"Desconsiderar"</formula>
    </cfRule>
  </conditionalFormatting>
  <conditionalFormatting sqref="I38:BB38">
    <cfRule type="containsText" dxfId="16" priority="29" operator="containsText" text="D">
      <formula>NOT(ISERROR(SEARCH("D",I38)))</formula>
    </cfRule>
  </conditionalFormatting>
  <conditionalFormatting sqref="I43:BB43">
    <cfRule type="cellIs" dxfId="15" priority="25" operator="equal">
      <formula>"Ok"</formula>
    </cfRule>
  </conditionalFormatting>
  <conditionalFormatting sqref="I53:I76 J53:BB77">
    <cfRule type="cellIs" dxfId="14" priority="14" operator="equal">
      <formula>0</formula>
    </cfRule>
  </conditionalFormatting>
  <conditionalFormatting sqref="BD9:BL33">
    <cfRule type="expression" dxfId="13" priority="33">
      <formula>$C9=0</formula>
    </cfRule>
  </conditionalFormatting>
  <conditionalFormatting sqref="BE53:BG76 BD53:BD77 BH53:BL77">
    <cfRule type="cellIs" dxfId="12" priority="7" operator="equal">
      <formula>0</formula>
    </cfRule>
  </conditionalFormatting>
  <conditionalFormatting sqref="BE77:BG77">
    <cfRule type="cellIs" dxfId="11" priority="5" operator="equal">
      <formula>0</formula>
    </cfRule>
  </conditionalFormatting>
  <conditionalFormatting sqref="D9:E33">
    <cfRule type="cellIs" dxfId="10" priority="1" operator="equal">
      <formula>0</formula>
    </cfRule>
  </conditionalFormatting>
  <dataValidations count="2">
    <dataValidation type="list" allowBlank="1" showInputMessage="1" sqref="B9:B33" xr:uid="{CAA551B8-EC1F-4786-8DB6-B69F636B3628}">
      <formula1>Filtrar.Alimento</formula1>
    </dataValidation>
    <dataValidation type="list" showInputMessage="1" showErrorMessage="1" sqref="I37:BB37" xr:uid="{20CF96CF-10B4-41EB-85CA-7C0263909E5F}">
      <formula1>"Desconsiderar,Considerar"</formula1>
    </dataValidation>
  </dataValidations>
  <pageMargins left="0.25" right="0.25" top="0.75" bottom="0.75" header="0.3" footer="0.3"/>
  <pageSetup scale="16" fitToHeight="0" orientation="landscape" r:id="rId1"/>
  <ignoredErrors>
    <ignoredError sqref="BJ34 BH53:BH76 E53:E7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67" r:id="rId4" name="Drop Down 23">
              <controlPr defaultSize="0" autoLine="0" autoPict="0">
                <anchor moveWithCells="1">
                  <from>
                    <xdr:col>1</xdr:col>
                    <xdr:colOff>723900</xdr:colOff>
                    <xdr:row>5</xdr:row>
                    <xdr:rowOff>257175</xdr:rowOff>
                  </from>
                  <to>
                    <xdr:col>6</xdr:col>
                    <xdr:colOff>409575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8219-5D44-450A-B7B5-B9C5AE11F252}">
  <sheetPr codeName="Planilha13">
    <tabColor rgb="FF00B0F0"/>
    <pageSetUpPr fitToPage="1"/>
  </sheetPr>
  <dimension ref="A1:Q285"/>
  <sheetViews>
    <sheetView showGridLines="0" showRowColHeaders="0" zoomScaleNormal="100" workbookViewId="0">
      <pane ySplit="6" topLeftCell="A7" activePane="bottomLeft" state="frozen"/>
      <selection activeCell="G2" sqref="G2"/>
      <selection pane="bottomLeft" activeCell="A7" sqref="A7"/>
    </sheetView>
  </sheetViews>
  <sheetFormatPr defaultColWidth="0" defaultRowHeight="14.25"/>
  <cols>
    <col min="1" max="1" width="2.125" customWidth="1"/>
    <col min="2" max="2" width="34.75" style="81" customWidth="1"/>
    <col min="3" max="3" width="7.625" style="80" customWidth="1"/>
    <col min="4" max="4" width="7.5" style="80" bestFit="1" customWidth="1"/>
    <col min="5" max="5" width="11.875" customWidth="1"/>
    <col min="6" max="6" width="13.375" customWidth="1"/>
    <col min="7" max="7" width="16.875" customWidth="1"/>
    <col min="8" max="8" width="8.375" customWidth="1"/>
    <col min="9" max="9" width="8.125" customWidth="1"/>
    <col min="10" max="10" width="13.5" customWidth="1"/>
    <col min="11" max="11" width="1.5" customWidth="1"/>
    <col min="12" max="12" width="0.75" style="82" customWidth="1"/>
    <col min="13" max="13" width="0.5" style="82" customWidth="1"/>
    <col min="14" max="14" width="30.75" hidden="1" customWidth="1"/>
    <col min="15" max="15" width="32.125" hidden="1" customWidth="1"/>
    <col min="16" max="16" width="32.5" hidden="1" customWidth="1"/>
    <col min="17" max="17" width="4.5" hidden="1" customWidth="1"/>
    <col min="18" max="16384" width="9" hidden="1"/>
  </cols>
  <sheetData>
    <row r="1" spans="1:17" ht="27" customHeight="1" thickBot="1">
      <c r="A1" s="627"/>
      <c r="B1" s="93"/>
      <c r="C1" s="94"/>
      <c r="D1" s="94"/>
      <c r="E1" s="91"/>
      <c r="F1" s="91"/>
      <c r="G1" s="91"/>
      <c r="H1" s="91"/>
      <c r="I1" s="91"/>
      <c r="J1" s="91"/>
      <c r="K1" s="91"/>
      <c r="L1" s="92"/>
      <c r="M1" s="92"/>
      <c r="N1" s="91"/>
      <c r="O1" s="91"/>
      <c r="P1" s="91"/>
      <c r="Q1" s="91"/>
    </row>
    <row r="2" spans="1:17" ht="26.25" customHeight="1" thickTop="1" thickBot="1">
      <c r="A2" s="448"/>
      <c r="B2" s="2209" t="str">
        <f>IFERROR("*Atendimento calculado para "&amp;Batida!I3,"Sem dados de Exigência")</f>
        <v>*Atendimento calculado para Suplemento  Mineral</v>
      </c>
      <c r="C2" s="2210"/>
      <c r="D2" s="2210"/>
      <c r="E2" s="2210"/>
      <c r="F2" s="2210"/>
      <c r="G2" s="2210"/>
      <c r="H2" s="2210"/>
      <c r="I2" s="2210"/>
      <c r="J2" s="2211"/>
      <c r="K2" s="448"/>
      <c r="L2" s="560"/>
      <c r="M2" s="560"/>
      <c r="N2" s="2206" t="str">
        <f>IF(N4="","As exigências Mínimas foram atendidas","Atenção!   Os nutrientes abaixo não atingiram a exigência mínima ou estão no Limite")</f>
        <v>As exigências Mínimas foram atendidas</v>
      </c>
      <c r="O2" s="2207"/>
      <c r="P2" s="2208"/>
      <c r="Q2" s="91"/>
    </row>
    <row r="3" spans="1:17" ht="5.25" customHeight="1" thickTop="1" thickBot="1">
      <c r="A3" s="448"/>
      <c r="B3" s="651" t="str">
        <f ca="1">TEXT(NOW(),"AAMMDD")&amp;TEXT(NOW(),"hhmmss")&amp;" Relatório de Atendimento "&amp;Batida!I3</f>
        <v>240107120423 Relatório de Atendimento Suplemento  Mineral</v>
      </c>
      <c r="C3" s="522"/>
      <c r="D3" s="522"/>
      <c r="E3" s="448"/>
      <c r="F3" s="448"/>
      <c r="G3" s="448"/>
      <c r="H3" s="448"/>
      <c r="I3" s="448"/>
      <c r="J3" s="448"/>
      <c r="K3" s="448"/>
      <c r="L3" s="561"/>
      <c r="M3" s="561"/>
      <c r="N3" s="562"/>
      <c r="O3" s="448"/>
      <c r="P3" s="563"/>
      <c r="Q3" s="91"/>
    </row>
    <row r="4" spans="1:17" ht="24.75" customHeight="1" thickTop="1" thickBot="1">
      <c r="A4" s="448"/>
      <c r="B4" s="2212" t="str">
        <f>IFERROR("*Atendimento calculado para "&amp;Batida!I3,"Sem dados de Exigência")</f>
        <v>*Atendimento calculado para Suplemento  Mineral</v>
      </c>
      <c r="C4" s="2213"/>
      <c r="D4" s="2213"/>
      <c r="E4" s="2213"/>
      <c r="F4" s="2213"/>
      <c r="G4" s="2213"/>
      <c r="H4" s="2213"/>
      <c r="I4" s="2213"/>
      <c r="J4" s="2214"/>
      <c r="K4" s="448"/>
      <c r="L4" s="561"/>
      <c r="M4" s="561"/>
      <c r="N4" s="2203" t="str">
        <f>CONCATENATE(M7,M8,M9,M10,M11,M12,M13,M14,M15,M16,M17,M18,M19,M20,M21,M22,M23,M24,M25,M26,M27,M28,M29,M30,M31,M32,M33,M34,M35,M36,M37,M38,M39,M40,M41,M42,M43,M44,M45,M46,M47,M48,M49,M50,M51)</f>
        <v/>
      </c>
      <c r="O4" s="2204"/>
      <c r="P4" s="2205"/>
      <c r="Q4" s="91"/>
    </row>
    <row r="5" spans="1:17" ht="6" customHeight="1" thickTop="1" thickBot="1">
      <c r="A5" s="448"/>
      <c r="B5" s="652" t="str">
        <f ca="1">TEXT(TODAY(),"AAMMDD")&amp;TEXT(NOW(),"hhmmss")&amp;" Relatório Completo "&amp;Batida!I3</f>
        <v>240107120423 Relatório Completo Suplemento  Mineral</v>
      </c>
      <c r="C5" s="522"/>
      <c r="D5" s="522"/>
      <c r="E5" s="448"/>
      <c r="F5" s="448"/>
      <c r="G5" s="448"/>
      <c r="H5" s="448"/>
      <c r="I5" s="448"/>
      <c r="J5" s="448"/>
      <c r="K5" s="448"/>
      <c r="L5" s="561"/>
      <c r="M5" s="561"/>
      <c r="N5" s="448"/>
      <c r="O5" s="448"/>
      <c r="P5" s="448"/>
      <c r="Q5" s="91"/>
    </row>
    <row r="6" spans="1:17" ht="22.5" customHeight="1" thickBot="1">
      <c r="A6" s="448"/>
      <c r="B6" s="1564" t="s">
        <v>2</v>
      </c>
      <c r="C6" s="1565" t="s">
        <v>481</v>
      </c>
      <c r="D6" s="1565" t="s">
        <v>5</v>
      </c>
      <c r="E6" s="1565" t="s">
        <v>0</v>
      </c>
      <c r="F6" s="1565" t="s">
        <v>305</v>
      </c>
      <c r="G6" s="1565" t="s">
        <v>1</v>
      </c>
      <c r="H6" s="1565" t="s">
        <v>466</v>
      </c>
      <c r="I6" s="1566" t="s">
        <v>467</v>
      </c>
      <c r="J6" s="1567" t="s">
        <v>468</v>
      </c>
      <c r="K6" s="448"/>
      <c r="L6" s="561"/>
      <c r="M6" s="561"/>
      <c r="N6" s="2200" t="str">
        <f>Nutrientes!B1&amp;" Grupo de Sugestão de Ingredientes"</f>
        <v>1º Grupo de Sugestão de Ingredientes</v>
      </c>
      <c r="O6" s="2201"/>
      <c r="P6" s="2202"/>
      <c r="Q6" s="91"/>
    </row>
    <row r="7" spans="1:17" ht="15">
      <c r="A7" s="448"/>
      <c r="B7" s="527" t="str">
        <f>IFERROR(HLOOKUP(C7,Alimentos!$H$2:$AZ$4,3,FALSE),"-")</f>
        <v>Matéria Seca</v>
      </c>
      <c r="C7" s="528" t="str">
        <f>'Calcular Dieta'!J8</f>
        <v>MS</v>
      </c>
      <c r="D7" s="528" t="str">
        <f>IFERROR(HLOOKUP(C7,Alimentos!$H$2:$AZ$4,2,FALSE),"-")</f>
        <v>kg</v>
      </c>
      <c r="E7" s="529">
        <f>IFERROR(HLOOKUP(C7,'Calcular Dieta'!$J$8:$BB$43,32,FALSE),"-")</f>
        <v>0</v>
      </c>
      <c r="F7" s="530">
        <f>IFERROR(HLOOKUP(C7,'Calcular Dieta'!$J$8:$BB$43,33,FALSE),"-")</f>
        <v>0.99216764145481651</v>
      </c>
      <c r="G7" s="529">
        <f>IFERROR(HLOOKUP(C7,'Calcular Dieta'!$J$8:$BB$43,34,FALSE),"-")</f>
        <v>1</v>
      </c>
      <c r="H7" s="538" t="str">
        <f>INDEX('Calcular Dieta'!$J$42:$BB$42,,MATCH(Atendimento!C7,'Calcular Dieta'!$J$8:$BB$8,0))</f>
        <v/>
      </c>
      <c r="I7" s="531" t="str">
        <f>INDEX('Calcular Dieta'!$J$42:$BB$42,,MATCH(Atendimento!C7,'Calcular Dieta'!$J$8:$BB$8,0))</f>
        <v/>
      </c>
      <c r="J7" s="540" t="str">
        <f>IF(AND(I7&gt;-0.001,I7&lt;0.001),"OK",HLOOKUP(C7,'Calcular Dieta'!$J$8:$BB$43,36,FALSE))</f>
        <v>OK</v>
      </c>
      <c r="K7" s="564" t="str">
        <f t="shared" ref="K7:K23" si="0">IF(H7&lt;0,C7,"")</f>
        <v/>
      </c>
      <c r="L7" s="565">
        <f>IF(J7="-","",COUNTIF(J$7:J7,"&lt;&gt;"&amp;"-"))</f>
        <v>1</v>
      </c>
      <c r="M7" s="565" t="str">
        <f>IF(K7="","",C7&amp;"    ")</f>
        <v/>
      </c>
      <c r="N7" s="566" t="s">
        <v>42</v>
      </c>
      <c r="O7" s="567" t="s">
        <v>42</v>
      </c>
      <c r="P7" s="568" t="s">
        <v>42</v>
      </c>
      <c r="Q7" s="91"/>
    </row>
    <row r="8" spans="1:17" ht="15">
      <c r="A8" s="448"/>
      <c r="B8" s="533" t="str">
        <f>IFERROR(HLOOKUP(C8,Alimentos!$H$2:$AZ$4,3,FALSE),"-")</f>
        <v>Fibra em 
Detergente Neutro</v>
      </c>
      <c r="C8" s="534" t="str">
        <f>'Calcular Dieta'!K8</f>
        <v>FDN</v>
      </c>
      <c r="D8" s="535" t="str">
        <f>IFERROR(HLOOKUP(C8,Alimentos!$H$2:$AZ$4,2,FALSE),"-")</f>
        <v>kg</v>
      </c>
      <c r="E8" s="536">
        <f>IFERROR(HLOOKUP(C8,'Calcular Dieta'!$J$8:$BB$43,32,FALSE),"-")</f>
        <v>0</v>
      </c>
      <c r="F8" s="537">
        <f>IFERROR(HLOOKUP(C8,'Calcular Dieta'!$J$8:$BB$43,33,FALSE),"-")</f>
        <v>0</v>
      </c>
      <c r="G8" s="536">
        <f>IFERROR(HLOOKUP(C8,'Calcular Dieta'!$J$8:$BB$43,34,FALSE),"-")</f>
        <v>9999999</v>
      </c>
      <c r="H8" s="538" t="str">
        <f>INDEX('Calcular Dieta'!$J$42:$BB$42,,MATCH(Atendimento!C8,'Calcular Dieta'!$J$8:$BB$8,0))</f>
        <v/>
      </c>
      <c r="I8" s="539" t="str">
        <f>INDEX('Calcular Dieta'!$J$42:$BB$42,,MATCH(Atendimento!C8,'Calcular Dieta'!$J$8:$BB$8,0))</f>
        <v/>
      </c>
      <c r="J8" s="540" t="str">
        <f>IF(AND(I8&gt;-0.001,I8&lt;0.001),"OK",HLOOKUP(C8,'Calcular Dieta'!$J$8:$BB$43,36,FALSE))</f>
        <v>OK</v>
      </c>
      <c r="K8" s="564" t="str">
        <f t="shared" si="0"/>
        <v/>
      </c>
      <c r="L8" s="565">
        <f>IF(J8="-","",COUNTIF(J$7:J8,"&lt;&gt;"&amp;"-"))</f>
        <v>2</v>
      </c>
      <c r="M8" s="565" t="str">
        <f t="shared" ref="M8:M51" si="1">IF(K8="","",C8&amp;"    ")</f>
        <v/>
      </c>
      <c r="N8" s="569" t="str">
        <f>IFERROR(INDEX(Nutrientes!$C$14:$C$57,MATCH(K8,Nutrientes!$B$14:$B$57,0)),"-")</f>
        <v>-</v>
      </c>
      <c r="O8" s="570" t="str">
        <f>IFERROR(INDEX(Nutrientes!$D$14:$D$57,MATCH(K8,Nutrientes!$B$14:$B$57,0)),"-")</f>
        <v>-</v>
      </c>
      <c r="P8" s="571" t="str">
        <f>IFERROR(INDEX(Nutrientes!$E$14:$E$57,MATCH(K8,Nutrientes!$B$14:$B$57,0)),"-")</f>
        <v>-</v>
      </c>
      <c r="Q8" s="91"/>
    </row>
    <row r="9" spans="1:17" ht="15">
      <c r="A9" s="448"/>
      <c r="B9" s="533" t="str">
        <f>IFERROR(HLOOKUP(C9,Alimentos!$H$2:$AZ$4,3,FALSE),"-")</f>
        <v>Fibra em 
Detergente Ácido</v>
      </c>
      <c r="C9" s="534" t="str">
        <f>'Calcular Dieta'!L8</f>
        <v>FDA</v>
      </c>
      <c r="D9" s="535" t="str">
        <f>IFERROR(HLOOKUP(C9,Alimentos!$H$2:$AZ$4,2,FALSE),"-")</f>
        <v>kg</v>
      </c>
      <c r="E9" s="536">
        <f>IFERROR(HLOOKUP(C9,'Calcular Dieta'!$J$8:$BB$43,32,FALSE),"-")</f>
        <v>0</v>
      </c>
      <c r="F9" s="537">
        <f>IFERROR(HLOOKUP(C9,'Calcular Dieta'!$J$8:$BB$43,33,FALSE),"-")</f>
        <v>0</v>
      </c>
      <c r="G9" s="536">
        <f>IFERROR(HLOOKUP(C9,'Calcular Dieta'!$J$8:$BB$43,34,FALSE),"-")</f>
        <v>9999999</v>
      </c>
      <c r="H9" s="538" t="str">
        <f>INDEX('Calcular Dieta'!$J$42:$BB$42,,MATCH(Atendimento!C9,'Calcular Dieta'!$J$8:$BB$8,0))</f>
        <v/>
      </c>
      <c r="I9" s="539" t="str">
        <f>INDEX('Calcular Dieta'!$J$42:$BB$42,,MATCH(Atendimento!C9,'Calcular Dieta'!$J$8:$BB$8,0))</f>
        <v/>
      </c>
      <c r="J9" s="540" t="str">
        <f>IF(AND(I9&gt;-0.001,I9&lt;0.001),"OK",HLOOKUP(C9,'Calcular Dieta'!$J$8:$BB$43,36,FALSE))</f>
        <v>OK</v>
      </c>
      <c r="K9" s="564" t="str">
        <f t="shared" si="0"/>
        <v/>
      </c>
      <c r="L9" s="565">
        <f>IF(J9="-","",COUNTIF(J$7:J9,"&lt;&gt;"&amp;"-"))</f>
        <v>3</v>
      </c>
      <c r="M9" s="565" t="str">
        <f t="shared" si="1"/>
        <v/>
      </c>
      <c r="N9" s="569" t="str">
        <f>IFERROR(INDEX(Nutrientes!$C$14:$C$57,MATCH(K9,Nutrientes!$B$14:$B$57,0)),"-")</f>
        <v>-</v>
      </c>
      <c r="O9" s="570" t="str">
        <f>IFERROR(INDEX(Nutrientes!$D$14:$D$57,MATCH(K9,Nutrientes!$B$14:$B$57,0)),"-")</f>
        <v>-</v>
      </c>
      <c r="P9" s="571" t="str">
        <f>IFERROR(INDEX(Nutrientes!$E$14:$E$57,MATCH(K9,Nutrientes!$B$14:$B$57,0)),"-")</f>
        <v>-</v>
      </c>
      <c r="Q9" s="91"/>
    </row>
    <row r="10" spans="1:17" ht="15.75" thickBot="1">
      <c r="A10" s="448"/>
      <c r="B10" s="541" t="str">
        <f>IFERROR(HLOOKUP(C10,Alimentos!$H$2:$AZ$4,3,FALSE),"-")</f>
        <v>Carboidratos Não Fibrosos</v>
      </c>
      <c r="C10" s="542" t="str">
        <f>'Calcular Dieta'!M8</f>
        <v>CNF</v>
      </c>
      <c r="D10" s="543" t="str">
        <f>IFERROR(HLOOKUP(C10,Alimentos!$H$2:$AZ$4,2,FALSE),"-")</f>
        <v>kg</v>
      </c>
      <c r="E10" s="544">
        <f>IFERROR(HLOOKUP(C10,'Calcular Dieta'!$J$8:$BB$43,32,FALSE),"-")</f>
        <v>0</v>
      </c>
      <c r="F10" s="545">
        <f>IFERROR(HLOOKUP(C10,'Calcular Dieta'!$J$8:$BB$43,33,FALSE),"-")</f>
        <v>0</v>
      </c>
      <c r="G10" s="544">
        <f>IFERROR(HLOOKUP(C10,'Calcular Dieta'!$J$8:$BB$43,34,FALSE),"-")</f>
        <v>9999999</v>
      </c>
      <c r="H10" s="546" t="str">
        <f>INDEX('Calcular Dieta'!$J$42:$BB$42,,MATCH(Atendimento!C10,'Calcular Dieta'!$J$8:$BB$8,0))</f>
        <v/>
      </c>
      <c r="I10" s="547" t="str">
        <f>INDEX('Calcular Dieta'!$J$42:$BB$42,,MATCH(Atendimento!C10,'Calcular Dieta'!$J$8:$BB$8,0))</f>
        <v/>
      </c>
      <c r="J10" s="548" t="str">
        <f>IF(AND(I10&gt;-0.001,I10&lt;0.001),"OK",HLOOKUP(C10,'Calcular Dieta'!$J$8:$BB$43,36,FALSE))</f>
        <v>OK</v>
      </c>
      <c r="K10" s="564" t="str">
        <f t="shared" si="0"/>
        <v/>
      </c>
      <c r="L10" s="565">
        <f>IF(J10="-","",COUNTIF(J$7:J10,"&lt;&gt;"&amp;"-"))</f>
        <v>4</v>
      </c>
      <c r="M10" s="565" t="str">
        <f t="shared" si="1"/>
        <v/>
      </c>
      <c r="N10" s="569" t="str">
        <f>IFERROR(INDEX(Nutrientes!$C$14:$C$57,MATCH(K10,Nutrientes!$B$14:$B$57,0)),"-")</f>
        <v>-</v>
      </c>
      <c r="O10" s="570" t="str">
        <f>IFERROR(INDEX(Nutrientes!$D$14:$D$57,MATCH(K10,Nutrientes!$B$14:$B$57,0)),"-")</f>
        <v>-</v>
      </c>
      <c r="P10" s="571" t="str">
        <f>IFERROR(INDEX(Nutrientes!$E$14:$E$57,MATCH(K10,Nutrientes!$B$14:$B$57,0)),"-")</f>
        <v>-</v>
      </c>
      <c r="Q10" s="91"/>
    </row>
    <row r="11" spans="1:17" ht="15">
      <c r="A11" s="448"/>
      <c r="B11" s="527" t="str">
        <f>IFERROR(HLOOKUP(C11,Alimentos!$H$2:$AZ$4,3,FALSE),"-")</f>
        <v>Nutrientes Digestíveis Totais</v>
      </c>
      <c r="C11" s="549" t="str">
        <f>'Calcular Dieta'!N8</f>
        <v>NDT</v>
      </c>
      <c r="D11" s="528" t="str">
        <f>IFERROR(HLOOKUP(C11,Alimentos!$H$2:$AZ$4,2,FALSE),"-")</f>
        <v>kg</v>
      </c>
      <c r="E11" s="529">
        <f>IFERROR(HLOOKUP(C11,'Calcular Dieta'!$J$8:$BB$43,32,FALSE),"-")</f>
        <v>0</v>
      </c>
      <c r="F11" s="530">
        <f>IFERROR(HLOOKUP(C11,'Calcular Dieta'!$J$8:$BB$43,33,FALSE),"-")</f>
        <v>0</v>
      </c>
      <c r="G11" s="529">
        <f>IFERROR(HLOOKUP(C11,'Calcular Dieta'!$J$8:$BB$43,34,FALSE),"-")</f>
        <v>9999999</v>
      </c>
      <c r="H11" s="550" t="str">
        <f>INDEX('Calcular Dieta'!$J$42:$BB$42,,MATCH(Atendimento!C11,'Calcular Dieta'!$J$8:$BB$8,0))</f>
        <v/>
      </c>
      <c r="I11" s="551" t="str">
        <f>INDEX('Calcular Dieta'!$J$42:$BB$42,,MATCH(Atendimento!C11,'Calcular Dieta'!$J$8:$BB$8,0))</f>
        <v/>
      </c>
      <c r="J11" s="532" t="str">
        <f>IF(AND(I11&gt;-0.001,I11&lt;0.001),"OK",HLOOKUP(C11,'Calcular Dieta'!$J$8:$BB$43,36,FALSE))</f>
        <v>OK</v>
      </c>
      <c r="K11" s="564" t="str">
        <f t="shared" si="0"/>
        <v/>
      </c>
      <c r="L11" s="565">
        <f>IF(J11="-","",COUNTIF(J$7:J11,"&lt;&gt;"&amp;"-"))</f>
        <v>5</v>
      </c>
      <c r="M11" s="565" t="str">
        <f t="shared" si="1"/>
        <v/>
      </c>
      <c r="N11" s="569" t="str">
        <f>IFERROR(INDEX(Nutrientes!$C$14:$C$57,MATCH(K11,Nutrientes!$B$14:$B$57,0)),"-")</f>
        <v>-</v>
      </c>
      <c r="O11" s="570" t="str">
        <f>IFERROR(INDEX(Nutrientes!$D$14:$D$57,MATCH(K11,Nutrientes!$B$14:$B$57,0)),"-")</f>
        <v>-</v>
      </c>
      <c r="P11" s="571" t="str">
        <f>IFERROR(INDEX(Nutrientes!$E$14:$E$57,MATCH(K11,Nutrientes!$B$14:$B$57,0)),"-")</f>
        <v>-</v>
      </c>
      <c r="Q11" s="91"/>
    </row>
    <row r="12" spans="1:17" ht="15">
      <c r="A12" s="448"/>
      <c r="B12" s="533" t="str">
        <f>IFERROR(HLOOKUP(C12,Alimentos!$H$2:$AZ$4,3,FALSE),"-")</f>
        <v>Energia Digestível (Bovinos)</v>
      </c>
      <c r="C12" s="534" t="str">
        <f>'Calcular Dieta'!O8</f>
        <v>ED</v>
      </c>
      <c r="D12" s="535" t="str">
        <f>IFERROR(HLOOKUP(C12,Alimentos!$H$2:$AZ$4,2,FALSE),"-")</f>
        <v>Mcal</v>
      </c>
      <c r="E12" s="536">
        <f>IFERROR(HLOOKUP(C12,'Calcular Dieta'!$J$8:$BB$43,32,FALSE),"-")</f>
        <v>0</v>
      </c>
      <c r="F12" s="537">
        <f>IFERROR(HLOOKUP(C12,'Calcular Dieta'!$J$8:$BB$43,33,FALSE),"-")</f>
        <v>0</v>
      </c>
      <c r="G12" s="536">
        <f>IFERROR(HLOOKUP(C12,'Calcular Dieta'!$J$8:$BB$43,34,FALSE),"-")</f>
        <v>9999999</v>
      </c>
      <c r="H12" s="538" t="str">
        <f>INDEX('Calcular Dieta'!$J$42:$BB$42,,MATCH(Atendimento!C12,'Calcular Dieta'!$J$8:$BB$8,0))</f>
        <v/>
      </c>
      <c r="I12" s="539" t="str">
        <f>INDEX('Calcular Dieta'!$J$42:$BB$42,,MATCH(Atendimento!C12,'Calcular Dieta'!$J$8:$BB$8,0))</f>
        <v/>
      </c>
      <c r="J12" s="540" t="str">
        <f>IF(AND(I12&gt;-0.001,I12&lt;0.001),"OK",HLOOKUP(C12,'Calcular Dieta'!$J$8:$BB$43,36,FALSE))</f>
        <v>OK</v>
      </c>
      <c r="K12" s="564" t="str">
        <f t="shared" si="0"/>
        <v/>
      </c>
      <c r="L12" s="565">
        <f>IF(J12="-","",COUNTIF(J$7:J12,"&lt;&gt;"&amp;"-"))</f>
        <v>6</v>
      </c>
      <c r="M12" s="565" t="str">
        <f t="shared" si="1"/>
        <v/>
      </c>
      <c r="N12" s="569" t="str">
        <f>IFERROR(INDEX(Nutrientes!$C$14:$C$57,MATCH(K12,Nutrientes!$B$14:$B$57,0)),"-")</f>
        <v>-</v>
      </c>
      <c r="O12" s="570" t="str">
        <f>IFERROR(INDEX(Nutrientes!$D$14:$D$57,MATCH(K12,Nutrientes!$B$14:$B$57,0)),"-")</f>
        <v>-</v>
      </c>
      <c r="P12" s="571" t="str">
        <f>IFERROR(INDEX(Nutrientes!$E$14:$E$57,MATCH(K12,Nutrientes!$B$14:$B$57,0)),"-")</f>
        <v>-</v>
      </c>
      <c r="Q12" s="91"/>
    </row>
    <row r="13" spans="1:17" ht="15">
      <c r="A13" s="448"/>
      <c r="B13" s="533" t="str">
        <f>IFERROR(HLOOKUP(C13,Alimentos!$H$2:$AZ$4,3,FALSE),"-")</f>
        <v>Energia Metabolizável (Bovinos)</v>
      </c>
      <c r="C13" s="534" t="str">
        <f>'Calcular Dieta'!P8</f>
        <v>EM</v>
      </c>
      <c r="D13" s="535" t="str">
        <f>IFERROR(HLOOKUP(C13,Alimentos!$H$2:$AZ$4,2,FALSE),"-")</f>
        <v>Mcal</v>
      </c>
      <c r="E13" s="536">
        <f>IFERROR(HLOOKUP(C13,'Calcular Dieta'!$J$8:$BB$43,32,FALSE),"-")</f>
        <v>0</v>
      </c>
      <c r="F13" s="537">
        <f>IFERROR(HLOOKUP(C13,'Calcular Dieta'!$J$8:$BB$43,33,FALSE),"-")</f>
        <v>0</v>
      </c>
      <c r="G13" s="536">
        <f>IFERROR(HLOOKUP(C13,'Calcular Dieta'!$J$8:$BB$43,34,FALSE),"-")</f>
        <v>9999999</v>
      </c>
      <c r="H13" s="538" t="str">
        <f>INDEX('Calcular Dieta'!$J$42:$BB$42,,MATCH(Atendimento!C13,'Calcular Dieta'!$J$8:$BB$8,0))</f>
        <v/>
      </c>
      <c r="I13" s="539" t="str">
        <f>INDEX('Calcular Dieta'!$J$42:$BB$42,,MATCH(Atendimento!C13,'Calcular Dieta'!$J$8:$BB$8,0))</f>
        <v/>
      </c>
      <c r="J13" s="540" t="str">
        <f>IF(AND(I13&gt;-0.001,I13&lt;0.001),"OK",HLOOKUP(C13,'Calcular Dieta'!$J$8:$BB$43,36,FALSE))</f>
        <v>OK</v>
      </c>
      <c r="K13" s="564" t="str">
        <f t="shared" si="0"/>
        <v/>
      </c>
      <c r="L13" s="565">
        <f>IF(J13="-","",COUNTIF(J$7:J13,"&lt;&gt;"&amp;"-"))</f>
        <v>7</v>
      </c>
      <c r="M13" s="565" t="str">
        <f t="shared" si="1"/>
        <v/>
      </c>
      <c r="N13" s="569" t="str">
        <f>IFERROR(INDEX(Nutrientes!$C$14:$C$57,MATCH(K13,Nutrientes!$B$14:$B$57,0)),"-")</f>
        <v>-</v>
      </c>
      <c r="O13" s="570" t="str">
        <f>IFERROR(INDEX(Nutrientes!$D$14:$D$57,MATCH(K13,Nutrientes!$B$14:$B$57,0)),"-")</f>
        <v>-</v>
      </c>
      <c r="P13" s="571" t="str">
        <f>IFERROR(INDEX(Nutrientes!$E$14:$E$57,MATCH(K13,Nutrientes!$B$14:$B$57,0)),"-")</f>
        <v>-</v>
      </c>
      <c r="Q13" s="91"/>
    </row>
    <row r="14" spans="1:17" ht="15">
      <c r="A14" s="448"/>
      <c r="B14" s="533" t="str">
        <f>IFERROR(HLOOKUP(C14,Alimentos!$H$2:$AZ$4,3,FALSE),"-")</f>
        <v>Energia Líquida (Bovinos)</v>
      </c>
      <c r="C14" s="534" t="str">
        <f>'Calcular Dieta'!Q8</f>
        <v>EL</v>
      </c>
      <c r="D14" s="535" t="str">
        <f>IFERROR(HLOOKUP(C14,Alimentos!$H$2:$AZ$4,2,FALSE),"-")</f>
        <v>Mcal</v>
      </c>
      <c r="E14" s="536">
        <f>IFERROR(HLOOKUP(C14,'Calcular Dieta'!$J$8:$BB$43,32,FALSE),"-")</f>
        <v>0</v>
      </c>
      <c r="F14" s="537">
        <f>IFERROR(HLOOKUP(C14,'Calcular Dieta'!$J$8:$BB$43,33,FALSE),"-")</f>
        <v>0</v>
      </c>
      <c r="G14" s="536">
        <f>IFERROR(HLOOKUP(C14,'Calcular Dieta'!$J$8:$BB$43,34,FALSE),"-")</f>
        <v>9999999</v>
      </c>
      <c r="H14" s="538" t="str">
        <f>INDEX('Calcular Dieta'!$J$42:$BB$42,,MATCH(Atendimento!C14,'Calcular Dieta'!$J$8:$BB$8,0))</f>
        <v/>
      </c>
      <c r="I14" s="539" t="str">
        <f>INDEX('Calcular Dieta'!$J$42:$BB$42,,MATCH(Atendimento!C14,'Calcular Dieta'!$J$8:$BB$8,0))</f>
        <v/>
      </c>
      <c r="J14" s="540" t="str">
        <f>IF(AND(I14&gt;-0.001,I14&lt;0.001),"OK",HLOOKUP(C14,'Calcular Dieta'!$J$8:$BB$43,36,FALSE))</f>
        <v>OK</v>
      </c>
      <c r="K14" s="564" t="str">
        <f t="shared" si="0"/>
        <v/>
      </c>
      <c r="L14" s="565">
        <f>IF(J14="-","",COUNTIF(J$7:J14,"&lt;&gt;"&amp;"-"))</f>
        <v>8</v>
      </c>
      <c r="M14" s="565" t="str">
        <f t="shared" si="1"/>
        <v/>
      </c>
      <c r="N14" s="569" t="str">
        <f>IFERROR(INDEX(Nutrientes!$C$14:$C$57,MATCH(K14,Nutrientes!$B$14:$B$57,0)),"-")</f>
        <v>-</v>
      </c>
      <c r="O14" s="570" t="str">
        <f>IFERROR(INDEX(Nutrientes!$D$14:$D$57,MATCH(K14,Nutrientes!$B$14:$B$57,0)),"-")</f>
        <v>-</v>
      </c>
      <c r="P14" s="571" t="str">
        <f>IFERROR(INDEX(Nutrientes!$E$14:$E$57,MATCH(K14,Nutrientes!$B$14:$B$57,0)),"-")</f>
        <v>-</v>
      </c>
      <c r="Q14" s="91"/>
    </row>
    <row r="15" spans="1:17" ht="15.75" thickBot="1">
      <c r="A15" s="448"/>
      <c r="B15" s="541" t="str">
        <f>IFERROR(HLOOKUP(C15,Alimentos!$H$2:$AZ$4,3,FALSE),"-")</f>
        <v>Gordura</v>
      </c>
      <c r="C15" s="542" t="str">
        <f>'Calcular Dieta'!R8</f>
        <v>EE</v>
      </c>
      <c r="D15" s="543" t="str">
        <f>IFERROR(HLOOKUP(C15,Alimentos!$H$2:$AZ$4,2,FALSE),"-")</f>
        <v>g</v>
      </c>
      <c r="E15" s="544">
        <f>IFERROR(HLOOKUP(C15,'Calcular Dieta'!$J$8:$BB$43,32,FALSE),"-")</f>
        <v>0</v>
      </c>
      <c r="F15" s="545">
        <f>IFERROR(HLOOKUP(C15,'Calcular Dieta'!$J$8:$BB$43,33,FALSE),"-")</f>
        <v>0</v>
      </c>
      <c r="G15" s="544">
        <f>IFERROR(HLOOKUP(C15,'Calcular Dieta'!$J$8:$BB$43,34,FALSE),"-")</f>
        <v>9999999</v>
      </c>
      <c r="H15" s="546" t="str">
        <f>INDEX('Calcular Dieta'!$J$42:$BB$42,,MATCH(Atendimento!C15,'Calcular Dieta'!$J$8:$BB$8,0))</f>
        <v/>
      </c>
      <c r="I15" s="547" t="str">
        <f>INDEX('Calcular Dieta'!$J$42:$BB$42,,MATCH(Atendimento!C15,'Calcular Dieta'!$J$8:$BB$8,0))</f>
        <v/>
      </c>
      <c r="J15" s="548" t="str">
        <f>IF(AND(I15&gt;-0.001,I15&lt;0.001),"OK",HLOOKUP(C15,'Calcular Dieta'!$J$8:$BB$43,36,FALSE))</f>
        <v>OK</v>
      </c>
      <c r="K15" s="564" t="str">
        <f t="shared" si="0"/>
        <v/>
      </c>
      <c r="L15" s="565">
        <f>IF(J15="-","",COUNTIF(J$7:J15,"&lt;&gt;"&amp;"-"))</f>
        <v>9</v>
      </c>
      <c r="M15" s="565" t="str">
        <f t="shared" si="1"/>
        <v/>
      </c>
      <c r="N15" s="569" t="str">
        <f>IFERROR(INDEX(Nutrientes!$C$14:$C$57,MATCH(K15,Nutrientes!$B$14:$B$57,0)),"-")</f>
        <v>-</v>
      </c>
      <c r="O15" s="570" t="str">
        <f>IFERROR(INDEX(Nutrientes!$D$14:$D$57,MATCH(K15,Nutrientes!$B$14:$B$57,0)),"-")</f>
        <v>-</v>
      </c>
      <c r="P15" s="571" t="str">
        <f>IFERROR(INDEX(Nutrientes!$E$14:$E$57,MATCH(K15,Nutrientes!$B$14:$B$57,0)),"-")</f>
        <v>-</v>
      </c>
      <c r="Q15" s="91"/>
    </row>
    <row r="16" spans="1:17" ht="15">
      <c r="A16" s="448"/>
      <c r="B16" s="527" t="str">
        <f>IFERROR(HLOOKUP(C16,Alimentos!$H$2:$AZ$4,3,FALSE),"-")</f>
        <v>Proteína Bruta</v>
      </c>
      <c r="C16" s="549" t="str">
        <f>'Calcular Dieta'!S8</f>
        <v>PB</v>
      </c>
      <c r="D16" s="528" t="str">
        <f>IFERROR(HLOOKUP(C16,Alimentos!$H$2:$AZ$4,2,FALSE),"-")</f>
        <v>g</v>
      </c>
      <c r="E16" s="529">
        <f>IFERROR(HLOOKUP(C16,'Calcular Dieta'!$J$8:$BB$43,32,FALSE),"-")</f>
        <v>0</v>
      </c>
      <c r="F16" s="530">
        <f>IFERROR(HLOOKUP(C16,'Calcular Dieta'!$J$8:$BB$43,33,FALSE),"-")</f>
        <v>0</v>
      </c>
      <c r="G16" s="529">
        <f>IFERROR(HLOOKUP(C16,'Calcular Dieta'!$J$8:$BB$43,34,FALSE),"-")</f>
        <v>9999999</v>
      </c>
      <c r="H16" s="550" t="str">
        <f>INDEX('Calcular Dieta'!$J$42:$BB$42,,MATCH(Atendimento!C16,'Calcular Dieta'!$J$8:$BB$8,0))</f>
        <v/>
      </c>
      <c r="I16" s="551" t="str">
        <f>INDEX('Calcular Dieta'!$J$42:$BB$42,,MATCH(Atendimento!C16,'Calcular Dieta'!$J$8:$BB$8,0))</f>
        <v/>
      </c>
      <c r="J16" s="532" t="str">
        <f>IF(AND(I16&gt;-0.001,I16&lt;0.001),"OK",HLOOKUP(C16,'Calcular Dieta'!$J$8:$BB$43,36,FALSE))</f>
        <v>OK</v>
      </c>
      <c r="K16" s="564" t="str">
        <f t="shared" si="0"/>
        <v/>
      </c>
      <c r="L16" s="565">
        <f>IF(J16="-","",COUNTIF(J$7:J16,"&lt;&gt;"&amp;"-"))</f>
        <v>10</v>
      </c>
      <c r="M16" s="565" t="str">
        <f t="shared" si="1"/>
        <v/>
      </c>
      <c r="N16" s="569" t="str">
        <f>IFERROR(INDEX(Nutrientes!$C$14:$C$57,MATCH(K16,Nutrientes!$B$14:$B$57,0)),"-")</f>
        <v>-</v>
      </c>
      <c r="O16" s="570" t="str">
        <f>IFERROR(INDEX(Nutrientes!$D$14:$D$57,MATCH(K16,Nutrientes!$B$14:$B$57,0)),"-")</f>
        <v>-</v>
      </c>
      <c r="P16" s="571" t="str">
        <f>IFERROR(INDEX(Nutrientes!$E$14:$E$57,MATCH(K16,Nutrientes!$B$14:$B$57,0)),"-")</f>
        <v>-</v>
      </c>
      <c r="Q16" s="91"/>
    </row>
    <row r="17" spans="1:17" ht="15">
      <c r="A17" s="448"/>
      <c r="B17" s="533" t="str">
        <f>IFERROR(HLOOKUP(C17,Alimentos!$H$2:$AZ$4,3,FALSE),"-")</f>
        <v>Proteína Degradável no Rúmen</v>
      </c>
      <c r="C17" s="534" t="str">
        <f>'Calcular Dieta'!T8</f>
        <v>PDR</v>
      </c>
      <c r="D17" s="535" t="str">
        <f>IFERROR(HLOOKUP(C17,Alimentos!$H$2:$AZ$4,2,FALSE),"-")</f>
        <v>g</v>
      </c>
      <c r="E17" s="536">
        <f>IFERROR(HLOOKUP(C17,'Calcular Dieta'!$J$8:$BB$43,32,FALSE),"-")</f>
        <v>0</v>
      </c>
      <c r="F17" s="537">
        <f>IFERROR(HLOOKUP(C17,'Calcular Dieta'!$J$8:$BB$43,33,FALSE),"-")</f>
        <v>0</v>
      </c>
      <c r="G17" s="536">
        <f>IFERROR(HLOOKUP(C17,'Calcular Dieta'!$J$8:$BB$43,34,FALSE),"-")</f>
        <v>9999999</v>
      </c>
      <c r="H17" s="538" t="str">
        <f>INDEX('Calcular Dieta'!$J$42:$BB$42,,MATCH(Atendimento!C17,'Calcular Dieta'!$J$8:$BB$8,0))</f>
        <v/>
      </c>
      <c r="I17" s="539" t="str">
        <f>INDEX('Calcular Dieta'!$J$42:$BB$42,,MATCH(Atendimento!C17,'Calcular Dieta'!$J$8:$BB$8,0))</f>
        <v/>
      </c>
      <c r="J17" s="540" t="str">
        <f>IF(AND(I17&gt;-0.001,I17&lt;0.001),"OK",HLOOKUP(C17,'Calcular Dieta'!$J$8:$BB$43,36,FALSE))</f>
        <v>OK</v>
      </c>
      <c r="K17" s="564" t="str">
        <f t="shared" si="0"/>
        <v/>
      </c>
      <c r="L17" s="565">
        <f>IF(J17="-","",COUNTIF(J$7:J17,"&lt;&gt;"&amp;"-"))</f>
        <v>11</v>
      </c>
      <c r="M17" s="565" t="str">
        <f t="shared" si="1"/>
        <v/>
      </c>
      <c r="N17" s="569" t="str">
        <f>IFERROR(INDEX(Nutrientes!$C$14:$C$57,MATCH(K17,Nutrientes!$B$14:$B$57,0)),"-")</f>
        <v>-</v>
      </c>
      <c r="O17" s="570" t="str">
        <f>IFERROR(INDEX(Nutrientes!$D$14:$D$57,MATCH(K17,Nutrientes!$B$14:$B$57,0)),"-")</f>
        <v>-</v>
      </c>
      <c r="P17" s="571" t="str">
        <f>IFERROR(INDEX(Nutrientes!$E$14:$E$57,MATCH(K17,Nutrientes!$B$14:$B$57,0)),"-")</f>
        <v>-</v>
      </c>
      <c r="Q17" s="91"/>
    </row>
    <row r="18" spans="1:17" ht="15">
      <c r="A18" s="448"/>
      <c r="B18" s="533" t="str">
        <f>IFERROR(HLOOKUP(C18,Alimentos!$H$2:$AZ$4,3,FALSE),"-")</f>
        <v>Proteína Não Degradável no Rúmen</v>
      </c>
      <c r="C18" s="534" t="str">
        <f>'Calcular Dieta'!U8</f>
        <v>PNDR</v>
      </c>
      <c r="D18" s="535" t="str">
        <f>IFERROR(HLOOKUP(C18,Alimentos!$H$2:$AZ$4,2,FALSE),"-")</f>
        <v>g</v>
      </c>
      <c r="E18" s="536">
        <f>IFERROR(HLOOKUP(C18,'Calcular Dieta'!$J$8:$BB$43,32,FALSE),"-")</f>
        <v>0</v>
      </c>
      <c r="F18" s="537">
        <f>IFERROR(HLOOKUP(C18,'Calcular Dieta'!$J$8:$BB$43,33,FALSE),"-")</f>
        <v>0</v>
      </c>
      <c r="G18" s="536">
        <f>IFERROR(HLOOKUP(C18,'Calcular Dieta'!$J$8:$BB$43,34,FALSE),"-")</f>
        <v>9999999</v>
      </c>
      <c r="H18" s="538" t="str">
        <f>INDEX('Calcular Dieta'!$J$42:$BB$42,,MATCH(Atendimento!C18,'Calcular Dieta'!$J$8:$BB$8,0))</f>
        <v/>
      </c>
      <c r="I18" s="539" t="str">
        <f>INDEX('Calcular Dieta'!$J$42:$BB$42,,MATCH(Atendimento!C18,'Calcular Dieta'!$J$8:$BB$8,0))</f>
        <v/>
      </c>
      <c r="J18" s="540" t="str">
        <f>IF(AND(I18&gt;-0.001,I18&lt;0.001),"OK",HLOOKUP(C18,'Calcular Dieta'!$J$8:$BB$43,36,FALSE))</f>
        <v>OK</v>
      </c>
      <c r="K18" s="564" t="str">
        <f t="shared" si="0"/>
        <v/>
      </c>
      <c r="L18" s="565">
        <f>IF(J18="-","",COUNTIF(J$7:J18,"&lt;&gt;"&amp;"-"))</f>
        <v>12</v>
      </c>
      <c r="M18" s="565" t="str">
        <f t="shared" si="1"/>
        <v/>
      </c>
      <c r="N18" s="569" t="str">
        <f>IFERROR(INDEX(Nutrientes!$C$14:$C$57,MATCH(K18,Nutrientes!$B$14:$B$57,0)),"-")</f>
        <v>-</v>
      </c>
      <c r="O18" s="570" t="str">
        <f>IFERROR(INDEX(Nutrientes!$D$14:$D$57,MATCH(K18,Nutrientes!$B$14:$B$57,0)),"-")</f>
        <v>-</v>
      </c>
      <c r="P18" s="571" t="str">
        <f>IFERROR(INDEX(Nutrientes!$E$14:$E$57,MATCH(K18,Nutrientes!$B$14:$B$57,0)),"-")</f>
        <v>-</v>
      </c>
      <c r="Q18" s="91"/>
    </row>
    <row r="19" spans="1:17" ht="15">
      <c r="A19" s="448"/>
      <c r="B19" s="533" t="str">
        <f>IFERROR(HLOOKUP(C19,Alimentos!$H$2:$AZ$4,3,FALSE),"-")</f>
        <v>Proteína Metabolizável</v>
      </c>
      <c r="C19" s="534" t="str">
        <f>'Calcular Dieta'!V8</f>
        <v>PM</v>
      </c>
      <c r="D19" s="535" t="str">
        <f>IFERROR(HLOOKUP(C19,Alimentos!$H$2:$AZ$4,2,FALSE),"-")</f>
        <v>g</v>
      </c>
      <c r="E19" s="536">
        <f>IFERROR(HLOOKUP(C19,'Calcular Dieta'!$J$8:$BB$43,32,FALSE),"-")</f>
        <v>0</v>
      </c>
      <c r="F19" s="537">
        <f>IFERROR(HLOOKUP(C19,'Calcular Dieta'!$J$8:$BB$43,33,FALSE),"-")</f>
        <v>0</v>
      </c>
      <c r="G19" s="536">
        <f>IFERROR(HLOOKUP(C19,'Calcular Dieta'!$J$8:$BB$43,34,FALSE),"-")</f>
        <v>9999999</v>
      </c>
      <c r="H19" s="538" t="str">
        <f>INDEX('Calcular Dieta'!$J$42:$BB$42,,MATCH(Atendimento!C19,'Calcular Dieta'!$J$8:$BB$8,0))</f>
        <v/>
      </c>
      <c r="I19" s="539" t="str">
        <f>INDEX('Calcular Dieta'!$J$42:$BB$42,,MATCH(Atendimento!C19,'Calcular Dieta'!$J$8:$BB$8,0))</f>
        <v/>
      </c>
      <c r="J19" s="540" t="str">
        <f>IF(AND(I19&gt;-0.001,I19&lt;0.001),"OK",HLOOKUP(C19,'Calcular Dieta'!$J$8:$BB$43,36,FALSE))</f>
        <v>OK</v>
      </c>
      <c r="K19" s="564" t="str">
        <f t="shared" si="0"/>
        <v/>
      </c>
      <c r="L19" s="565">
        <f>IF(J19="-","",COUNTIF(J$7:J19,"&lt;&gt;"&amp;"-"))</f>
        <v>13</v>
      </c>
      <c r="M19" s="565" t="str">
        <f t="shared" si="1"/>
        <v/>
      </c>
      <c r="N19" s="569" t="str">
        <f>IFERROR(INDEX(Nutrientes!$C$14:$C$57,MATCH(K19,Nutrientes!$B$14:$B$57,0)),"-")</f>
        <v>-</v>
      </c>
      <c r="O19" s="570" t="str">
        <f>IFERROR(INDEX(Nutrientes!$D$14:$D$57,MATCH(K19,Nutrientes!$B$14:$B$57,0)),"-")</f>
        <v>-</v>
      </c>
      <c r="P19" s="571" t="str">
        <f>IFERROR(INDEX(Nutrientes!$E$14:$E$57,MATCH(K19,Nutrientes!$B$14:$B$57,0)),"-")</f>
        <v>-</v>
      </c>
      <c r="Q19" s="91"/>
    </row>
    <row r="20" spans="1:17" ht="15.75" thickBot="1">
      <c r="A20" s="448"/>
      <c r="B20" s="541" t="str">
        <f>IFERROR(HLOOKUP(C20,Alimentos!$H$2:$AZ$4,3,FALSE),"-")</f>
        <v>Proteína (NNP)</v>
      </c>
      <c r="C20" s="542" t="str">
        <f>'Calcular Dieta'!W8</f>
        <v>PBNNP</v>
      </c>
      <c r="D20" s="543" t="str">
        <f>IFERROR(HLOOKUP(C20,Alimentos!$H$2:$AZ$4,2,FALSE),"-")</f>
        <v>g</v>
      </c>
      <c r="E20" s="544">
        <f>IFERROR(HLOOKUP(C20,'Calcular Dieta'!$J$8:$BB$43,32,FALSE),"-")</f>
        <v>0</v>
      </c>
      <c r="F20" s="545">
        <f>IFERROR(HLOOKUP(C20,'Calcular Dieta'!$J$8:$BB$43,33,FALSE),"-")</f>
        <v>0</v>
      </c>
      <c r="G20" s="544">
        <f>IFERROR(HLOOKUP(C20,'Calcular Dieta'!$J$8:$BB$43,34,FALSE),"-")</f>
        <v>9999999</v>
      </c>
      <c r="H20" s="546" t="str">
        <f>INDEX('Calcular Dieta'!$J$42:$BB$42,,MATCH(Atendimento!C20,'Calcular Dieta'!$J$8:$BB$8,0))</f>
        <v/>
      </c>
      <c r="I20" s="547" t="str">
        <f>INDEX('Calcular Dieta'!$J$42:$BB$42,,MATCH(Atendimento!C20,'Calcular Dieta'!$J$8:$BB$8,0))</f>
        <v/>
      </c>
      <c r="J20" s="548" t="str">
        <f>IF(AND(I20&gt;-0.001,I20&lt;0.001),"OK",HLOOKUP(C20,'Calcular Dieta'!$J$8:$BB$43,36,FALSE))</f>
        <v>OK</v>
      </c>
      <c r="K20" s="564" t="str">
        <f t="shared" si="0"/>
        <v/>
      </c>
      <c r="L20" s="565">
        <f>IF(J20="-","",COUNTIF(J$7:J20,"&lt;&gt;"&amp;"-"))</f>
        <v>14</v>
      </c>
      <c r="M20" s="565" t="str">
        <f t="shared" si="1"/>
        <v/>
      </c>
      <c r="N20" s="569" t="str">
        <f>IFERROR(INDEX(Nutrientes!$C$14:$C$57,MATCH(K20,Nutrientes!$B$14:$B$57,0)),"-")</f>
        <v>-</v>
      </c>
      <c r="O20" s="570" t="str">
        <f>IFERROR(INDEX(Nutrientes!$D$14:$D$57,MATCH(K20,Nutrientes!$B$14:$B$57,0)),"-")</f>
        <v>-</v>
      </c>
      <c r="P20" s="571" t="str">
        <f>IFERROR(INDEX(Nutrientes!$E$14:$E$57,MATCH(K20,Nutrientes!$B$14:$B$57,0)),"-")</f>
        <v>-</v>
      </c>
      <c r="Q20" s="91"/>
    </row>
    <row r="21" spans="1:17" ht="15">
      <c r="A21" s="448"/>
      <c r="B21" s="527" t="str">
        <f>IFERROR(HLOOKUP(C21,Alimentos!$H$2:$AZ$4,3,FALSE),"-")</f>
        <v>Cálcio</v>
      </c>
      <c r="C21" s="549" t="str">
        <f>'Calcular Dieta'!X8</f>
        <v>Ca</v>
      </c>
      <c r="D21" s="528" t="str">
        <f>IFERROR(HLOOKUP(C21,Alimentos!$H$2:$AZ$4,2,FALSE),"-")</f>
        <v>g</v>
      </c>
      <c r="E21" s="529">
        <f>IFERROR(HLOOKUP(C21,'Calcular Dieta'!$J$8:$BB$43,32,FALSE),"-")</f>
        <v>108</v>
      </c>
      <c r="F21" s="530">
        <f>IFERROR(HLOOKUP(C21,'Calcular Dieta'!$J$8:$BB$43,33,FALSE),"-")</f>
        <v>108.00000000000004</v>
      </c>
      <c r="G21" s="529">
        <f>IFERROR(HLOOKUP(C21,'Calcular Dieta'!$J$8:$BB$43,34,FALSE),"-")</f>
        <v>108</v>
      </c>
      <c r="H21" s="550" t="str">
        <f>INDEX('Calcular Dieta'!$J$42:$BB$42,,MATCH(Atendimento!C21,'Calcular Dieta'!$J$8:$BB$8,0))</f>
        <v/>
      </c>
      <c r="I21" s="551" t="str">
        <f>INDEX('Calcular Dieta'!$J$42:$BB$42,,MATCH(Atendimento!C21,'Calcular Dieta'!$J$8:$BB$8,0))</f>
        <v/>
      </c>
      <c r="J21" s="532" t="str">
        <f>IF(AND(I21&gt;-0.001,I21&lt;0.001),"OK",HLOOKUP(C21,'Calcular Dieta'!$J$8:$BB$43,36,FALSE))</f>
        <v>OK</v>
      </c>
      <c r="K21" s="564" t="str">
        <f t="shared" si="0"/>
        <v/>
      </c>
      <c r="L21" s="565">
        <f>IF(J21="-","",COUNTIF(J$7:J21,"&lt;&gt;"&amp;"-"))</f>
        <v>15</v>
      </c>
      <c r="M21" s="565" t="str">
        <f t="shared" si="1"/>
        <v/>
      </c>
      <c r="N21" s="569" t="str">
        <f>IFERROR(INDEX(Nutrientes!$C$14:$C$57,MATCH(K21,Nutrientes!$B$14:$B$57,0)),"-")</f>
        <v>-</v>
      </c>
      <c r="O21" s="570" t="str">
        <f>IFERROR(INDEX(Nutrientes!$D$14:$D$57,MATCH(K21,Nutrientes!$B$14:$B$57,0)),"-")</f>
        <v>-</v>
      </c>
      <c r="P21" s="571" t="str">
        <f>IFERROR(INDEX(Nutrientes!$E$14:$E$57,MATCH(K21,Nutrientes!$B$14:$B$57,0)),"-")</f>
        <v>-</v>
      </c>
      <c r="Q21" s="91"/>
    </row>
    <row r="22" spans="1:17" ht="15">
      <c r="A22" s="448"/>
      <c r="B22" s="533" t="str">
        <f>IFERROR(HLOOKUP(C22,Alimentos!$H$2:$AZ$4,3,FALSE),"-")</f>
        <v>Fósforo</v>
      </c>
      <c r="C22" s="534" t="str">
        <f>'Calcular Dieta'!Y8</f>
        <v>P</v>
      </c>
      <c r="D22" s="535" t="str">
        <f>IFERROR(HLOOKUP(C22,Alimentos!$H$2:$AZ$4,2,FALSE),"-")</f>
        <v>g</v>
      </c>
      <c r="E22" s="536">
        <f>IFERROR(HLOOKUP(C22,'Calcular Dieta'!$J$8:$BB$43,32,FALSE),"-")</f>
        <v>0</v>
      </c>
      <c r="F22" s="537">
        <f>IFERROR(HLOOKUP(C22,'Calcular Dieta'!$J$8:$BB$43,33,FALSE),"-")</f>
        <v>82.773702584502871</v>
      </c>
      <c r="G22" s="536">
        <f>IFERROR(HLOOKUP(C22,'Calcular Dieta'!$J$8:$BB$43,34,FALSE),"-")</f>
        <v>999</v>
      </c>
      <c r="H22" s="538" t="str">
        <f>INDEX('Calcular Dieta'!$J$42:$BB$42,,MATCH(Atendimento!C22,'Calcular Dieta'!$J$8:$BB$8,0))</f>
        <v/>
      </c>
      <c r="I22" s="539" t="str">
        <f>INDEX('Calcular Dieta'!$J$42:$BB$42,,MATCH(Atendimento!C22,'Calcular Dieta'!$J$8:$BB$8,0))</f>
        <v/>
      </c>
      <c r="J22" s="540" t="str">
        <f>IF(AND(I22&gt;-0.001,I22&lt;0.001),"OK",HLOOKUP(C22,'Calcular Dieta'!$J$8:$BB$43,36,FALSE))</f>
        <v>OK</v>
      </c>
      <c r="K22" s="564" t="str">
        <f t="shared" si="0"/>
        <v/>
      </c>
      <c r="L22" s="565">
        <f>IF(J22="-","",COUNTIF(J$7:J22,"&lt;&gt;"&amp;"-"))</f>
        <v>16</v>
      </c>
      <c r="M22" s="565" t="str">
        <f t="shared" si="1"/>
        <v/>
      </c>
      <c r="N22" s="569" t="str">
        <f>IFERROR(INDEX(Nutrientes!$C$14:$C$57,MATCH(K22,Nutrientes!$B$14:$B$57,0)),"-")</f>
        <v>-</v>
      </c>
      <c r="O22" s="570" t="str">
        <f>IFERROR(INDEX(Nutrientes!$D$14:$D$57,MATCH(K22,Nutrientes!$B$14:$B$57,0)),"-")</f>
        <v>-</v>
      </c>
      <c r="P22" s="571" t="str">
        <f>IFERROR(INDEX(Nutrientes!$E$14:$E$57,MATCH(K22,Nutrientes!$B$14:$B$57,0)),"-")</f>
        <v>-</v>
      </c>
      <c r="Q22" s="91"/>
    </row>
    <row r="23" spans="1:17" ht="15">
      <c r="A23" s="448"/>
      <c r="B23" s="533" t="str">
        <f>IFERROR(HLOOKUP(C23,Alimentos!$H$2:$AZ$4,3,FALSE),"-")</f>
        <v>Magnésio</v>
      </c>
      <c r="C23" s="534" t="str">
        <f>'Calcular Dieta'!Z8</f>
        <v>Mg</v>
      </c>
      <c r="D23" s="535" t="str">
        <f>IFERROR(HLOOKUP(C23,Alimentos!$H$2:$AZ$4,2,FALSE),"-")</f>
        <v>g</v>
      </c>
      <c r="E23" s="536">
        <f>IFERROR(HLOOKUP(C23,'Calcular Dieta'!$J$8:$BB$43,32,FALSE),"-")</f>
        <v>37</v>
      </c>
      <c r="F23" s="537">
        <f>IFERROR(HLOOKUP(C23,'Calcular Dieta'!$J$8:$BB$43,33,FALSE),"-")</f>
        <v>37.000000000001116</v>
      </c>
      <c r="G23" s="536">
        <f>IFERROR(HLOOKUP(C23,'Calcular Dieta'!$J$8:$BB$43,34,FALSE),"-")</f>
        <v>37</v>
      </c>
      <c r="H23" s="538">
        <f>INDEX('Calcular Dieta'!$J$42:$BB$42,,MATCH(Atendimento!C23,'Calcular Dieta'!$J$8:$BB$8,0))</f>
        <v>1.1155520951433573E-12</v>
      </c>
      <c r="I23" s="539">
        <f>INDEX('Calcular Dieta'!$J$42:$BB$42,,MATCH(Atendimento!C23,'Calcular Dieta'!$J$8:$BB$8,0))</f>
        <v>1.1155520951433573E-12</v>
      </c>
      <c r="J23" s="540" t="str">
        <f>IF(AND(I23&gt;-0.001,I23&lt;0.001),"OK",HLOOKUP(C23,'Calcular Dieta'!$J$8:$BB$43,36,FALSE))</f>
        <v>OK</v>
      </c>
      <c r="K23" s="564" t="str">
        <f t="shared" si="0"/>
        <v/>
      </c>
      <c r="L23" s="565">
        <f>IF(J23="-","",COUNTIF(J$7:J23,"&lt;&gt;"&amp;"-"))</f>
        <v>17</v>
      </c>
      <c r="M23" s="565" t="str">
        <f t="shared" si="1"/>
        <v/>
      </c>
      <c r="N23" s="569" t="str">
        <f>IFERROR(INDEX(Nutrientes!$C$14:$C$57,MATCH(K23,Nutrientes!$B$14:$B$57,0)),"-")</f>
        <v>-</v>
      </c>
      <c r="O23" s="570" t="str">
        <f>IFERROR(INDEX(Nutrientes!$D$14:$D$57,MATCH(K23,Nutrientes!$B$14:$B$57,0)),"-")</f>
        <v>-</v>
      </c>
      <c r="P23" s="571" t="str">
        <f>IFERROR(INDEX(Nutrientes!$E$14:$E$57,MATCH(K23,Nutrientes!$B$14:$B$57,0)),"-")</f>
        <v>-</v>
      </c>
      <c r="Q23" s="91"/>
    </row>
    <row r="24" spans="1:17" ht="15">
      <c r="A24" s="448"/>
      <c r="B24" s="533" t="str">
        <f>IFERROR(HLOOKUP(C24,Alimentos!$H$2:$AZ$4,3,FALSE),"-")</f>
        <v>Sódio</v>
      </c>
      <c r="C24" s="534" t="str">
        <f>'Calcular Dieta'!AA8</f>
        <v>Na</v>
      </c>
      <c r="D24" s="535" t="str">
        <f>IFERROR(HLOOKUP(C24,Alimentos!$H$2:$AZ$4,2,FALSE),"-")</f>
        <v>g</v>
      </c>
      <c r="E24" s="536">
        <f>IFERROR(HLOOKUP(C24,'Calcular Dieta'!$J$8:$BB$43,32,FALSE),"-")</f>
        <v>45</v>
      </c>
      <c r="F24" s="537">
        <f>IFERROR(HLOOKUP(C24,'Calcular Dieta'!$J$8:$BB$43,33,FALSE),"-")</f>
        <v>45.000000000000007</v>
      </c>
      <c r="G24" s="536">
        <f>IFERROR(HLOOKUP(C24,'Calcular Dieta'!$J$8:$BB$43,34,FALSE),"-")</f>
        <v>45</v>
      </c>
      <c r="H24" s="538" t="str">
        <f>INDEX('Calcular Dieta'!$J$42:$BB$42,,MATCH(Atendimento!C24,'Calcular Dieta'!$J$8:$BB$8,0))</f>
        <v/>
      </c>
      <c r="I24" s="539" t="str">
        <f>INDEX('Calcular Dieta'!$J$42:$BB$42,,MATCH(Atendimento!C24,'Calcular Dieta'!$J$8:$BB$8,0))</f>
        <v/>
      </c>
      <c r="J24" s="540" t="str">
        <f>IF(AND(I24&gt;-0.001,I24&lt;0.001),"OK",HLOOKUP(C24,'Calcular Dieta'!$J$8:$BB$43,36,FALSE))</f>
        <v>OK</v>
      </c>
      <c r="K24" s="564" t="str">
        <f>IF(H24&lt;0,C24,"")</f>
        <v/>
      </c>
      <c r="L24" s="565">
        <f>IF(J24="-","",COUNTIF(J$7:J24,"&lt;&gt;"&amp;"-"))</f>
        <v>18</v>
      </c>
      <c r="M24" s="565" t="str">
        <f t="shared" si="1"/>
        <v/>
      </c>
      <c r="N24" s="569" t="str">
        <f>IFERROR(INDEX(Nutrientes!$C$14:$C$57,MATCH(K24,Nutrientes!$B$14:$B$57,0)),"-")</f>
        <v>-</v>
      </c>
      <c r="O24" s="570" t="str">
        <f>IFERROR(INDEX(Nutrientes!$D$14:$D$57,MATCH(K24,Nutrientes!$B$14:$B$57,0)),"-")</f>
        <v>-</v>
      </c>
      <c r="P24" s="571" t="str">
        <f>IFERROR(INDEX(Nutrientes!$E$14:$E$57,MATCH(K24,Nutrientes!$B$14:$B$57,0)),"-")</f>
        <v>-</v>
      </c>
      <c r="Q24" s="91"/>
    </row>
    <row r="25" spans="1:17" ht="15">
      <c r="A25" s="448"/>
      <c r="B25" s="533" t="str">
        <f>IFERROR(HLOOKUP(C25,Alimentos!$H$2:$AZ$4,3,FALSE),"-")</f>
        <v>Potássio</v>
      </c>
      <c r="C25" s="534" t="str">
        <f>'Calcular Dieta'!AB8</f>
        <v>K</v>
      </c>
      <c r="D25" s="535" t="str">
        <f>IFERROR(HLOOKUP(C25,Alimentos!$H$2:$AZ$4,2,FALSE),"-")</f>
        <v>g</v>
      </c>
      <c r="E25" s="536">
        <f>IFERROR(HLOOKUP(C25,'Calcular Dieta'!$J$8:$BB$43,32,FALSE),"-")</f>
        <v>111</v>
      </c>
      <c r="F25" s="537">
        <f>IFERROR(HLOOKUP(C25,'Calcular Dieta'!$J$8:$BB$43,33,FALSE),"-")</f>
        <v>111.00000000000001</v>
      </c>
      <c r="G25" s="536">
        <f>IFERROR(HLOOKUP(C25,'Calcular Dieta'!$J$8:$BB$43,34,FALSE),"-")</f>
        <v>111</v>
      </c>
      <c r="H25" s="538" t="str">
        <f>INDEX('Calcular Dieta'!$J$42:$BB$42,,MATCH(Atendimento!C25,'Calcular Dieta'!$J$8:$BB$8,0))</f>
        <v/>
      </c>
      <c r="I25" s="539" t="str">
        <f>INDEX('Calcular Dieta'!$J$42:$BB$42,,MATCH(Atendimento!C25,'Calcular Dieta'!$J$8:$BB$8,0))</f>
        <v/>
      </c>
      <c r="J25" s="540" t="str">
        <f>IF(AND(I25&gt;-0.001,I25&lt;0.001),"OK",HLOOKUP(C25,'Calcular Dieta'!$J$8:$BB$43,36,FALSE))</f>
        <v>OK</v>
      </c>
      <c r="K25" s="564" t="str">
        <f t="shared" ref="K25:K51" si="2">IF(H25&lt;0,C25,"")</f>
        <v/>
      </c>
      <c r="L25" s="565">
        <f>IF(J25="-","",COUNTIF(J$7:J25,"&lt;&gt;"&amp;"-"))</f>
        <v>19</v>
      </c>
      <c r="M25" s="565" t="str">
        <f t="shared" si="1"/>
        <v/>
      </c>
      <c r="N25" s="569" t="str">
        <f>IFERROR(INDEX(Nutrientes!$C$14:$C$57,MATCH(K25,Nutrientes!$B$14:$B$57,0)),"-")</f>
        <v>-</v>
      </c>
      <c r="O25" s="570" t="str">
        <f>IFERROR(INDEX(Nutrientes!$D$14:$D$57,MATCH(K25,Nutrientes!$B$14:$B$57,0)),"-")</f>
        <v>-</v>
      </c>
      <c r="P25" s="571" t="str">
        <f>IFERROR(INDEX(Nutrientes!$E$14:$E$57,MATCH(K25,Nutrientes!$B$14:$B$57,0)),"-")</f>
        <v>-</v>
      </c>
      <c r="Q25" s="91"/>
    </row>
    <row r="26" spans="1:17" ht="15.75" thickBot="1">
      <c r="A26" s="448"/>
      <c r="B26" s="541" t="str">
        <f>IFERROR(HLOOKUP(C26,Alimentos!$H$2:$AZ$4,3,FALSE),"-")</f>
        <v>Enxofre</v>
      </c>
      <c r="C26" s="542" t="str">
        <f>'Calcular Dieta'!AC8</f>
        <v>S</v>
      </c>
      <c r="D26" s="543" t="str">
        <f>IFERROR(HLOOKUP(C26,Alimentos!$H$2:$AZ$4,2,FALSE),"-")</f>
        <v>g</v>
      </c>
      <c r="E26" s="544">
        <f>IFERROR(HLOOKUP(C26,'Calcular Dieta'!$J$8:$BB$43,32,FALSE),"-")</f>
        <v>44</v>
      </c>
      <c r="F26" s="545">
        <f>IFERROR(HLOOKUP(C26,'Calcular Dieta'!$J$8:$BB$43,33,FALSE),"-")</f>
        <v>44.000043998157544</v>
      </c>
      <c r="G26" s="544">
        <f>IFERROR(HLOOKUP(C26,'Calcular Dieta'!$J$8:$BB$43,34,FALSE),"-")</f>
        <v>44</v>
      </c>
      <c r="H26" s="546">
        <f>INDEX('Calcular Dieta'!$J$42:$BB$42,,MATCH(Atendimento!C26,'Calcular Dieta'!$J$8:$BB$8,0))</f>
        <v>4.3998157543967409E-5</v>
      </c>
      <c r="I26" s="547">
        <f>INDEX('Calcular Dieta'!$J$42:$BB$42,,MATCH(Atendimento!C26,'Calcular Dieta'!$J$8:$BB$8,0))</f>
        <v>4.3998157543967409E-5</v>
      </c>
      <c r="J26" s="548" t="str">
        <f>IF(AND(I26&gt;-0.001,I26&lt;0.001),"OK",HLOOKUP(C26,'Calcular Dieta'!$J$8:$BB$43,36,FALSE))</f>
        <v>OK</v>
      </c>
      <c r="K26" s="564" t="str">
        <f t="shared" si="2"/>
        <v/>
      </c>
      <c r="L26" s="565">
        <f>IF(J26="-","",COUNTIF(J$7:J26,"&lt;&gt;"&amp;"-"))</f>
        <v>20</v>
      </c>
      <c r="M26" s="565" t="str">
        <f t="shared" si="1"/>
        <v/>
      </c>
      <c r="N26" s="569" t="str">
        <f>IFERROR(INDEX(Nutrientes!$C$14:$C$57,MATCH(K26,Nutrientes!$B$14:$B$57,0)),"-")</f>
        <v>-</v>
      </c>
      <c r="O26" s="570" t="str">
        <f>IFERROR(INDEX(Nutrientes!$D$14:$D$57,MATCH(K26,Nutrientes!$B$14:$B$57,0)),"-")</f>
        <v>-</v>
      </c>
      <c r="P26" s="571" t="str">
        <f>IFERROR(INDEX(Nutrientes!$E$14:$E$57,MATCH(K26,Nutrientes!$B$14:$B$57,0)),"-")</f>
        <v>-</v>
      </c>
      <c r="Q26" s="91"/>
    </row>
    <row r="27" spans="1:17" ht="15">
      <c r="A27" s="448"/>
      <c r="B27" s="533" t="str">
        <f>IFERROR(HLOOKUP(C27,Alimentos!$H$2:$AZ$4,3,FALSE),"-")</f>
        <v>Cobre</v>
      </c>
      <c r="C27" s="534" t="str">
        <f>'Calcular Dieta'!AD8</f>
        <v>Cu</v>
      </c>
      <c r="D27" s="535" t="str">
        <f>IFERROR(HLOOKUP(C27,Alimentos!$H$2:$AZ$4,2,FALSE),"-")</f>
        <v>mg</v>
      </c>
      <c r="E27" s="536">
        <f>IFERROR(HLOOKUP(C27,'Calcular Dieta'!$J$8:$BB$43,32,FALSE),"-")</f>
        <v>391</v>
      </c>
      <c r="F27" s="537">
        <f>IFERROR(HLOOKUP(C27,'Calcular Dieta'!$J$8:$BB$43,33,FALSE),"-")</f>
        <v>391.00000000000006</v>
      </c>
      <c r="G27" s="536">
        <f>IFERROR(HLOOKUP(C27,'Calcular Dieta'!$J$8:$BB$43,34,FALSE),"-")</f>
        <v>391</v>
      </c>
      <c r="H27" s="538" t="str">
        <f>INDEX('Calcular Dieta'!$J$42:$BB$42,,MATCH(Atendimento!C27,'Calcular Dieta'!$J$8:$BB$8,0))</f>
        <v/>
      </c>
      <c r="I27" s="539" t="str">
        <f>INDEX('Calcular Dieta'!$J$42:$BB$42,,MATCH(Atendimento!C27,'Calcular Dieta'!$J$8:$BB$8,0))</f>
        <v/>
      </c>
      <c r="J27" s="540" t="str">
        <f>IF(AND(I27&gt;-0.001,I27&lt;0.001),"OK",HLOOKUP(C27,'Calcular Dieta'!$J$8:$BB$43,36,FALSE))</f>
        <v>OK</v>
      </c>
      <c r="K27" s="564" t="str">
        <f t="shared" si="2"/>
        <v/>
      </c>
      <c r="L27" s="565">
        <f>IF(J27="-","",COUNTIF(J$7:J27,"&lt;&gt;"&amp;"-"))</f>
        <v>21</v>
      </c>
      <c r="M27" s="565" t="str">
        <f t="shared" si="1"/>
        <v/>
      </c>
      <c r="N27" s="569" t="str">
        <f>IFERROR(INDEX(Nutrientes!$C$14:$C$57,MATCH(K27,Nutrientes!$B$14:$B$57,0)),"-")</f>
        <v>-</v>
      </c>
      <c r="O27" s="570" t="str">
        <f>IFERROR(INDEX(Nutrientes!$D$14:$D$57,MATCH(K27,Nutrientes!$B$14:$B$57,0)),"-")</f>
        <v>-</v>
      </c>
      <c r="P27" s="571" t="str">
        <f>IFERROR(INDEX(Nutrientes!$E$14:$E$57,MATCH(K27,Nutrientes!$B$14:$B$57,0)),"-")</f>
        <v>-</v>
      </c>
      <c r="Q27" s="91"/>
    </row>
    <row r="28" spans="1:17" ht="15">
      <c r="A28" s="448"/>
      <c r="B28" s="533" t="str">
        <f>IFERROR(HLOOKUP(C28,Alimentos!$H$2:$AZ$4,3,FALSE),"-")</f>
        <v>Zinco</v>
      </c>
      <c r="C28" s="534" t="str">
        <f>'Calcular Dieta'!AE8</f>
        <v>Zn</v>
      </c>
      <c r="D28" s="535" t="str">
        <f>IFERROR(HLOOKUP(C28,Alimentos!$H$2:$AZ$4,2,FALSE),"-")</f>
        <v>mg</v>
      </c>
      <c r="E28" s="536">
        <f>IFERROR(HLOOKUP(C28,'Calcular Dieta'!$J$8:$BB$43,32,FALSE),"-")</f>
        <v>1171</v>
      </c>
      <c r="F28" s="537">
        <f>IFERROR(HLOOKUP(C28,'Calcular Dieta'!$J$8:$BB$43,33,FALSE),"-")</f>
        <v>1170.9999999999998</v>
      </c>
      <c r="G28" s="536">
        <f>IFERROR(HLOOKUP(C28,'Calcular Dieta'!$J$8:$BB$43,34,FALSE),"-")</f>
        <v>1171</v>
      </c>
      <c r="H28" s="538" t="str">
        <f>INDEX('Calcular Dieta'!$J$42:$BB$42,,MATCH(Atendimento!C28,'Calcular Dieta'!$J$8:$BB$8,0))</f>
        <v/>
      </c>
      <c r="I28" s="539" t="str">
        <f>INDEX('Calcular Dieta'!$J$42:$BB$42,,MATCH(Atendimento!C28,'Calcular Dieta'!$J$8:$BB$8,0))</f>
        <v/>
      </c>
      <c r="J28" s="540" t="str">
        <f>IF(AND(I28&gt;-0.001,I28&lt;0.001),"OK",HLOOKUP(C28,'Calcular Dieta'!$J$8:$BB$43,36,FALSE))</f>
        <v>OK</v>
      </c>
      <c r="K28" s="564" t="str">
        <f t="shared" si="2"/>
        <v/>
      </c>
      <c r="L28" s="565">
        <f>IF(J28="-","",COUNTIF(J$7:J28,"&lt;&gt;"&amp;"-"))</f>
        <v>22</v>
      </c>
      <c r="M28" s="565" t="str">
        <f t="shared" si="1"/>
        <v/>
      </c>
      <c r="N28" s="569" t="str">
        <f>IFERROR(INDEX(Nutrientes!$C$14:$C$57,MATCH(K28,Nutrientes!$B$14:$B$57,0)),"-")</f>
        <v>-</v>
      </c>
      <c r="O28" s="570" t="str">
        <f>IFERROR(INDEX(Nutrientes!$D$14:$D$57,MATCH(K28,Nutrientes!$B$14:$B$57,0)),"-")</f>
        <v>-</v>
      </c>
      <c r="P28" s="571" t="str">
        <f>IFERROR(INDEX(Nutrientes!$E$14:$E$57,MATCH(K28,Nutrientes!$B$14:$B$57,0)),"-")</f>
        <v>-</v>
      </c>
      <c r="Q28" s="91"/>
    </row>
    <row r="29" spans="1:17" ht="15">
      <c r="A29" s="448"/>
      <c r="B29" s="533" t="str">
        <f>IFERROR(HLOOKUP(C29,Alimentos!$H$2:$AZ$4,3,FALSE),"-")</f>
        <v>Ferro</v>
      </c>
      <c r="C29" s="534" t="str">
        <f>'Calcular Dieta'!AF8</f>
        <v>Fe</v>
      </c>
      <c r="D29" s="535" t="str">
        <f>IFERROR(HLOOKUP(C29,Alimentos!$H$2:$AZ$4,2,FALSE),"-")</f>
        <v>mg</v>
      </c>
      <c r="E29" s="536">
        <f>IFERROR(HLOOKUP(C29,'Calcular Dieta'!$J$8:$BB$43,32,FALSE),"-")</f>
        <v>0</v>
      </c>
      <c r="F29" s="537">
        <f>IFERROR(HLOOKUP(C29,'Calcular Dieta'!$J$8:$BB$43,33,FALSE),"-")</f>
        <v>0</v>
      </c>
      <c r="G29" s="536">
        <f>IFERROR(HLOOKUP(C29,'Calcular Dieta'!$J$8:$BB$43,34,FALSE),"-")</f>
        <v>999</v>
      </c>
      <c r="H29" s="538" t="str">
        <f>INDEX('Calcular Dieta'!$J$42:$BB$42,,MATCH(Atendimento!C29,'Calcular Dieta'!$J$8:$BB$8,0))</f>
        <v/>
      </c>
      <c r="I29" s="539" t="str">
        <f>INDEX('Calcular Dieta'!$J$42:$BB$42,,MATCH(Atendimento!C29,'Calcular Dieta'!$J$8:$BB$8,0))</f>
        <v/>
      </c>
      <c r="J29" s="540" t="str">
        <f>IF(AND(I29&gt;-0.001,I29&lt;0.001),"OK",HLOOKUP(C29,'Calcular Dieta'!$J$8:$BB$43,36,FALSE))</f>
        <v>OK</v>
      </c>
      <c r="K29" s="564" t="str">
        <f t="shared" si="2"/>
        <v/>
      </c>
      <c r="L29" s="565">
        <f>IF(J29="-","",COUNTIF(J$7:J29,"&lt;&gt;"&amp;"-"))</f>
        <v>23</v>
      </c>
      <c r="M29" s="565" t="str">
        <f t="shared" si="1"/>
        <v/>
      </c>
      <c r="N29" s="569" t="str">
        <f>IFERROR(INDEX(Nutrientes!$C$14:$C$57,MATCH(K29,Nutrientes!$B$14:$B$57,0)),"-")</f>
        <v>-</v>
      </c>
      <c r="O29" s="570" t="str">
        <f>IFERROR(INDEX(Nutrientes!$D$14:$D$57,MATCH(K29,Nutrientes!$B$14:$B$57,0)),"-")</f>
        <v>-</v>
      </c>
      <c r="P29" s="571" t="str">
        <f>IFERROR(INDEX(Nutrientes!$E$14:$E$57,MATCH(K29,Nutrientes!$B$14:$B$57,0)),"-")</f>
        <v>-</v>
      </c>
      <c r="Q29" s="91"/>
    </row>
    <row r="30" spans="1:17" ht="15">
      <c r="A30" s="448"/>
      <c r="B30" s="533" t="str">
        <f>IFERROR(HLOOKUP(C30,Alimentos!$H$2:$AZ$4,3,FALSE),"-")</f>
        <v>Manganês</v>
      </c>
      <c r="C30" s="534" t="str">
        <f>'Calcular Dieta'!AG8</f>
        <v>Mn</v>
      </c>
      <c r="D30" s="535" t="str">
        <f>IFERROR(HLOOKUP(C30,Alimentos!$H$2:$AZ$4,2,FALSE),"-")</f>
        <v>mg</v>
      </c>
      <c r="E30" s="536">
        <f>IFERROR(HLOOKUP(C30,'Calcular Dieta'!$J$8:$BB$43,32,FALSE),"-")</f>
        <v>781</v>
      </c>
      <c r="F30" s="537">
        <f>IFERROR(HLOOKUP(C30,'Calcular Dieta'!$J$8:$BB$43,33,FALSE),"-")</f>
        <v>781</v>
      </c>
      <c r="G30" s="536">
        <f>IFERROR(HLOOKUP(C30,'Calcular Dieta'!$J$8:$BB$43,34,FALSE),"-")</f>
        <v>781</v>
      </c>
      <c r="H30" s="538" t="str">
        <f>INDEX('Calcular Dieta'!$J$42:$BB$42,,MATCH(Atendimento!C30,'Calcular Dieta'!$J$8:$BB$8,0))</f>
        <v/>
      </c>
      <c r="I30" s="539" t="str">
        <f>INDEX('Calcular Dieta'!$J$42:$BB$42,,MATCH(Atendimento!C30,'Calcular Dieta'!$J$8:$BB$8,0))</f>
        <v/>
      </c>
      <c r="J30" s="540" t="str">
        <f>IF(AND(I30&gt;-0.001,I30&lt;0.001),"OK",HLOOKUP(C30,'Calcular Dieta'!$J$8:$BB$43,36,FALSE))</f>
        <v>OK</v>
      </c>
      <c r="K30" s="564" t="str">
        <f t="shared" si="2"/>
        <v/>
      </c>
      <c r="L30" s="565">
        <f>IF(J30="-","",COUNTIF(J$7:J30,"&lt;&gt;"&amp;"-"))</f>
        <v>24</v>
      </c>
      <c r="M30" s="565" t="str">
        <f t="shared" si="1"/>
        <v/>
      </c>
      <c r="N30" s="569" t="str">
        <f>IFERROR(INDEX(Nutrientes!$C$14:$C$57,MATCH(K30,Nutrientes!$B$14:$B$57,0)),"-")</f>
        <v>-</v>
      </c>
      <c r="O30" s="570" t="str">
        <f>IFERROR(INDEX(Nutrientes!$D$14:$D$57,MATCH(K30,Nutrientes!$B$14:$B$57,0)),"-")</f>
        <v>-</v>
      </c>
      <c r="P30" s="571" t="str">
        <f>IFERROR(INDEX(Nutrientes!$E$14:$E$57,MATCH(K30,Nutrientes!$B$14:$B$57,0)),"-")</f>
        <v>-</v>
      </c>
      <c r="Q30" s="91"/>
    </row>
    <row r="31" spans="1:17" ht="15">
      <c r="A31" s="448"/>
      <c r="B31" s="533" t="str">
        <f>IFERROR(HLOOKUP(C31,Alimentos!$H$2:$AZ$4,3,FALSE),"-")</f>
        <v>Iodo</v>
      </c>
      <c r="C31" s="534" t="str">
        <f>'Calcular Dieta'!AH8</f>
        <v>I</v>
      </c>
      <c r="D31" s="535" t="str">
        <f>IFERROR(HLOOKUP(C31,Alimentos!$H$2:$AZ$4,2,FALSE),"-")</f>
        <v>mg</v>
      </c>
      <c r="E31" s="536">
        <f>IFERROR(HLOOKUP(C31,'Calcular Dieta'!$J$8:$BB$43,32,FALSE),"-")</f>
        <v>20</v>
      </c>
      <c r="F31" s="537">
        <f>IFERROR(HLOOKUP(C31,'Calcular Dieta'!$J$8:$BB$43,33,FALSE),"-")</f>
        <v>20</v>
      </c>
      <c r="G31" s="536">
        <f>IFERROR(HLOOKUP(C31,'Calcular Dieta'!$J$8:$BB$43,34,FALSE),"-")</f>
        <v>20</v>
      </c>
      <c r="H31" s="538" t="str">
        <f>INDEX('Calcular Dieta'!$J$42:$BB$42,,MATCH(Atendimento!C31,'Calcular Dieta'!$J$8:$BB$8,0))</f>
        <v/>
      </c>
      <c r="I31" s="539" t="str">
        <f>INDEX('Calcular Dieta'!$J$42:$BB$42,,MATCH(Atendimento!C31,'Calcular Dieta'!$J$8:$BB$8,0))</f>
        <v/>
      </c>
      <c r="J31" s="540" t="str">
        <f>IF(AND(I31&gt;-0.001,I31&lt;0.001),"OK",HLOOKUP(C31,'Calcular Dieta'!$J$8:$BB$43,36,FALSE))</f>
        <v>OK</v>
      </c>
      <c r="K31" s="564" t="str">
        <f t="shared" si="2"/>
        <v/>
      </c>
      <c r="L31" s="565">
        <f>IF(J31="-","",COUNTIF(J$7:J31,"&lt;&gt;"&amp;"-"))</f>
        <v>25</v>
      </c>
      <c r="M31" s="565" t="str">
        <f t="shared" si="1"/>
        <v/>
      </c>
      <c r="N31" s="569" t="str">
        <f>IFERROR(INDEX(Nutrientes!$C$14:$C$57,MATCH(K31,Nutrientes!$B$14:$B$57,0)),"-")</f>
        <v>-</v>
      </c>
      <c r="O31" s="570" t="str">
        <f>IFERROR(INDEX(Nutrientes!$D$14:$D$57,MATCH(K31,Nutrientes!$B$14:$B$57,0)),"-")</f>
        <v>-</v>
      </c>
      <c r="P31" s="571" t="str">
        <f>IFERROR(INDEX(Nutrientes!$E$14:$E$57,MATCH(K31,Nutrientes!$B$14:$B$57,0)),"-")</f>
        <v>-</v>
      </c>
      <c r="Q31" s="91"/>
    </row>
    <row r="32" spans="1:17" ht="15">
      <c r="A32" s="448"/>
      <c r="B32" s="533" t="str">
        <f>IFERROR(HLOOKUP(C32,Alimentos!$H$2:$AZ$4,3,FALSE),"-")</f>
        <v>Cobalto</v>
      </c>
      <c r="C32" s="534" t="str">
        <f>'Calcular Dieta'!AI8</f>
        <v>Co</v>
      </c>
      <c r="D32" s="535" t="str">
        <f>IFERROR(HLOOKUP(C32,Alimentos!$H$2:$AZ$4,2,FALSE),"-")</f>
        <v>mg</v>
      </c>
      <c r="E32" s="536">
        <f>IFERROR(HLOOKUP(C32,'Calcular Dieta'!$J$8:$BB$43,32,FALSE),"-")</f>
        <v>4</v>
      </c>
      <c r="F32" s="537">
        <f>IFERROR(HLOOKUP(C32,'Calcular Dieta'!$J$8:$BB$43,33,FALSE),"-")</f>
        <v>4</v>
      </c>
      <c r="G32" s="536">
        <f>IFERROR(HLOOKUP(C32,'Calcular Dieta'!$J$8:$BB$43,34,FALSE),"-")</f>
        <v>4</v>
      </c>
      <c r="H32" s="538" t="str">
        <f>INDEX('Calcular Dieta'!$J$42:$BB$42,,MATCH(Atendimento!C32,'Calcular Dieta'!$J$8:$BB$8,0))</f>
        <v/>
      </c>
      <c r="I32" s="539" t="str">
        <f>INDEX('Calcular Dieta'!$J$42:$BB$42,,MATCH(Atendimento!C32,'Calcular Dieta'!$J$8:$BB$8,0))</f>
        <v/>
      </c>
      <c r="J32" s="540" t="str">
        <f>IF(AND(I32&gt;-0.001,I32&lt;0.001),"OK",HLOOKUP(C32,'Calcular Dieta'!$J$8:$BB$43,36,FALSE))</f>
        <v>OK</v>
      </c>
      <c r="K32" s="564" t="str">
        <f t="shared" si="2"/>
        <v/>
      </c>
      <c r="L32" s="565">
        <f>IF(J32="-","",COUNTIF(J$7:J32,"&lt;&gt;"&amp;"-"))</f>
        <v>26</v>
      </c>
      <c r="M32" s="565" t="str">
        <f t="shared" si="1"/>
        <v/>
      </c>
      <c r="N32" s="569" t="str">
        <f>IFERROR(INDEX(Nutrientes!$C$14:$C$57,MATCH(K32,Nutrientes!$B$14:$B$57,0)),"-")</f>
        <v>-</v>
      </c>
      <c r="O32" s="570" t="str">
        <f>IFERROR(INDEX(Nutrientes!$D$14:$D$57,MATCH(K32,Nutrientes!$B$14:$B$57,0)),"-")</f>
        <v>-</v>
      </c>
      <c r="P32" s="571" t="str">
        <f>IFERROR(INDEX(Nutrientes!$E$14:$E$57,MATCH(K32,Nutrientes!$B$14:$B$57,0)),"-")</f>
        <v>-</v>
      </c>
      <c r="Q32" s="91"/>
    </row>
    <row r="33" spans="1:17" ht="15.75" thickBot="1">
      <c r="A33" s="448"/>
      <c r="B33" s="541" t="str">
        <f>IFERROR(HLOOKUP(C33,Alimentos!$H$2:$AZ$4,3,FALSE),"-")</f>
        <v>Selênio</v>
      </c>
      <c r="C33" s="542" t="str">
        <f>'Calcular Dieta'!AJ8</f>
        <v>Se</v>
      </c>
      <c r="D33" s="543" t="str">
        <f>IFERROR(HLOOKUP(C33,Alimentos!$H$2:$AZ$4,2,FALSE),"-")</f>
        <v>mg</v>
      </c>
      <c r="E33" s="544">
        <f>IFERROR(HLOOKUP(C33,'Calcular Dieta'!$J$8:$BB$43,32,FALSE),"-")</f>
        <v>8</v>
      </c>
      <c r="F33" s="545">
        <f>IFERROR(HLOOKUP(C33,'Calcular Dieta'!$J$8:$BB$43,33,FALSE),"-")</f>
        <v>8.0000000000000018</v>
      </c>
      <c r="G33" s="544">
        <f>IFERROR(HLOOKUP(C33,'Calcular Dieta'!$J$8:$BB$43,34,FALSE),"-")</f>
        <v>8</v>
      </c>
      <c r="H33" s="546" t="str">
        <f>INDEX('Calcular Dieta'!$J$42:$BB$42,,MATCH(Atendimento!C33,'Calcular Dieta'!$J$8:$BB$8,0))</f>
        <v/>
      </c>
      <c r="I33" s="547" t="str">
        <f>INDEX('Calcular Dieta'!$J$42:$BB$42,,MATCH(Atendimento!C33,'Calcular Dieta'!$J$8:$BB$8,0))</f>
        <v/>
      </c>
      <c r="J33" s="548" t="str">
        <f>IF(AND(I33&gt;-0.001,I33&lt;0.001),"OK",HLOOKUP(C33,'Calcular Dieta'!$J$8:$BB$43,36,FALSE))</f>
        <v>OK</v>
      </c>
      <c r="K33" s="564" t="str">
        <f t="shared" si="2"/>
        <v/>
      </c>
      <c r="L33" s="565">
        <f>IF(J33="-","",COUNTIF(J$7:J33,"&lt;&gt;"&amp;"-"))</f>
        <v>27</v>
      </c>
      <c r="M33" s="565" t="str">
        <f t="shared" si="1"/>
        <v/>
      </c>
      <c r="N33" s="569" t="str">
        <f>IFERROR(INDEX(Nutrientes!$C$14:$C$57,MATCH(K33,Nutrientes!$B$14:$B$57,0)),"-")</f>
        <v>-</v>
      </c>
      <c r="O33" s="570" t="str">
        <f>IFERROR(INDEX(Nutrientes!$D$14:$D$57,MATCH(K33,Nutrientes!$B$14:$B$57,0)),"-")</f>
        <v>-</v>
      </c>
      <c r="P33" s="571" t="str">
        <f>IFERROR(INDEX(Nutrientes!$E$14:$E$57,MATCH(K33,Nutrientes!$B$14:$B$57,0)),"-")</f>
        <v>-</v>
      </c>
      <c r="Q33" s="91"/>
    </row>
    <row r="34" spans="1:17" ht="15">
      <c r="A34" s="448"/>
      <c r="B34" s="552" t="str">
        <f>IFERROR(HLOOKUP(C34,Alimentos!$H$2:$AZ$4,3,FALSE),"-")</f>
        <v>Lisina</v>
      </c>
      <c r="C34" s="553" t="str">
        <f>'Calcular Dieta'!AK8</f>
        <v>Lis</v>
      </c>
      <c r="D34" s="554" t="str">
        <f>IFERROR(HLOOKUP(C34,Alimentos!$H$2:$AZ$4,2,FALSE),"-")</f>
        <v>g</v>
      </c>
      <c r="E34" s="555">
        <f>IFERROR(HLOOKUP(C34,'Calcular Dieta'!$J$8:$BB$43,32,FALSE),"-")</f>
        <v>0</v>
      </c>
      <c r="F34" s="556">
        <f>IFERROR(HLOOKUP(C34,'Calcular Dieta'!$J$8:$BB$43,33,FALSE),"-")</f>
        <v>0</v>
      </c>
      <c r="G34" s="555">
        <f>IFERROR(HLOOKUP(C34,'Calcular Dieta'!$J$8:$BB$43,34,FALSE),"-")</f>
        <v>9999999</v>
      </c>
      <c r="H34" s="557" t="str">
        <f>INDEX('Calcular Dieta'!$J$42:$BB$42,,MATCH(Atendimento!C34,'Calcular Dieta'!$J$8:$BB$8,0))</f>
        <v/>
      </c>
      <c r="I34" s="558" t="str">
        <f>INDEX('Calcular Dieta'!$J$42:$BB$42,,MATCH(Atendimento!C34,'Calcular Dieta'!$J$8:$BB$8,0))</f>
        <v/>
      </c>
      <c r="J34" s="559" t="str">
        <f>IF(AND(I34&gt;-0.001,I34&lt;0.001),"OK",HLOOKUP(C34,'Calcular Dieta'!$J$8:$BB$43,36,FALSE))</f>
        <v>OK</v>
      </c>
      <c r="K34" s="564" t="str">
        <f t="shared" si="2"/>
        <v/>
      </c>
      <c r="L34" s="565">
        <f>IF(J34="-","",COUNTIF(J$7:J34,"&lt;&gt;"&amp;"-"))</f>
        <v>28</v>
      </c>
      <c r="M34" s="565" t="str">
        <f t="shared" si="1"/>
        <v/>
      </c>
      <c r="N34" s="569" t="str">
        <f>IFERROR(INDEX(Nutrientes!$C$14:$C$57,MATCH(K34,Nutrientes!$B$14:$B$57,0)),"-")</f>
        <v>-</v>
      </c>
      <c r="O34" s="570" t="str">
        <f>IFERROR(INDEX(Nutrientes!$D$14:$D$57,MATCH(K34,Nutrientes!$B$14:$B$57,0)),"-")</f>
        <v>-</v>
      </c>
      <c r="P34" s="571" t="str">
        <f>IFERROR(INDEX(Nutrientes!$E$14:$E$57,MATCH(K34,Nutrientes!$B$14:$B$57,0)),"-")</f>
        <v>-</v>
      </c>
      <c r="Q34" s="91"/>
    </row>
    <row r="35" spans="1:17" ht="15">
      <c r="A35" s="448"/>
      <c r="B35" s="552" t="str">
        <f>IFERROR(HLOOKUP(C35,Alimentos!$H$2:$AZ$4,3,FALSE),"-")</f>
        <v>Metionina</v>
      </c>
      <c r="C35" s="553" t="str">
        <f>'Calcular Dieta'!AL8</f>
        <v>Met</v>
      </c>
      <c r="D35" s="554" t="str">
        <f>IFERROR(HLOOKUP(C35,Alimentos!$H$2:$AZ$4,2,FALSE),"-")</f>
        <v>g</v>
      </c>
      <c r="E35" s="555">
        <f>IFERROR(HLOOKUP(C35,'Calcular Dieta'!$J$8:$BB$43,32,FALSE),"-")</f>
        <v>0</v>
      </c>
      <c r="F35" s="556">
        <f>IFERROR(HLOOKUP(C35,'Calcular Dieta'!$J$8:$BB$43,33,FALSE),"-")</f>
        <v>0</v>
      </c>
      <c r="G35" s="555">
        <f>IFERROR(HLOOKUP(C35,'Calcular Dieta'!$J$8:$BB$43,34,FALSE),"-")</f>
        <v>9999999</v>
      </c>
      <c r="H35" s="557" t="str">
        <f>INDEX('Calcular Dieta'!$J$42:$BB$42,,MATCH(Atendimento!C35,'Calcular Dieta'!$J$8:$BB$8,0))</f>
        <v/>
      </c>
      <c r="I35" s="558" t="str">
        <f>INDEX('Calcular Dieta'!$J$42:$BB$42,,MATCH(Atendimento!C35,'Calcular Dieta'!$J$8:$BB$8,0))</f>
        <v/>
      </c>
      <c r="J35" s="559" t="str">
        <f>IF(AND(I35&gt;-0.001,I35&lt;0.001),"OK",HLOOKUP(C35,'Calcular Dieta'!$J$8:$BB$43,36,FALSE))</f>
        <v>OK</v>
      </c>
      <c r="K35" s="564" t="str">
        <f t="shared" si="2"/>
        <v/>
      </c>
      <c r="L35" s="565">
        <f>IF(J35="-","",COUNTIF(J$7:J35,"&lt;&gt;"&amp;"-"))</f>
        <v>29</v>
      </c>
      <c r="M35" s="565" t="str">
        <f t="shared" si="1"/>
        <v/>
      </c>
      <c r="N35" s="569" t="str">
        <f>IFERROR(INDEX(Nutrientes!$C$14:$C$57,MATCH(K35,Nutrientes!$B$14:$B$57,0)),"-")</f>
        <v>-</v>
      </c>
      <c r="O35" s="570" t="str">
        <f>IFERROR(INDEX(Nutrientes!$D$14:$D$57,MATCH(K35,Nutrientes!$B$14:$B$57,0)),"-")</f>
        <v>-</v>
      </c>
      <c r="P35" s="571" t="str">
        <f>IFERROR(INDEX(Nutrientes!$E$14:$E$57,MATCH(K35,Nutrientes!$B$14:$B$57,0)),"-")</f>
        <v>-</v>
      </c>
      <c r="Q35" s="91"/>
    </row>
    <row r="36" spans="1:17" ht="15">
      <c r="A36" s="448"/>
      <c r="B36" s="533" t="str">
        <f>IFERROR(HLOOKUP(C36,Alimentos!$H$2:$AZ$4,3,FALSE),"-")</f>
        <v>Monensina</v>
      </c>
      <c r="C36" s="534" t="str">
        <f>'Calcular Dieta'!AM8</f>
        <v>Mon</v>
      </c>
      <c r="D36" s="535" t="str">
        <f>IFERROR(HLOOKUP(C36,Alimentos!$H$2:$AZ$4,2,FALSE),"-")</f>
        <v>ppm</v>
      </c>
      <c r="E36" s="536">
        <f>IFERROR(HLOOKUP(C36,'Calcular Dieta'!$J$8:$BB$43,32,FALSE),"-")</f>
        <v>0</v>
      </c>
      <c r="F36" s="537">
        <f>IFERROR(HLOOKUP(C36,'Calcular Dieta'!$J$8:$BB$43,33,FALSE),"-")</f>
        <v>0</v>
      </c>
      <c r="G36" s="536">
        <f>IFERROR(HLOOKUP(C36,'Calcular Dieta'!$J$8:$BB$43,34,FALSE),"-")</f>
        <v>9999999</v>
      </c>
      <c r="H36" s="538" t="str">
        <f>INDEX('Calcular Dieta'!$J$42:$BB$42,,MATCH(Atendimento!C36,'Calcular Dieta'!$J$8:$BB$8,0))</f>
        <v/>
      </c>
      <c r="I36" s="539" t="str">
        <f>INDEX('Calcular Dieta'!$J$42:$BB$42,,MATCH(Atendimento!C36,'Calcular Dieta'!$J$8:$BB$8,0))</f>
        <v/>
      </c>
      <c r="J36" s="540" t="str">
        <f>IF(AND(I36&gt;-0.001,I36&lt;0.001),"OK",HLOOKUP(C36,'Calcular Dieta'!$J$8:$BB$43,36,FALSE))</f>
        <v>OK</v>
      </c>
      <c r="K36" s="564" t="str">
        <f t="shared" si="2"/>
        <v/>
      </c>
      <c r="L36" s="565">
        <f>IF(J36="-","",COUNTIF(J$7:J36,"&lt;&gt;"&amp;"-"))</f>
        <v>30</v>
      </c>
      <c r="M36" s="565" t="str">
        <f t="shared" si="1"/>
        <v/>
      </c>
      <c r="N36" s="569" t="str">
        <f>IFERROR(INDEX(Nutrientes!$C$14:$C$57,MATCH(K36,Nutrientes!$B$14:$B$57,0)),"-")</f>
        <v>-</v>
      </c>
      <c r="O36" s="570" t="str">
        <f>IFERROR(INDEX(Nutrientes!$D$14:$D$57,MATCH(K36,Nutrientes!$B$14:$B$57,0)),"-")</f>
        <v>-</v>
      </c>
      <c r="P36" s="571" t="str">
        <f>IFERROR(INDEX(Nutrientes!$E$14:$E$57,MATCH(K36,Nutrientes!$B$14:$B$57,0)),"-")</f>
        <v>-</v>
      </c>
      <c r="Q36" s="91"/>
    </row>
    <row r="37" spans="1:17" ht="15">
      <c r="A37" s="448"/>
      <c r="B37" s="533" t="str">
        <f>IFERROR(HLOOKUP(C37,Alimentos!$H$2:$AZ$4,3,FALSE),"-")</f>
        <v>Vitamina A</v>
      </c>
      <c r="C37" s="534" t="str">
        <f>'Calcular Dieta'!AN8</f>
        <v>Vit A</v>
      </c>
      <c r="D37" s="535" t="str">
        <f>IFERROR(HLOOKUP(C37,Alimentos!$H$2:$AZ$4,2,FALSE),"-")</f>
        <v>UI</v>
      </c>
      <c r="E37" s="536">
        <f>IFERROR(HLOOKUP(C37,'Calcular Dieta'!$J$8:$BB$43,32,FALSE),"-")</f>
        <v>0</v>
      </c>
      <c r="F37" s="537">
        <f>IFERROR(HLOOKUP(C37,'Calcular Dieta'!$J$8:$BB$43,33,FALSE),"-")</f>
        <v>0</v>
      </c>
      <c r="G37" s="536">
        <f>IFERROR(HLOOKUP(C37,'Calcular Dieta'!$J$8:$BB$43,34,FALSE),"-")</f>
        <v>9999999</v>
      </c>
      <c r="H37" s="538" t="str">
        <f>INDEX('Calcular Dieta'!$J$42:$BB$42,,MATCH(Atendimento!C37,'Calcular Dieta'!$J$8:$BB$8,0))</f>
        <v/>
      </c>
      <c r="I37" s="539" t="str">
        <f>INDEX('Calcular Dieta'!$J$42:$BB$42,,MATCH(Atendimento!C37,'Calcular Dieta'!$J$8:$BB$8,0))</f>
        <v/>
      </c>
      <c r="J37" s="540" t="str">
        <f>IF(AND(I37&gt;-0.001,I37&lt;0.001),"OK",HLOOKUP(C37,'Calcular Dieta'!$J$8:$BB$43,36,FALSE))</f>
        <v>OK</v>
      </c>
      <c r="K37" s="564" t="str">
        <f t="shared" si="2"/>
        <v/>
      </c>
      <c r="L37" s="565">
        <f>IF(J37="-","",COUNTIF(J$7:J37,"&lt;&gt;"&amp;"-"))</f>
        <v>31</v>
      </c>
      <c r="M37" s="565" t="str">
        <f t="shared" si="1"/>
        <v/>
      </c>
      <c r="N37" s="569" t="str">
        <f>IFERROR(INDEX(Nutrientes!$C$14:$C$57,MATCH(K37,Nutrientes!$B$14:$B$57,0)),"-")</f>
        <v>-</v>
      </c>
      <c r="O37" s="570" t="str">
        <f>IFERROR(INDEX(Nutrientes!$D$14:$D$57,MATCH(K37,Nutrientes!$B$14:$B$57,0)),"-")</f>
        <v>-</v>
      </c>
      <c r="P37" s="571" t="str">
        <f>IFERROR(INDEX(Nutrientes!$E$14:$E$57,MATCH(K37,Nutrientes!$B$14:$B$57,0)),"-")</f>
        <v>-</v>
      </c>
      <c r="Q37" s="91"/>
    </row>
    <row r="38" spans="1:17" ht="15">
      <c r="A38" s="448"/>
      <c r="B38" s="533" t="str">
        <f>IFERROR(HLOOKUP(C38,Alimentos!$H$2:$AZ$4,3,FALSE),"-")</f>
        <v>Vitamina B</v>
      </c>
      <c r="C38" s="534" t="str">
        <f>'Calcular Dieta'!AO8</f>
        <v>Vit B (UI)</v>
      </c>
      <c r="D38" s="535" t="str">
        <f>IFERROR(HLOOKUP(C38,Alimentos!$H$2:$AZ$4,2,FALSE),"-")</f>
        <v>UI</v>
      </c>
      <c r="E38" s="536">
        <f>IFERROR(HLOOKUP(C38,'Calcular Dieta'!$J$8:$BB$43,32,FALSE),"-")</f>
        <v>0</v>
      </c>
      <c r="F38" s="537">
        <f>IFERROR(HLOOKUP(C38,'Calcular Dieta'!$J$8:$BB$43,33,FALSE),"-")</f>
        <v>0</v>
      </c>
      <c r="G38" s="536">
        <f>IFERROR(HLOOKUP(C38,'Calcular Dieta'!$J$8:$BB$43,34,FALSE),"-")</f>
        <v>9999999</v>
      </c>
      <c r="H38" s="538" t="str">
        <f>INDEX('Calcular Dieta'!$J$42:$BB$42,,MATCH(Atendimento!C38,'Calcular Dieta'!$J$8:$BB$8,0))</f>
        <v/>
      </c>
      <c r="I38" s="539" t="str">
        <f>INDEX('Calcular Dieta'!$J$42:$BB$42,,MATCH(Atendimento!C38,'Calcular Dieta'!$J$8:$BB$8,0))</f>
        <v/>
      </c>
      <c r="J38" s="540" t="str">
        <f>IF(AND(I38&gt;-0.001,I38&lt;0.001),"OK",HLOOKUP(C38,'Calcular Dieta'!$J$8:$BB$43,36,FALSE))</f>
        <v>OK</v>
      </c>
      <c r="K38" s="564" t="str">
        <f t="shared" si="2"/>
        <v/>
      </c>
      <c r="L38" s="565">
        <f>IF(J38="-","",COUNTIF(J$7:J38,"&lt;&gt;"&amp;"-"))</f>
        <v>32</v>
      </c>
      <c r="M38" s="565" t="str">
        <f t="shared" si="1"/>
        <v/>
      </c>
      <c r="N38" s="569" t="str">
        <f>IFERROR(INDEX(Nutrientes!$C$14:$C$57,MATCH(K38,Nutrientes!$B$14:$B$57,0)),"-")</f>
        <v>-</v>
      </c>
      <c r="O38" s="570" t="str">
        <f>IFERROR(INDEX(Nutrientes!$D$14:$D$57,MATCH(K38,Nutrientes!$B$14:$B$57,0)),"-")</f>
        <v>-</v>
      </c>
      <c r="P38" s="571" t="str">
        <f>IFERROR(INDEX(Nutrientes!$E$14:$E$57,MATCH(K38,Nutrientes!$B$14:$B$57,0)),"-")</f>
        <v>-</v>
      </c>
      <c r="Q38" s="91"/>
    </row>
    <row r="39" spans="1:17" ht="15">
      <c r="A39" s="448"/>
      <c r="B39" s="533" t="str">
        <f>IFERROR(HLOOKUP(C39,Alimentos!$H$2:$AZ$4,3,FALSE),"-")</f>
        <v>Vitamina D</v>
      </c>
      <c r="C39" s="534" t="str">
        <f>'Calcular Dieta'!AP8</f>
        <v>Vit D (UI)</v>
      </c>
      <c r="D39" s="535" t="str">
        <f>IFERROR(HLOOKUP(C39,Alimentos!$H$2:$AZ$4,2,FALSE),"-")</f>
        <v>UI</v>
      </c>
      <c r="E39" s="536">
        <f>IFERROR(HLOOKUP(C39,'Calcular Dieta'!$J$8:$BB$43,32,FALSE),"-")</f>
        <v>0</v>
      </c>
      <c r="F39" s="537">
        <f>IFERROR(HLOOKUP(C39,'Calcular Dieta'!$J$8:$BB$43,33,FALSE),"-")</f>
        <v>0</v>
      </c>
      <c r="G39" s="536">
        <f>IFERROR(HLOOKUP(C39,'Calcular Dieta'!$J$8:$BB$43,34,FALSE),"-")</f>
        <v>9999999</v>
      </c>
      <c r="H39" s="538" t="str">
        <f>INDEX('Calcular Dieta'!$J$42:$BB$42,,MATCH(Atendimento!C39,'Calcular Dieta'!$J$8:$BB$8,0))</f>
        <v/>
      </c>
      <c r="I39" s="539" t="str">
        <f>INDEX('Calcular Dieta'!$J$42:$BB$42,,MATCH(Atendimento!C39,'Calcular Dieta'!$J$8:$BB$8,0))</f>
        <v/>
      </c>
      <c r="J39" s="540" t="str">
        <f>IF(AND(I39&gt;-0.001,I39&lt;0.001),"OK",HLOOKUP(C39,'Calcular Dieta'!$J$8:$BB$43,36,FALSE))</f>
        <v>OK</v>
      </c>
      <c r="K39" s="564" t="str">
        <f t="shared" si="2"/>
        <v/>
      </c>
      <c r="L39" s="565">
        <f>IF(J39="-","",COUNTIF(J$7:J39,"&lt;&gt;"&amp;"-"))</f>
        <v>33</v>
      </c>
      <c r="M39" s="565" t="str">
        <f t="shared" si="1"/>
        <v/>
      </c>
      <c r="N39" s="569" t="str">
        <f>IFERROR(INDEX(Nutrientes!$C$14:$C$57,MATCH(K39,Nutrientes!$B$14:$B$57,0)),"-")</f>
        <v>-</v>
      </c>
      <c r="O39" s="570" t="str">
        <f>IFERROR(INDEX(Nutrientes!$D$14:$D$57,MATCH(K39,Nutrientes!$B$14:$B$57,0)),"-")</f>
        <v>-</v>
      </c>
      <c r="P39" s="571" t="str">
        <f>IFERROR(INDEX(Nutrientes!$E$14:$E$57,MATCH(K39,Nutrientes!$B$14:$B$57,0)),"-")</f>
        <v>-</v>
      </c>
      <c r="Q39" s="91"/>
    </row>
    <row r="40" spans="1:17" ht="15">
      <c r="A40" s="448"/>
      <c r="B40" s="533" t="str">
        <f>IFERROR(HLOOKUP(C40,Alimentos!$H$2:$AZ$4,3,FALSE),"-")</f>
        <v>Vitamina E</v>
      </c>
      <c r="C40" s="534" t="str">
        <f>'Calcular Dieta'!AQ8</f>
        <v>Vit E (UI)</v>
      </c>
      <c r="D40" s="535" t="str">
        <f>IFERROR(HLOOKUP(C40,Alimentos!$H$2:$AZ$4,2,FALSE),"-")</f>
        <v>UI</v>
      </c>
      <c r="E40" s="536">
        <f>IFERROR(HLOOKUP(C40,'Calcular Dieta'!$J$8:$BB$43,32,FALSE),"-")</f>
        <v>0</v>
      </c>
      <c r="F40" s="537">
        <f>IFERROR(HLOOKUP(C40,'Calcular Dieta'!$J$8:$BB$43,33,FALSE),"-")</f>
        <v>0</v>
      </c>
      <c r="G40" s="536">
        <f>IFERROR(HLOOKUP(C40,'Calcular Dieta'!$J$8:$BB$43,34,FALSE),"-")</f>
        <v>9999999</v>
      </c>
      <c r="H40" s="538" t="str">
        <f>INDEX('Calcular Dieta'!$J$42:$BB$42,,MATCH(Atendimento!C40,'Calcular Dieta'!$J$8:$BB$8,0))</f>
        <v/>
      </c>
      <c r="I40" s="539" t="str">
        <f>INDEX('Calcular Dieta'!$J$42:$BB$42,,MATCH(Atendimento!C40,'Calcular Dieta'!$J$8:$BB$8,0))</f>
        <v/>
      </c>
      <c r="J40" s="540" t="str">
        <f>IF(AND(I40&gt;-0.001,I40&lt;0.001),"OK",HLOOKUP(C40,'Calcular Dieta'!$J$8:$BB$43,36,FALSE))</f>
        <v>OK</v>
      </c>
      <c r="K40" s="564" t="str">
        <f t="shared" si="2"/>
        <v/>
      </c>
      <c r="L40" s="565">
        <f>IF(J40="-","",COUNTIF(J$7:J40,"&lt;&gt;"&amp;"-"))</f>
        <v>34</v>
      </c>
      <c r="M40" s="565" t="str">
        <f t="shared" si="1"/>
        <v/>
      </c>
      <c r="N40" s="569" t="str">
        <f>IFERROR(INDEX(Nutrientes!$C$14:$C$57,MATCH(K40,Nutrientes!$B$14:$B$57,0)),"-")</f>
        <v>-</v>
      </c>
      <c r="O40" s="570" t="str">
        <f>IFERROR(INDEX(Nutrientes!$D$14:$D$57,MATCH(K40,Nutrientes!$B$14:$B$57,0)),"-")</f>
        <v>-</v>
      </c>
      <c r="P40" s="571" t="str">
        <f>IFERROR(INDEX(Nutrientes!$E$14:$E$57,MATCH(K40,Nutrientes!$B$14:$B$57,0)),"-")</f>
        <v>-</v>
      </c>
      <c r="Q40" s="91"/>
    </row>
    <row r="41" spans="1:17" ht="15">
      <c r="A41" s="448"/>
      <c r="B41" s="533" t="str">
        <f>IFERROR(HLOOKUP(C41,Alimentos!$H$2:$AZ$4,3,FALSE),"-")</f>
        <v>Nutriente Novo 01</v>
      </c>
      <c r="C41" s="534" t="str">
        <f>'Calcular Dieta'!AR8</f>
        <v>Novo 01</v>
      </c>
      <c r="D41" s="535" t="str">
        <f>IFERROR(HLOOKUP(C41,Alimentos!$H$2:$AZ$4,2,FALSE),"-")</f>
        <v>-</v>
      </c>
      <c r="E41" s="536">
        <f>IFERROR(HLOOKUP(C41,'Calcular Dieta'!$J$8:$BB$43,32,FALSE),"-")</f>
        <v>0</v>
      </c>
      <c r="F41" s="537">
        <f>IFERROR(HLOOKUP(C41,'Calcular Dieta'!$J$8:$BB$43,33,FALSE),"-")</f>
        <v>0</v>
      </c>
      <c r="G41" s="536">
        <f>IFERROR(HLOOKUP(C41,'Calcular Dieta'!$J$8:$BB$43,34,FALSE),"-")</f>
        <v>9999999</v>
      </c>
      <c r="H41" s="538" t="str">
        <f>INDEX('Calcular Dieta'!$J$42:$BB$42,,MATCH(Atendimento!C41,'Calcular Dieta'!$J$8:$BB$8,0))</f>
        <v/>
      </c>
      <c r="I41" s="539" t="str">
        <f>INDEX('Calcular Dieta'!$J$42:$BB$42,,MATCH(Atendimento!C41,'Calcular Dieta'!$J$8:$BB$8,0))</f>
        <v/>
      </c>
      <c r="J41" s="540" t="str">
        <f>IF(AND(I41&gt;-0.001,I41&lt;0.001),"OK",HLOOKUP(C41,'Calcular Dieta'!$J$8:$BB$43,36,FALSE))</f>
        <v>OK</v>
      </c>
      <c r="K41" s="564" t="str">
        <f t="shared" si="2"/>
        <v/>
      </c>
      <c r="L41" s="565">
        <f>IF(J41="-","",COUNTIF(J$7:J41,"&lt;&gt;"&amp;"-"))</f>
        <v>35</v>
      </c>
      <c r="M41" s="565" t="str">
        <f t="shared" si="1"/>
        <v/>
      </c>
      <c r="N41" s="569" t="str">
        <f>IFERROR(INDEX(Nutrientes!$C$14:$C$57,MATCH(K41,Nutrientes!$B$14:$B$57,0)),"-")</f>
        <v>-</v>
      </c>
      <c r="O41" s="570" t="str">
        <f>IFERROR(INDEX(Nutrientes!$D$14:$D$57,MATCH(K41,Nutrientes!$B$14:$B$57,0)),"-")</f>
        <v>-</v>
      </c>
      <c r="P41" s="571" t="str">
        <f>IFERROR(INDEX(Nutrientes!$E$14:$E$57,MATCH(K41,Nutrientes!$B$14:$B$57,0)),"-")</f>
        <v>-</v>
      </c>
      <c r="Q41" s="91"/>
    </row>
    <row r="42" spans="1:17" ht="15">
      <c r="A42" s="448"/>
      <c r="B42" s="533" t="str">
        <f>IFERROR(HLOOKUP(C42,Alimentos!$H$2:$AZ$4,3,FALSE),"-")</f>
        <v>Nutriente Novo 02</v>
      </c>
      <c r="C42" s="534" t="str">
        <f>'Calcular Dieta'!AS8</f>
        <v>Novo 02</v>
      </c>
      <c r="D42" s="535" t="str">
        <f>IFERROR(HLOOKUP(C42,Alimentos!$H$2:$AZ$4,2,FALSE),"-")</f>
        <v>-</v>
      </c>
      <c r="E42" s="536">
        <f>IFERROR(HLOOKUP(C42,'Calcular Dieta'!$J$8:$BB$43,32,FALSE),"-")</f>
        <v>0</v>
      </c>
      <c r="F42" s="537">
        <f>IFERROR(HLOOKUP(C42,'Calcular Dieta'!$J$8:$BB$43,33,FALSE),"-")</f>
        <v>0</v>
      </c>
      <c r="G42" s="536">
        <f>IFERROR(HLOOKUP(C42,'Calcular Dieta'!$J$8:$BB$43,34,FALSE),"-")</f>
        <v>9999999</v>
      </c>
      <c r="H42" s="538" t="str">
        <f>INDEX('Calcular Dieta'!$J$42:$BB$42,,MATCH(Atendimento!C42,'Calcular Dieta'!$J$8:$BB$8,0))</f>
        <v/>
      </c>
      <c r="I42" s="539" t="str">
        <f>INDEX('Calcular Dieta'!$J$42:$BB$42,,MATCH(Atendimento!C42,'Calcular Dieta'!$J$8:$BB$8,0))</f>
        <v/>
      </c>
      <c r="J42" s="540" t="str">
        <f>IF(AND(I42&gt;-0.001,I42&lt;0.001),"OK",HLOOKUP(C42,'Calcular Dieta'!$J$8:$BB$43,36,FALSE))</f>
        <v>OK</v>
      </c>
      <c r="K42" s="564" t="str">
        <f t="shared" si="2"/>
        <v/>
      </c>
      <c r="L42" s="565">
        <f>IF(J42="-","",COUNTIF(J$7:J42,"&lt;&gt;"&amp;"-"))</f>
        <v>36</v>
      </c>
      <c r="M42" s="565" t="str">
        <f t="shared" si="1"/>
        <v/>
      </c>
      <c r="N42" s="569" t="str">
        <f>IFERROR(INDEX(Nutrientes!$C$14:$C$57,MATCH(K42,Nutrientes!$B$14:$B$57,0)),"-")</f>
        <v>-</v>
      </c>
      <c r="O42" s="570" t="str">
        <f>IFERROR(INDEX(Nutrientes!$D$14:$D$57,MATCH(K42,Nutrientes!$B$14:$B$57,0)),"-")</f>
        <v>-</v>
      </c>
      <c r="P42" s="571" t="str">
        <f>IFERROR(INDEX(Nutrientes!$E$14:$E$57,MATCH(K42,Nutrientes!$B$14:$B$57,0)),"-")</f>
        <v>-</v>
      </c>
      <c r="Q42" s="91"/>
    </row>
    <row r="43" spans="1:17" ht="15">
      <c r="A43" s="448"/>
      <c r="B43" s="533" t="str">
        <f>IFERROR(HLOOKUP(C43,Alimentos!$H$2:$AZ$4,3,FALSE),"-")</f>
        <v>Nutriente Novo 03</v>
      </c>
      <c r="C43" s="534" t="str">
        <f>'Calcular Dieta'!AT8</f>
        <v>Novo 03</v>
      </c>
      <c r="D43" s="535" t="str">
        <f>IFERROR(HLOOKUP(C43,Alimentos!$H$2:$AZ$4,2,FALSE),"-")</f>
        <v>-</v>
      </c>
      <c r="E43" s="536">
        <f>IFERROR(HLOOKUP(C43,'Calcular Dieta'!$J$8:$BB$43,32,FALSE),"-")</f>
        <v>0</v>
      </c>
      <c r="F43" s="537">
        <f>IFERROR(HLOOKUP(C43,'Calcular Dieta'!$J$8:$BB$43,33,FALSE),"-")</f>
        <v>0</v>
      </c>
      <c r="G43" s="536">
        <f>IFERROR(HLOOKUP(C43,'Calcular Dieta'!$J$8:$BB$43,34,FALSE),"-")</f>
        <v>9999999</v>
      </c>
      <c r="H43" s="538" t="str">
        <f>INDEX('Calcular Dieta'!$J$42:$BB$42,,MATCH(Atendimento!C43,'Calcular Dieta'!$J$8:$BB$8,0))</f>
        <v/>
      </c>
      <c r="I43" s="539" t="str">
        <f>INDEX('Calcular Dieta'!$J$42:$BB$42,,MATCH(Atendimento!C43,'Calcular Dieta'!$J$8:$BB$8,0))</f>
        <v/>
      </c>
      <c r="J43" s="540" t="str">
        <f>IF(AND(I43&gt;-0.001,I43&lt;0.001),"OK",HLOOKUP(C43,'Calcular Dieta'!$J$8:$BB$43,36,FALSE))</f>
        <v>OK</v>
      </c>
      <c r="K43" s="564" t="str">
        <f t="shared" si="2"/>
        <v/>
      </c>
      <c r="L43" s="565">
        <f>IF(J43="-","",COUNTIF(J$7:J43,"&lt;&gt;"&amp;"-"))</f>
        <v>37</v>
      </c>
      <c r="M43" s="565" t="str">
        <f t="shared" si="1"/>
        <v/>
      </c>
      <c r="N43" s="569" t="str">
        <f>IFERROR(INDEX(Nutrientes!$C$14:$C$57,MATCH(K43,Nutrientes!$B$14:$B$57,0)),"-")</f>
        <v>-</v>
      </c>
      <c r="O43" s="570" t="str">
        <f>IFERROR(INDEX(Nutrientes!$D$14:$D$57,MATCH(K43,Nutrientes!$B$14:$B$57,0)),"-")</f>
        <v>-</v>
      </c>
      <c r="P43" s="571" t="str">
        <f>IFERROR(INDEX(Nutrientes!$E$14:$E$57,MATCH(K43,Nutrientes!$B$14:$B$57,0)),"-")</f>
        <v>-</v>
      </c>
      <c r="Q43" s="91"/>
    </row>
    <row r="44" spans="1:17" ht="15">
      <c r="A44" s="448"/>
      <c r="B44" s="533" t="str">
        <f>IFERROR(HLOOKUP(C44,Alimentos!$H$2:$AZ$4,3,FALSE),"-")</f>
        <v>Nutriente Novo 04</v>
      </c>
      <c r="C44" s="534" t="str">
        <f>'Calcular Dieta'!AU8</f>
        <v>Novo 04</v>
      </c>
      <c r="D44" s="535" t="str">
        <f>IFERROR(HLOOKUP(C44,Alimentos!$H$2:$AZ$4,2,FALSE),"-")</f>
        <v>-</v>
      </c>
      <c r="E44" s="536">
        <f>IFERROR(HLOOKUP(C44,'Calcular Dieta'!$J$8:$BB$43,32,FALSE),"-")</f>
        <v>0</v>
      </c>
      <c r="F44" s="537">
        <f>IFERROR(HLOOKUP(C44,'Calcular Dieta'!$J$8:$BB$43,33,FALSE),"-")</f>
        <v>0</v>
      </c>
      <c r="G44" s="536">
        <f>IFERROR(HLOOKUP(C44,'Calcular Dieta'!$J$8:$BB$43,34,FALSE),"-")</f>
        <v>9999999</v>
      </c>
      <c r="H44" s="538" t="str">
        <f>INDEX('Calcular Dieta'!$J$42:$BB$42,,MATCH(Atendimento!C44,'Calcular Dieta'!$J$8:$BB$8,0))</f>
        <v/>
      </c>
      <c r="I44" s="539" t="str">
        <f>INDEX('Calcular Dieta'!$J$42:$BB$42,,MATCH(Atendimento!C44,'Calcular Dieta'!$J$8:$BB$8,0))</f>
        <v/>
      </c>
      <c r="J44" s="540" t="str">
        <f>IF(AND(I44&gt;-0.001,I44&lt;0.001),"OK",HLOOKUP(C44,'Calcular Dieta'!$J$8:$BB$43,36,FALSE))</f>
        <v>OK</v>
      </c>
      <c r="K44" s="564" t="str">
        <f t="shared" si="2"/>
        <v/>
      </c>
      <c r="L44" s="565">
        <f>IF(J44="-","",COUNTIF(J$7:J44,"&lt;&gt;"&amp;"-"))</f>
        <v>38</v>
      </c>
      <c r="M44" s="565" t="str">
        <f t="shared" si="1"/>
        <v/>
      </c>
      <c r="N44" s="569" t="str">
        <f>IFERROR(INDEX(Nutrientes!$C$14:$C$57,MATCH(K44,Nutrientes!$B$14:$B$57,0)),"-")</f>
        <v>-</v>
      </c>
      <c r="O44" s="570" t="str">
        <f>IFERROR(INDEX(Nutrientes!$D$14:$D$57,MATCH(K44,Nutrientes!$B$14:$B$57,0)),"-")</f>
        <v>-</v>
      </c>
      <c r="P44" s="571" t="str">
        <f>IFERROR(INDEX(Nutrientes!$E$14:$E$57,MATCH(K44,Nutrientes!$B$14:$B$57,0)),"-")</f>
        <v>-</v>
      </c>
      <c r="Q44" s="91"/>
    </row>
    <row r="45" spans="1:17" ht="15">
      <c r="A45" s="448"/>
      <c r="B45" s="533" t="str">
        <f>IFERROR(HLOOKUP(C45,Alimentos!$H$2:$AZ$4,3,FALSE),"-")</f>
        <v>Nutriente Novo 05</v>
      </c>
      <c r="C45" s="534" t="str">
        <f>'Calcular Dieta'!AV8</f>
        <v>Novo 05</v>
      </c>
      <c r="D45" s="535" t="str">
        <f>IFERROR(HLOOKUP(C45,Alimentos!$H$2:$AZ$4,2,FALSE),"-")</f>
        <v>-</v>
      </c>
      <c r="E45" s="536">
        <f>IFERROR(HLOOKUP(C45,'Calcular Dieta'!$J$8:$BB$43,32,FALSE),"-")</f>
        <v>0</v>
      </c>
      <c r="F45" s="537">
        <f>IFERROR(HLOOKUP(C45,'Calcular Dieta'!$J$8:$BB$43,33,FALSE),"-")</f>
        <v>0</v>
      </c>
      <c r="G45" s="536">
        <f>IFERROR(HLOOKUP(C45,'Calcular Dieta'!$J$8:$BB$43,34,FALSE),"-")</f>
        <v>9999999</v>
      </c>
      <c r="H45" s="538" t="str">
        <f>INDEX('Calcular Dieta'!$J$42:$BB$42,,MATCH(Atendimento!C45,'Calcular Dieta'!$J$8:$BB$8,0))</f>
        <v/>
      </c>
      <c r="I45" s="539" t="str">
        <f>INDEX('Calcular Dieta'!$J$42:$BB$42,,MATCH(Atendimento!C45,'Calcular Dieta'!$J$8:$BB$8,0))</f>
        <v/>
      </c>
      <c r="J45" s="540" t="str">
        <f>IF(AND(I45&gt;-0.001,I45&lt;0.001),"OK",HLOOKUP(C45,'Calcular Dieta'!$J$8:$BB$43,36,FALSE))</f>
        <v>OK</v>
      </c>
      <c r="K45" s="564" t="str">
        <f t="shared" si="2"/>
        <v/>
      </c>
      <c r="L45" s="565">
        <f>IF(J45="-","",COUNTIF(J$7:J45,"&lt;&gt;"&amp;"-"))</f>
        <v>39</v>
      </c>
      <c r="M45" s="565" t="str">
        <f t="shared" si="1"/>
        <v/>
      </c>
      <c r="N45" s="569" t="str">
        <f>IFERROR(INDEX(Nutrientes!$C$14:$C$57,MATCH(K45,Nutrientes!$B$14:$B$57,0)),"-")</f>
        <v>-</v>
      </c>
      <c r="O45" s="570" t="str">
        <f>IFERROR(INDEX(Nutrientes!$D$14:$D$57,MATCH(K45,Nutrientes!$B$14:$B$57,0)),"-")</f>
        <v>-</v>
      </c>
      <c r="P45" s="571" t="str">
        <f>IFERROR(INDEX(Nutrientes!$E$14:$E$57,MATCH(K45,Nutrientes!$B$14:$B$57,0)),"-")</f>
        <v>-</v>
      </c>
      <c r="Q45" s="91"/>
    </row>
    <row r="46" spans="1:17" ht="15">
      <c r="A46" s="448"/>
      <c r="B46" s="533" t="str">
        <f>IFERROR(HLOOKUP(C46,Alimentos!$H$2:$AZ$4,3,FALSE),"-")</f>
        <v>Nutriente Novo 06</v>
      </c>
      <c r="C46" s="534" t="str">
        <f>'Calcular Dieta'!AW8</f>
        <v>Novo 06</v>
      </c>
      <c r="D46" s="535" t="str">
        <f>IFERROR(HLOOKUP(C46,Alimentos!$H$2:$AZ$4,2,FALSE),"-")</f>
        <v>-</v>
      </c>
      <c r="E46" s="536">
        <f>IFERROR(HLOOKUP(C46,'Calcular Dieta'!$J$8:$BB$43,32,FALSE),"-")</f>
        <v>0</v>
      </c>
      <c r="F46" s="537">
        <f>IFERROR(HLOOKUP(C46,'Calcular Dieta'!$J$8:$BB$43,33,FALSE),"-")</f>
        <v>0</v>
      </c>
      <c r="G46" s="536">
        <f>IFERROR(HLOOKUP(C46,'Calcular Dieta'!$J$8:$BB$43,34,FALSE),"-")</f>
        <v>9999999</v>
      </c>
      <c r="H46" s="538" t="str">
        <f>INDEX('Calcular Dieta'!$J$42:$BB$42,,MATCH(Atendimento!C46,'Calcular Dieta'!$J$8:$BB$8,0))</f>
        <v/>
      </c>
      <c r="I46" s="539" t="str">
        <f>INDEX('Calcular Dieta'!$J$42:$BB$42,,MATCH(Atendimento!C46,'Calcular Dieta'!$J$8:$BB$8,0))</f>
        <v/>
      </c>
      <c r="J46" s="540" t="str">
        <f>IF(AND(I46&gt;-0.001,I46&lt;0.001),"OK",HLOOKUP(C46,'Calcular Dieta'!$J$8:$BB$43,36,FALSE))</f>
        <v>OK</v>
      </c>
      <c r="K46" s="564" t="str">
        <f t="shared" si="2"/>
        <v/>
      </c>
      <c r="L46" s="565">
        <f>IF(J46="-","",COUNTIF(J$7:J46,"&lt;&gt;"&amp;"-"))</f>
        <v>40</v>
      </c>
      <c r="M46" s="565" t="str">
        <f t="shared" si="1"/>
        <v/>
      </c>
      <c r="N46" s="569" t="str">
        <f>IFERROR(INDEX(Nutrientes!$C$14:$C$57,MATCH(K46,Nutrientes!$B$14:$B$57,0)),"-")</f>
        <v>-</v>
      </c>
      <c r="O46" s="570" t="str">
        <f>IFERROR(INDEX(Nutrientes!$D$14:$D$57,MATCH(K46,Nutrientes!$B$14:$B$57,0)),"-")</f>
        <v>-</v>
      </c>
      <c r="P46" s="571" t="str">
        <f>IFERROR(INDEX(Nutrientes!$E$14:$E$57,MATCH(K46,Nutrientes!$B$14:$B$57,0)),"-")</f>
        <v>-</v>
      </c>
      <c r="Q46" s="91"/>
    </row>
    <row r="47" spans="1:17" ht="15">
      <c r="A47" s="448"/>
      <c r="B47" s="533" t="str">
        <f>IFERROR(HLOOKUP(C47,Alimentos!$H$2:$AZ$4,3,FALSE),"-")</f>
        <v>Nutriente Novo 07</v>
      </c>
      <c r="C47" s="534" t="str">
        <f>'Calcular Dieta'!AX8</f>
        <v>Novo 07</v>
      </c>
      <c r="D47" s="535" t="str">
        <f>IFERROR(HLOOKUP(C47,Alimentos!$H$2:$AZ$4,2,FALSE),"-")</f>
        <v>-</v>
      </c>
      <c r="E47" s="536">
        <f>IFERROR(HLOOKUP(C47,'Calcular Dieta'!$J$8:$BB$43,32,FALSE),"-")</f>
        <v>0</v>
      </c>
      <c r="F47" s="537">
        <f>IFERROR(HLOOKUP(C47,'Calcular Dieta'!$J$8:$BB$43,33,FALSE),"-")</f>
        <v>0</v>
      </c>
      <c r="G47" s="536">
        <f>IFERROR(HLOOKUP(C47,'Calcular Dieta'!$J$8:$BB$43,34,FALSE),"-")</f>
        <v>9999999</v>
      </c>
      <c r="H47" s="538" t="str">
        <f>INDEX('Calcular Dieta'!$J$42:$BB$42,,MATCH(Atendimento!C47,'Calcular Dieta'!$J$8:$BB$8,0))</f>
        <v/>
      </c>
      <c r="I47" s="539" t="str">
        <f>INDEX('Calcular Dieta'!$J$42:$BB$42,,MATCH(Atendimento!C47,'Calcular Dieta'!$J$8:$BB$8,0))</f>
        <v/>
      </c>
      <c r="J47" s="540" t="str">
        <f>IF(AND(I47&gt;-0.001,I47&lt;0.001),"OK",HLOOKUP(C47,'Calcular Dieta'!$J$8:$BB$43,36,FALSE))</f>
        <v>OK</v>
      </c>
      <c r="K47" s="564" t="str">
        <f t="shared" si="2"/>
        <v/>
      </c>
      <c r="L47" s="565">
        <f>IF(J47="-","",COUNTIF(J$7:J47,"&lt;&gt;"&amp;"-"))</f>
        <v>41</v>
      </c>
      <c r="M47" s="565" t="str">
        <f t="shared" si="1"/>
        <v/>
      </c>
      <c r="N47" s="569" t="str">
        <f>IFERROR(INDEX(Nutrientes!$C$14:$C$57,MATCH(K47,Nutrientes!$B$14:$B$57,0)),"-")</f>
        <v>-</v>
      </c>
      <c r="O47" s="570" t="str">
        <f>IFERROR(INDEX(Nutrientes!$D$14:$D$57,MATCH(K47,Nutrientes!$B$14:$B$57,0)),"-")</f>
        <v>-</v>
      </c>
      <c r="P47" s="571" t="str">
        <f>IFERROR(INDEX(Nutrientes!$E$14:$E$57,MATCH(K47,Nutrientes!$B$14:$B$57,0)),"-")</f>
        <v>-</v>
      </c>
      <c r="Q47" s="91"/>
    </row>
    <row r="48" spans="1:17" ht="15">
      <c r="A48" s="448"/>
      <c r="B48" s="533" t="str">
        <f>IFERROR(HLOOKUP(C48,Alimentos!$H$2:$AZ$4,3,FALSE),"-")</f>
        <v>Nutriente Novo 08</v>
      </c>
      <c r="C48" s="534" t="str">
        <f>'Calcular Dieta'!AY8</f>
        <v>Novo 08</v>
      </c>
      <c r="D48" s="535" t="str">
        <f>IFERROR(HLOOKUP(C48,Alimentos!$H$2:$AZ$4,2,FALSE),"-")</f>
        <v>-</v>
      </c>
      <c r="E48" s="536">
        <f>IFERROR(HLOOKUP(C48,'Calcular Dieta'!$J$8:$BB$43,32,FALSE),"-")</f>
        <v>0</v>
      </c>
      <c r="F48" s="537">
        <f>IFERROR(HLOOKUP(C48,'Calcular Dieta'!$J$8:$BB$43,33,FALSE),"-")</f>
        <v>0</v>
      </c>
      <c r="G48" s="536">
        <f>IFERROR(HLOOKUP(C48,'Calcular Dieta'!$J$8:$BB$43,34,FALSE),"-")</f>
        <v>9999999</v>
      </c>
      <c r="H48" s="538" t="str">
        <f>INDEX('Calcular Dieta'!$J$42:$BB$42,,MATCH(Atendimento!C48,'Calcular Dieta'!$J$8:$BB$8,0))</f>
        <v/>
      </c>
      <c r="I48" s="539" t="str">
        <f>INDEX('Calcular Dieta'!$J$42:$BB$42,,MATCH(Atendimento!C48,'Calcular Dieta'!$J$8:$BB$8,0))</f>
        <v/>
      </c>
      <c r="J48" s="540" t="str">
        <f>IF(AND(I48&gt;-0.001,I48&lt;0.001),"OK",HLOOKUP(C48,'Calcular Dieta'!$J$8:$BB$43,36,FALSE))</f>
        <v>OK</v>
      </c>
      <c r="K48" s="564" t="str">
        <f t="shared" si="2"/>
        <v/>
      </c>
      <c r="L48" s="565">
        <f>IF(J48="-","",COUNTIF(J$7:J48,"&lt;&gt;"&amp;"-"))</f>
        <v>42</v>
      </c>
      <c r="M48" s="565" t="str">
        <f t="shared" si="1"/>
        <v/>
      </c>
      <c r="N48" s="569" t="str">
        <f>IFERROR(INDEX(Nutrientes!$C$14:$C$57,MATCH(K48,Nutrientes!$B$14:$B$57,0)),"-")</f>
        <v>-</v>
      </c>
      <c r="O48" s="570" t="str">
        <f>IFERROR(INDEX(Nutrientes!$D$14:$D$57,MATCH(K48,Nutrientes!$B$14:$B$57,0)),"-")</f>
        <v>-</v>
      </c>
      <c r="P48" s="571" t="str">
        <f>IFERROR(INDEX(Nutrientes!$E$14:$E$57,MATCH(K48,Nutrientes!$B$14:$B$57,0)),"-")</f>
        <v>-</v>
      </c>
      <c r="Q48" s="91"/>
    </row>
    <row r="49" spans="1:17" ht="15">
      <c r="A49" s="448"/>
      <c r="B49" s="533" t="str">
        <f>IFERROR(HLOOKUP(C49,Alimentos!$H$2:$AZ$4,3,FALSE),"-")</f>
        <v>Nutriente Novo 09</v>
      </c>
      <c r="C49" s="534" t="str">
        <f>'Calcular Dieta'!AZ8</f>
        <v>Novo 09</v>
      </c>
      <c r="D49" s="535" t="str">
        <f>IFERROR(HLOOKUP(C49,Alimentos!$H$2:$AZ$4,2,FALSE),"-")</f>
        <v>-</v>
      </c>
      <c r="E49" s="536">
        <f>IFERROR(HLOOKUP(C49,'Calcular Dieta'!$J$8:$BB$43,32,FALSE),"-")</f>
        <v>0</v>
      </c>
      <c r="F49" s="537">
        <f>IFERROR(HLOOKUP(C49,'Calcular Dieta'!$J$8:$BB$43,33,FALSE),"-")</f>
        <v>0</v>
      </c>
      <c r="G49" s="536">
        <f>IFERROR(HLOOKUP(C49,'Calcular Dieta'!$J$8:$BB$43,34,FALSE),"-")</f>
        <v>9999999</v>
      </c>
      <c r="H49" s="538" t="str">
        <f>INDEX('Calcular Dieta'!$J$42:$BB$42,,MATCH(Atendimento!C49,'Calcular Dieta'!$J$8:$BB$8,0))</f>
        <v/>
      </c>
      <c r="I49" s="539" t="str">
        <f>INDEX('Calcular Dieta'!$J$42:$BB$42,,MATCH(Atendimento!C49,'Calcular Dieta'!$J$8:$BB$8,0))</f>
        <v/>
      </c>
      <c r="J49" s="540" t="str">
        <f>IF(AND(I49&gt;-0.001,I49&lt;0.001),"OK",HLOOKUP(C49,'Calcular Dieta'!$J$8:$BB$43,36,FALSE))</f>
        <v>OK</v>
      </c>
      <c r="K49" s="564" t="str">
        <f t="shared" si="2"/>
        <v/>
      </c>
      <c r="L49" s="565">
        <f>IF(J49="-","",COUNTIF(J$7:J49,"&lt;&gt;"&amp;"-"))</f>
        <v>43</v>
      </c>
      <c r="M49" s="565" t="str">
        <f t="shared" si="1"/>
        <v/>
      </c>
      <c r="N49" s="569" t="str">
        <f>IFERROR(INDEX(Nutrientes!$C$14:$C$57,MATCH(K49,Nutrientes!$B$14:$B$57,0)),"-")</f>
        <v>-</v>
      </c>
      <c r="O49" s="570" t="str">
        <f>IFERROR(INDEX(Nutrientes!$D$14:$D$57,MATCH(K49,Nutrientes!$B$14:$B$57,0)),"-")</f>
        <v>-</v>
      </c>
      <c r="P49" s="571" t="str">
        <f>IFERROR(INDEX(Nutrientes!$E$14:$E$57,MATCH(K49,Nutrientes!$B$14:$B$57,0)),"-")</f>
        <v>-</v>
      </c>
      <c r="Q49" s="91"/>
    </row>
    <row r="50" spans="1:17" ht="15">
      <c r="A50" s="448"/>
      <c r="B50" s="1417" t="str">
        <f>IFERROR(HLOOKUP(C50,Alimentos!$H$2:$AZ$4,3,FALSE),"-")</f>
        <v>Volumoso</v>
      </c>
      <c r="C50" s="1418" t="str">
        <f>'Calcular Dieta'!BA8</f>
        <v>VOL</v>
      </c>
      <c r="D50" s="1419" t="str">
        <f>IFERROR(HLOOKUP(C50,Alimentos!$H$2:$AZ$4,2,FALSE),"-")</f>
        <v>Kg</v>
      </c>
      <c r="E50" s="1425">
        <f>IFERROR(HLOOKUP(C50,'Calcular Dieta'!$J$8:$BB$43,32,FALSE),"-")</f>
        <v>0</v>
      </c>
      <c r="F50" s="1423">
        <f>IFERROR(HLOOKUP(C50,'Calcular Dieta'!$J$8:$BB$43,33,FALSE),"-")</f>
        <v>0</v>
      </c>
      <c r="G50" s="1425">
        <f>IFERROR(HLOOKUP(C50,'Calcular Dieta'!$J$8:$BB$43,34,FALSE),"-")</f>
        <v>9999999</v>
      </c>
      <c r="H50" s="1427" t="str">
        <f>INDEX('Calcular Dieta'!$J$42:$BB$42,,MATCH(Atendimento!C50,'Calcular Dieta'!$J$8:$BB$8,0))</f>
        <v/>
      </c>
      <c r="I50" s="1428" t="str">
        <f>INDEX('Calcular Dieta'!$J$42:$BB$42,,MATCH(Atendimento!C50,'Calcular Dieta'!$J$8:$BB$8,0))</f>
        <v/>
      </c>
      <c r="J50" s="1429" t="str">
        <f>IF(AND(I50&gt;-0.001,I50&lt;0.001),"OK",HLOOKUP(C50,'Calcular Dieta'!$J$8:$BB$43,36,FALSE))</f>
        <v>OK</v>
      </c>
      <c r="K50" s="564" t="str">
        <f t="shared" si="2"/>
        <v/>
      </c>
      <c r="L50" s="565">
        <f>IF(J50="-","",COUNTIF(J$7:J50,"&lt;&gt;"&amp;"-"))</f>
        <v>44</v>
      </c>
      <c r="M50" s="565" t="str">
        <f t="shared" si="1"/>
        <v/>
      </c>
      <c r="N50" s="569" t="str">
        <f>IFERROR(INDEX(Nutrientes!$C$14:$C$57,MATCH(K50,Nutrientes!$B$14:$B$57,0)),"-")</f>
        <v>-</v>
      </c>
      <c r="O50" s="570" t="str">
        <f>IFERROR(INDEX(Nutrientes!$D$14:$D$57,MATCH(K50,Nutrientes!$B$14:$B$57,0)),"-")</f>
        <v>-</v>
      </c>
      <c r="P50" s="571" t="str">
        <f>IFERROR(INDEX(Nutrientes!$E$14:$E$57,MATCH(K50,Nutrientes!$B$14:$B$57,0)),"-")</f>
        <v>-</v>
      </c>
      <c r="Q50" s="91"/>
    </row>
    <row r="51" spans="1:17" ht="15.75" thickBot="1">
      <c r="A51" s="448"/>
      <c r="B51" s="1420" t="str">
        <f>IFERROR(HLOOKUP(C51,Alimentos!$H$2:$AZ$4,3,FALSE),"-")</f>
        <v>Concentrado</v>
      </c>
      <c r="C51" s="1421" t="str">
        <f>'Calcular Dieta'!BB8</f>
        <v>CONC</v>
      </c>
      <c r="D51" s="1422" t="str">
        <f>IFERROR(HLOOKUP(C51,Alimentos!$H$2:$AZ$4,2,FALSE),"-")</f>
        <v>Kg</v>
      </c>
      <c r="E51" s="1426">
        <f>IFERROR(HLOOKUP(C51,'Calcular Dieta'!$J$8:$BB$43,32,FALSE),"-")</f>
        <v>0</v>
      </c>
      <c r="F51" s="1424">
        <f>IFERROR(HLOOKUP(C51,'Calcular Dieta'!$J$8:$BB$43,33,FALSE),"-")</f>
        <v>0.99216764145481651</v>
      </c>
      <c r="G51" s="1426">
        <f>IFERROR(HLOOKUP(C51,'Calcular Dieta'!$J$8:$BB$43,34,FALSE),"-")</f>
        <v>9999999</v>
      </c>
      <c r="H51" s="1430" t="str">
        <f>INDEX('Calcular Dieta'!$J$42:$BB$42,,MATCH(Atendimento!C51,'Calcular Dieta'!$J$8:$BB$8,0))</f>
        <v/>
      </c>
      <c r="I51" s="1431" t="str">
        <f>INDEX('Calcular Dieta'!$J$42:$BB$42,,MATCH(Atendimento!C51,'Calcular Dieta'!$J$8:$BB$8,0))</f>
        <v/>
      </c>
      <c r="J51" s="1432" t="str">
        <f>IF(AND(I51&gt;-0.001,I51&lt;0.001),"OK",HLOOKUP(C51,'Calcular Dieta'!$J$8:$BB$43,36,FALSE))</f>
        <v>OK</v>
      </c>
      <c r="K51" s="564" t="str">
        <f t="shared" si="2"/>
        <v/>
      </c>
      <c r="L51" s="565">
        <f>IF(J51="-","",COUNTIF(J$7:J51,"&lt;&gt;"&amp;"-"))</f>
        <v>45</v>
      </c>
      <c r="M51" s="565" t="str">
        <f t="shared" si="1"/>
        <v/>
      </c>
      <c r="N51" s="572" t="str">
        <f>IFERROR(INDEX(Nutrientes!$C$14:$C$57,MATCH(K51,Nutrientes!$B$14:$B$57,0)),"-")</f>
        <v>-</v>
      </c>
      <c r="O51" s="573" t="str">
        <f>IFERROR(INDEX(Nutrientes!$D$14:$D$57,MATCH(K51,Nutrientes!$B$14:$B$57,0)),"-")</f>
        <v>-</v>
      </c>
      <c r="P51" s="574" t="str">
        <f>IFERROR(INDEX(Nutrientes!$E$14:$E$57,MATCH(K51,Nutrientes!$B$14:$B$57,0)),"-")</f>
        <v>-</v>
      </c>
      <c r="Q51" s="91"/>
    </row>
    <row r="52" spans="1:17" ht="15" thickBot="1">
      <c r="A52" s="448"/>
      <c r="B52" s="448"/>
      <c r="C52" s="448"/>
      <c r="D52" s="448"/>
      <c r="E52" s="448"/>
      <c r="F52" s="448"/>
      <c r="G52" s="448"/>
      <c r="H52" s="448"/>
      <c r="I52" s="448"/>
      <c r="J52" s="448"/>
      <c r="K52" s="448"/>
      <c r="L52" s="92"/>
      <c r="M52" s="92"/>
      <c r="N52" s="91"/>
      <c r="O52" s="91"/>
      <c r="P52" s="91"/>
      <c r="Q52" s="91"/>
    </row>
    <row r="53" spans="1:17" ht="17.25" customHeight="1">
      <c r="A53" s="705" t="str">
        <f>IF(COUNTIF(J7:J51,"OK")&lt;45,"Reveja a Formulação","Parabéns, Dieta Atendida!")</f>
        <v>Parabéns, Dieta Atendida!</v>
      </c>
      <c r="B53" s="714"/>
      <c r="C53" s="703"/>
      <c r="D53" s="703"/>
      <c r="E53" s="703"/>
      <c r="F53" s="703"/>
      <c r="G53" s="703"/>
      <c r="H53" s="703"/>
      <c r="I53" s="703"/>
      <c r="J53" s="704"/>
      <c r="K53" s="91"/>
      <c r="L53" s="92"/>
      <c r="M53" s="92"/>
      <c r="N53" s="91"/>
      <c r="O53" s="91"/>
      <c r="P53" s="91"/>
      <c r="Q53" s="91"/>
    </row>
    <row r="54" spans="1:17">
      <c r="A54" s="709"/>
      <c r="B54" s="706"/>
      <c r="C54" s="707"/>
      <c r="D54" s="707"/>
      <c r="E54" s="707"/>
      <c r="F54" s="707"/>
      <c r="G54" s="2192">
        <f ca="1">TODAY()</f>
        <v>45298</v>
      </c>
      <c r="H54" s="2192"/>
      <c r="I54" s="2192"/>
      <c r="J54" s="2193"/>
      <c r="K54" s="91"/>
      <c r="L54" s="92"/>
      <c r="M54" s="92"/>
      <c r="N54" s="91"/>
      <c r="O54" s="91"/>
      <c r="P54" s="91"/>
      <c r="Q54" s="91"/>
    </row>
    <row r="55" spans="1:17">
      <c r="A55" s="709"/>
      <c r="B55" s="706"/>
      <c r="C55" s="707"/>
      <c r="D55" s="707"/>
      <c r="E55" s="707"/>
      <c r="F55" s="707"/>
      <c r="G55" s="707"/>
      <c r="H55" s="707"/>
      <c r="I55" s="707"/>
      <c r="J55" s="708"/>
      <c r="K55" s="91"/>
      <c r="L55" s="92"/>
      <c r="M55" s="92"/>
      <c r="N55" s="91"/>
      <c r="O55" s="91"/>
      <c r="P55" s="91"/>
      <c r="Q55" s="91"/>
    </row>
    <row r="56" spans="1:17">
      <c r="A56" s="709"/>
      <c r="B56" s="706"/>
      <c r="C56" s="707"/>
      <c r="D56" s="707"/>
      <c r="E56" s="707"/>
      <c r="F56" s="707"/>
      <c r="G56" s="707"/>
      <c r="H56" s="707"/>
      <c r="I56" s="707"/>
      <c r="J56" s="708"/>
      <c r="K56" s="91"/>
      <c r="L56" s="92"/>
      <c r="M56" s="92"/>
      <c r="N56" s="91"/>
      <c r="O56" s="91"/>
      <c r="P56" s="91"/>
      <c r="Q56" s="91"/>
    </row>
    <row r="57" spans="1:17">
      <c r="A57" s="709"/>
      <c r="B57" s="2194" t="s">
        <v>860</v>
      </c>
      <c r="C57" s="2195"/>
      <c r="D57" s="2195"/>
      <c r="E57" s="2195"/>
      <c r="F57" s="2195"/>
      <c r="G57" s="2195"/>
      <c r="H57" s="2195"/>
      <c r="I57" s="2195"/>
      <c r="J57" s="2196"/>
      <c r="K57" s="91"/>
      <c r="L57" s="92"/>
      <c r="M57" s="92"/>
      <c r="N57" s="91"/>
      <c r="O57" s="91"/>
      <c r="P57" s="91"/>
      <c r="Q57" s="91"/>
    </row>
    <row r="58" spans="1:17">
      <c r="A58" s="709"/>
      <c r="B58" s="2197" t="str">
        <f>Usuário</f>
        <v>Iomar Bezerra da Silva</v>
      </c>
      <c r="C58" s="2198"/>
      <c r="D58" s="2198"/>
      <c r="E58" s="2198"/>
      <c r="F58" s="2198"/>
      <c r="G58" s="2198"/>
      <c r="H58" s="2198"/>
      <c r="I58" s="2198"/>
      <c r="J58" s="2199"/>
      <c r="K58" s="91"/>
      <c r="L58" s="92"/>
      <c r="M58" s="92"/>
      <c r="N58" s="91"/>
      <c r="O58" s="91"/>
      <c r="P58" s="91"/>
      <c r="Q58" s="91"/>
    </row>
    <row r="59" spans="1:17">
      <c r="A59" s="709"/>
      <c r="B59" s="2194" t="str">
        <f>Profissão</f>
        <v>Técnico</v>
      </c>
      <c r="C59" s="2195"/>
      <c r="D59" s="2195"/>
      <c r="E59" s="2195"/>
      <c r="F59" s="2195"/>
      <c r="G59" s="2195"/>
      <c r="H59" s="2195"/>
      <c r="I59" s="2195"/>
      <c r="J59" s="2196"/>
      <c r="K59" s="91"/>
      <c r="L59" s="92"/>
      <c r="M59" s="92"/>
      <c r="N59" s="91"/>
      <c r="O59" s="91"/>
      <c r="P59" s="91"/>
      <c r="Q59" s="91"/>
    </row>
    <row r="60" spans="1:17">
      <c r="A60" s="709"/>
      <c r="B60" s="2194" t="str">
        <f>RGProfissional</f>
        <v>MA-00259-ZP</v>
      </c>
      <c r="C60" s="2195"/>
      <c r="D60" s="2195"/>
      <c r="E60" s="2195"/>
      <c r="F60" s="2195"/>
      <c r="G60" s="2195"/>
      <c r="H60" s="2195"/>
      <c r="I60" s="2195"/>
      <c r="J60" s="2196"/>
      <c r="K60" s="91"/>
      <c r="L60" s="92"/>
      <c r="M60" s="92"/>
      <c r="N60" s="91"/>
      <c r="O60" s="91"/>
      <c r="P60" s="91"/>
      <c r="Q60" s="91"/>
    </row>
    <row r="61" spans="1:17" ht="15" thickBot="1">
      <c r="A61" s="709"/>
      <c r="B61" s="710"/>
      <c r="C61" s="711"/>
      <c r="D61" s="711"/>
      <c r="E61" s="711"/>
      <c r="F61" s="711"/>
      <c r="G61" s="711"/>
      <c r="H61" s="711"/>
      <c r="I61" s="711"/>
      <c r="J61" s="712"/>
      <c r="K61" s="91"/>
      <c r="L61" s="92"/>
      <c r="M61" s="92"/>
      <c r="N61" s="91"/>
      <c r="O61" s="91"/>
      <c r="P61" s="91"/>
      <c r="Q61" s="91"/>
    </row>
    <row r="62" spans="1:17">
      <c r="A62" s="709"/>
      <c r="B62" s="709"/>
      <c r="C62" s="709"/>
      <c r="D62" s="709"/>
      <c r="E62" s="709"/>
      <c r="F62" s="709"/>
      <c r="G62" s="709"/>
      <c r="H62" s="709"/>
      <c r="I62" s="709"/>
      <c r="J62" s="709"/>
      <c r="K62" s="709"/>
      <c r="L62" s="92"/>
      <c r="M62" s="92"/>
      <c r="N62" s="91"/>
      <c r="O62" s="91"/>
      <c r="P62" s="91"/>
      <c r="Q62" s="91"/>
    </row>
    <row r="63" spans="1:17" ht="12" customHeight="1">
      <c r="A63" s="709"/>
      <c r="B63" s="709"/>
      <c r="C63" s="709"/>
      <c r="D63" s="709"/>
      <c r="E63" s="709"/>
      <c r="F63" s="709"/>
      <c r="G63" s="709"/>
      <c r="H63" s="709"/>
      <c r="I63" s="709"/>
      <c r="J63" s="709"/>
      <c r="K63" s="709"/>
      <c r="L63" s="92"/>
      <c r="M63" s="92"/>
      <c r="N63" s="91"/>
      <c r="O63" s="91"/>
      <c r="P63" s="91"/>
      <c r="Q63" s="91"/>
    </row>
    <row r="64" spans="1:17" ht="21.75" customHeight="1">
      <c r="A64" s="448"/>
      <c r="B64" s="713" t="s">
        <v>784</v>
      </c>
      <c r="C64" s="713"/>
      <c r="D64" s="713"/>
      <c r="E64" s="713"/>
      <c r="F64" s="713"/>
      <c r="G64" s="713"/>
      <c r="H64" s="713"/>
      <c r="I64" s="713"/>
      <c r="J64" s="713"/>
      <c r="K64" s="91"/>
      <c r="L64" s="91"/>
      <c r="M64" s="91"/>
      <c r="N64" s="91"/>
      <c r="O64" s="91"/>
      <c r="P64" s="91"/>
      <c r="Q64" s="91"/>
    </row>
    <row r="65" spans="1:17" ht="6" customHeight="1" thickBot="1">
      <c r="A65" s="448"/>
      <c r="B65" s="448"/>
      <c r="C65" s="448"/>
      <c r="D65" s="448"/>
      <c r="E65" s="448"/>
      <c r="F65" s="448"/>
      <c r="G65" s="448"/>
      <c r="H65" s="448"/>
      <c r="I65" s="448"/>
      <c r="J65" s="448"/>
      <c r="K65" s="91"/>
      <c r="L65" s="91"/>
      <c r="M65" s="91"/>
      <c r="N65" s="91"/>
      <c r="O65" s="91"/>
      <c r="P65" s="91"/>
      <c r="Q65" s="91"/>
    </row>
    <row r="66" spans="1:17" ht="20.25" customHeight="1" thickBot="1">
      <c r="A66" s="448"/>
      <c r="B66" s="523" t="s">
        <v>2</v>
      </c>
      <c r="C66" s="524" t="s">
        <v>481</v>
      </c>
      <c r="D66" s="524" t="s">
        <v>5</v>
      </c>
      <c r="E66" s="524" t="s">
        <v>0</v>
      </c>
      <c r="F66" s="524" t="s">
        <v>305</v>
      </c>
      <c r="G66" s="524" t="s">
        <v>1</v>
      </c>
      <c r="H66" s="524" t="s">
        <v>466</v>
      </c>
      <c r="I66" s="525" t="s">
        <v>467</v>
      </c>
      <c r="J66" s="526" t="s">
        <v>468</v>
      </c>
      <c r="K66" s="91"/>
      <c r="L66" s="91"/>
      <c r="M66" s="91"/>
      <c r="N66" s="91"/>
      <c r="O66" s="91"/>
      <c r="P66" s="91"/>
      <c r="Q66" s="91"/>
    </row>
    <row r="67" spans="1:17" ht="15">
      <c r="A67" s="448"/>
      <c r="B67" s="527" t="str">
        <f t="shared" ref="B67:G67" si="3">B7</f>
        <v>Matéria Seca</v>
      </c>
      <c r="C67" s="528" t="str">
        <f t="shared" si="3"/>
        <v>MS</v>
      </c>
      <c r="D67" s="528" t="str">
        <f t="shared" si="3"/>
        <v>kg</v>
      </c>
      <c r="E67" s="529">
        <f t="shared" si="3"/>
        <v>0</v>
      </c>
      <c r="F67" s="530">
        <f t="shared" si="3"/>
        <v>0.99216764145481651</v>
      </c>
      <c r="G67" s="529">
        <f t="shared" si="3"/>
        <v>1</v>
      </c>
      <c r="H67" s="538" t="str">
        <f>INDEX('Calcular Dieta'!$J$42:$BB$42,,MATCH(Atendimento!C67,'Calcular Dieta'!$J$8:$BB$8,0))</f>
        <v/>
      </c>
      <c r="I67" s="531" t="str">
        <f>INDEX('Calcular Dieta'!$J$42:$BB$42,,MATCH(Atendimento!C67,'Calcular Dieta'!$J$8:$BB$8,0))</f>
        <v/>
      </c>
      <c r="J67" s="540" t="str">
        <f>IF(AND(I67&gt;-0.001,I67&lt;0.001),"OK",HLOOKUP(C67,'Calcular Dieta'!$J$8:$BB$43,36,FALSE))</f>
        <v>OK</v>
      </c>
      <c r="K67" s="757" t="str">
        <f t="shared" ref="K67:K77" si="4">IF(J67="OK",IF(I67="","-",IF(I67&lt;0,"Mínimo","Máximo")),"-")</f>
        <v>-</v>
      </c>
      <c r="L67" s="91"/>
      <c r="M67" s="91"/>
      <c r="N67" s="91"/>
      <c r="O67" s="91"/>
      <c r="P67" s="91"/>
      <c r="Q67" s="91"/>
    </row>
    <row r="68" spans="1:17" ht="15">
      <c r="A68" s="448"/>
      <c r="B68" s="533" t="str">
        <f t="shared" ref="B68:F111" si="5">B8</f>
        <v>Fibra em 
Detergente Neutro</v>
      </c>
      <c r="C68" s="534" t="str">
        <f t="shared" si="5"/>
        <v>FDN</v>
      </c>
      <c r="D68" s="535" t="s">
        <v>322</v>
      </c>
      <c r="E68" s="536">
        <f t="shared" ref="E68:E71" si="6">E8/$G$7*100</f>
        <v>0</v>
      </c>
      <c r="F68" s="537">
        <f>F8/$F$7*100</f>
        <v>0</v>
      </c>
      <c r="G68" s="536">
        <f>IF(G8/$G$7*100&gt;100,100,G8/$G$7*100)</f>
        <v>100</v>
      </c>
      <c r="H68" s="538" t="str">
        <f>INDEX('Calcular Dieta'!$J$42:$BB$42,,MATCH(Atendimento!C68,'Calcular Dieta'!$J$8:$BB$8,0))</f>
        <v/>
      </c>
      <c r="I68" s="539" t="str">
        <f>INDEX('Calcular Dieta'!$J$42:$BB$42,,MATCH(Atendimento!C68,'Calcular Dieta'!$J$8:$BB$8,0))</f>
        <v/>
      </c>
      <c r="J68" s="540" t="str">
        <f>IF(AND(I68&gt;-0.001,I68&lt;0.001),"OK",HLOOKUP(C68,'Calcular Dieta'!$J$8:$BB$43,36,FALSE))</f>
        <v>OK</v>
      </c>
      <c r="K68" s="757" t="str">
        <f t="shared" si="4"/>
        <v>-</v>
      </c>
      <c r="L68" s="91"/>
      <c r="M68" s="91"/>
      <c r="N68" s="91"/>
      <c r="O68" s="91"/>
      <c r="P68" s="91"/>
      <c r="Q68" s="91"/>
    </row>
    <row r="69" spans="1:17" ht="15">
      <c r="A69" s="448"/>
      <c r="B69" s="533" t="str">
        <f t="shared" si="5"/>
        <v>Fibra em 
Detergente Ácido</v>
      </c>
      <c r="C69" s="534" t="str">
        <f t="shared" si="5"/>
        <v>FDA</v>
      </c>
      <c r="D69" s="535" t="s">
        <v>322</v>
      </c>
      <c r="E69" s="536">
        <f t="shared" si="6"/>
        <v>0</v>
      </c>
      <c r="F69" s="537">
        <f>F9/$F$7*100</f>
        <v>0</v>
      </c>
      <c r="G69" s="536">
        <f t="shared" ref="G69:G71" si="7">IF(G9/$G$7*100&gt;100,100,G9/$G$7*100)</f>
        <v>100</v>
      </c>
      <c r="H69" s="538" t="str">
        <f>INDEX('Calcular Dieta'!$J$42:$BB$42,,MATCH(Atendimento!C69,'Calcular Dieta'!$J$8:$BB$8,0))</f>
        <v/>
      </c>
      <c r="I69" s="539" t="str">
        <f>INDEX('Calcular Dieta'!$J$42:$BB$42,,MATCH(Atendimento!C69,'Calcular Dieta'!$J$8:$BB$8,0))</f>
        <v/>
      </c>
      <c r="J69" s="540" t="str">
        <f>IF(AND(I69&gt;-0.001,I69&lt;0.001),"OK",HLOOKUP(C69,'Calcular Dieta'!$J$8:$BB$43,36,FALSE))</f>
        <v>OK</v>
      </c>
      <c r="K69" s="757" t="str">
        <f t="shared" si="4"/>
        <v>-</v>
      </c>
      <c r="L69" s="91"/>
      <c r="M69" s="91"/>
      <c r="N69" s="91"/>
      <c r="O69" s="91"/>
      <c r="P69" s="91"/>
      <c r="Q69" s="91"/>
    </row>
    <row r="70" spans="1:17" ht="15.75" thickBot="1">
      <c r="A70" s="448"/>
      <c r="B70" s="541" t="str">
        <f t="shared" si="5"/>
        <v>Carboidratos Não Fibrosos</v>
      </c>
      <c r="C70" s="542" t="str">
        <f t="shared" si="5"/>
        <v>CNF</v>
      </c>
      <c r="D70" s="543" t="s">
        <v>322</v>
      </c>
      <c r="E70" s="544">
        <f t="shared" si="6"/>
        <v>0</v>
      </c>
      <c r="F70" s="545">
        <f t="shared" ref="F70:F71" si="8">F10/$F$7*100</f>
        <v>0</v>
      </c>
      <c r="G70" s="544">
        <f t="shared" si="7"/>
        <v>100</v>
      </c>
      <c r="H70" s="546" t="str">
        <f>INDEX('Calcular Dieta'!$J$42:$BB$42,,MATCH(Atendimento!C70,'Calcular Dieta'!$J$8:$BB$8,0))</f>
        <v/>
      </c>
      <c r="I70" s="547" t="str">
        <f>INDEX('Calcular Dieta'!$J$42:$BB$42,,MATCH(Atendimento!C70,'Calcular Dieta'!$J$8:$BB$8,0))</f>
        <v/>
      </c>
      <c r="J70" s="548" t="str">
        <f>IF(AND(I70&gt;-0.001,I70&lt;0.001),"OK",HLOOKUP(C70,'Calcular Dieta'!$J$8:$BB$43,36,FALSE))</f>
        <v>OK</v>
      </c>
      <c r="K70" s="757" t="str">
        <f t="shared" si="4"/>
        <v>-</v>
      </c>
      <c r="L70" s="91"/>
      <c r="M70" s="91"/>
      <c r="N70" s="91"/>
      <c r="O70" s="91"/>
      <c r="P70" s="91"/>
      <c r="Q70" s="91"/>
    </row>
    <row r="71" spans="1:17" ht="15">
      <c r="A71" s="448"/>
      <c r="B71" s="527" t="str">
        <f t="shared" si="5"/>
        <v>Nutrientes Digestíveis Totais</v>
      </c>
      <c r="C71" s="549" t="str">
        <f t="shared" si="5"/>
        <v>NDT</v>
      </c>
      <c r="D71" s="528" t="s">
        <v>322</v>
      </c>
      <c r="E71" s="529">
        <f t="shared" si="6"/>
        <v>0</v>
      </c>
      <c r="F71" s="530">
        <f t="shared" si="8"/>
        <v>0</v>
      </c>
      <c r="G71" s="529">
        <f t="shared" si="7"/>
        <v>100</v>
      </c>
      <c r="H71" s="550" t="str">
        <f>INDEX('Calcular Dieta'!$J$42:$BB$42,,MATCH(Atendimento!C71,'Calcular Dieta'!$J$8:$BB$8,0))</f>
        <v/>
      </c>
      <c r="I71" s="551" t="str">
        <f>INDEX('Calcular Dieta'!$J$42:$BB$42,,MATCH(Atendimento!C71,'Calcular Dieta'!$J$8:$BB$8,0))</f>
        <v/>
      </c>
      <c r="J71" s="532" t="str">
        <f>IF(AND(I71&gt;-0.001,I71&lt;0.001),"OK",HLOOKUP(C71,'Calcular Dieta'!$J$8:$BB$43,36,FALSE))</f>
        <v>OK</v>
      </c>
      <c r="K71" s="757" t="str">
        <f t="shared" si="4"/>
        <v>-</v>
      </c>
      <c r="L71" s="91"/>
      <c r="M71" s="91"/>
      <c r="N71" s="91"/>
      <c r="O71" s="91"/>
      <c r="P71" s="91"/>
      <c r="Q71" s="91"/>
    </row>
    <row r="72" spans="1:17" ht="15">
      <c r="A72" s="448"/>
      <c r="B72" s="533" t="str">
        <f t="shared" si="5"/>
        <v>Energia Digestível (Bovinos)</v>
      </c>
      <c r="C72" s="534" t="str">
        <f t="shared" si="5"/>
        <v>ED</v>
      </c>
      <c r="D72" s="535" t="str">
        <f t="shared" si="5"/>
        <v>Mcal</v>
      </c>
      <c r="E72" s="536">
        <f>E12</f>
        <v>0</v>
      </c>
      <c r="F72" s="537">
        <f>F12</f>
        <v>0</v>
      </c>
      <c r="G72" s="536">
        <f>G12</f>
        <v>9999999</v>
      </c>
      <c r="H72" s="538" t="str">
        <f>INDEX('Calcular Dieta'!$J$42:$BB$42,,MATCH(Atendimento!C72,'Calcular Dieta'!$J$8:$BB$8,0))</f>
        <v/>
      </c>
      <c r="I72" s="539" t="str">
        <f>INDEX('Calcular Dieta'!$J$42:$BB$42,,MATCH(Atendimento!C72,'Calcular Dieta'!$J$8:$BB$8,0))</f>
        <v/>
      </c>
      <c r="J72" s="540" t="str">
        <f>IF(AND(I72&gt;-0.001,I72&lt;0.001),"OK",HLOOKUP(C72,'Calcular Dieta'!$J$8:$BB$43,36,FALSE))</f>
        <v>OK</v>
      </c>
      <c r="K72" s="757" t="str">
        <f t="shared" si="4"/>
        <v>-</v>
      </c>
      <c r="L72" s="91"/>
      <c r="M72" s="91"/>
      <c r="N72" s="91"/>
      <c r="O72" s="91"/>
      <c r="P72" s="91"/>
      <c r="Q72" s="91"/>
    </row>
    <row r="73" spans="1:17" ht="15">
      <c r="A73" s="448"/>
      <c r="B73" s="533" t="str">
        <f t="shared" si="5"/>
        <v>Energia Metabolizável (Bovinos)</v>
      </c>
      <c r="C73" s="534" t="str">
        <f t="shared" si="5"/>
        <v>EM</v>
      </c>
      <c r="D73" s="535" t="str">
        <f t="shared" si="5"/>
        <v>Mcal</v>
      </c>
      <c r="E73" s="536">
        <f t="shared" si="5"/>
        <v>0</v>
      </c>
      <c r="F73" s="537">
        <f t="shared" si="5"/>
        <v>0</v>
      </c>
      <c r="G73" s="536">
        <f t="shared" ref="G73" si="9">G13</f>
        <v>9999999</v>
      </c>
      <c r="H73" s="538" t="str">
        <f>INDEX('Calcular Dieta'!$J$42:$BB$42,,MATCH(Atendimento!C73,'Calcular Dieta'!$J$8:$BB$8,0))</f>
        <v/>
      </c>
      <c r="I73" s="539" t="str">
        <f>INDEX('Calcular Dieta'!$J$42:$BB$42,,MATCH(Atendimento!C73,'Calcular Dieta'!$J$8:$BB$8,0))</f>
        <v/>
      </c>
      <c r="J73" s="540" t="str">
        <f>IF(AND(I73&gt;-0.001,I73&lt;0.001),"OK",HLOOKUP(C73,'Calcular Dieta'!$J$8:$BB$43,36,FALSE))</f>
        <v>OK</v>
      </c>
      <c r="K73" s="757" t="str">
        <f t="shared" si="4"/>
        <v>-</v>
      </c>
      <c r="L73" s="91"/>
      <c r="M73" s="91"/>
      <c r="N73" s="91"/>
      <c r="O73" s="91"/>
      <c r="P73" s="91"/>
      <c r="Q73" s="91"/>
    </row>
    <row r="74" spans="1:17" ht="15">
      <c r="A74" s="448"/>
      <c r="B74" s="533" t="str">
        <f t="shared" si="5"/>
        <v>Energia Líquida (Bovinos)</v>
      </c>
      <c r="C74" s="534" t="str">
        <f t="shared" si="5"/>
        <v>EL</v>
      </c>
      <c r="D74" s="535" t="str">
        <f t="shared" si="5"/>
        <v>Mcal</v>
      </c>
      <c r="E74" s="536">
        <f t="shared" si="5"/>
        <v>0</v>
      </c>
      <c r="F74" s="537">
        <f t="shared" si="5"/>
        <v>0</v>
      </c>
      <c r="G74" s="536">
        <f>G14</f>
        <v>9999999</v>
      </c>
      <c r="H74" s="538" t="str">
        <f>INDEX('Calcular Dieta'!$J$42:$BB$42,,MATCH(Atendimento!C74,'Calcular Dieta'!$J$8:$BB$8,0))</f>
        <v/>
      </c>
      <c r="I74" s="539" t="str">
        <f>INDEX('Calcular Dieta'!$J$42:$BB$42,,MATCH(Atendimento!C74,'Calcular Dieta'!$J$8:$BB$8,0))</f>
        <v/>
      </c>
      <c r="J74" s="540" t="str">
        <f>IF(AND(I74&gt;-0.001,I74&lt;0.001),"OK",HLOOKUP(C74,'Calcular Dieta'!$J$8:$BB$43,36,FALSE))</f>
        <v>OK</v>
      </c>
      <c r="K74" s="757" t="str">
        <f t="shared" si="4"/>
        <v>-</v>
      </c>
      <c r="L74" s="91"/>
      <c r="M74" s="91"/>
      <c r="N74" s="91"/>
      <c r="O74" s="91"/>
      <c r="P74" s="91"/>
      <c r="Q74" s="91"/>
    </row>
    <row r="75" spans="1:17" ht="15.75" thickBot="1">
      <c r="A75" s="448"/>
      <c r="B75" s="541" t="str">
        <f t="shared" si="5"/>
        <v>Gordura</v>
      </c>
      <c r="C75" s="542" t="str">
        <f t="shared" si="5"/>
        <v>EE</v>
      </c>
      <c r="D75" s="543" t="s">
        <v>322</v>
      </c>
      <c r="E75" s="544">
        <f>E15/($G$7*10)</f>
        <v>0</v>
      </c>
      <c r="F75" s="545">
        <f>F15/($F$7*10)</f>
        <v>0</v>
      </c>
      <c r="G75" s="544">
        <f t="shared" ref="G75" si="10">IF(G15/($G$7*10)&gt;100,100,G15/($G$7*10))</f>
        <v>100</v>
      </c>
      <c r="H75" s="546" t="str">
        <f>INDEX('Calcular Dieta'!$J$42:$BB$42,,MATCH(Atendimento!C75,'Calcular Dieta'!$J$8:$BB$8,0))</f>
        <v/>
      </c>
      <c r="I75" s="547" t="str">
        <f>INDEX('Calcular Dieta'!$J$42:$BB$42,,MATCH(Atendimento!C75,'Calcular Dieta'!$J$8:$BB$8,0))</f>
        <v/>
      </c>
      <c r="J75" s="548" t="str">
        <f>IF(AND(I75&gt;-0.001,I75&lt;0.001),"OK",HLOOKUP(C75,'Calcular Dieta'!$J$8:$BB$43,36,FALSE))</f>
        <v>OK</v>
      </c>
      <c r="K75" s="757" t="str">
        <f t="shared" si="4"/>
        <v>-</v>
      </c>
      <c r="L75" s="91"/>
      <c r="M75" s="91"/>
      <c r="N75" s="91"/>
      <c r="O75" s="91"/>
      <c r="P75" s="91"/>
      <c r="Q75" s="91"/>
    </row>
    <row r="76" spans="1:17" ht="15">
      <c r="A76" s="448"/>
      <c r="B76" s="527" t="str">
        <f t="shared" si="5"/>
        <v>Proteína Bruta</v>
      </c>
      <c r="C76" s="549" t="str">
        <f t="shared" si="5"/>
        <v>PB</v>
      </c>
      <c r="D76" s="528" t="s">
        <v>322</v>
      </c>
      <c r="E76" s="529">
        <f t="shared" ref="E76:E86" si="11">E16/($G$7*10)</f>
        <v>0</v>
      </c>
      <c r="F76" s="530">
        <f t="shared" ref="F76:F86" si="12">F16/($F$7*10)</f>
        <v>0</v>
      </c>
      <c r="G76" s="529">
        <f>IF(G16/($G$7*10)&gt;100,100,G16/($G$7*10))</f>
        <v>100</v>
      </c>
      <c r="H76" s="550" t="str">
        <f>INDEX('Calcular Dieta'!$J$42:$BB$42,,MATCH(Atendimento!C76,'Calcular Dieta'!$J$8:$BB$8,0))</f>
        <v/>
      </c>
      <c r="I76" s="551" t="str">
        <f>INDEX('Calcular Dieta'!$J$42:$BB$42,,MATCH(Atendimento!C76,'Calcular Dieta'!$J$8:$BB$8,0))</f>
        <v/>
      </c>
      <c r="J76" s="532" t="str">
        <f>IF(AND(I76&gt;-0.001,I76&lt;0.001),"OK",HLOOKUP(C76,'Calcular Dieta'!$J$8:$BB$43,36,FALSE))</f>
        <v>OK</v>
      </c>
      <c r="K76" s="757" t="str">
        <f t="shared" si="4"/>
        <v>-</v>
      </c>
      <c r="L76" s="91"/>
      <c r="M76" s="91"/>
      <c r="N76" s="91"/>
      <c r="O76" s="91"/>
      <c r="P76" s="91"/>
      <c r="Q76" s="91"/>
    </row>
    <row r="77" spans="1:17" ht="15">
      <c r="A77" s="448"/>
      <c r="B77" s="533" t="str">
        <f t="shared" si="5"/>
        <v>Proteína Degradável no Rúmen</v>
      </c>
      <c r="C77" s="534" t="str">
        <f t="shared" si="5"/>
        <v>PDR</v>
      </c>
      <c r="D77" s="535" t="s">
        <v>322</v>
      </c>
      <c r="E77" s="536">
        <f t="shared" si="11"/>
        <v>0</v>
      </c>
      <c r="F77" s="537">
        <f t="shared" si="12"/>
        <v>0</v>
      </c>
      <c r="G77" s="536">
        <f t="shared" ref="G77:G86" si="13">IF(G17/($G$7*10)&gt;100,100,G17/($G$7*10))</f>
        <v>100</v>
      </c>
      <c r="H77" s="538" t="str">
        <f>INDEX('Calcular Dieta'!$J$42:$BB$42,,MATCH(Atendimento!C77,'Calcular Dieta'!$J$8:$BB$8,0))</f>
        <v/>
      </c>
      <c r="I77" s="539" t="str">
        <f>INDEX('Calcular Dieta'!$J$42:$BB$42,,MATCH(Atendimento!C77,'Calcular Dieta'!$J$8:$BB$8,0))</f>
        <v/>
      </c>
      <c r="J77" s="540" t="str">
        <f>IF(AND(I77&gt;-0.001,I77&lt;0.001),"OK",HLOOKUP(C77,'Calcular Dieta'!$J$8:$BB$43,36,FALSE))</f>
        <v>OK</v>
      </c>
      <c r="K77" s="757" t="str">
        <f t="shared" si="4"/>
        <v>-</v>
      </c>
      <c r="L77" s="91"/>
      <c r="M77" s="91"/>
      <c r="N77" s="91"/>
      <c r="O77" s="91"/>
      <c r="P77" s="91"/>
      <c r="Q77" s="91"/>
    </row>
    <row r="78" spans="1:17" ht="15">
      <c r="A78" s="448"/>
      <c r="B78" s="533" t="str">
        <f t="shared" si="5"/>
        <v>Proteína Não Degradável no Rúmen</v>
      </c>
      <c r="C78" s="534" t="str">
        <f t="shared" si="5"/>
        <v>PNDR</v>
      </c>
      <c r="D78" s="535" t="s">
        <v>322</v>
      </c>
      <c r="E78" s="536">
        <f t="shared" si="11"/>
        <v>0</v>
      </c>
      <c r="F78" s="537">
        <f t="shared" si="12"/>
        <v>0</v>
      </c>
      <c r="G78" s="536">
        <f t="shared" si="13"/>
        <v>100</v>
      </c>
      <c r="H78" s="538" t="str">
        <f>INDEX('Calcular Dieta'!$J$42:$BB$42,,MATCH(Atendimento!C78,'Calcular Dieta'!$J$8:$BB$8,0))</f>
        <v/>
      </c>
      <c r="I78" s="539" t="str">
        <f>INDEX('Calcular Dieta'!$J$42:$BB$42,,MATCH(Atendimento!C78,'Calcular Dieta'!$J$8:$BB$8,0))</f>
        <v/>
      </c>
      <c r="J78" s="540" t="str">
        <f>IF(AND(I78&gt;-0.001,I78&lt;0.001),"OK",HLOOKUP(C78,'Calcular Dieta'!$J$8:$BB$43,36,FALSE))</f>
        <v>OK</v>
      </c>
      <c r="K78" s="757" t="str">
        <f t="shared" ref="K78:K89" si="14">IF(J78="OK",IF(I78="","-",IF(I78&lt;0,"Mínimo","Máximo")),"-")</f>
        <v>-</v>
      </c>
      <c r="L78" s="91"/>
      <c r="M78" s="91"/>
      <c r="N78" s="91"/>
      <c r="O78" s="91"/>
      <c r="P78" s="91"/>
      <c r="Q78" s="91"/>
    </row>
    <row r="79" spans="1:17" ht="15">
      <c r="A79" s="448"/>
      <c r="B79" s="533" t="str">
        <f t="shared" si="5"/>
        <v>Proteína Metabolizável</v>
      </c>
      <c r="C79" s="534" t="str">
        <f t="shared" si="5"/>
        <v>PM</v>
      </c>
      <c r="D79" s="535" t="s">
        <v>322</v>
      </c>
      <c r="E79" s="536">
        <f t="shared" si="11"/>
        <v>0</v>
      </c>
      <c r="F79" s="537">
        <f t="shared" si="12"/>
        <v>0</v>
      </c>
      <c r="G79" s="536">
        <f t="shared" si="13"/>
        <v>100</v>
      </c>
      <c r="H79" s="538" t="str">
        <f>INDEX('Calcular Dieta'!$J$42:$BB$42,,MATCH(Atendimento!C79,'Calcular Dieta'!$J$8:$BB$8,0))</f>
        <v/>
      </c>
      <c r="I79" s="539" t="str">
        <f>INDEX('Calcular Dieta'!$J$42:$BB$42,,MATCH(Atendimento!C79,'Calcular Dieta'!$J$8:$BB$8,0))</f>
        <v/>
      </c>
      <c r="J79" s="540" t="str">
        <f>IF(AND(I79&gt;-0.001,I79&lt;0.001),"OK",HLOOKUP(C79,'Calcular Dieta'!$J$8:$BB$43,36,FALSE))</f>
        <v>OK</v>
      </c>
      <c r="K79" s="757" t="str">
        <f t="shared" si="14"/>
        <v>-</v>
      </c>
      <c r="L79" s="91"/>
      <c r="M79" s="91"/>
      <c r="N79" s="91"/>
      <c r="O79" s="91"/>
      <c r="P79" s="91"/>
      <c r="Q79" s="91"/>
    </row>
    <row r="80" spans="1:17" ht="15.75" thickBot="1">
      <c r="A80" s="448"/>
      <c r="B80" s="541" t="str">
        <f t="shared" si="5"/>
        <v>Proteína (NNP)</v>
      </c>
      <c r="C80" s="542" t="str">
        <f t="shared" si="5"/>
        <v>PBNNP</v>
      </c>
      <c r="D80" s="543" t="s">
        <v>322</v>
      </c>
      <c r="E80" s="544">
        <f t="shared" si="11"/>
        <v>0</v>
      </c>
      <c r="F80" s="545">
        <f t="shared" si="12"/>
        <v>0</v>
      </c>
      <c r="G80" s="544">
        <f t="shared" si="13"/>
        <v>100</v>
      </c>
      <c r="H80" s="546" t="str">
        <f>INDEX('Calcular Dieta'!$J$42:$BB$42,,MATCH(Atendimento!C80,'Calcular Dieta'!$J$8:$BB$8,0))</f>
        <v/>
      </c>
      <c r="I80" s="547" t="str">
        <f>INDEX('Calcular Dieta'!$J$42:$BB$42,,MATCH(Atendimento!C80,'Calcular Dieta'!$J$8:$BB$8,0))</f>
        <v/>
      </c>
      <c r="J80" s="548" t="str">
        <f>IF(AND(I80&gt;-0.001,I80&lt;0.001),"OK",HLOOKUP(C80,'Calcular Dieta'!$J$8:$BB$43,36,FALSE))</f>
        <v>OK</v>
      </c>
      <c r="K80" s="757" t="str">
        <f t="shared" si="14"/>
        <v>-</v>
      </c>
      <c r="L80" s="91"/>
      <c r="M80" s="91"/>
      <c r="N80" s="91"/>
      <c r="O80" s="91"/>
      <c r="P80" s="91"/>
      <c r="Q80" s="91"/>
    </row>
    <row r="81" spans="1:17" ht="15">
      <c r="A81" s="448"/>
      <c r="B81" s="527" t="str">
        <f t="shared" si="5"/>
        <v>Cálcio</v>
      </c>
      <c r="C81" s="549" t="str">
        <f t="shared" si="5"/>
        <v>Ca</v>
      </c>
      <c r="D81" s="528" t="s">
        <v>322</v>
      </c>
      <c r="E81" s="529">
        <f t="shared" si="11"/>
        <v>10.8</v>
      </c>
      <c r="F81" s="530">
        <f t="shared" si="12"/>
        <v>10.88525723754098</v>
      </c>
      <c r="G81" s="529">
        <f>IF(G21/($G$7*10)&gt;100,100,G21/($G$7*10))</f>
        <v>10.8</v>
      </c>
      <c r="H81" s="550" t="str">
        <f>INDEX('Calcular Dieta'!$J$42:$BB$42,,MATCH(Atendimento!C81,'Calcular Dieta'!$J$8:$BB$8,0))</f>
        <v/>
      </c>
      <c r="I81" s="551" t="str">
        <f>INDEX('Calcular Dieta'!$J$42:$BB$42,,MATCH(Atendimento!C81,'Calcular Dieta'!$J$8:$BB$8,0))</f>
        <v/>
      </c>
      <c r="J81" s="532" t="str">
        <f>IF(AND(I81&gt;-0.001,I81&lt;0.001),"OK",HLOOKUP(C81,'Calcular Dieta'!$J$8:$BB$43,36,FALSE))</f>
        <v>OK</v>
      </c>
      <c r="K81" s="757" t="str">
        <f t="shared" si="14"/>
        <v>-</v>
      </c>
      <c r="L81" s="91"/>
      <c r="M81" s="91"/>
      <c r="N81" s="91"/>
      <c r="O81" s="91"/>
      <c r="P81" s="91"/>
      <c r="Q81" s="91"/>
    </row>
    <row r="82" spans="1:17" ht="15">
      <c r="A82" s="448"/>
      <c r="B82" s="533" t="str">
        <f t="shared" si="5"/>
        <v>Fósforo</v>
      </c>
      <c r="C82" s="534" t="str">
        <f t="shared" si="5"/>
        <v>P</v>
      </c>
      <c r="D82" s="535" t="s">
        <v>322</v>
      </c>
      <c r="E82" s="536">
        <f t="shared" si="11"/>
        <v>0</v>
      </c>
      <c r="F82" s="537">
        <f t="shared" si="12"/>
        <v>8.3427133808891103</v>
      </c>
      <c r="G82" s="536">
        <f t="shared" si="13"/>
        <v>99.9</v>
      </c>
      <c r="H82" s="538" t="str">
        <f>INDEX('Calcular Dieta'!$J$42:$BB$42,,MATCH(Atendimento!C82,'Calcular Dieta'!$J$8:$BB$8,0))</f>
        <v/>
      </c>
      <c r="I82" s="539" t="str">
        <f>INDEX('Calcular Dieta'!$J$42:$BB$42,,MATCH(Atendimento!C82,'Calcular Dieta'!$J$8:$BB$8,0))</f>
        <v/>
      </c>
      <c r="J82" s="540" t="str">
        <f>IF(AND(I82&gt;-0.001,I82&lt;0.001),"OK",HLOOKUP(C82,'Calcular Dieta'!$J$8:$BB$43,36,FALSE))</f>
        <v>OK</v>
      </c>
      <c r="K82" s="757" t="str">
        <f t="shared" si="14"/>
        <v>-</v>
      </c>
      <c r="L82" s="91"/>
      <c r="M82" s="91"/>
      <c r="N82" s="91"/>
      <c r="O82" s="91"/>
      <c r="P82" s="91"/>
      <c r="Q82" s="91"/>
    </row>
    <row r="83" spans="1:17" ht="15">
      <c r="A83" s="448"/>
      <c r="B83" s="533" t="str">
        <f t="shared" si="5"/>
        <v>Magnésio</v>
      </c>
      <c r="C83" s="534" t="str">
        <f t="shared" si="5"/>
        <v>Mg</v>
      </c>
      <c r="D83" s="535" t="s">
        <v>322</v>
      </c>
      <c r="E83" s="536">
        <f t="shared" si="11"/>
        <v>3.7</v>
      </c>
      <c r="F83" s="537">
        <f t="shared" si="12"/>
        <v>3.7292084980465576</v>
      </c>
      <c r="G83" s="536">
        <f t="shared" si="13"/>
        <v>3.7</v>
      </c>
      <c r="H83" s="538">
        <f>INDEX('Calcular Dieta'!$J$42:$BB$42,,MATCH(Atendimento!C83,'Calcular Dieta'!$J$8:$BB$8,0))</f>
        <v>1.1155520951433573E-12</v>
      </c>
      <c r="I83" s="539">
        <f>INDEX('Calcular Dieta'!$J$42:$BB$42,,MATCH(Atendimento!C83,'Calcular Dieta'!$J$8:$BB$8,0))</f>
        <v>1.1155520951433573E-12</v>
      </c>
      <c r="J83" s="540" t="str">
        <f>IF(AND(I83&gt;-0.001,I83&lt;0.001),"OK",HLOOKUP(C83,'Calcular Dieta'!$J$8:$BB$43,36,FALSE))</f>
        <v>OK</v>
      </c>
      <c r="K83" s="757" t="str">
        <f t="shared" si="14"/>
        <v>Máximo</v>
      </c>
      <c r="L83" s="91"/>
      <c r="M83" s="91"/>
      <c r="N83" s="91"/>
      <c r="O83" s="91"/>
      <c r="P83" s="91"/>
      <c r="Q83" s="91"/>
    </row>
    <row r="84" spans="1:17" ht="15">
      <c r="A84" s="448"/>
      <c r="B84" s="533" t="str">
        <f t="shared" si="5"/>
        <v>Sódio</v>
      </c>
      <c r="C84" s="534" t="str">
        <f t="shared" si="5"/>
        <v>Na</v>
      </c>
      <c r="D84" s="535" t="s">
        <v>322</v>
      </c>
      <c r="E84" s="536">
        <f t="shared" si="11"/>
        <v>4.5</v>
      </c>
      <c r="F84" s="537">
        <f t="shared" si="12"/>
        <v>4.5355238489754068</v>
      </c>
      <c r="G84" s="536">
        <f t="shared" si="13"/>
        <v>4.5</v>
      </c>
      <c r="H84" s="538" t="str">
        <f>INDEX('Calcular Dieta'!$J$42:$BB$42,,MATCH(Atendimento!C84,'Calcular Dieta'!$J$8:$BB$8,0))</f>
        <v/>
      </c>
      <c r="I84" s="539" t="str">
        <f>INDEX('Calcular Dieta'!$J$42:$BB$42,,MATCH(Atendimento!C84,'Calcular Dieta'!$J$8:$BB$8,0))</f>
        <v/>
      </c>
      <c r="J84" s="540" t="str">
        <f>IF(AND(I84&gt;-0.001,I84&lt;0.001),"OK",HLOOKUP(C84,'Calcular Dieta'!$J$8:$BB$43,36,FALSE))</f>
        <v>OK</v>
      </c>
      <c r="K84" s="757" t="str">
        <f t="shared" si="14"/>
        <v>-</v>
      </c>
      <c r="L84" s="91"/>
      <c r="M84" s="91"/>
      <c r="N84" s="91"/>
      <c r="O84" s="91"/>
      <c r="P84" s="91"/>
      <c r="Q84" s="91"/>
    </row>
    <row r="85" spans="1:17" ht="15">
      <c r="A85" s="448"/>
      <c r="B85" s="533" t="str">
        <f t="shared" si="5"/>
        <v>Potássio</v>
      </c>
      <c r="C85" s="534" t="str">
        <f t="shared" si="5"/>
        <v>K</v>
      </c>
      <c r="D85" s="535" t="s">
        <v>322</v>
      </c>
      <c r="E85" s="536">
        <f t="shared" si="11"/>
        <v>11.1</v>
      </c>
      <c r="F85" s="537">
        <f t="shared" si="12"/>
        <v>11.187625494139336</v>
      </c>
      <c r="G85" s="536">
        <f t="shared" si="13"/>
        <v>11.1</v>
      </c>
      <c r="H85" s="538" t="str">
        <f>INDEX('Calcular Dieta'!$J$42:$BB$42,,MATCH(Atendimento!C85,'Calcular Dieta'!$J$8:$BB$8,0))</f>
        <v/>
      </c>
      <c r="I85" s="539" t="str">
        <f>INDEX('Calcular Dieta'!$J$42:$BB$42,,MATCH(Atendimento!C85,'Calcular Dieta'!$J$8:$BB$8,0))</f>
        <v/>
      </c>
      <c r="J85" s="540" t="str">
        <f>IF(AND(I85&gt;-0.001,I85&lt;0.001),"OK",HLOOKUP(C85,'Calcular Dieta'!$J$8:$BB$43,36,FALSE))</f>
        <v>OK</v>
      </c>
      <c r="K85" s="757" t="str">
        <f t="shared" si="14"/>
        <v>-</v>
      </c>
      <c r="L85" s="91"/>
      <c r="M85" s="91"/>
      <c r="N85" s="91"/>
      <c r="O85" s="91"/>
      <c r="P85" s="91"/>
      <c r="Q85" s="91"/>
    </row>
    <row r="86" spans="1:17" ht="15.75" thickBot="1">
      <c r="A86" s="448"/>
      <c r="B86" s="541" t="str">
        <f t="shared" si="5"/>
        <v>Enxofre</v>
      </c>
      <c r="C86" s="542" t="str">
        <f t="shared" si="5"/>
        <v>S</v>
      </c>
      <c r="D86" s="543" t="s">
        <v>322</v>
      </c>
      <c r="E86" s="544">
        <f t="shared" si="11"/>
        <v>4.4000000000000004</v>
      </c>
      <c r="F86" s="545">
        <f t="shared" si="12"/>
        <v>4.4347388646580166</v>
      </c>
      <c r="G86" s="544">
        <f t="shared" si="13"/>
        <v>4.4000000000000004</v>
      </c>
      <c r="H86" s="546">
        <f>INDEX('Calcular Dieta'!$J$42:$BB$42,,MATCH(Atendimento!C86,'Calcular Dieta'!$J$8:$BB$8,0))</f>
        <v>4.3998157543967409E-5</v>
      </c>
      <c r="I86" s="547">
        <f>INDEX('Calcular Dieta'!$J$42:$BB$42,,MATCH(Atendimento!C86,'Calcular Dieta'!$J$8:$BB$8,0))</f>
        <v>4.3998157543967409E-5</v>
      </c>
      <c r="J86" s="548" t="str">
        <f>IF(AND(I86&gt;-0.001,I86&lt;0.001),"OK",HLOOKUP(C86,'Calcular Dieta'!$J$8:$BB$43,36,FALSE))</f>
        <v>OK</v>
      </c>
      <c r="K86" s="757" t="str">
        <f t="shared" si="14"/>
        <v>Máximo</v>
      </c>
      <c r="L86" s="91"/>
      <c r="M86" s="91"/>
      <c r="N86" s="91"/>
      <c r="O86" s="91"/>
      <c r="P86" s="91"/>
      <c r="Q86" s="91"/>
    </row>
    <row r="87" spans="1:17" ht="15">
      <c r="A87" s="448"/>
      <c r="B87" s="533" t="str">
        <f t="shared" si="5"/>
        <v>Cobre</v>
      </c>
      <c r="C87" s="534" t="str">
        <f t="shared" si="5"/>
        <v>Cu</v>
      </c>
      <c r="D87" s="535" t="str">
        <f t="shared" si="5"/>
        <v>mg</v>
      </c>
      <c r="E87" s="536">
        <f>E27</f>
        <v>391</v>
      </c>
      <c r="F87" s="537">
        <f t="shared" ref="F87" si="15">F27</f>
        <v>391.00000000000006</v>
      </c>
      <c r="G87" s="536">
        <f>IFERROR(HLOOKUP(C87,'Calcular Dieta'!$J$8:$BB$43,34,FALSE),"-")</f>
        <v>391</v>
      </c>
      <c r="H87" s="538" t="str">
        <f>INDEX('Calcular Dieta'!$J$42:$BB$42,,MATCH(Atendimento!C87,'Calcular Dieta'!$J$8:$BB$8,0))</f>
        <v/>
      </c>
      <c r="I87" s="539" t="str">
        <f>INDEX('Calcular Dieta'!$J$42:$BB$42,,MATCH(Atendimento!C87,'Calcular Dieta'!$J$8:$BB$8,0))</f>
        <v/>
      </c>
      <c r="J87" s="540" t="str">
        <f>IF(AND(I87&gt;-0.001,I87&lt;0.001),"OK",HLOOKUP(C87,'Calcular Dieta'!$J$8:$BB$43,36,FALSE))</f>
        <v>OK</v>
      </c>
      <c r="K87" s="757" t="str">
        <f t="shared" si="14"/>
        <v>-</v>
      </c>
      <c r="L87" s="91"/>
      <c r="M87" s="91"/>
      <c r="N87" s="91"/>
      <c r="O87" s="91"/>
      <c r="P87" s="91"/>
      <c r="Q87" s="91"/>
    </row>
    <row r="88" spans="1:17" ht="15">
      <c r="A88" s="448"/>
      <c r="B88" s="533" t="str">
        <f t="shared" si="5"/>
        <v>Zinco</v>
      </c>
      <c r="C88" s="534" t="str">
        <f t="shared" si="5"/>
        <v>Zn</v>
      </c>
      <c r="D88" s="535" t="str">
        <f t="shared" si="5"/>
        <v>mg</v>
      </c>
      <c r="E88" s="536">
        <f t="shared" si="5"/>
        <v>1171</v>
      </c>
      <c r="F88" s="537">
        <f t="shared" ref="F88" si="16">F28</f>
        <v>1170.9999999999998</v>
      </c>
      <c r="G88" s="536">
        <f>IFERROR(HLOOKUP(C88,'Calcular Dieta'!$J$8:$BB$43,34,FALSE),"-")</f>
        <v>1171</v>
      </c>
      <c r="H88" s="538" t="str">
        <f>INDEX('Calcular Dieta'!$J$42:$BB$42,,MATCH(Atendimento!C88,'Calcular Dieta'!$J$8:$BB$8,0))</f>
        <v/>
      </c>
      <c r="I88" s="539" t="str">
        <f>INDEX('Calcular Dieta'!$J$42:$BB$42,,MATCH(Atendimento!C88,'Calcular Dieta'!$J$8:$BB$8,0))</f>
        <v/>
      </c>
      <c r="J88" s="540" t="str">
        <f>IF(AND(I88&gt;-0.001,I88&lt;0.001),"OK",HLOOKUP(C88,'Calcular Dieta'!$J$8:$BB$43,36,FALSE))</f>
        <v>OK</v>
      </c>
      <c r="K88" s="757" t="str">
        <f t="shared" si="14"/>
        <v>-</v>
      </c>
      <c r="L88" s="91"/>
      <c r="M88" s="91"/>
      <c r="N88" s="91"/>
      <c r="O88" s="91"/>
      <c r="P88" s="91"/>
      <c r="Q88" s="91"/>
    </row>
    <row r="89" spans="1:17" ht="15">
      <c r="A89" s="448"/>
      <c r="B89" s="533" t="str">
        <f t="shared" si="5"/>
        <v>Ferro</v>
      </c>
      <c r="C89" s="534" t="str">
        <f t="shared" si="5"/>
        <v>Fe</v>
      </c>
      <c r="D89" s="535" t="str">
        <f t="shared" si="5"/>
        <v>mg</v>
      </c>
      <c r="E89" s="536">
        <f t="shared" si="5"/>
        <v>0</v>
      </c>
      <c r="F89" s="537">
        <f t="shared" ref="F89" si="17">F29</f>
        <v>0</v>
      </c>
      <c r="G89" s="536">
        <f>IFERROR(HLOOKUP(C89,'Calcular Dieta'!$J$8:$BB$43,34,FALSE),"-")</f>
        <v>999</v>
      </c>
      <c r="H89" s="538" t="str">
        <f>INDEX('Calcular Dieta'!$J$42:$BB$42,,MATCH(Atendimento!C89,'Calcular Dieta'!$J$8:$BB$8,0))</f>
        <v/>
      </c>
      <c r="I89" s="539" t="str">
        <f>INDEX('Calcular Dieta'!$J$42:$BB$42,,MATCH(Atendimento!C89,'Calcular Dieta'!$J$8:$BB$8,0))</f>
        <v/>
      </c>
      <c r="J89" s="540" t="str">
        <f>IF(AND(I89&gt;-0.001,I89&lt;0.001),"OK",HLOOKUP(C89,'Calcular Dieta'!$J$8:$BB$43,36,FALSE))</f>
        <v>OK</v>
      </c>
      <c r="K89" s="757" t="str">
        <f t="shared" si="14"/>
        <v>-</v>
      </c>
      <c r="L89" s="91"/>
      <c r="M89" s="91"/>
      <c r="N89" s="91"/>
      <c r="O89" s="91"/>
      <c r="P89" s="91"/>
      <c r="Q89" s="91"/>
    </row>
    <row r="90" spans="1:17" ht="15">
      <c r="A90" s="448"/>
      <c r="B90" s="533" t="str">
        <f t="shared" si="5"/>
        <v>Manganês</v>
      </c>
      <c r="C90" s="534" t="str">
        <f t="shared" si="5"/>
        <v>Mn</v>
      </c>
      <c r="D90" s="535" t="str">
        <f t="shared" si="5"/>
        <v>mg</v>
      </c>
      <c r="E90" s="536">
        <f t="shared" si="5"/>
        <v>781</v>
      </c>
      <c r="F90" s="537">
        <f t="shared" ref="F90" si="18">F30</f>
        <v>781</v>
      </c>
      <c r="G90" s="536">
        <f>IFERROR(HLOOKUP(C90,'Calcular Dieta'!$J$8:$BB$43,34,FALSE),"-")</f>
        <v>781</v>
      </c>
      <c r="H90" s="538" t="str">
        <f>INDEX('Calcular Dieta'!$J$42:$BB$42,,MATCH(Atendimento!C90,'Calcular Dieta'!$J$8:$BB$8,0))</f>
        <v/>
      </c>
      <c r="I90" s="539" t="str">
        <f>INDEX('Calcular Dieta'!$J$42:$BB$42,,MATCH(Atendimento!C90,'Calcular Dieta'!$J$8:$BB$8,0))</f>
        <v/>
      </c>
      <c r="J90" s="540" t="str">
        <f>IF(AND(I90&gt;-0.001,I90&lt;0.001),"OK",HLOOKUP(C90,'Calcular Dieta'!$J$8:$BB$43,36,FALSE))</f>
        <v>OK</v>
      </c>
      <c r="K90" s="757" t="str">
        <f t="shared" ref="K90:K111" si="19">IF(J90="OK",IF(I90="","-",IF(I90&lt;0,"Mínimo","Máximo")),"-")</f>
        <v>-</v>
      </c>
      <c r="L90" s="91"/>
      <c r="M90" s="91"/>
      <c r="N90" s="91"/>
      <c r="O90" s="91"/>
      <c r="P90" s="91"/>
      <c r="Q90" s="91"/>
    </row>
    <row r="91" spans="1:17" ht="15">
      <c r="A91" s="448"/>
      <c r="B91" s="533" t="str">
        <f t="shared" si="5"/>
        <v>Iodo</v>
      </c>
      <c r="C91" s="534" t="str">
        <f t="shared" si="5"/>
        <v>I</v>
      </c>
      <c r="D91" s="535" t="str">
        <f t="shared" si="5"/>
        <v>mg</v>
      </c>
      <c r="E91" s="536">
        <f t="shared" si="5"/>
        <v>20</v>
      </c>
      <c r="F91" s="537">
        <f t="shared" ref="F91" si="20">F31</f>
        <v>20</v>
      </c>
      <c r="G91" s="536">
        <f>IFERROR(HLOOKUP(C91,'Calcular Dieta'!$J$8:$BB$43,34,FALSE),"-")</f>
        <v>20</v>
      </c>
      <c r="H91" s="538" t="str">
        <f>INDEX('Calcular Dieta'!$J$42:$BB$42,,MATCH(Atendimento!C91,'Calcular Dieta'!$J$8:$BB$8,0))</f>
        <v/>
      </c>
      <c r="I91" s="539" t="str">
        <f>INDEX('Calcular Dieta'!$J$42:$BB$42,,MATCH(Atendimento!C91,'Calcular Dieta'!$J$8:$BB$8,0))</f>
        <v/>
      </c>
      <c r="J91" s="540" t="str">
        <f>IF(AND(I91&gt;-0.001,I91&lt;0.001),"OK",HLOOKUP(C91,'Calcular Dieta'!$J$8:$BB$43,36,FALSE))</f>
        <v>OK</v>
      </c>
      <c r="K91" s="757" t="str">
        <f t="shared" si="19"/>
        <v>-</v>
      </c>
      <c r="L91" s="91"/>
      <c r="M91" s="91"/>
      <c r="N91" s="91"/>
      <c r="O91" s="91"/>
      <c r="P91" s="91"/>
      <c r="Q91" s="91"/>
    </row>
    <row r="92" spans="1:17" ht="15">
      <c r="A92" s="448"/>
      <c r="B92" s="533" t="str">
        <f t="shared" si="5"/>
        <v>Cobalto</v>
      </c>
      <c r="C92" s="534" t="str">
        <f t="shared" si="5"/>
        <v>Co</v>
      </c>
      <c r="D92" s="535" t="str">
        <f t="shared" si="5"/>
        <v>mg</v>
      </c>
      <c r="E92" s="536">
        <f t="shared" si="5"/>
        <v>4</v>
      </c>
      <c r="F92" s="537">
        <f t="shared" ref="F92" si="21">F32</f>
        <v>4</v>
      </c>
      <c r="G92" s="536">
        <f>IFERROR(HLOOKUP(C92,'Calcular Dieta'!$J$8:$BB$43,34,FALSE),"-")</f>
        <v>4</v>
      </c>
      <c r="H92" s="538" t="str">
        <f>INDEX('Calcular Dieta'!$J$42:$BB$42,,MATCH(Atendimento!C92,'Calcular Dieta'!$J$8:$BB$8,0))</f>
        <v/>
      </c>
      <c r="I92" s="539" t="str">
        <f>INDEX('Calcular Dieta'!$J$42:$BB$42,,MATCH(Atendimento!C92,'Calcular Dieta'!$J$8:$BB$8,0))</f>
        <v/>
      </c>
      <c r="J92" s="540" t="str">
        <f>IF(AND(I92&gt;-0.001,I92&lt;0.001),"OK",HLOOKUP(C92,'Calcular Dieta'!$J$8:$BB$43,36,FALSE))</f>
        <v>OK</v>
      </c>
      <c r="K92" s="757" t="str">
        <f t="shared" si="19"/>
        <v>-</v>
      </c>
      <c r="L92" s="91"/>
      <c r="M92" s="91"/>
      <c r="N92" s="91"/>
      <c r="O92" s="91"/>
      <c r="P92" s="91"/>
      <c r="Q92" s="91"/>
    </row>
    <row r="93" spans="1:17" ht="15.75" thickBot="1">
      <c r="A93" s="448"/>
      <c r="B93" s="541" t="str">
        <f t="shared" si="5"/>
        <v>Selênio</v>
      </c>
      <c r="C93" s="542" t="str">
        <f t="shared" si="5"/>
        <v>Se</v>
      </c>
      <c r="D93" s="543" t="str">
        <f t="shared" si="5"/>
        <v>mg</v>
      </c>
      <c r="E93" s="544">
        <f t="shared" si="5"/>
        <v>8</v>
      </c>
      <c r="F93" s="545">
        <f t="shared" ref="F93" si="22">F33</f>
        <v>8.0000000000000018</v>
      </c>
      <c r="G93" s="544">
        <f>IFERROR(HLOOKUP(C93,'Calcular Dieta'!$J$8:$BB$43,34,FALSE),"-")</f>
        <v>8</v>
      </c>
      <c r="H93" s="546" t="str">
        <f>INDEX('Calcular Dieta'!$J$42:$BB$42,,MATCH(Atendimento!C93,'Calcular Dieta'!$J$8:$BB$8,0))</f>
        <v/>
      </c>
      <c r="I93" s="547" t="str">
        <f>INDEX('Calcular Dieta'!$J$42:$BB$42,,MATCH(Atendimento!C93,'Calcular Dieta'!$J$8:$BB$8,0))</f>
        <v/>
      </c>
      <c r="J93" s="548" t="str">
        <f>IF(AND(I93&gt;-0.001,I93&lt;0.001),"OK",HLOOKUP(C93,'Calcular Dieta'!$J$8:$BB$43,36,FALSE))</f>
        <v>OK</v>
      </c>
      <c r="K93" s="757" t="str">
        <f t="shared" si="19"/>
        <v>-</v>
      </c>
      <c r="L93" s="91"/>
      <c r="M93" s="91"/>
      <c r="N93" s="91"/>
      <c r="O93" s="91"/>
      <c r="P93" s="91"/>
      <c r="Q93" s="91"/>
    </row>
    <row r="94" spans="1:17" ht="15">
      <c r="A94" s="448"/>
      <c r="B94" s="552" t="str">
        <f t="shared" si="5"/>
        <v>Lisina</v>
      </c>
      <c r="C94" s="553" t="str">
        <f t="shared" si="5"/>
        <v>Lis</v>
      </c>
      <c r="D94" s="554" t="s">
        <v>322</v>
      </c>
      <c r="E94" s="555">
        <f t="shared" ref="E94:E95" si="23">E34/($G$7*10)</f>
        <v>0</v>
      </c>
      <c r="F94" s="556">
        <f t="shared" ref="F94:F95" si="24">F34/($F$7*10)</f>
        <v>0</v>
      </c>
      <c r="G94" s="555">
        <f t="shared" ref="G94:G95" si="25">IF(G34/($G$7*10)&gt;100,100,G34/($G$7*10))</f>
        <v>100</v>
      </c>
      <c r="H94" s="557" t="str">
        <f>INDEX('Calcular Dieta'!$J$42:$BB$42,,MATCH(Atendimento!C94,'Calcular Dieta'!$J$8:$BB$8,0))</f>
        <v/>
      </c>
      <c r="I94" s="558" t="str">
        <f>INDEX('Calcular Dieta'!$J$42:$BB$42,,MATCH(Atendimento!C94,'Calcular Dieta'!$J$8:$BB$8,0))</f>
        <v/>
      </c>
      <c r="J94" s="559" t="str">
        <f>IF(AND(I94&gt;-0.001,I94&lt;0.001),"OK",HLOOKUP(C94,'Calcular Dieta'!$J$8:$BB$43,36,FALSE))</f>
        <v>OK</v>
      </c>
      <c r="K94" s="757" t="str">
        <f t="shared" si="19"/>
        <v>-</v>
      </c>
      <c r="L94" s="91"/>
      <c r="M94" s="91"/>
      <c r="N94" s="91"/>
      <c r="O94" s="91"/>
      <c r="P94" s="91"/>
      <c r="Q94" s="91"/>
    </row>
    <row r="95" spans="1:17" ht="15">
      <c r="A95" s="448"/>
      <c r="B95" s="552" t="str">
        <f t="shared" si="5"/>
        <v>Metionina</v>
      </c>
      <c r="C95" s="553" t="str">
        <f t="shared" si="5"/>
        <v>Met</v>
      </c>
      <c r="D95" s="554" t="s">
        <v>322</v>
      </c>
      <c r="E95" s="555">
        <f t="shared" si="23"/>
        <v>0</v>
      </c>
      <c r="F95" s="556">
        <f t="shared" si="24"/>
        <v>0</v>
      </c>
      <c r="G95" s="555">
        <f t="shared" si="25"/>
        <v>100</v>
      </c>
      <c r="H95" s="557" t="str">
        <f>INDEX('Calcular Dieta'!$J$42:$BB$42,,MATCH(Atendimento!C95,'Calcular Dieta'!$J$8:$BB$8,0))</f>
        <v/>
      </c>
      <c r="I95" s="558" t="str">
        <f>INDEX('Calcular Dieta'!$J$42:$BB$42,,MATCH(Atendimento!C95,'Calcular Dieta'!$J$8:$BB$8,0))</f>
        <v/>
      </c>
      <c r="J95" s="559" t="str">
        <f>IF(AND(I95&gt;-0.001,I95&lt;0.001),"OK",HLOOKUP(C95,'Calcular Dieta'!$J$8:$BB$43,36,FALSE))</f>
        <v>OK</v>
      </c>
      <c r="K95" s="757" t="str">
        <f t="shared" si="19"/>
        <v>-</v>
      </c>
      <c r="L95" s="91"/>
      <c r="M95" s="91"/>
      <c r="N95" s="91"/>
      <c r="O95" s="91"/>
      <c r="P95" s="91"/>
      <c r="Q95" s="91"/>
    </row>
    <row r="96" spans="1:17" ht="15">
      <c r="A96" s="448"/>
      <c r="B96" s="533" t="str">
        <f t="shared" si="5"/>
        <v>Monensina</v>
      </c>
      <c r="C96" s="534" t="str">
        <f t="shared" si="5"/>
        <v>Mon</v>
      </c>
      <c r="D96" s="535" t="str">
        <f t="shared" si="5"/>
        <v>ppm</v>
      </c>
      <c r="E96" s="536">
        <f>E36</f>
        <v>0</v>
      </c>
      <c r="F96" s="537">
        <f t="shared" ref="F96" si="26">F36</f>
        <v>0</v>
      </c>
      <c r="G96" s="536">
        <f>IFERROR(HLOOKUP(C96,'Calcular Dieta'!$J$8:$BB$43,34,FALSE),"-")</f>
        <v>9999999</v>
      </c>
      <c r="H96" s="538" t="str">
        <f>INDEX('Calcular Dieta'!$J$42:$BB$42,,MATCH(Atendimento!C96,'Calcular Dieta'!$J$8:$BB$8,0))</f>
        <v/>
      </c>
      <c r="I96" s="539" t="str">
        <f>INDEX('Calcular Dieta'!$J$42:$BB$42,,MATCH(Atendimento!C96,'Calcular Dieta'!$J$8:$BB$8,0))</f>
        <v/>
      </c>
      <c r="J96" s="540" t="str">
        <f>IF(AND(I96&gt;-0.001,I96&lt;0.001),"OK",HLOOKUP(C96,'Calcular Dieta'!$J$8:$BB$43,36,FALSE))</f>
        <v>OK</v>
      </c>
      <c r="K96" s="757" t="str">
        <f t="shared" si="19"/>
        <v>-</v>
      </c>
      <c r="L96" s="91"/>
      <c r="M96" s="91"/>
      <c r="N96" s="91"/>
      <c r="O96" s="91"/>
      <c r="P96" s="91"/>
      <c r="Q96" s="91"/>
    </row>
    <row r="97" spans="1:17" ht="15">
      <c r="A97" s="448"/>
      <c r="B97" s="533" t="str">
        <f t="shared" si="5"/>
        <v>Vitamina A</v>
      </c>
      <c r="C97" s="534" t="str">
        <f t="shared" si="5"/>
        <v>Vit A</v>
      </c>
      <c r="D97" s="535" t="str">
        <f t="shared" si="5"/>
        <v>UI</v>
      </c>
      <c r="E97" s="536">
        <f t="shared" si="5"/>
        <v>0</v>
      </c>
      <c r="F97" s="537">
        <f t="shared" ref="F97" si="27">F37</f>
        <v>0</v>
      </c>
      <c r="G97" s="536">
        <f>IFERROR(HLOOKUP(C97,'Calcular Dieta'!$J$8:$BB$43,34,FALSE),"-")</f>
        <v>9999999</v>
      </c>
      <c r="H97" s="538" t="str">
        <f>INDEX('Calcular Dieta'!$J$42:$BB$42,,MATCH(Atendimento!C97,'Calcular Dieta'!$J$8:$BB$8,0))</f>
        <v/>
      </c>
      <c r="I97" s="539" t="str">
        <f>INDEX('Calcular Dieta'!$J$42:$BB$42,,MATCH(Atendimento!C97,'Calcular Dieta'!$J$8:$BB$8,0))</f>
        <v/>
      </c>
      <c r="J97" s="540" t="str">
        <f>IF(AND(I97&gt;-0.001,I97&lt;0.001),"OK",HLOOKUP(C97,'Calcular Dieta'!$J$8:$BB$43,36,FALSE))</f>
        <v>OK</v>
      </c>
      <c r="K97" s="757" t="str">
        <f t="shared" si="19"/>
        <v>-</v>
      </c>
      <c r="L97" s="91"/>
      <c r="M97" s="91"/>
      <c r="N97" s="91"/>
      <c r="O97" s="91"/>
      <c r="P97" s="91"/>
      <c r="Q97" s="91"/>
    </row>
    <row r="98" spans="1:17" ht="15">
      <c r="A98" s="448"/>
      <c r="B98" s="533" t="str">
        <f t="shared" si="5"/>
        <v>Vitamina B</v>
      </c>
      <c r="C98" s="534" t="str">
        <f t="shared" si="5"/>
        <v>Vit B (UI)</v>
      </c>
      <c r="D98" s="535" t="str">
        <f t="shared" si="5"/>
        <v>UI</v>
      </c>
      <c r="E98" s="536">
        <f t="shared" si="5"/>
        <v>0</v>
      </c>
      <c r="F98" s="537">
        <f t="shared" ref="F98" si="28">F38</f>
        <v>0</v>
      </c>
      <c r="G98" s="536">
        <f>IFERROR(HLOOKUP(C98,'Calcular Dieta'!$J$8:$BB$43,34,FALSE),"-")</f>
        <v>9999999</v>
      </c>
      <c r="H98" s="538" t="str">
        <f>INDEX('Calcular Dieta'!$J$42:$BB$42,,MATCH(Atendimento!C98,'Calcular Dieta'!$J$8:$BB$8,0))</f>
        <v/>
      </c>
      <c r="I98" s="539" t="str">
        <f>INDEX('Calcular Dieta'!$J$42:$BB$42,,MATCH(Atendimento!C98,'Calcular Dieta'!$J$8:$BB$8,0))</f>
        <v/>
      </c>
      <c r="J98" s="540" t="str">
        <f>IF(AND(I98&gt;-0.001,I98&lt;0.001),"OK",HLOOKUP(C98,'Calcular Dieta'!$J$8:$BB$43,36,FALSE))</f>
        <v>OK</v>
      </c>
      <c r="K98" s="757" t="str">
        <f t="shared" si="19"/>
        <v>-</v>
      </c>
      <c r="L98" s="91"/>
      <c r="M98" s="91"/>
      <c r="N98" s="91"/>
      <c r="O98" s="91"/>
      <c r="P98" s="91"/>
      <c r="Q98" s="91"/>
    </row>
    <row r="99" spans="1:17" ht="15">
      <c r="A99" s="448"/>
      <c r="B99" s="533" t="str">
        <f t="shared" si="5"/>
        <v>Vitamina D</v>
      </c>
      <c r="C99" s="534" t="str">
        <f t="shared" si="5"/>
        <v>Vit D (UI)</v>
      </c>
      <c r="D99" s="535" t="str">
        <f t="shared" si="5"/>
        <v>UI</v>
      </c>
      <c r="E99" s="536">
        <f t="shared" si="5"/>
        <v>0</v>
      </c>
      <c r="F99" s="537">
        <f t="shared" ref="F99" si="29">F39</f>
        <v>0</v>
      </c>
      <c r="G99" s="536">
        <f>IFERROR(HLOOKUP(C99,'Calcular Dieta'!$J$8:$BB$43,34,FALSE),"-")</f>
        <v>9999999</v>
      </c>
      <c r="H99" s="538" t="str">
        <f>INDEX('Calcular Dieta'!$J$42:$BB$42,,MATCH(Atendimento!C99,'Calcular Dieta'!$J$8:$BB$8,0))</f>
        <v/>
      </c>
      <c r="I99" s="539" t="str">
        <f>INDEX('Calcular Dieta'!$J$42:$BB$42,,MATCH(Atendimento!C99,'Calcular Dieta'!$J$8:$BB$8,0))</f>
        <v/>
      </c>
      <c r="J99" s="540" t="str">
        <f>IF(AND(I99&gt;-0.001,I99&lt;0.001),"OK",HLOOKUP(C99,'Calcular Dieta'!$J$8:$BB$43,36,FALSE))</f>
        <v>OK</v>
      </c>
      <c r="K99" s="757" t="str">
        <f t="shared" si="19"/>
        <v>-</v>
      </c>
      <c r="L99" s="91"/>
      <c r="M99" s="91"/>
      <c r="N99" s="91"/>
      <c r="O99" s="91"/>
      <c r="P99" s="91"/>
      <c r="Q99" s="91"/>
    </row>
    <row r="100" spans="1:17" ht="15">
      <c r="A100" s="448"/>
      <c r="B100" s="533" t="str">
        <f t="shared" si="5"/>
        <v>Vitamina E</v>
      </c>
      <c r="C100" s="534" t="str">
        <f t="shared" si="5"/>
        <v>Vit E (UI)</v>
      </c>
      <c r="D100" s="535" t="str">
        <f t="shared" si="5"/>
        <v>UI</v>
      </c>
      <c r="E100" s="536">
        <f t="shared" si="5"/>
        <v>0</v>
      </c>
      <c r="F100" s="537">
        <f t="shared" ref="F100" si="30">F40</f>
        <v>0</v>
      </c>
      <c r="G100" s="536">
        <f>IFERROR(HLOOKUP(C100,'Calcular Dieta'!$J$8:$BB$43,34,FALSE),"-")</f>
        <v>9999999</v>
      </c>
      <c r="H100" s="538" t="str">
        <f>INDEX('Calcular Dieta'!$J$42:$BB$42,,MATCH(Atendimento!C100,'Calcular Dieta'!$J$8:$BB$8,0))</f>
        <v/>
      </c>
      <c r="I100" s="539" t="str">
        <f>INDEX('Calcular Dieta'!$J$42:$BB$42,,MATCH(Atendimento!C100,'Calcular Dieta'!$J$8:$BB$8,0))</f>
        <v/>
      </c>
      <c r="J100" s="540" t="str">
        <f>IF(AND(I100&gt;-0.001,I100&lt;0.001),"OK",HLOOKUP(C100,'Calcular Dieta'!$J$8:$BB$43,36,FALSE))</f>
        <v>OK</v>
      </c>
      <c r="K100" s="757" t="str">
        <f t="shared" si="19"/>
        <v>-</v>
      </c>
      <c r="L100" s="91"/>
      <c r="M100" s="91"/>
      <c r="N100" s="91"/>
      <c r="O100" s="91"/>
      <c r="P100" s="91"/>
      <c r="Q100" s="91"/>
    </row>
    <row r="101" spans="1:17" ht="15">
      <c r="A101" s="448"/>
      <c r="B101" s="533" t="str">
        <f t="shared" si="5"/>
        <v>Nutriente Novo 01</v>
      </c>
      <c r="C101" s="534" t="str">
        <f t="shared" si="5"/>
        <v>Novo 01</v>
      </c>
      <c r="D101" s="535" t="str">
        <f t="shared" si="5"/>
        <v>-</v>
      </c>
      <c r="E101" s="536">
        <f t="shared" si="5"/>
        <v>0</v>
      </c>
      <c r="F101" s="537">
        <f t="shared" ref="F101" si="31">F41</f>
        <v>0</v>
      </c>
      <c r="G101" s="536">
        <f>IFERROR(HLOOKUP(C101,'Calcular Dieta'!$J$8:$BB$43,34,FALSE),"-")</f>
        <v>9999999</v>
      </c>
      <c r="H101" s="538" t="str">
        <f>INDEX('Calcular Dieta'!$J$42:$BB$42,,MATCH(Atendimento!C101,'Calcular Dieta'!$J$8:$BB$8,0))</f>
        <v/>
      </c>
      <c r="I101" s="539" t="str">
        <f>INDEX('Calcular Dieta'!$J$42:$BB$42,,MATCH(Atendimento!C101,'Calcular Dieta'!$J$8:$BB$8,0))</f>
        <v/>
      </c>
      <c r="J101" s="540" t="str">
        <f>IF(AND(I101&gt;-0.001,I101&lt;0.001),"OK",HLOOKUP(C101,'Calcular Dieta'!$J$8:$BB$43,36,FALSE))</f>
        <v>OK</v>
      </c>
      <c r="K101" s="757" t="str">
        <f t="shared" si="19"/>
        <v>-</v>
      </c>
      <c r="L101" s="91"/>
      <c r="M101" s="91"/>
      <c r="N101" s="91"/>
      <c r="O101" s="91"/>
      <c r="P101" s="91"/>
      <c r="Q101" s="91"/>
    </row>
    <row r="102" spans="1:17" ht="15">
      <c r="A102" s="448"/>
      <c r="B102" s="533" t="str">
        <f t="shared" si="5"/>
        <v>Nutriente Novo 02</v>
      </c>
      <c r="C102" s="534" t="str">
        <f t="shared" si="5"/>
        <v>Novo 02</v>
      </c>
      <c r="D102" s="535" t="str">
        <f t="shared" si="5"/>
        <v>-</v>
      </c>
      <c r="E102" s="536">
        <f t="shared" si="5"/>
        <v>0</v>
      </c>
      <c r="F102" s="537">
        <f t="shared" ref="F102" si="32">F42</f>
        <v>0</v>
      </c>
      <c r="G102" s="536">
        <f>IFERROR(HLOOKUP(C102,'Calcular Dieta'!$J$8:$BB$43,34,FALSE),"-")</f>
        <v>9999999</v>
      </c>
      <c r="H102" s="538" t="str">
        <f>INDEX('Calcular Dieta'!$J$42:$BB$42,,MATCH(Atendimento!C102,'Calcular Dieta'!$J$8:$BB$8,0))</f>
        <v/>
      </c>
      <c r="I102" s="539" t="str">
        <f>INDEX('Calcular Dieta'!$J$42:$BB$42,,MATCH(Atendimento!C102,'Calcular Dieta'!$J$8:$BB$8,0))</f>
        <v/>
      </c>
      <c r="J102" s="540" t="str">
        <f>IF(AND(I102&gt;-0.001,I102&lt;0.001),"OK",HLOOKUP(C102,'Calcular Dieta'!$J$8:$BB$43,36,FALSE))</f>
        <v>OK</v>
      </c>
      <c r="K102" s="757" t="str">
        <f t="shared" si="19"/>
        <v>-</v>
      </c>
      <c r="L102" s="91"/>
      <c r="M102" s="91"/>
      <c r="N102" s="91"/>
      <c r="O102" s="91"/>
      <c r="P102" s="91"/>
      <c r="Q102" s="91"/>
    </row>
    <row r="103" spans="1:17" ht="15">
      <c r="A103" s="448"/>
      <c r="B103" s="533" t="str">
        <f t="shared" si="5"/>
        <v>Nutriente Novo 03</v>
      </c>
      <c r="C103" s="534" t="str">
        <f t="shared" si="5"/>
        <v>Novo 03</v>
      </c>
      <c r="D103" s="535" t="str">
        <f t="shared" si="5"/>
        <v>-</v>
      </c>
      <c r="E103" s="536">
        <f t="shared" si="5"/>
        <v>0</v>
      </c>
      <c r="F103" s="537">
        <f t="shared" ref="F103" si="33">F43</f>
        <v>0</v>
      </c>
      <c r="G103" s="536">
        <f>IFERROR(HLOOKUP(C103,'Calcular Dieta'!$J$8:$BB$43,34,FALSE),"-")</f>
        <v>9999999</v>
      </c>
      <c r="H103" s="538" t="str">
        <f>INDEX('Calcular Dieta'!$J$42:$BB$42,,MATCH(Atendimento!C103,'Calcular Dieta'!$J$8:$BB$8,0))</f>
        <v/>
      </c>
      <c r="I103" s="539" t="str">
        <f>INDEX('Calcular Dieta'!$J$42:$BB$42,,MATCH(Atendimento!C103,'Calcular Dieta'!$J$8:$BB$8,0))</f>
        <v/>
      </c>
      <c r="J103" s="540" t="str">
        <f>IF(AND(I103&gt;-0.001,I103&lt;0.001),"OK",HLOOKUP(C103,'Calcular Dieta'!$J$8:$BB$43,36,FALSE))</f>
        <v>OK</v>
      </c>
      <c r="K103" s="757" t="str">
        <f t="shared" si="19"/>
        <v>-</v>
      </c>
      <c r="L103" s="91"/>
      <c r="M103" s="91"/>
      <c r="N103" s="91"/>
      <c r="O103" s="91"/>
      <c r="P103" s="91"/>
      <c r="Q103" s="91"/>
    </row>
    <row r="104" spans="1:17" ht="15">
      <c r="A104" s="448"/>
      <c r="B104" s="533" t="str">
        <f t="shared" si="5"/>
        <v>Nutriente Novo 04</v>
      </c>
      <c r="C104" s="534" t="str">
        <f t="shared" si="5"/>
        <v>Novo 04</v>
      </c>
      <c r="D104" s="535" t="str">
        <f t="shared" si="5"/>
        <v>-</v>
      </c>
      <c r="E104" s="536">
        <f t="shared" si="5"/>
        <v>0</v>
      </c>
      <c r="F104" s="537">
        <f t="shared" ref="F104" si="34">F44</f>
        <v>0</v>
      </c>
      <c r="G104" s="536">
        <f>IFERROR(HLOOKUP(C104,'Calcular Dieta'!$J$8:$BB$43,34,FALSE),"-")</f>
        <v>9999999</v>
      </c>
      <c r="H104" s="538" t="str">
        <f>INDEX('Calcular Dieta'!$J$42:$BB$42,,MATCH(Atendimento!C104,'Calcular Dieta'!$J$8:$BB$8,0))</f>
        <v/>
      </c>
      <c r="I104" s="539" t="str">
        <f>INDEX('Calcular Dieta'!$J$42:$BB$42,,MATCH(Atendimento!C104,'Calcular Dieta'!$J$8:$BB$8,0))</f>
        <v/>
      </c>
      <c r="J104" s="540" t="str">
        <f>IF(AND(I104&gt;-0.001,I104&lt;0.001),"OK",HLOOKUP(C104,'Calcular Dieta'!$J$8:$BB$43,36,FALSE))</f>
        <v>OK</v>
      </c>
      <c r="K104" s="757" t="str">
        <f t="shared" si="19"/>
        <v>-</v>
      </c>
      <c r="L104" s="91"/>
      <c r="M104" s="91"/>
      <c r="N104" s="91"/>
      <c r="O104" s="91"/>
      <c r="P104" s="91"/>
      <c r="Q104" s="91"/>
    </row>
    <row r="105" spans="1:17" ht="15">
      <c r="A105" s="448"/>
      <c r="B105" s="533" t="str">
        <f t="shared" si="5"/>
        <v>Nutriente Novo 05</v>
      </c>
      <c r="C105" s="534" t="str">
        <f t="shared" si="5"/>
        <v>Novo 05</v>
      </c>
      <c r="D105" s="535" t="str">
        <f t="shared" si="5"/>
        <v>-</v>
      </c>
      <c r="E105" s="536">
        <f t="shared" si="5"/>
        <v>0</v>
      </c>
      <c r="F105" s="537">
        <f t="shared" ref="F105" si="35">F45</f>
        <v>0</v>
      </c>
      <c r="G105" s="536">
        <f>IFERROR(HLOOKUP(C105,'Calcular Dieta'!$J$8:$BB$43,34,FALSE),"-")</f>
        <v>9999999</v>
      </c>
      <c r="H105" s="538" t="str">
        <f>INDEX('Calcular Dieta'!$J$42:$BB$42,,MATCH(Atendimento!C105,'Calcular Dieta'!$J$8:$BB$8,0))</f>
        <v/>
      </c>
      <c r="I105" s="539" t="str">
        <f>INDEX('Calcular Dieta'!$J$42:$BB$42,,MATCH(Atendimento!C105,'Calcular Dieta'!$J$8:$BB$8,0))</f>
        <v/>
      </c>
      <c r="J105" s="540" t="str">
        <f>IF(AND(I105&gt;-0.001,I105&lt;0.001),"OK",HLOOKUP(C105,'Calcular Dieta'!$J$8:$BB$43,36,FALSE))</f>
        <v>OK</v>
      </c>
      <c r="K105" s="757" t="str">
        <f t="shared" si="19"/>
        <v>-</v>
      </c>
      <c r="L105" s="91"/>
      <c r="M105" s="91"/>
      <c r="N105" s="91"/>
      <c r="O105" s="91"/>
      <c r="P105" s="91"/>
      <c r="Q105" s="91"/>
    </row>
    <row r="106" spans="1:17" ht="15">
      <c r="A106" s="448"/>
      <c r="B106" s="533" t="str">
        <f t="shared" si="5"/>
        <v>Nutriente Novo 06</v>
      </c>
      <c r="C106" s="534" t="str">
        <f t="shared" si="5"/>
        <v>Novo 06</v>
      </c>
      <c r="D106" s="535" t="str">
        <f t="shared" si="5"/>
        <v>-</v>
      </c>
      <c r="E106" s="536">
        <f t="shared" si="5"/>
        <v>0</v>
      </c>
      <c r="F106" s="537">
        <f t="shared" ref="F106" si="36">F46</f>
        <v>0</v>
      </c>
      <c r="G106" s="536">
        <f>IFERROR(HLOOKUP(C106,'Calcular Dieta'!$J$8:$BB$43,34,FALSE),"-")</f>
        <v>9999999</v>
      </c>
      <c r="H106" s="538" t="str">
        <f>INDEX('Calcular Dieta'!$J$42:$BB$42,,MATCH(Atendimento!C106,'Calcular Dieta'!$J$8:$BB$8,0))</f>
        <v/>
      </c>
      <c r="I106" s="539" t="str">
        <f>INDEX('Calcular Dieta'!$J$42:$BB$42,,MATCH(Atendimento!C106,'Calcular Dieta'!$J$8:$BB$8,0))</f>
        <v/>
      </c>
      <c r="J106" s="540" t="str">
        <f>IF(AND(I106&gt;-0.001,I106&lt;0.001),"OK",HLOOKUP(C106,'Calcular Dieta'!$J$8:$BB$43,36,FALSE))</f>
        <v>OK</v>
      </c>
      <c r="K106" s="757" t="str">
        <f t="shared" si="19"/>
        <v>-</v>
      </c>
      <c r="L106" s="91"/>
      <c r="M106" s="91"/>
      <c r="N106" s="91"/>
      <c r="O106" s="91"/>
      <c r="P106" s="91"/>
      <c r="Q106" s="91"/>
    </row>
    <row r="107" spans="1:17" ht="15">
      <c r="A107" s="448"/>
      <c r="B107" s="533" t="str">
        <f t="shared" si="5"/>
        <v>Nutriente Novo 07</v>
      </c>
      <c r="C107" s="534" t="str">
        <f t="shared" si="5"/>
        <v>Novo 07</v>
      </c>
      <c r="D107" s="535" t="str">
        <f t="shared" si="5"/>
        <v>-</v>
      </c>
      <c r="E107" s="536">
        <f t="shared" si="5"/>
        <v>0</v>
      </c>
      <c r="F107" s="537">
        <f t="shared" ref="F107" si="37">F47</f>
        <v>0</v>
      </c>
      <c r="G107" s="536">
        <f>IFERROR(HLOOKUP(C107,'Calcular Dieta'!$J$8:$BB$43,34,FALSE),"-")</f>
        <v>9999999</v>
      </c>
      <c r="H107" s="538" t="str">
        <f>INDEX('Calcular Dieta'!$J$42:$BB$42,,MATCH(Atendimento!C107,'Calcular Dieta'!$J$8:$BB$8,0))</f>
        <v/>
      </c>
      <c r="I107" s="539" t="str">
        <f>INDEX('Calcular Dieta'!$J$42:$BB$42,,MATCH(Atendimento!C107,'Calcular Dieta'!$J$8:$BB$8,0))</f>
        <v/>
      </c>
      <c r="J107" s="540" t="str">
        <f>IF(AND(I107&gt;-0.001,I107&lt;0.001),"OK",HLOOKUP(C107,'Calcular Dieta'!$J$8:$BB$43,36,FALSE))</f>
        <v>OK</v>
      </c>
      <c r="K107" s="757" t="str">
        <f t="shared" si="19"/>
        <v>-</v>
      </c>
      <c r="L107" s="91"/>
      <c r="M107" s="91"/>
      <c r="N107" s="91"/>
      <c r="O107" s="91"/>
      <c r="P107" s="91"/>
      <c r="Q107" s="91"/>
    </row>
    <row r="108" spans="1:17" ht="15">
      <c r="A108" s="448"/>
      <c r="B108" s="533" t="str">
        <f t="shared" si="5"/>
        <v>Nutriente Novo 08</v>
      </c>
      <c r="C108" s="534" t="str">
        <f t="shared" si="5"/>
        <v>Novo 08</v>
      </c>
      <c r="D108" s="535" t="str">
        <f t="shared" si="5"/>
        <v>-</v>
      </c>
      <c r="E108" s="536">
        <f t="shared" si="5"/>
        <v>0</v>
      </c>
      <c r="F108" s="537">
        <f t="shared" ref="F108" si="38">F48</f>
        <v>0</v>
      </c>
      <c r="G108" s="536">
        <f>IFERROR(HLOOKUP(C108,'Calcular Dieta'!$J$8:$BB$43,34,FALSE),"-")</f>
        <v>9999999</v>
      </c>
      <c r="H108" s="538" t="str">
        <f>INDEX('Calcular Dieta'!$J$42:$BB$42,,MATCH(Atendimento!C108,'Calcular Dieta'!$J$8:$BB$8,0))</f>
        <v/>
      </c>
      <c r="I108" s="539" t="str">
        <f>INDEX('Calcular Dieta'!$J$42:$BB$42,,MATCH(Atendimento!C108,'Calcular Dieta'!$J$8:$BB$8,0))</f>
        <v/>
      </c>
      <c r="J108" s="540" t="str">
        <f>IF(AND(I108&gt;-0.001,I108&lt;0.001),"OK",HLOOKUP(C108,'Calcular Dieta'!$J$8:$BB$43,36,FALSE))</f>
        <v>OK</v>
      </c>
      <c r="K108" s="757" t="str">
        <f t="shared" si="19"/>
        <v>-</v>
      </c>
      <c r="L108" s="91"/>
      <c r="M108" s="91"/>
      <c r="N108" s="91"/>
      <c r="O108" s="91"/>
      <c r="P108" s="91"/>
      <c r="Q108" s="91"/>
    </row>
    <row r="109" spans="1:17" ht="15">
      <c r="A109" s="448"/>
      <c r="B109" s="533" t="str">
        <f t="shared" si="5"/>
        <v>Nutriente Novo 09</v>
      </c>
      <c r="C109" s="534" t="str">
        <f t="shared" si="5"/>
        <v>Novo 09</v>
      </c>
      <c r="D109" s="535" t="str">
        <f t="shared" si="5"/>
        <v>-</v>
      </c>
      <c r="E109" s="536">
        <f t="shared" si="5"/>
        <v>0</v>
      </c>
      <c r="F109" s="537">
        <f t="shared" ref="F109" si="39">F49</f>
        <v>0</v>
      </c>
      <c r="G109" s="536">
        <f>IFERROR(HLOOKUP(C109,'Calcular Dieta'!$J$8:$BB$43,34,FALSE),"-")</f>
        <v>9999999</v>
      </c>
      <c r="H109" s="538" t="str">
        <f>INDEX('Calcular Dieta'!$J$42:$BB$42,,MATCH(Atendimento!C109,'Calcular Dieta'!$J$8:$BB$8,0))</f>
        <v/>
      </c>
      <c r="I109" s="539" t="str">
        <f>INDEX('Calcular Dieta'!$J$42:$BB$42,,MATCH(Atendimento!C109,'Calcular Dieta'!$J$8:$BB$8,0))</f>
        <v/>
      </c>
      <c r="J109" s="540" t="str">
        <f>IF(AND(I109&gt;-0.001,I109&lt;0.001),"OK",HLOOKUP(C109,'Calcular Dieta'!$J$8:$BB$43,36,FALSE))</f>
        <v>OK</v>
      </c>
      <c r="K109" s="757" t="str">
        <f t="shared" si="19"/>
        <v>-</v>
      </c>
      <c r="L109" s="91"/>
      <c r="M109" s="91"/>
      <c r="N109" s="91"/>
      <c r="O109" s="91"/>
      <c r="P109" s="91"/>
      <c r="Q109" s="91"/>
    </row>
    <row r="110" spans="1:17" ht="15">
      <c r="A110" s="448"/>
      <c r="B110" s="1417" t="str">
        <f t="shared" si="5"/>
        <v>Volumoso</v>
      </c>
      <c r="C110" s="1418" t="str">
        <f t="shared" si="5"/>
        <v>VOL</v>
      </c>
      <c r="D110" s="1419" t="str">
        <f t="shared" si="5"/>
        <v>Kg</v>
      </c>
      <c r="E110" s="1433">
        <f t="shared" si="5"/>
        <v>0</v>
      </c>
      <c r="F110" s="1423">
        <f t="shared" ref="F110" si="40">F50</f>
        <v>0</v>
      </c>
      <c r="G110" s="1433">
        <f>IFERROR(HLOOKUP(C110,'Calcular Dieta'!$J$8:$BB$43,34,FALSE),"-")</f>
        <v>9999999</v>
      </c>
      <c r="H110" s="1435" t="str">
        <f>INDEX('Calcular Dieta'!$J$42:$BB$42,,MATCH(Atendimento!C110,'Calcular Dieta'!$J$8:$BB$8,0))</f>
        <v/>
      </c>
      <c r="I110" s="1436" t="str">
        <f>INDEX('Calcular Dieta'!$J$42:$BB$42,,MATCH(Atendimento!C110,'Calcular Dieta'!$J$8:$BB$8,0))</f>
        <v/>
      </c>
      <c r="J110" s="1437" t="str">
        <f>IF(AND(I110&gt;-0.001,I110&lt;0.001),"OK",HLOOKUP(C110,'Calcular Dieta'!$J$8:$BB$43,36,FALSE))</f>
        <v>OK</v>
      </c>
      <c r="K110" s="757" t="str">
        <f t="shared" si="19"/>
        <v>-</v>
      </c>
      <c r="L110" s="91"/>
      <c r="M110" s="91"/>
      <c r="N110" s="91"/>
      <c r="O110" s="91"/>
      <c r="P110" s="91"/>
      <c r="Q110" s="91"/>
    </row>
    <row r="111" spans="1:17" ht="15.75" thickBot="1">
      <c r="A111" s="448"/>
      <c r="B111" s="1420" t="str">
        <f t="shared" si="5"/>
        <v>Concentrado</v>
      </c>
      <c r="C111" s="1421" t="str">
        <f t="shared" si="5"/>
        <v>CONC</v>
      </c>
      <c r="D111" s="1422" t="str">
        <f t="shared" si="5"/>
        <v>Kg</v>
      </c>
      <c r="E111" s="1434">
        <f t="shared" si="5"/>
        <v>0</v>
      </c>
      <c r="F111" s="1424">
        <f t="shared" ref="F111" si="41">F51</f>
        <v>0.99216764145481651</v>
      </c>
      <c r="G111" s="1434">
        <f>IFERROR(HLOOKUP(C111,'Calcular Dieta'!$J$8:$BB$43,34,FALSE),"-")</f>
        <v>9999999</v>
      </c>
      <c r="H111" s="1438" t="str">
        <f>INDEX('Calcular Dieta'!$J$42:$BB$42,,MATCH(Atendimento!C111,'Calcular Dieta'!$J$8:$BB$8,0))</f>
        <v/>
      </c>
      <c r="I111" s="1439" t="str">
        <f>INDEX('Calcular Dieta'!$J$42:$BB$42,,MATCH(Atendimento!C111,'Calcular Dieta'!$J$8:$BB$8,0))</f>
        <v/>
      </c>
      <c r="J111" s="1440" t="str">
        <f>IF(AND(I111&gt;-0.001,I111&lt;0.001),"OK",HLOOKUP(C111,'Calcular Dieta'!$J$8:$BB$43,36,FALSE))</f>
        <v>OK</v>
      </c>
      <c r="K111" s="757" t="str">
        <f t="shared" si="19"/>
        <v>-</v>
      </c>
      <c r="L111" s="91"/>
      <c r="M111" s="91"/>
      <c r="N111" s="91"/>
      <c r="O111" s="91"/>
      <c r="P111" s="91"/>
      <c r="Q111" s="91"/>
    </row>
    <row r="112" spans="1:17" ht="15" thickBot="1">
      <c r="A112" s="448"/>
      <c r="B112" s="448"/>
      <c r="C112" s="448"/>
      <c r="D112" s="448"/>
      <c r="E112" s="448"/>
      <c r="F112" s="448"/>
      <c r="G112" s="448"/>
      <c r="H112" s="448"/>
      <c r="I112" s="448"/>
      <c r="J112" s="448"/>
      <c r="K112" s="758"/>
      <c r="L112" s="91"/>
      <c r="M112" s="91"/>
      <c r="N112" s="91"/>
      <c r="O112" s="91"/>
      <c r="P112" s="91"/>
      <c r="Q112" s="91"/>
    </row>
    <row r="113" spans="1:17">
      <c r="A113" s="448"/>
      <c r="B113" s="714"/>
      <c r="C113" s="703"/>
      <c r="D113" s="703"/>
      <c r="E113" s="703"/>
      <c r="F113" s="703"/>
      <c r="G113" s="703"/>
      <c r="H113" s="703"/>
      <c r="I113" s="703"/>
      <c r="J113" s="704"/>
      <c r="K113" s="758"/>
      <c r="L113" s="91"/>
      <c r="M113" s="91"/>
      <c r="N113" s="91"/>
      <c r="O113" s="91"/>
      <c r="P113" s="91"/>
      <c r="Q113" s="91"/>
    </row>
    <row r="114" spans="1:17">
      <c r="A114" s="448"/>
      <c r="B114" s="706"/>
      <c r="C114" s="707"/>
      <c r="D114" s="707"/>
      <c r="E114" s="707"/>
      <c r="F114" s="707"/>
      <c r="G114" s="2192">
        <f ca="1">TODAY()</f>
        <v>45298</v>
      </c>
      <c r="H114" s="2192"/>
      <c r="I114" s="2192"/>
      <c r="J114" s="2193"/>
      <c r="K114" s="758"/>
      <c r="L114" s="91"/>
      <c r="M114" s="91"/>
      <c r="N114" s="91"/>
      <c r="O114" s="91"/>
      <c r="P114" s="91"/>
      <c r="Q114" s="91"/>
    </row>
    <row r="115" spans="1:17">
      <c r="A115" s="448"/>
      <c r="B115" s="706"/>
      <c r="C115" s="707"/>
      <c r="D115" s="707"/>
      <c r="E115" s="707"/>
      <c r="F115" s="707"/>
      <c r="G115" s="707"/>
      <c r="H115" s="707"/>
      <c r="I115" s="707"/>
      <c r="J115" s="708"/>
      <c r="K115" s="758"/>
      <c r="L115" s="91"/>
      <c r="M115" s="91"/>
      <c r="N115" s="91"/>
      <c r="O115" s="91"/>
      <c r="P115" s="91"/>
      <c r="Q115" s="91"/>
    </row>
    <row r="116" spans="1:17">
      <c r="A116" s="448"/>
      <c r="B116" s="706"/>
      <c r="C116" s="707"/>
      <c r="D116" s="707"/>
      <c r="E116" s="707"/>
      <c r="F116" s="707"/>
      <c r="G116" s="707"/>
      <c r="H116" s="707"/>
      <c r="I116" s="707"/>
      <c r="J116" s="708"/>
      <c r="K116" s="758"/>
      <c r="L116" s="91"/>
      <c r="M116" s="91"/>
      <c r="N116" s="91"/>
      <c r="O116" s="91"/>
      <c r="P116" s="91"/>
      <c r="Q116" s="91"/>
    </row>
    <row r="117" spans="1:17">
      <c r="A117" s="448"/>
      <c r="B117" s="2194" t="s">
        <v>860</v>
      </c>
      <c r="C117" s="2195"/>
      <c r="D117" s="2195"/>
      <c r="E117" s="2195"/>
      <c r="F117" s="2195"/>
      <c r="G117" s="2195"/>
      <c r="H117" s="2195"/>
      <c r="I117" s="2195"/>
      <c r="J117" s="2196"/>
      <c r="K117" s="758"/>
      <c r="L117" s="91"/>
      <c r="M117" s="91"/>
      <c r="N117" s="91"/>
      <c r="O117" s="91"/>
      <c r="P117" s="91"/>
      <c r="Q117" s="91"/>
    </row>
    <row r="118" spans="1:17">
      <c r="A118" s="448"/>
      <c r="B118" s="2197" t="str">
        <f>Usuário</f>
        <v>Iomar Bezerra da Silva</v>
      </c>
      <c r="C118" s="2198"/>
      <c r="D118" s="2198"/>
      <c r="E118" s="2198"/>
      <c r="F118" s="2198"/>
      <c r="G118" s="2198"/>
      <c r="H118" s="2198"/>
      <c r="I118" s="2198"/>
      <c r="J118" s="2199"/>
      <c r="K118" s="758"/>
      <c r="L118" s="91"/>
      <c r="M118" s="91"/>
      <c r="N118" s="91"/>
      <c r="O118" s="91"/>
      <c r="P118" s="91"/>
      <c r="Q118" s="91"/>
    </row>
    <row r="119" spans="1:17">
      <c r="A119" s="448"/>
      <c r="B119" s="2194" t="str">
        <f>Profissão</f>
        <v>Técnico</v>
      </c>
      <c r="C119" s="2195"/>
      <c r="D119" s="2195"/>
      <c r="E119" s="2195"/>
      <c r="F119" s="2195"/>
      <c r="G119" s="2195"/>
      <c r="H119" s="2195"/>
      <c r="I119" s="2195"/>
      <c r="J119" s="2196"/>
      <c r="K119" s="758"/>
      <c r="L119" s="91"/>
      <c r="M119" s="91"/>
      <c r="N119" s="91"/>
      <c r="O119" s="91"/>
      <c r="P119" s="91"/>
      <c r="Q119" s="91"/>
    </row>
    <row r="120" spans="1:17">
      <c r="A120" s="448"/>
      <c r="B120" s="2189" t="str">
        <f>RGProfissional</f>
        <v>MA-00259-ZP</v>
      </c>
      <c r="C120" s="2190"/>
      <c r="D120" s="2190"/>
      <c r="E120" s="2190"/>
      <c r="F120" s="2190"/>
      <c r="G120" s="2190"/>
      <c r="H120" s="2190"/>
      <c r="I120" s="2190"/>
      <c r="J120" s="2191"/>
      <c r="K120" s="758"/>
      <c r="L120" s="91"/>
      <c r="M120" s="91"/>
      <c r="N120" s="91"/>
      <c r="O120" s="91"/>
      <c r="P120" s="91"/>
      <c r="Q120" s="91"/>
    </row>
    <row r="121" spans="1:17" ht="15" thickBot="1">
      <c r="A121" s="448"/>
      <c r="B121" s="710"/>
      <c r="C121" s="711"/>
      <c r="D121" s="711"/>
      <c r="E121" s="711"/>
      <c r="F121" s="711"/>
      <c r="G121" s="711"/>
      <c r="H121" s="711"/>
      <c r="I121" s="711"/>
      <c r="J121" s="712"/>
      <c r="K121" s="758"/>
      <c r="L121" s="91"/>
      <c r="M121" s="91"/>
      <c r="N121" s="91"/>
      <c r="O121" s="91"/>
      <c r="P121" s="91"/>
      <c r="Q121" s="91"/>
    </row>
    <row r="122" spans="1:17" ht="8.25" customHeight="1">
      <c r="A122" s="448"/>
      <c r="B122" s="448"/>
      <c r="C122" s="448"/>
      <c r="D122" s="448"/>
      <c r="E122" s="448"/>
      <c r="F122" s="448"/>
      <c r="G122" s="448"/>
      <c r="H122" s="448"/>
      <c r="I122" s="448"/>
      <c r="J122" s="448"/>
      <c r="K122" s="758"/>
      <c r="L122" s="91"/>
      <c r="M122" s="91"/>
      <c r="N122" s="91"/>
      <c r="O122" s="91"/>
      <c r="P122" s="91"/>
      <c r="Q122" s="91"/>
    </row>
    <row r="123" spans="1:17" ht="7.5" customHeight="1">
      <c r="A123" s="448"/>
      <c r="B123" s="448"/>
      <c r="C123" s="448"/>
      <c r="D123" s="448"/>
      <c r="E123" s="448"/>
      <c r="F123" s="448"/>
      <c r="G123" s="448"/>
      <c r="H123" s="448"/>
      <c r="I123" s="448"/>
      <c r="J123" s="448"/>
      <c r="K123" s="91"/>
      <c r="L123" s="91"/>
      <c r="M123" s="91"/>
      <c r="N123" s="91"/>
      <c r="O123" s="91"/>
      <c r="P123" s="91"/>
      <c r="Q123" s="91"/>
    </row>
    <row r="124" spans="1:17">
      <c r="A124" s="4"/>
      <c r="B124" s="4"/>
      <c r="C124" s="4"/>
      <c r="D124" s="4"/>
      <c r="E124" s="4"/>
      <c r="F124" s="4"/>
      <c r="G124" s="4"/>
      <c r="H124" s="4"/>
      <c r="I124" s="4"/>
      <c r="J124" s="4"/>
      <c r="L124"/>
      <c r="M124"/>
    </row>
    <row r="125" spans="1:17">
      <c r="B125"/>
      <c r="C125"/>
      <c r="D125"/>
      <c r="L125"/>
      <c r="M125"/>
    </row>
    <row r="126" spans="1:17">
      <c r="B126"/>
      <c r="C126"/>
      <c r="D126"/>
      <c r="L126"/>
      <c r="M126"/>
    </row>
    <row r="127" spans="1:17">
      <c r="B127"/>
      <c r="C127"/>
      <c r="D127"/>
      <c r="L127"/>
      <c r="M127"/>
    </row>
    <row r="128" spans="1:17">
      <c r="B128"/>
      <c r="C128"/>
      <c r="D128"/>
      <c r="L128"/>
      <c r="M128"/>
    </row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</sheetData>
  <autoFilter ref="B6:J51" xr:uid="{88508219-5D44-450A-B7B5-B9C5AE11F252}"/>
  <mergeCells count="15">
    <mergeCell ref="N6:P6"/>
    <mergeCell ref="N4:P4"/>
    <mergeCell ref="N2:P2"/>
    <mergeCell ref="B2:J2"/>
    <mergeCell ref="B4:J4"/>
    <mergeCell ref="B120:J120"/>
    <mergeCell ref="G54:J54"/>
    <mergeCell ref="G114:J114"/>
    <mergeCell ref="B117:J117"/>
    <mergeCell ref="B118:J118"/>
    <mergeCell ref="B119:J119"/>
    <mergeCell ref="B58:J58"/>
    <mergeCell ref="B59:J59"/>
    <mergeCell ref="B60:J60"/>
    <mergeCell ref="B57:J57"/>
  </mergeCells>
  <phoneticPr fontId="14" type="noConversion"/>
  <conditionalFormatting sqref="B7:J49">
    <cfRule type="expression" dxfId="9" priority="6">
      <formula>IF($H7&lt;-0.001,TRUE,FALSE)</formula>
    </cfRule>
    <cfRule type="expression" dxfId="8" priority="7">
      <formula>IF($H7&gt;0.001,TRUE,FALSE)</formula>
    </cfRule>
  </conditionalFormatting>
  <conditionalFormatting sqref="B67:J109">
    <cfRule type="expression" dxfId="7" priority="3">
      <formula>IF($H67&lt;-0.001,TRUE,FALSE)</formula>
    </cfRule>
    <cfRule type="expression" dxfId="6" priority="4">
      <formula>IF($H67&gt;0.001,TRUE,FALSE)</formula>
    </cfRule>
  </conditionalFormatting>
  <printOptions horizontalCentered="1"/>
  <pageMargins left="0.23622047244094491" right="0.23622047244094491" top="0.62992125984251968" bottom="0.35433070866141736" header="0.31496062992125984" footer="0.31496062992125984"/>
  <pageSetup paperSize="9" scale="71" fitToHeight="0" orientation="portrait" r:id="rId1"/>
  <headerFooter>
    <oddHeader>&amp;C&amp;"Arial,Negrito"&amp;12&amp;K00-048PROGRAMA DE FORMULAÇÃO DE DIETAS PARA RUMINANTES</oddHeader>
    <oddFooter>&amp;CBy Iomar Bezerra da Silva</oddFooter>
  </headerFooter>
  <rowBreaks count="1" manualBreakCount="1">
    <brk id="62" max="10" man="1"/>
  </rowBreaks>
  <colBreaks count="1" manualBreakCount="1">
    <brk id="1" max="12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Spinner 3">
              <controlPr defaultSize="0" autoPict="0">
                <anchor moveWithCells="1" sizeWithCells="1">
                  <from>
                    <xdr:col>13</xdr:col>
                    <xdr:colOff>9525</xdr:colOff>
                    <xdr:row>5</xdr:row>
                    <xdr:rowOff>9525</xdr:rowOff>
                  </from>
                  <to>
                    <xdr:col>13</xdr:col>
                    <xdr:colOff>276225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D68D2D8D-E76A-4949-8181-90D3F0837427}">
            <x14:iconSet iconSet="3Arrows" showValue="0" custom="1">
              <x14:cfvo type="percent">
                <xm:f>0</xm:f>
              </x14:cfvo>
              <x14:cfvo type="num">
                <xm:f>-1E-3</xm:f>
              </x14:cfvo>
              <x14:cfvo type="num" gte="0">
                <xm:f>1E-3</xm:f>
              </x14:cfvo>
              <x14:cfIcon iconSet="3Arrows" iconId="0"/>
              <x14:cfIcon iconSet="NoIcons" iconId="0"/>
              <x14:cfIcon iconSet="3Arrows" iconId="2"/>
            </x14:iconSet>
          </x14:cfRule>
          <xm:sqref>H7:H51</xm:sqref>
        </x14:conditionalFormatting>
        <x14:conditionalFormatting xmlns:xm="http://schemas.microsoft.com/office/excel/2006/main">
          <x14:cfRule type="iconSet" priority="5" id="{6ADD58D1-741D-4D8B-AC52-65146BA02654}">
            <x14:iconSet iconSet="3Arrows" showValue="0" custom="1">
              <x14:cfvo type="percent">
                <xm:f>0</xm:f>
              </x14:cfvo>
              <x14:cfvo type="num">
                <xm:f>-1E-3</xm:f>
              </x14:cfvo>
              <x14:cfvo type="num" gte="0">
                <xm:f>1E-3</xm:f>
              </x14:cfvo>
              <x14:cfIcon iconSet="3Arrows" iconId="0"/>
              <x14:cfIcon iconSet="NoIcons" iconId="0"/>
              <x14:cfIcon iconSet="3Arrows" iconId="2"/>
            </x14:iconSet>
          </x14:cfRule>
          <xm:sqref>H67:H111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D6EDD-A67F-4A7B-B737-24A1F18034F9}">
  <sheetPr codeName="Planilha15">
    <tabColor rgb="FF00B0F0"/>
    <pageSetUpPr fitToPage="1"/>
  </sheetPr>
  <dimension ref="A1:N166"/>
  <sheetViews>
    <sheetView showGridLines="0" showRowColHeaders="0" showZeros="0" zoomScaleNormal="100" zoomScalePageLayoutView="86" workbookViewId="0">
      <pane ySplit="1" topLeftCell="A2" activePane="bottomLeft" state="frozen"/>
      <selection activeCell="G2" sqref="G2"/>
      <selection pane="bottomLeft" activeCell="B151" sqref="B151:M151"/>
    </sheetView>
  </sheetViews>
  <sheetFormatPr defaultColWidth="0" defaultRowHeight="14.25"/>
  <cols>
    <col min="1" max="1" width="2" customWidth="1"/>
    <col min="2" max="2" width="34.125" bestFit="1" customWidth="1"/>
    <col min="3" max="3" width="11.75" customWidth="1"/>
    <col min="4" max="4" width="12.75" customWidth="1"/>
    <col min="5" max="5" width="12" customWidth="1"/>
    <col min="6" max="6" width="13.25" bestFit="1" customWidth="1"/>
    <col min="7" max="7" width="1.25" customWidth="1"/>
    <col min="8" max="8" width="11" customWidth="1"/>
    <col min="9" max="9" width="12.625" customWidth="1"/>
    <col min="10" max="10" width="14.875" customWidth="1"/>
    <col min="11" max="11" width="13.125" customWidth="1"/>
    <col min="12" max="12" width="15.5" customWidth="1"/>
    <col min="13" max="13" width="10.625" customWidth="1"/>
    <col min="14" max="14" width="2.125" customWidth="1"/>
    <col min="15" max="16384" width="9" hidden="1"/>
  </cols>
  <sheetData>
    <row r="1" spans="1:14" ht="48.75" customHeight="1" thickBot="1">
      <c r="A1" s="628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21.75" customHeight="1" thickBot="1">
      <c r="A2" s="628"/>
      <c r="B2" s="624"/>
      <c r="C2" s="623" t="s">
        <v>782</v>
      </c>
      <c r="D2" s="2220"/>
      <c r="E2" s="2220"/>
      <c r="F2" s="2220"/>
      <c r="G2" s="2220"/>
      <c r="H2" s="2220"/>
      <c r="I2" s="2220"/>
      <c r="J2" s="2220"/>
      <c r="K2" s="1604"/>
      <c r="L2" s="2218"/>
      <c r="M2" s="2219"/>
      <c r="N2" s="1"/>
    </row>
    <row r="3" spans="1:14" ht="24" customHeight="1" thickBot="1">
      <c r="A3" s="1305">
        <f>IF(AND(K3&gt;0,K4&gt;0),0,K3)</f>
        <v>220</v>
      </c>
      <c r="B3" s="52"/>
      <c r="C3" s="53" t="s">
        <v>72</v>
      </c>
      <c r="D3" s="600">
        <v>100</v>
      </c>
      <c r="E3" s="1"/>
      <c r="F3" s="1"/>
      <c r="G3" s="1"/>
      <c r="H3" s="601" t="s">
        <v>639</v>
      </c>
      <c r="I3" s="601"/>
      <c r="J3" s="602"/>
      <c r="K3" s="603">
        <v>220</v>
      </c>
      <c r="L3" s="691" t="s">
        <v>847</v>
      </c>
      <c r="M3" s="1"/>
      <c r="N3" s="1"/>
    </row>
    <row r="4" spans="1:14" ht="24" customHeight="1" thickBot="1">
      <c r="A4" s="1305">
        <f>IF(AND(K3&gt;0,K4&gt;0),0,K4)</f>
        <v>0</v>
      </c>
      <c r="B4" s="52"/>
      <c r="C4" s="53" t="s">
        <v>783</v>
      </c>
      <c r="D4" s="85">
        <v>90</v>
      </c>
      <c r="E4" s="1"/>
      <c r="F4" s="1"/>
      <c r="G4" s="1"/>
      <c r="H4" s="52" t="s">
        <v>647</v>
      </c>
      <c r="I4" s="52"/>
      <c r="J4" s="53"/>
      <c r="K4" s="254">
        <v>0</v>
      </c>
      <c r="L4" s="692" t="s">
        <v>848</v>
      </c>
      <c r="M4" s="1"/>
      <c r="N4" s="1"/>
    </row>
    <row r="5" spans="1:14" ht="19.5" customHeight="1" thickBot="1">
      <c r="A5" s="1"/>
      <c r="B5" s="732" t="str">
        <f ca="1">IF(D2="",TEXT(TODAY(),"AAMMDD")&amp;TEXT(NOW(),"hhmmss")&amp;" Ficha de Mistura "&amp;Batida!I3,TEXT(TODAY(),"AAMMDD")&amp;TEXT(NOW(),"hhmmss")&amp;" Ficha de Mistura "&amp;D2)</f>
        <v>240107120423 Ficha de Mistura Suplemento  Mineral</v>
      </c>
      <c r="C5" s="1"/>
      <c r="D5" s="1"/>
      <c r="E5" s="1"/>
      <c r="F5" s="1"/>
      <c r="G5" s="1"/>
      <c r="H5" s="1"/>
      <c r="I5" s="1"/>
      <c r="J5" s="1"/>
      <c r="K5" s="1"/>
      <c r="L5" s="259" t="str">
        <f>IFERROR(INDEX(Clientes!E6:E205,MATCH(D2,Clientes!C6:C205,0)),"Contato não cadastro")</f>
        <v>Contato não cadastro</v>
      </c>
      <c r="M5" s="259">
        <f>LEN(L5)</f>
        <v>20</v>
      </c>
      <c r="N5" s="1"/>
    </row>
    <row r="6" spans="1:14" ht="24" customHeight="1" thickTop="1" thickBot="1">
      <c r="A6" s="1"/>
      <c r="B6" s="1568" t="str">
        <f>"Exigência: "&amp;Batida!I3</f>
        <v>Exigência: Suplemento  Mineral</v>
      </c>
      <c r="C6" s="1569"/>
      <c r="D6" s="1569"/>
      <c r="E6" s="1569"/>
      <c r="F6" s="1569"/>
      <c r="G6" s="1569"/>
      <c r="H6" s="1569"/>
      <c r="I6" s="1569"/>
      <c r="J6" s="1569"/>
      <c r="K6" s="1569"/>
      <c r="L6" s="1570"/>
      <c r="M6" s="1570"/>
      <c r="N6" s="1"/>
    </row>
    <row r="7" spans="1:14" ht="5.25" customHeight="1" thickTop="1" thickBo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ht="18.75" customHeight="1">
      <c r="A8" s="257"/>
      <c r="B8" s="2223" t="s">
        <v>859</v>
      </c>
      <c r="C8" s="2224"/>
      <c r="D8" s="2224"/>
      <c r="E8" s="2224"/>
      <c r="F8" s="2225"/>
      <c r="G8" s="1"/>
      <c r="H8" s="2229" t="str">
        <f>IF(D4=0,"Favor informar o número de dia(s) para a alimentação",IF(D3=0,"Favor, informe quantidade de animais",IF($D$3&gt;1,"Dieta Total para "&amp;D3&amp;" Animais","Dieta total para 1 animal"))&amp;" por "&amp;D4&amp;" dia(s)")</f>
        <v>Dieta Total para 100 Animais por 90 dia(s)</v>
      </c>
      <c r="I8" s="2230"/>
      <c r="J8" s="2230"/>
      <c r="K8" s="2230"/>
      <c r="L8" s="2230"/>
      <c r="M8" s="2230"/>
      <c r="N8" s="1"/>
    </row>
    <row r="9" spans="1:14" ht="25.5" customHeight="1">
      <c r="A9" s="257"/>
      <c r="B9" s="1571" t="s">
        <v>74</v>
      </c>
      <c r="C9" s="1571" t="s">
        <v>70</v>
      </c>
      <c r="D9" s="1571" t="s">
        <v>71</v>
      </c>
      <c r="E9" s="1572" t="s">
        <v>73</v>
      </c>
      <c r="F9" s="1571" t="s">
        <v>64</v>
      </c>
      <c r="G9" s="1"/>
      <c r="H9" s="1573" t="s">
        <v>77</v>
      </c>
      <c r="I9" s="1571" t="s">
        <v>78</v>
      </c>
      <c r="J9" s="1571" t="s">
        <v>79</v>
      </c>
      <c r="K9" s="1571" t="s">
        <v>73</v>
      </c>
      <c r="L9" s="1571" t="s">
        <v>64</v>
      </c>
      <c r="M9" s="1571" t="s">
        <v>322</v>
      </c>
      <c r="N9" s="1"/>
    </row>
    <row r="10" spans="1:14" ht="15">
      <c r="A10" s="257"/>
      <c r="B10" s="27" t="str">
        <f>MPR!J5</f>
        <v>Fosfato Bicálcico</v>
      </c>
      <c r="C10" s="39">
        <f>MPR!K5</f>
        <v>0.45378000742781605</v>
      </c>
      <c r="D10" s="30">
        <f>IFERROR(C10*1000,"")</f>
        <v>453.78000742781603</v>
      </c>
      <c r="E10" s="31">
        <f>IFERROR(IF(B10="","",ROUND(MPR!L5,2)),"")</f>
        <v>1</v>
      </c>
      <c r="F10" s="25">
        <f>IFERROR(C10*E10,"")</f>
        <v>0.45378000742781605</v>
      </c>
      <c r="G10" s="1"/>
      <c r="H10" s="38">
        <f>IF(I10="","",I10/1000)</f>
        <v>4.0840200668503446</v>
      </c>
      <c r="I10" s="28">
        <f t="shared" ref="I10:I34" si="0">IF(C10="","",C10*$D$4*$D$3)</f>
        <v>4084.0200668503444</v>
      </c>
      <c r="J10" s="29">
        <f>IF(I10="","",I10*1000)</f>
        <v>4084020.0668503442</v>
      </c>
      <c r="K10" s="31">
        <f>IFERROR(E10,"")</f>
        <v>1</v>
      </c>
      <c r="L10" s="25">
        <f>IFERROR(I10*E10,"")</f>
        <v>4084.0200668503444</v>
      </c>
      <c r="M10" s="95">
        <f>IFERROR(I10/I$36*100,"")</f>
        <v>45.378003429106016</v>
      </c>
      <c r="N10" s="1"/>
    </row>
    <row r="11" spans="1:14" ht="15">
      <c r="A11" s="257"/>
      <c r="B11" s="27" t="str">
        <f>MPR!J6</f>
        <v>Cloreto de Potássio</v>
      </c>
      <c r="C11" s="39">
        <f>MPR!K6</f>
        <v>0.27925956377726013</v>
      </c>
      <c r="D11" s="30">
        <f t="shared" ref="D11:D34" si="1">IFERROR(C11*1000,"")</f>
        <v>279.25956377726015</v>
      </c>
      <c r="E11" s="31">
        <f>IFERROR(IF(B11="","",ROUND(MPR!L6,2)),"")</f>
        <v>1</v>
      </c>
      <c r="F11" s="25">
        <f t="shared" ref="F11:F34" si="2">IFERROR(C11*E11,"")</f>
        <v>0.27925956377726013</v>
      </c>
      <c r="G11" s="1"/>
      <c r="H11" s="38">
        <f t="shared" ref="H11:H34" si="3">IF(I11="","",I11/1000)</f>
        <v>2.5133360739953408</v>
      </c>
      <c r="I11" s="28">
        <f t="shared" si="0"/>
        <v>2513.3360739953409</v>
      </c>
      <c r="J11" s="29">
        <f t="shared" ref="J11:J34" si="4">IF(I11="","",I11*1000)</f>
        <v>2513336.0739953411</v>
      </c>
      <c r="K11" s="31">
        <f t="shared" ref="K11:K34" si="5">IFERROR(E11,"")</f>
        <v>1</v>
      </c>
      <c r="L11" s="25">
        <f t="shared" ref="L11:L34" si="6">IFERROR(I11*E11,"")</f>
        <v>2513.3360739953409</v>
      </c>
      <c r="M11" s="95">
        <f t="shared" ref="M11:M34" si="7">IFERROR(I11/I$36*100,"")</f>
        <v>27.925958030909868</v>
      </c>
      <c r="N11" s="1"/>
    </row>
    <row r="12" spans="1:14" ht="15">
      <c r="A12" s="257"/>
      <c r="B12" s="27" t="str">
        <f>MPR!J7</f>
        <v>Sal Comum (NaCl)</v>
      </c>
      <c r="C12" s="39">
        <f>MPR!K7</f>
        <v>0.12001638460773538</v>
      </c>
      <c r="D12" s="30">
        <f t="shared" si="1"/>
        <v>120.01638460773538</v>
      </c>
      <c r="E12" s="31">
        <f>IFERROR(IF(B12="","",ROUND(MPR!L7,2)),"")</f>
        <v>1.5</v>
      </c>
      <c r="F12" s="25">
        <f t="shared" si="2"/>
        <v>0.18002457691160306</v>
      </c>
      <c r="G12" s="1"/>
      <c r="H12" s="38">
        <f t="shared" si="3"/>
        <v>1.0801474614696185</v>
      </c>
      <c r="I12" s="28">
        <f>IF(C12="","",C12*$D$4*$D$3)</f>
        <v>1080.1474614696185</v>
      </c>
      <c r="J12" s="29">
        <f t="shared" si="4"/>
        <v>1080147.4614696186</v>
      </c>
      <c r="K12" s="31">
        <f t="shared" si="5"/>
        <v>1.5</v>
      </c>
      <c r="L12" s="25">
        <f t="shared" si="6"/>
        <v>1620.2211922044278</v>
      </c>
      <c r="M12" s="95">
        <f>IFERROR(I12/I$36*100,"")</f>
        <v>12.001639171256457</v>
      </c>
      <c r="N12" s="1"/>
    </row>
    <row r="13" spans="1:14" ht="15">
      <c r="A13" s="257"/>
      <c r="B13" s="27" t="str">
        <f>MPR!J8</f>
        <v>Sulfato Magnésio</v>
      </c>
      <c r="C13" s="39">
        <f>MPR!K8</f>
        <v>5.6813469403672372E-2</v>
      </c>
      <c r="D13" s="30">
        <f>IFERROR(C13*1000,"")</f>
        <v>56.813469403672372</v>
      </c>
      <c r="E13" s="31">
        <f>IFERROR(IF(B13="","",ROUND(MPR!L8,2)),"")</f>
        <v>1</v>
      </c>
      <c r="F13" s="25">
        <f t="shared" si="2"/>
        <v>5.6813469403672372E-2</v>
      </c>
      <c r="G13" s="1"/>
      <c r="H13" s="38">
        <f t="shared" si="3"/>
        <v>0.5113212246330513</v>
      </c>
      <c r="I13" s="28">
        <f t="shared" si="0"/>
        <v>511.32122463305132</v>
      </c>
      <c r="J13" s="29">
        <f t="shared" si="4"/>
        <v>511321.22463305132</v>
      </c>
      <c r="K13" s="31">
        <f t="shared" si="5"/>
        <v>1</v>
      </c>
      <c r="L13" s="25">
        <f t="shared" si="6"/>
        <v>511.32122463305132</v>
      </c>
      <c r="M13" s="95">
        <f>IFERROR(I13/I$36*100,"")</f>
        <v>5.6813472766963109</v>
      </c>
      <c r="N13" s="1"/>
    </row>
    <row r="14" spans="1:14" ht="15">
      <c r="A14" s="257"/>
      <c r="B14" s="27" t="str">
        <f>MPR!J9</f>
        <v>Óxido de Magnésio</v>
      </c>
      <c r="C14" s="39">
        <f>MPR!K9</f>
        <v>4.4841144671800025E-2</v>
      </c>
      <c r="D14" s="30">
        <f t="shared" si="1"/>
        <v>44.841144671800024</v>
      </c>
      <c r="E14" s="31">
        <f>IFERROR(IF(B14="","",ROUND(MPR!L9,2)),"")</f>
        <v>1</v>
      </c>
      <c r="F14" s="25">
        <f t="shared" si="2"/>
        <v>4.4841144671800025E-2</v>
      </c>
      <c r="G14" s="1"/>
      <c r="H14" s="38">
        <f t="shared" si="3"/>
        <v>0.40357030204620026</v>
      </c>
      <c r="I14" s="28">
        <f t="shared" si="0"/>
        <v>403.57030204620025</v>
      </c>
      <c r="J14" s="29">
        <f t="shared" si="4"/>
        <v>403570.30204620026</v>
      </c>
      <c r="K14" s="31">
        <f t="shared" si="5"/>
        <v>1</v>
      </c>
      <c r="L14" s="25">
        <f t="shared" si="6"/>
        <v>403.57030204620025</v>
      </c>
      <c r="M14" s="95">
        <f t="shared" si="7"/>
        <v>4.4841147326343185</v>
      </c>
      <c r="N14" s="1"/>
    </row>
    <row r="15" spans="1:14" ht="15">
      <c r="A15" s="257"/>
      <c r="B15" s="27" t="str">
        <f>MPR!J10</f>
        <v xml:space="preserve">Flor de S </v>
      </c>
      <c r="C15" s="39">
        <f>MPR!K10</f>
        <v>3.7039948276730156E-2</v>
      </c>
      <c r="D15" s="30">
        <f t="shared" si="1"/>
        <v>37.039948276730158</v>
      </c>
      <c r="E15" s="31">
        <f>IFERROR(IF(B15="","",ROUND(MPR!L10,2)),"")</f>
        <v>1</v>
      </c>
      <c r="F15" s="25">
        <f t="shared" si="2"/>
        <v>3.7039948276730156E-2</v>
      </c>
      <c r="G15" s="1"/>
      <c r="H15" s="38">
        <f t="shared" si="3"/>
        <v>0.33335953449057143</v>
      </c>
      <c r="I15" s="28">
        <f t="shared" si="0"/>
        <v>333.35953449057143</v>
      </c>
      <c r="J15" s="29">
        <f t="shared" si="4"/>
        <v>333359.53449057142</v>
      </c>
      <c r="K15" s="31">
        <f t="shared" si="5"/>
        <v>1</v>
      </c>
      <c r="L15" s="25">
        <f t="shared" si="6"/>
        <v>333.35953449057143</v>
      </c>
      <c r="M15" s="95">
        <f t="shared" si="7"/>
        <v>3.7039950469451646</v>
      </c>
      <c r="N15" s="1"/>
    </row>
    <row r="16" spans="1:14" ht="15">
      <c r="A16" s="257"/>
      <c r="B16" s="27" t="str">
        <f>MPR!J11</f>
        <v>Sulfato de Zinco</v>
      </c>
      <c r="C16" s="39">
        <f>MPR!K11</f>
        <v>5.1306038761938788E-3</v>
      </c>
      <c r="D16" s="30">
        <f t="shared" si="1"/>
        <v>5.130603876193879</v>
      </c>
      <c r="E16" s="31">
        <f>IFERROR(IF(B16="","",ROUND(MPR!L11,2)),"")</f>
        <v>1</v>
      </c>
      <c r="F16" s="25">
        <f t="shared" si="2"/>
        <v>5.1306038761938788E-3</v>
      </c>
      <c r="G16" s="1"/>
      <c r="H16" s="38">
        <f t="shared" si="3"/>
        <v>4.6175434885744909E-2</v>
      </c>
      <c r="I16" s="28">
        <f t="shared" si="0"/>
        <v>46.175434885744906</v>
      </c>
      <c r="J16" s="29">
        <f t="shared" si="4"/>
        <v>46175.434885744908</v>
      </c>
      <c r="K16" s="31">
        <f t="shared" si="5"/>
        <v>1</v>
      </c>
      <c r="L16" s="25">
        <f t="shared" si="6"/>
        <v>46.175434885744906</v>
      </c>
      <c r="M16" s="95">
        <f t="shared" si="7"/>
        <v>0.51306041799196089</v>
      </c>
      <c r="N16" s="1"/>
    </row>
    <row r="17" spans="1:14" ht="15">
      <c r="A17" s="257"/>
      <c r="B17" s="27" t="str">
        <f>MPR!J12</f>
        <v>Sulfato de Manganês</v>
      </c>
      <c r="C17" s="39">
        <f>MPR!K12</f>
        <v>1.5413975575876851E-3</v>
      </c>
      <c r="D17" s="30">
        <f t="shared" si="1"/>
        <v>1.541397557587685</v>
      </c>
      <c r="E17" s="31">
        <f>IFERROR(IF(B17="","",ROUND(MPR!L12,2)),"")</f>
        <v>1</v>
      </c>
      <c r="F17" s="25">
        <f t="shared" si="2"/>
        <v>1.5413975575876851E-3</v>
      </c>
      <c r="G17" s="1"/>
      <c r="H17" s="38">
        <f t="shared" si="3"/>
        <v>1.3872578018289167E-2</v>
      </c>
      <c r="I17" s="28">
        <f t="shared" si="0"/>
        <v>13.872578018289166</v>
      </c>
      <c r="J17" s="29">
        <f t="shared" si="4"/>
        <v>13872.578018289167</v>
      </c>
      <c r="K17" s="31">
        <f t="shared" si="5"/>
        <v>1</v>
      </c>
      <c r="L17" s="25">
        <f t="shared" si="6"/>
        <v>13.872578018289166</v>
      </c>
      <c r="M17" s="95">
        <f t="shared" si="7"/>
        <v>0.15413976488366124</v>
      </c>
      <c r="N17" s="1"/>
    </row>
    <row r="18" spans="1:14" ht="15">
      <c r="A18" s="257"/>
      <c r="B18" s="27" t="str">
        <f>MPR!J13</f>
        <v>SULFATO COBRE</v>
      </c>
      <c r="C18" s="39">
        <f>MPR!K13</f>
        <v>1.51002149765763E-3</v>
      </c>
      <c r="D18" s="30">
        <f t="shared" si="1"/>
        <v>1.5100214976576301</v>
      </c>
      <c r="E18" s="31">
        <f>IFERROR(IF(B18="","",ROUND(MPR!L13,2)),"")</f>
        <v>1</v>
      </c>
      <c r="F18" s="25">
        <f t="shared" si="2"/>
        <v>1.51002149765763E-3</v>
      </c>
      <c r="G18" s="1"/>
      <c r="H18" s="38">
        <f t="shared" si="3"/>
        <v>1.3590193478918669E-2</v>
      </c>
      <c r="I18" s="28">
        <f t="shared" si="0"/>
        <v>13.590193478918669</v>
      </c>
      <c r="J18" s="29">
        <f t="shared" si="4"/>
        <v>13590.193478918669</v>
      </c>
      <c r="K18" s="31">
        <f t="shared" si="5"/>
        <v>1</v>
      </c>
      <c r="L18" s="25">
        <f t="shared" si="6"/>
        <v>13.590193478918669</v>
      </c>
      <c r="M18" s="95">
        <f t="shared" si="7"/>
        <v>0.15100215870491313</v>
      </c>
      <c r="N18" s="1"/>
    </row>
    <row r="19" spans="1:14" ht="15">
      <c r="A19" s="257"/>
      <c r="B19" s="27" t="str">
        <f>MPR!J14</f>
        <v>Iodato de Potássio</v>
      </c>
      <c r="C19" s="39">
        <f>MPR!K14</f>
        <v>3.3726812816188869E-5</v>
      </c>
      <c r="D19" s="30">
        <f t="shared" si="1"/>
        <v>3.3726812816188868E-2</v>
      </c>
      <c r="E19" s="31">
        <f>IFERROR(IF(B19="","",ROUND(MPR!L14,2)),"")</f>
        <v>1</v>
      </c>
      <c r="F19" s="25">
        <f t="shared" si="2"/>
        <v>3.3726812816188869E-5</v>
      </c>
      <c r="G19" s="1"/>
      <c r="H19" s="38">
        <f t="shared" si="3"/>
        <v>3.0354131534569986E-4</v>
      </c>
      <c r="I19" s="28">
        <f t="shared" si="0"/>
        <v>0.30354131534569984</v>
      </c>
      <c r="J19" s="29">
        <f t="shared" si="4"/>
        <v>303.54131534569984</v>
      </c>
      <c r="K19" s="31">
        <f t="shared" si="5"/>
        <v>1</v>
      </c>
      <c r="L19" s="25">
        <f t="shared" si="6"/>
        <v>0.30354131534569984</v>
      </c>
      <c r="M19" s="95">
        <f t="shared" si="7"/>
        <v>3.3726814812776625E-3</v>
      </c>
      <c r="N19" s="1"/>
    </row>
    <row r="20" spans="1:14" ht="15">
      <c r="A20" s="257"/>
      <c r="B20" s="27" t="str">
        <f>MPR!J15</f>
        <v>Selenito de Sódio</v>
      </c>
      <c r="C20" s="39">
        <f>MPR!K15</f>
        <v>1.7543859649122809E-5</v>
      </c>
      <c r="D20" s="30">
        <f t="shared" si="1"/>
        <v>1.754385964912281E-2</v>
      </c>
      <c r="E20" s="31">
        <f>IFERROR(IF(B20="","",ROUND(MPR!L15,2)),"")</f>
        <v>45</v>
      </c>
      <c r="F20" s="25">
        <f t="shared" si="2"/>
        <v>7.8947368421052641E-4</v>
      </c>
      <c r="G20" s="1"/>
      <c r="H20" s="38">
        <f t="shared" si="3"/>
        <v>1.5789473684210529E-4</v>
      </c>
      <c r="I20" s="28">
        <f t="shared" si="0"/>
        <v>0.15789473684210528</v>
      </c>
      <c r="J20" s="29">
        <f t="shared" si="4"/>
        <v>157.89473684210529</v>
      </c>
      <c r="K20" s="31">
        <f t="shared" si="5"/>
        <v>45</v>
      </c>
      <c r="L20" s="25">
        <f t="shared" si="6"/>
        <v>7.1052631578947381</v>
      </c>
      <c r="M20" s="95">
        <f t="shared" si="7"/>
        <v>1.7543860687698719E-3</v>
      </c>
      <c r="N20" s="1"/>
    </row>
    <row r="21" spans="1:14" ht="15">
      <c r="A21" s="257"/>
      <c r="B21" s="27" t="str">
        <f>MPR!J16</f>
        <v>Sulfato Cobalto</v>
      </c>
      <c r="C21" s="39">
        <f>MPR!K16</f>
        <v>1.6129032258064517E-5</v>
      </c>
      <c r="D21" s="30">
        <f t="shared" si="1"/>
        <v>1.6129032258064516E-2</v>
      </c>
      <c r="E21" s="31">
        <f>IFERROR(IF(B21="","",ROUND(MPR!L16,2)),"")</f>
        <v>1</v>
      </c>
      <c r="F21" s="25">
        <f t="shared" si="2"/>
        <v>1.6129032258064517E-5</v>
      </c>
      <c r="G21" s="1"/>
      <c r="H21" s="38">
        <f t="shared" si="3"/>
        <v>1.4516129032258066E-4</v>
      </c>
      <c r="I21" s="28">
        <f t="shared" si="0"/>
        <v>0.14516129032258066</v>
      </c>
      <c r="J21" s="29">
        <f t="shared" si="4"/>
        <v>145.16129032258067</v>
      </c>
      <c r="K21" s="31">
        <f t="shared" si="5"/>
        <v>1</v>
      </c>
      <c r="L21" s="25">
        <f t="shared" si="6"/>
        <v>0.14516129032258066</v>
      </c>
      <c r="M21" s="95">
        <f t="shared" si="7"/>
        <v>1.6129033212884307E-3</v>
      </c>
      <c r="N21" s="1"/>
    </row>
    <row r="22" spans="1:14" ht="15">
      <c r="A22" s="257"/>
      <c r="B22" s="27" t="str">
        <f>MPR!J17</f>
        <v/>
      </c>
      <c r="C22" s="39" t="str">
        <f>MPR!K17</f>
        <v/>
      </c>
      <c r="D22" s="30" t="str">
        <f t="shared" si="1"/>
        <v/>
      </c>
      <c r="E22" s="31" t="str">
        <f>IFERROR(IF(B22="","",ROUND(MPR!L17,2)),"")</f>
        <v/>
      </c>
      <c r="F22" s="25" t="str">
        <f t="shared" si="2"/>
        <v/>
      </c>
      <c r="G22" s="1"/>
      <c r="H22" s="38" t="str">
        <f t="shared" si="3"/>
        <v/>
      </c>
      <c r="I22" s="28" t="str">
        <f t="shared" si="0"/>
        <v/>
      </c>
      <c r="J22" s="29" t="str">
        <f t="shared" si="4"/>
        <v/>
      </c>
      <c r="K22" s="31" t="str">
        <f t="shared" si="5"/>
        <v/>
      </c>
      <c r="L22" s="25" t="str">
        <f t="shared" si="6"/>
        <v/>
      </c>
      <c r="M22" s="95" t="str">
        <f t="shared" si="7"/>
        <v/>
      </c>
      <c r="N22" s="1"/>
    </row>
    <row r="23" spans="1:14" ht="15">
      <c r="A23" s="257"/>
      <c r="B23" s="27" t="str">
        <f>MPR!J18</f>
        <v/>
      </c>
      <c r="C23" s="39" t="str">
        <f>MPR!K18</f>
        <v/>
      </c>
      <c r="D23" s="30" t="str">
        <f t="shared" si="1"/>
        <v/>
      </c>
      <c r="E23" s="31" t="str">
        <f>IFERROR(IF(B23="","",ROUND(MPR!L18,2)),"")</f>
        <v/>
      </c>
      <c r="F23" s="25" t="str">
        <f t="shared" si="2"/>
        <v/>
      </c>
      <c r="G23" s="1"/>
      <c r="H23" s="38" t="str">
        <f t="shared" si="3"/>
        <v/>
      </c>
      <c r="I23" s="28" t="str">
        <f t="shared" si="0"/>
        <v/>
      </c>
      <c r="J23" s="29" t="str">
        <f t="shared" si="4"/>
        <v/>
      </c>
      <c r="K23" s="31" t="str">
        <f t="shared" si="5"/>
        <v/>
      </c>
      <c r="L23" s="25" t="str">
        <f t="shared" si="6"/>
        <v/>
      </c>
      <c r="M23" s="95" t="str">
        <f t="shared" si="7"/>
        <v/>
      </c>
      <c r="N23" s="1"/>
    </row>
    <row r="24" spans="1:14" ht="15">
      <c r="A24" s="257"/>
      <c r="B24" s="27" t="str">
        <f>MPR!J19</f>
        <v/>
      </c>
      <c r="C24" s="39" t="str">
        <f>MPR!K19</f>
        <v/>
      </c>
      <c r="D24" s="30" t="str">
        <f t="shared" si="1"/>
        <v/>
      </c>
      <c r="E24" s="31" t="str">
        <f>IFERROR(IF(B24="","",ROUND(MPR!L19,2)),"")</f>
        <v/>
      </c>
      <c r="F24" s="25" t="str">
        <f t="shared" si="2"/>
        <v/>
      </c>
      <c r="G24" s="1"/>
      <c r="H24" s="38" t="str">
        <f t="shared" si="3"/>
        <v/>
      </c>
      <c r="I24" s="28" t="str">
        <f t="shared" si="0"/>
        <v/>
      </c>
      <c r="J24" s="29" t="str">
        <f t="shared" si="4"/>
        <v/>
      </c>
      <c r="K24" s="31" t="str">
        <f t="shared" si="5"/>
        <v/>
      </c>
      <c r="L24" s="25" t="str">
        <f t="shared" si="6"/>
        <v/>
      </c>
      <c r="M24" s="95" t="str">
        <f t="shared" si="7"/>
        <v/>
      </c>
      <c r="N24" s="1"/>
    </row>
    <row r="25" spans="1:14" ht="15">
      <c r="A25" s="257"/>
      <c r="B25" s="27" t="str">
        <f>MPR!J20</f>
        <v/>
      </c>
      <c r="C25" s="39" t="str">
        <f>MPR!K20</f>
        <v/>
      </c>
      <c r="D25" s="30" t="str">
        <f t="shared" si="1"/>
        <v/>
      </c>
      <c r="E25" s="31" t="str">
        <f>IFERROR(IF(B25="","",ROUND(MPR!L20,2)),"")</f>
        <v/>
      </c>
      <c r="F25" s="25" t="str">
        <f t="shared" si="2"/>
        <v/>
      </c>
      <c r="G25" s="1"/>
      <c r="H25" s="38" t="str">
        <f t="shared" si="3"/>
        <v/>
      </c>
      <c r="I25" s="28" t="str">
        <f t="shared" si="0"/>
        <v/>
      </c>
      <c r="J25" s="29" t="str">
        <f t="shared" si="4"/>
        <v/>
      </c>
      <c r="K25" s="31" t="str">
        <f t="shared" si="5"/>
        <v/>
      </c>
      <c r="L25" s="25" t="str">
        <f t="shared" si="6"/>
        <v/>
      </c>
      <c r="M25" s="95" t="str">
        <f t="shared" si="7"/>
        <v/>
      </c>
      <c r="N25" s="1"/>
    </row>
    <row r="26" spans="1:14" ht="15">
      <c r="A26" s="257"/>
      <c r="B26" s="27" t="str">
        <f>MPR!J21</f>
        <v/>
      </c>
      <c r="C26" s="39" t="str">
        <f>MPR!K21</f>
        <v/>
      </c>
      <c r="D26" s="30" t="str">
        <f t="shared" si="1"/>
        <v/>
      </c>
      <c r="E26" s="31" t="str">
        <f>IFERROR(IF(B26="","",ROUND(MPR!L21,2)),"")</f>
        <v/>
      </c>
      <c r="F26" s="25" t="str">
        <f t="shared" si="2"/>
        <v/>
      </c>
      <c r="G26" s="1"/>
      <c r="H26" s="38" t="str">
        <f t="shared" si="3"/>
        <v/>
      </c>
      <c r="I26" s="28" t="str">
        <f t="shared" si="0"/>
        <v/>
      </c>
      <c r="J26" s="29" t="str">
        <f t="shared" si="4"/>
        <v/>
      </c>
      <c r="K26" s="31" t="str">
        <f t="shared" si="5"/>
        <v/>
      </c>
      <c r="L26" s="25" t="str">
        <f t="shared" si="6"/>
        <v/>
      </c>
      <c r="M26" s="95" t="str">
        <f t="shared" si="7"/>
        <v/>
      </c>
      <c r="N26" s="1"/>
    </row>
    <row r="27" spans="1:14" ht="15">
      <c r="A27" s="257"/>
      <c r="B27" s="27" t="str">
        <f>MPR!J22</f>
        <v/>
      </c>
      <c r="C27" s="39" t="str">
        <f>MPR!K22</f>
        <v/>
      </c>
      <c r="D27" s="30" t="str">
        <f t="shared" si="1"/>
        <v/>
      </c>
      <c r="E27" s="31" t="str">
        <f>IFERROR(IF(B27="","",ROUND(MPR!L22,2)),"")</f>
        <v/>
      </c>
      <c r="F27" s="25" t="str">
        <f t="shared" si="2"/>
        <v/>
      </c>
      <c r="G27" s="1"/>
      <c r="H27" s="38" t="str">
        <f t="shared" si="3"/>
        <v/>
      </c>
      <c r="I27" s="28" t="str">
        <f t="shared" si="0"/>
        <v/>
      </c>
      <c r="J27" s="29" t="str">
        <f t="shared" si="4"/>
        <v/>
      </c>
      <c r="K27" s="31" t="str">
        <f t="shared" si="5"/>
        <v/>
      </c>
      <c r="L27" s="25" t="str">
        <f t="shared" si="6"/>
        <v/>
      </c>
      <c r="M27" s="95" t="str">
        <f t="shared" si="7"/>
        <v/>
      </c>
      <c r="N27" s="1"/>
    </row>
    <row r="28" spans="1:14" ht="15">
      <c r="A28" s="257"/>
      <c r="B28" s="27" t="str">
        <f>MPR!J23</f>
        <v/>
      </c>
      <c r="C28" s="39" t="str">
        <f>MPR!K23</f>
        <v/>
      </c>
      <c r="D28" s="30" t="str">
        <f t="shared" si="1"/>
        <v/>
      </c>
      <c r="E28" s="31" t="str">
        <f>IFERROR(IF(B28="","",ROUND(MPR!L23,2)),"")</f>
        <v/>
      </c>
      <c r="F28" s="25" t="str">
        <f t="shared" si="2"/>
        <v/>
      </c>
      <c r="G28" s="1"/>
      <c r="H28" s="38" t="str">
        <f t="shared" si="3"/>
        <v/>
      </c>
      <c r="I28" s="28" t="str">
        <f t="shared" si="0"/>
        <v/>
      </c>
      <c r="J28" s="29" t="str">
        <f t="shared" si="4"/>
        <v/>
      </c>
      <c r="K28" s="31" t="str">
        <f t="shared" si="5"/>
        <v/>
      </c>
      <c r="L28" s="25" t="str">
        <f t="shared" si="6"/>
        <v/>
      </c>
      <c r="M28" s="95" t="str">
        <f t="shared" si="7"/>
        <v/>
      </c>
      <c r="N28" s="1"/>
    </row>
    <row r="29" spans="1:14" ht="15">
      <c r="A29" s="257"/>
      <c r="B29" s="27" t="str">
        <f>MPR!J24</f>
        <v/>
      </c>
      <c r="C29" s="39" t="str">
        <f>MPR!K24</f>
        <v/>
      </c>
      <c r="D29" s="30" t="str">
        <f t="shared" si="1"/>
        <v/>
      </c>
      <c r="E29" s="31" t="str">
        <f>IFERROR(IF(B29="","",ROUND(MPR!L24,2)),"")</f>
        <v/>
      </c>
      <c r="F29" s="25" t="str">
        <f t="shared" si="2"/>
        <v/>
      </c>
      <c r="G29" s="1"/>
      <c r="H29" s="38" t="str">
        <f t="shared" si="3"/>
        <v/>
      </c>
      <c r="I29" s="28" t="str">
        <f t="shared" si="0"/>
        <v/>
      </c>
      <c r="J29" s="29" t="str">
        <f t="shared" si="4"/>
        <v/>
      </c>
      <c r="K29" s="31" t="str">
        <f t="shared" si="5"/>
        <v/>
      </c>
      <c r="L29" s="25" t="str">
        <f t="shared" si="6"/>
        <v/>
      </c>
      <c r="M29" s="95" t="str">
        <f t="shared" si="7"/>
        <v/>
      </c>
      <c r="N29" s="1"/>
    </row>
    <row r="30" spans="1:14" ht="15">
      <c r="A30" s="257"/>
      <c r="B30" s="27" t="str">
        <f>MPR!J25</f>
        <v/>
      </c>
      <c r="C30" s="39" t="str">
        <f>MPR!K25</f>
        <v/>
      </c>
      <c r="D30" s="30" t="str">
        <f t="shared" si="1"/>
        <v/>
      </c>
      <c r="E30" s="31" t="str">
        <f>IFERROR(IF(B30="","",ROUND(MPR!L25,2)),"")</f>
        <v/>
      </c>
      <c r="F30" s="25" t="str">
        <f t="shared" si="2"/>
        <v/>
      </c>
      <c r="G30" s="1"/>
      <c r="H30" s="38" t="str">
        <f t="shared" si="3"/>
        <v/>
      </c>
      <c r="I30" s="28" t="str">
        <f t="shared" si="0"/>
        <v/>
      </c>
      <c r="J30" s="29" t="str">
        <f t="shared" si="4"/>
        <v/>
      </c>
      <c r="K30" s="31" t="str">
        <f t="shared" si="5"/>
        <v/>
      </c>
      <c r="L30" s="25" t="str">
        <f t="shared" si="6"/>
        <v/>
      </c>
      <c r="M30" s="95" t="str">
        <f t="shared" si="7"/>
        <v/>
      </c>
      <c r="N30" s="1"/>
    </row>
    <row r="31" spans="1:14" ht="15">
      <c r="A31" s="257"/>
      <c r="B31" s="27" t="str">
        <f>MPR!J26</f>
        <v/>
      </c>
      <c r="C31" s="39" t="str">
        <f>MPR!K26</f>
        <v/>
      </c>
      <c r="D31" s="30" t="str">
        <f t="shared" si="1"/>
        <v/>
      </c>
      <c r="E31" s="31" t="str">
        <f>IFERROR(IF(B31="","",ROUND(MPR!L26,2)),"")</f>
        <v/>
      </c>
      <c r="F31" s="25" t="str">
        <f t="shared" si="2"/>
        <v/>
      </c>
      <c r="G31" s="1"/>
      <c r="H31" s="38" t="str">
        <f t="shared" si="3"/>
        <v/>
      </c>
      <c r="I31" s="28" t="str">
        <f t="shared" si="0"/>
        <v/>
      </c>
      <c r="J31" s="29" t="str">
        <f t="shared" si="4"/>
        <v/>
      </c>
      <c r="K31" s="31" t="str">
        <f t="shared" si="5"/>
        <v/>
      </c>
      <c r="L31" s="25" t="str">
        <f t="shared" si="6"/>
        <v/>
      </c>
      <c r="M31" s="95" t="str">
        <f t="shared" si="7"/>
        <v/>
      </c>
      <c r="N31" s="1"/>
    </row>
    <row r="32" spans="1:14" ht="15">
      <c r="A32" s="257"/>
      <c r="B32" s="27" t="str">
        <f>MPR!J27</f>
        <v/>
      </c>
      <c r="C32" s="39" t="str">
        <f>MPR!K27</f>
        <v/>
      </c>
      <c r="D32" s="30" t="str">
        <f t="shared" si="1"/>
        <v/>
      </c>
      <c r="E32" s="31" t="str">
        <f>IFERROR(IF(B32="","",ROUND(MPR!L27,2)),"")</f>
        <v/>
      </c>
      <c r="F32" s="25" t="str">
        <f t="shared" si="2"/>
        <v/>
      </c>
      <c r="G32" s="1"/>
      <c r="H32" s="38" t="str">
        <f t="shared" si="3"/>
        <v/>
      </c>
      <c r="I32" s="28" t="str">
        <f t="shared" si="0"/>
        <v/>
      </c>
      <c r="J32" s="29" t="str">
        <f t="shared" si="4"/>
        <v/>
      </c>
      <c r="K32" s="31" t="str">
        <f t="shared" si="5"/>
        <v/>
      </c>
      <c r="L32" s="25" t="str">
        <f t="shared" si="6"/>
        <v/>
      </c>
      <c r="M32" s="95" t="str">
        <f t="shared" si="7"/>
        <v/>
      </c>
      <c r="N32" s="1"/>
    </row>
    <row r="33" spans="1:14" ht="15">
      <c r="A33" s="257"/>
      <c r="B33" s="27" t="str">
        <f>MPR!J28</f>
        <v/>
      </c>
      <c r="C33" s="39" t="str">
        <f>MPR!K28</f>
        <v/>
      </c>
      <c r="D33" s="30" t="str">
        <f t="shared" si="1"/>
        <v/>
      </c>
      <c r="E33" s="31" t="str">
        <f>IFERROR(IF(B33="","",ROUND(MPR!L28,2)),"")</f>
        <v/>
      </c>
      <c r="F33" s="25" t="str">
        <f t="shared" si="2"/>
        <v/>
      </c>
      <c r="G33" s="1"/>
      <c r="H33" s="38" t="str">
        <f t="shared" si="3"/>
        <v/>
      </c>
      <c r="I33" s="28" t="str">
        <f t="shared" si="0"/>
        <v/>
      </c>
      <c r="J33" s="29" t="str">
        <f t="shared" si="4"/>
        <v/>
      </c>
      <c r="K33" s="31" t="str">
        <f t="shared" si="5"/>
        <v/>
      </c>
      <c r="L33" s="25" t="str">
        <f t="shared" si="6"/>
        <v/>
      </c>
      <c r="M33" s="95" t="str">
        <f t="shared" si="7"/>
        <v/>
      </c>
      <c r="N33" s="1"/>
    </row>
    <row r="34" spans="1:14" ht="15.75" thickBot="1">
      <c r="A34" s="257"/>
      <c r="B34" s="40" t="str">
        <f>MPR!J29</f>
        <v/>
      </c>
      <c r="C34" s="41" t="str">
        <f>MPR!K29</f>
        <v/>
      </c>
      <c r="D34" s="42" t="str">
        <f t="shared" si="1"/>
        <v/>
      </c>
      <c r="E34" s="43" t="str">
        <f>IFERROR(IF(B34="","",ROUND(MPR!L29,2)),"")</f>
        <v/>
      </c>
      <c r="F34" s="44" t="str">
        <f t="shared" si="2"/>
        <v/>
      </c>
      <c r="G34" s="1"/>
      <c r="H34" s="45" t="str">
        <f t="shared" si="3"/>
        <v/>
      </c>
      <c r="I34" s="46" t="str">
        <f t="shared" si="0"/>
        <v/>
      </c>
      <c r="J34" s="47" t="str">
        <f t="shared" si="4"/>
        <v/>
      </c>
      <c r="K34" s="43" t="str">
        <f t="shared" si="5"/>
        <v/>
      </c>
      <c r="L34" s="44" t="str">
        <f t="shared" si="6"/>
        <v/>
      </c>
      <c r="M34" s="95" t="str">
        <f t="shared" si="7"/>
        <v/>
      </c>
      <c r="N34" s="1"/>
    </row>
    <row r="35" spans="1:14" ht="15" thickBot="1">
      <c r="A35" s="1"/>
      <c r="B35" s="8"/>
      <c r="C35" s="8"/>
      <c r="D35" s="9"/>
      <c r="E35" s="9"/>
      <c r="F35" s="12"/>
      <c r="G35" s="1"/>
      <c r="H35" s="8"/>
      <c r="I35" s="9"/>
      <c r="J35" s="9"/>
      <c r="K35" s="9"/>
      <c r="L35" s="12"/>
      <c r="M35" s="96"/>
      <c r="N35" s="1"/>
    </row>
    <row r="36" spans="1:14" ht="16.5" thickBot="1">
      <c r="A36" s="1"/>
      <c r="B36" s="10"/>
      <c r="C36" s="33">
        <f>SUM(C10:C35)</f>
        <v>0.99999994080117671</v>
      </c>
      <c r="D36" s="34">
        <f>SUM(D10:D35)</f>
        <v>999.99994080117654</v>
      </c>
      <c r="E36" s="35">
        <f>IFERROR(F36/C36,0)</f>
        <v>1.0607801257265406</v>
      </c>
      <c r="F36" s="13">
        <f>SUM(F10:F35)</f>
        <v>1.0607800629296054</v>
      </c>
      <c r="G36" s="1"/>
      <c r="H36" s="36">
        <f>SUM(H10:H35)</f>
        <v>8.9999994672105874</v>
      </c>
      <c r="I36" s="33">
        <f>SUM(I10:I35)</f>
        <v>8999.9994672105895</v>
      </c>
      <c r="J36" s="37" t="s">
        <v>42</v>
      </c>
      <c r="K36" s="35">
        <f>IFERROR(L36/I36,0)</f>
        <v>1.060780125726541</v>
      </c>
      <c r="L36" s="10">
        <f>SUM(L10:L34)</f>
        <v>9547.020566366451</v>
      </c>
      <c r="M36" s="97">
        <f>SUM(M10:M34)</f>
        <v>100.00000000000003</v>
      </c>
      <c r="N36" s="1"/>
    </row>
    <row r="37" spans="1:14" ht="15.75">
      <c r="A37" s="1"/>
      <c r="B37" s="17"/>
      <c r="C37" s="17"/>
      <c r="D37" s="17"/>
      <c r="E37" s="17"/>
      <c r="F37" s="18"/>
      <c r="G37" s="1"/>
      <c r="H37" s="17"/>
      <c r="I37" s="17"/>
      <c r="J37" s="17"/>
      <c r="K37" s="17"/>
      <c r="L37" s="18"/>
      <c r="M37" s="18"/>
      <c r="N37" s="1"/>
    </row>
    <row r="38" spans="1:14" ht="15.75">
      <c r="A38" s="1"/>
      <c r="B38" s="17"/>
      <c r="C38" s="17"/>
      <c r="D38" s="17"/>
      <c r="E38" s="17"/>
      <c r="F38" s="18"/>
      <c r="G38" s="1"/>
      <c r="H38" s="17"/>
      <c r="I38" s="17"/>
      <c r="J38" s="17"/>
      <c r="K38" s="17"/>
      <c r="L38" s="18"/>
      <c r="M38" s="18"/>
      <c r="N38" s="1"/>
    </row>
    <row r="39" spans="1:1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ht="29.25" customHeight="1">
      <c r="A40" s="1"/>
      <c r="B40" s="1574" t="s">
        <v>858</v>
      </c>
      <c r="C40" s="1575"/>
      <c r="D40" s="1575"/>
      <c r="E40" s="1575"/>
      <c r="F40" s="1575"/>
      <c r="G40" s="1575"/>
      <c r="H40" s="1575"/>
      <c r="I40" s="1575"/>
      <c r="J40" s="1575"/>
      <c r="K40" s="1575"/>
      <c r="L40" s="1575"/>
      <c r="M40" s="1575"/>
      <c r="N40" s="1"/>
    </row>
    <row r="41" spans="1:14" ht="15" thickBo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ht="18.75" customHeight="1" thickBot="1">
      <c r="A42" s="1"/>
      <c r="B42" s="2226" t="str">
        <f>IF(D4=0,"Favor informar o número de dia(s) para a alimentação",IF(D3=0,"Favor, informe quantidade de animais",IF($D$3&gt;1,"Concentrado para "&amp;D3&amp;" Animais","Ração Concentrada para 1 animal"))&amp;" por "&amp;D4&amp;" dia(s)")</f>
        <v>Concentrado para 100 Animais por 90 dia(s)</v>
      </c>
      <c r="C42" s="2227"/>
      <c r="D42" s="2227"/>
      <c r="E42" s="2227"/>
      <c r="F42" s="2228"/>
      <c r="G42" s="1"/>
      <c r="H42" s="86" t="s">
        <v>318</v>
      </c>
      <c r="I42" s="670" t="s">
        <v>259</v>
      </c>
      <c r="J42" s="670" t="s">
        <v>259</v>
      </c>
      <c r="K42" s="1"/>
      <c r="L42" s="1"/>
      <c r="M42" s="1"/>
      <c r="N42" s="1"/>
    </row>
    <row r="43" spans="1:14" ht="15" thickBot="1">
      <c r="A43" s="1"/>
      <c r="B43" s="1571" t="s">
        <v>74</v>
      </c>
      <c r="C43" s="1571" t="s">
        <v>82</v>
      </c>
      <c r="D43" s="1571" t="s">
        <v>78</v>
      </c>
      <c r="E43" s="1571" t="s">
        <v>73</v>
      </c>
      <c r="F43" s="1571" t="s">
        <v>64</v>
      </c>
      <c r="G43" s="1"/>
      <c r="H43" s="1571" t="s">
        <v>61</v>
      </c>
      <c r="I43" s="1571" t="s">
        <v>61</v>
      </c>
      <c r="J43" s="1571" t="s">
        <v>754</v>
      </c>
      <c r="K43" s="1"/>
      <c r="L43" s="1"/>
      <c r="M43" s="1"/>
      <c r="N43" s="1"/>
    </row>
    <row r="44" spans="1:14" ht="16.5" thickTop="1">
      <c r="A44" s="668"/>
      <c r="B44" s="26" t="str">
        <f>MPR!J34</f>
        <v>Fosfato Bicálcico</v>
      </c>
      <c r="C44" s="14">
        <f>IF(D44="","",D44/1000)</f>
        <v>4.0840200668503437</v>
      </c>
      <c r="D44" s="11">
        <f>IF(B44="","",MPR!K34*$D$3*$D$4)</f>
        <v>4084.0200668503439</v>
      </c>
      <c r="E44" s="32">
        <f>MPR!L34</f>
        <v>1</v>
      </c>
      <c r="F44" s="25">
        <f>IF(B44="","",D44*E44)</f>
        <v>4084.0200668503439</v>
      </c>
      <c r="G44" s="1"/>
      <c r="H44" s="89">
        <f>IF(D44="","",D44/SUM($D$44:$D$68))</f>
        <v>0.45378003429106012</v>
      </c>
      <c r="I44" s="671">
        <f>IFERROR(J44/J$69,"")</f>
        <v>0.45022738159142534</v>
      </c>
      <c r="J44" s="674">
        <f>IFERROR(INDEX('Calcular Dieta'!$J$9:$J$35,MATCH(B44,'Calcular Dieta'!$B$9:$B$35,0))*D44,"")</f>
        <v>4020.3093538074781</v>
      </c>
      <c r="K44" s="1"/>
      <c r="L44" s="1"/>
      <c r="M44" s="1"/>
      <c r="N44" s="1"/>
    </row>
    <row r="45" spans="1:14" ht="15.75">
      <c r="A45" s="668"/>
      <c r="B45" s="26" t="str">
        <f>MPR!J35</f>
        <v>Cloreto de Potássio</v>
      </c>
      <c r="C45" s="14">
        <f t="shared" ref="C45:C68" si="8">IF(D45="","",D45/1000)</f>
        <v>2.5133360739953412</v>
      </c>
      <c r="D45" s="11">
        <f>IF(B45="","",MPR!K35*$D$3*$D$4)</f>
        <v>2513.3360739953414</v>
      </c>
      <c r="E45" s="32">
        <f>MPR!L35</f>
        <v>1</v>
      </c>
      <c r="F45" s="25">
        <f t="shared" ref="F45:F68" si="9">IF(B45="","",D45*E45)</f>
        <v>2513.3360739953414</v>
      </c>
      <c r="G45" s="1"/>
      <c r="H45" s="90">
        <f>IF(D45="","",D45/SUM($D$44:$D$68))</f>
        <v>0.27925958030909875</v>
      </c>
      <c r="I45" s="672">
        <f>IFERROR(J45/J$69,"")</f>
        <v>0.28146409145916268</v>
      </c>
      <c r="J45" s="675">
        <f>IFERROR(INDEX('Calcular Dieta'!$J$9:$J$35,MATCH(B45,'Calcular Dieta'!$B$9:$B$35,0))*D45,"")</f>
        <v>2513.3360739953414</v>
      </c>
      <c r="K45" s="1"/>
      <c r="L45" s="1"/>
      <c r="M45" s="1"/>
      <c r="N45" s="1"/>
    </row>
    <row r="46" spans="1:14" ht="15.75">
      <c r="A46" s="668"/>
      <c r="B46" s="26" t="str">
        <f>MPR!J36</f>
        <v>Sal Comum (NaCl)</v>
      </c>
      <c r="C46" s="14">
        <f>IF(D46="","",D46/1000)</f>
        <v>1.0801474614696185</v>
      </c>
      <c r="D46" s="11">
        <f>IF(B46="","",MPR!K36*$D$3*$D$4)</f>
        <v>1080.1474614696185</v>
      </c>
      <c r="E46" s="32">
        <f>MPR!L36</f>
        <v>1.5</v>
      </c>
      <c r="F46" s="25">
        <f t="shared" si="9"/>
        <v>1620.2211922044278</v>
      </c>
      <c r="G46" s="1"/>
      <c r="H46" s="90">
        <f t="shared" ref="H46:H67" si="10">IF(D46="","",D46/SUM($D$44:$D$68))</f>
        <v>0.12001639171256456</v>
      </c>
      <c r="I46" s="672">
        <f>IFERROR(J46/J$69,"")</f>
        <v>0.12096381659026419</v>
      </c>
      <c r="J46" s="675">
        <f>IFERROR(INDEX('Calcular Dieta'!$J$9:$J$35,MATCH(B46,'Calcular Dieta'!$B$9:$B$35,0))*D46,"")</f>
        <v>1080.1474614696185</v>
      </c>
      <c r="K46" s="1"/>
      <c r="L46" s="1"/>
      <c r="M46" s="1"/>
      <c r="N46" s="1"/>
    </row>
    <row r="47" spans="1:14" s="1" customFormat="1" ht="15.75">
      <c r="A47" s="668"/>
      <c r="B47" s="26" t="str">
        <f>MPR!J37</f>
        <v>Sulfato Magnésio</v>
      </c>
      <c r="C47" s="14">
        <f t="shared" si="8"/>
        <v>0.5113212246330513</v>
      </c>
      <c r="D47" s="11">
        <f>IF(B47="","",MPR!K37*$D$3*$D$4)</f>
        <v>511.32122463305132</v>
      </c>
      <c r="E47" s="32">
        <f>MPR!L37</f>
        <v>1</v>
      </c>
      <c r="F47" s="25">
        <f t="shared" si="9"/>
        <v>511.32122463305132</v>
      </c>
      <c r="H47" s="90">
        <f t="shared" si="10"/>
        <v>5.6813472766963108E-2</v>
      </c>
      <c r="I47" s="672">
        <f>IFERROR(J47/J$69,"")</f>
        <v>5.7261965649642359E-2</v>
      </c>
      <c r="J47" s="675">
        <f>IFERROR(INDEX('Calcular Dieta'!$J$9:$J$35,MATCH(B47,'Calcular Dieta'!$B$9:$B$35,0))*D47,"")</f>
        <v>511.32122463305132</v>
      </c>
    </row>
    <row r="48" spans="1:14" ht="15.75">
      <c r="A48" s="668"/>
      <c r="B48" s="26" t="str">
        <f>MPR!J38</f>
        <v>Óxido de Magnésio</v>
      </c>
      <c r="C48" s="14">
        <f t="shared" si="8"/>
        <v>0.4035703020462002</v>
      </c>
      <c r="D48" s="11">
        <f>IF(B48="","",MPR!K38*$D$3*$D$4)</f>
        <v>403.5703020462002</v>
      </c>
      <c r="E48" s="32">
        <f>MPR!L38</f>
        <v>1</v>
      </c>
      <c r="F48" s="25">
        <f t="shared" si="9"/>
        <v>403.5703020462002</v>
      </c>
      <c r="G48" s="1"/>
      <c r="H48" s="90">
        <f t="shared" si="10"/>
        <v>4.4841147326343186E-2</v>
      </c>
      <c r="I48" s="672">
        <f>IFERROR(J48/J$69,"")</f>
        <v>4.4435850958279371E-2</v>
      </c>
      <c r="J48" s="675">
        <f>IFERROR(INDEX('Calcular Dieta'!$J$9:$J$35,MATCH(B48,'Calcular Dieta'!$B$9:$B$35,0))*D48,"")</f>
        <v>396.79032097182403</v>
      </c>
      <c r="K48" s="1"/>
      <c r="L48" s="1"/>
      <c r="M48" s="51"/>
      <c r="N48" s="1"/>
    </row>
    <row r="49" spans="1:14" ht="15.75">
      <c r="A49" s="87"/>
      <c r="B49" s="26" t="str">
        <f>MPR!J39</f>
        <v xml:space="preserve">Flor de S </v>
      </c>
      <c r="C49" s="14">
        <f t="shared" si="8"/>
        <v>0.33335953449057143</v>
      </c>
      <c r="D49" s="11">
        <f>IF(B49="","",MPR!K39*$D$3*$D$4)</f>
        <v>333.35953449057143</v>
      </c>
      <c r="E49" s="32">
        <f>MPR!L39</f>
        <v>1</v>
      </c>
      <c r="F49" s="25">
        <f t="shared" si="9"/>
        <v>333.35953449057143</v>
      </c>
      <c r="G49" s="1"/>
      <c r="H49" s="90">
        <f t="shared" si="10"/>
        <v>3.7039950469451646E-2</v>
      </c>
      <c r="I49" s="672">
        <f t="shared" ref="I49:I68" si="11">IFERROR(J49/J$69,"")</f>
        <v>3.7332348616427813E-2</v>
      </c>
      <c r="J49" s="675">
        <f>IFERROR(INDEX('Calcular Dieta'!$J$9:$J$35,MATCH(B49,'Calcular Dieta'!$B$9:$B$35,0))*D49,"")</f>
        <v>333.35953449057143</v>
      </c>
      <c r="K49" s="1"/>
      <c r="L49" s="1"/>
      <c r="M49" s="51"/>
      <c r="N49" s="1"/>
    </row>
    <row r="50" spans="1:14" ht="15.75">
      <c r="A50" s="87"/>
      <c r="B50" s="26" t="str">
        <f>MPR!J40</f>
        <v>Sulfato de Zinco</v>
      </c>
      <c r="C50" s="14">
        <f t="shared" si="8"/>
        <v>4.6175434885744909E-2</v>
      </c>
      <c r="D50" s="11">
        <f>IF(B50="","",MPR!K40*$D$3*$D$4)</f>
        <v>46.175434885744906</v>
      </c>
      <c r="E50" s="32">
        <f>MPR!L40</f>
        <v>1</v>
      </c>
      <c r="F50" s="25">
        <f t="shared" si="9"/>
        <v>46.175434885744906</v>
      </c>
      <c r="G50" s="1"/>
      <c r="H50" s="90">
        <f t="shared" si="10"/>
        <v>5.1306041799196091E-3</v>
      </c>
      <c r="I50" s="672">
        <f t="shared" si="11"/>
        <v>5.171105831138445E-3</v>
      </c>
      <c r="J50" s="675">
        <f>IFERROR(INDEX('Calcular Dieta'!$J$9:$J$35,MATCH(B50,'Calcular Dieta'!$B$9:$B$35,0))*D50,"")</f>
        <v>46.175434885744906</v>
      </c>
      <c r="K50" s="686" t="s">
        <v>846</v>
      </c>
      <c r="L50" s="1"/>
      <c r="M50" s="1"/>
      <c r="N50" s="1"/>
    </row>
    <row r="51" spans="1:14" ht="15.75">
      <c r="A51" s="87"/>
      <c r="B51" s="26" t="str">
        <f>MPR!J41</f>
        <v>Sulfato de Manganês</v>
      </c>
      <c r="C51" s="14">
        <f t="shared" si="8"/>
        <v>1.3872578018289167E-2</v>
      </c>
      <c r="D51" s="11">
        <f>IF(B51="","",MPR!K41*$D$3*$D$4)</f>
        <v>13.872578018289166</v>
      </c>
      <c r="E51" s="32">
        <f>MPR!L41</f>
        <v>1</v>
      </c>
      <c r="F51" s="25">
        <f t="shared" si="9"/>
        <v>13.872578018289166</v>
      </c>
      <c r="G51" s="1"/>
      <c r="H51" s="90">
        <f t="shared" si="10"/>
        <v>1.5413976488366124E-3</v>
      </c>
      <c r="I51" s="672">
        <f t="shared" si="11"/>
        <v>1.5535656407091977E-3</v>
      </c>
      <c r="J51" s="675">
        <f>IFERROR(INDEX('Calcular Dieta'!$J$9:$J$35,MATCH(B51,'Calcular Dieta'!$B$9:$B$35,0))*D51,"")</f>
        <v>13.872578018289166</v>
      </c>
      <c r="K51" s="687" t="s">
        <v>845</v>
      </c>
      <c r="L51" s="51">
        <f>F36</f>
        <v>1.0607800629296054</v>
      </c>
      <c r="M51" s="1"/>
      <c r="N51" s="1"/>
    </row>
    <row r="52" spans="1:14" ht="15.75">
      <c r="A52" s="87"/>
      <c r="B52" s="26" t="str">
        <f>MPR!J42</f>
        <v>SULFATO COBRE</v>
      </c>
      <c r="C52" s="14">
        <f t="shared" si="8"/>
        <v>1.3590193478918671E-2</v>
      </c>
      <c r="D52" s="11">
        <f>IF(B52="","",MPR!K42*$D$3*$D$4)</f>
        <v>13.590193478918671</v>
      </c>
      <c r="E52" s="32">
        <f>MPR!L42</f>
        <v>1</v>
      </c>
      <c r="F52" s="25">
        <f t="shared" si="9"/>
        <v>13.590193478918671</v>
      </c>
      <c r="G52" s="1"/>
      <c r="H52" s="90">
        <f t="shared" si="10"/>
        <v>1.5100215870491314E-3</v>
      </c>
      <c r="I52" s="672">
        <f t="shared" si="11"/>
        <v>1.5219418922426096E-3</v>
      </c>
      <c r="J52" s="675">
        <f>IFERROR(INDEX('Calcular Dieta'!$J$9:$J$35,MATCH(B52,'Calcular Dieta'!$B$9:$B$35,0))*D52,"")</f>
        <v>13.590193478918671</v>
      </c>
      <c r="K52" s="687" t="s">
        <v>3</v>
      </c>
      <c r="L52" s="51">
        <f>L57*L61</f>
        <v>0</v>
      </c>
      <c r="M52" s="1"/>
      <c r="N52" s="1"/>
    </row>
    <row r="53" spans="1:14" ht="15.75">
      <c r="A53" s="87"/>
      <c r="B53" s="26" t="str">
        <f>MPR!J43</f>
        <v>Iodato de Potássio</v>
      </c>
      <c r="C53" s="14">
        <f t="shared" si="8"/>
        <v>3.0354131534569986E-4</v>
      </c>
      <c r="D53" s="11">
        <f>IF(B53="","",MPR!K43*$D$3*$D$4)</f>
        <v>0.30354131534569984</v>
      </c>
      <c r="E53" s="32">
        <f>MPR!L43</f>
        <v>1</v>
      </c>
      <c r="F53" s="25">
        <f t="shared" si="9"/>
        <v>0.30354131534569984</v>
      </c>
      <c r="G53" s="1"/>
      <c r="H53" s="90">
        <f t="shared" si="10"/>
        <v>3.3726814812776626E-5</v>
      </c>
      <c r="I53" s="672">
        <f t="shared" si="11"/>
        <v>3.39930586395009E-5</v>
      </c>
      <c r="J53" s="675">
        <f>IFERROR(INDEX('Calcular Dieta'!$J$9:$J$35,MATCH(B53,'Calcular Dieta'!$B$9:$B$35,0))*D53,"")</f>
        <v>0.30354131534569984</v>
      </c>
      <c r="K53" s="687" t="s">
        <v>4</v>
      </c>
      <c r="L53" s="51">
        <f>L58*L62</f>
        <v>1.0607800629296058</v>
      </c>
      <c r="M53" s="1"/>
      <c r="N53" s="1"/>
    </row>
    <row r="54" spans="1:14" ht="15.75">
      <c r="A54" s="87"/>
      <c r="B54" s="26" t="str">
        <f>MPR!J44</f>
        <v>Selenito de Sódio</v>
      </c>
      <c r="C54" s="14">
        <f t="shared" si="8"/>
        <v>1.5789473684210529E-4</v>
      </c>
      <c r="D54" s="11">
        <f>IF(B54="","",MPR!K44*$D$3*$D$4)</f>
        <v>0.15789473684210528</v>
      </c>
      <c r="E54" s="32">
        <f>MPR!L44</f>
        <v>45</v>
      </c>
      <c r="F54" s="25">
        <f t="shared" si="9"/>
        <v>7.1052631578947381</v>
      </c>
      <c r="G54" s="1"/>
      <c r="H54" s="90">
        <f t="shared" si="10"/>
        <v>1.7543860687698718E-5</v>
      </c>
      <c r="I54" s="672">
        <f t="shared" si="11"/>
        <v>1.7682354187038627E-5</v>
      </c>
      <c r="J54" s="675">
        <f>IFERROR(INDEX('Calcular Dieta'!$J$9:$J$35,MATCH(B54,'Calcular Dieta'!$B$9:$B$35,0))*D54,"")</f>
        <v>0.15789473684210528</v>
      </c>
      <c r="K54" s="688"/>
      <c r="L54" s="1"/>
      <c r="M54" s="1"/>
      <c r="N54" s="1"/>
    </row>
    <row r="55" spans="1:14" ht="15.75">
      <c r="A55" s="87"/>
      <c r="B55" s="26" t="str">
        <f>MPR!J45</f>
        <v>Sulfato Cobalto</v>
      </c>
      <c r="C55" s="14">
        <f t="shared" si="8"/>
        <v>1.4516129032258066E-4</v>
      </c>
      <c r="D55" s="11">
        <f>IF(B55="","",MPR!K45*$D$3*$D$4)</f>
        <v>0.14516129032258066</v>
      </c>
      <c r="E55" s="32">
        <f>MPR!L45</f>
        <v>1</v>
      </c>
      <c r="F55" s="25">
        <f t="shared" si="9"/>
        <v>0.14516129032258066</v>
      </c>
      <c r="G55" s="1"/>
      <c r="H55" s="90">
        <f t="shared" si="10"/>
        <v>1.6129033212884307E-5</v>
      </c>
      <c r="I55" s="672">
        <f t="shared" si="11"/>
        <v>1.6256357881632286E-5</v>
      </c>
      <c r="J55" s="675">
        <f>IFERROR(INDEX('Calcular Dieta'!$J$9:$J$35,MATCH(B55,'Calcular Dieta'!$B$9:$B$35,0))*D55,"")</f>
        <v>0.14516129032258066</v>
      </c>
      <c r="K55" s="686" t="s">
        <v>844</v>
      </c>
      <c r="L55" s="51"/>
      <c r="M55" s="1"/>
      <c r="N55" s="1"/>
    </row>
    <row r="56" spans="1:14" ht="15.75">
      <c r="A56" s="87"/>
      <c r="B56" s="26" t="str">
        <f>MPR!J46</f>
        <v/>
      </c>
      <c r="C56" s="14" t="str">
        <f t="shared" si="8"/>
        <v/>
      </c>
      <c r="D56" s="11" t="str">
        <f>IF(B56="","",MPR!K46*$D$3*$D$4)</f>
        <v/>
      </c>
      <c r="E56" s="32" t="str">
        <f>MPR!L46</f>
        <v/>
      </c>
      <c r="F56" s="25" t="str">
        <f t="shared" si="9"/>
        <v/>
      </c>
      <c r="G56" s="1"/>
      <c r="H56" s="90" t="str">
        <f t="shared" si="10"/>
        <v/>
      </c>
      <c r="I56" s="672" t="str">
        <f t="shared" si="11"/>
        <v/>
      </c>
      <c r="J56" s="675" t="str">
        <f>IFERROR(INDEX('Calcular Dieta'!$J$9:$J$35,MATCH(B56,'Calcular Dieta'!$B$9:$B$35,0))*D56,"")</f>
        <v/>
      </c>
      <c r="K56" s="687" t="s">
        <v>845</v>
      </c>
      <c r="L56" s="51">
        <f>E36</f>
        <v>1.0607801257265406</v>
      </c>
      <c r="M56" s="1"/>
      <c r="N56" s="1"/>
    </row>
    <row r="57" spans="1:14" ht="15.75">
      <c r="A57" s="87"/>
      <c r="B57" s="26" t="str">
        <f>MPR!J47</f>
        <v/>
      </c>
      <c r="C57" s="14" t="str">
        <f t="shared" si="8"/>
        <v/>
      </c>
      <c r="D57" s="11" t="str">
        <f>IF(B57="","",MPR!K47*$D$3*$D$4)</f>
        <v/>
      </c>
      <c r="E57" s="32" t="str">
        <f>MPR!L47</f>
        <v/>
      </c>
      <c r="F57" s="25" t="str">
        <f t="shared" si="9"/>
        <v/>
      </c>
      <c r="G57" s="1"/>
      <c r="H57" s="90" t="str">
        <f t="shared" si="10"/>
        <v/>
      </c>
      <c r="I57" s="672" t="str">
        <f t="shared" si="11"/>
        <v/>
      </c>
      <c r="J57" s="675" t="str">
        <f>IFERROR(INDEX('Calcular Dieta'!$J$9:$J$35,MATCH(B57,'Calcular Dieta'!$B$9:$B$35,0))*D57,"")</f>
        <v/>
      </c>
      <c r="K57" s="687" t="s">
        <v>3</v>
      </c>
      <c r="L57" s="51">
        <f>E119</f>
        <v>0</v>
      </c>
      <c r="M57" s="1"/>
      <c r="N57" s="1"/>
    </row>
    <row r="58" spans="1:14" ht="15.75">
      <c r="A58" s="87"/>
      <c r="B58" s="26" t="str">
        <f>MPR!J48</f>
        <v/>
      </c>
      <c r="C58" s="14" t="str">
        <f t="shared" si="8"/>
        <v/>
      </c>
      <c r="D58" s="11" t="str">
        <f>IF(B58="","",MPR!K48*$D$3*$D$4)</f>
        <v/>
      </c>
      <c r="E58" s="32" t="str">
        <f>MPR!L48</f>
        <v/>
      </c>
      <c r="F58" s="25" t="str">
        <f t="shared" si="9"/>
        <v/>
      </c>
      <c r="G58" s="1"/>
      <c r="H58" s="90" t="str">
        <f t="shared" si="10"/>
        <v/>
      </c>
      <c r="I58" s="672" t="str">
        <f t="shared" si="11"/>
        <v/>
      </c>
      <c r="J58" s="675" t="str">
        <f>IFERROR(INDEX('Calcular Dieta'!$J$9:$J$35,MATCH(B58,'Calcular Dieta'!$B$9:$B$35,0))*D58,"")</f>
        <v/>
      </c>
      <c r="K58" s="687" t="s">
        <v>4</v>
      </c>
      <c r="L58" s="665">
        <f>E69</f>
        <v>1.060780125726541</v>
      </c>
      <c r="M58" s="1"/>
      <c r="N58" s="1"/>
    </row>
    <row r="59" spans="1:14" ht="15.75">
      <c r="A59" s="87"/>
      <c r="B59" s="26" t="str">
        <f>MPR!J49</f>
        <v/>
      </c>
      <c r="C59" s="14" t="str">
        <f t="shared" si="8"/>
        <v/>
      </c>
      <c r="D59" s="11" t="str">
        <f>IF(B59="","",MPR!K49*$D$3*$D$4)</f>
        <v/>
      </c>
      <c r="E59" s="32" t="str">
        <f>MPR!L49</f>
        <v/>
      </c>
      <c r="F59" s="25" t="str">
        <f t="shared" si="9"/>
        <v/>
      </c>
      <c r="G59" s="1"/>
      <c r="H59" s="90" t="str">
        <f t="shared" si="10"/>
        <v/>
      </c>
      <c r="I59" s="672" t="str">
        <f t="shared" si="11"/>
        <v/>
      </c>
      <c r="J59" s="675" t="str">
        <f>IFERROR(INDEX('Calcular Dieta'!$J$9:$J$35,MATCH(B59,'Calcular Dieta'!$B$9:$B$35,0))*D59,"")</f>
        <v/>
      </c>
      <c r="K59" s="688"/>
      <c r="L59" s="1"/>
      <c r="M59" s="1"/>
      <c r="N59" s="1"/>
    </row>
    <row r="60" spans="1:14" ht="15.75">
      <c r="A60" s="87"/>
      <c r="B60" s="26" t="str">
        <f>MPR!J50</f>
        <v/>
      </c>
      <c r="C60" s="14" t="str">
        <f t="shared" si="8"/>
        <v/>
      </c>
      <c r="D60" s="11" t="str">
        <f>IF(B60="","",MPR!K50*$D$3*$D$4)</f>
        <v/>
      </c>
      <c r="E60" s="32" t="str">
        <f>MPR!L50</f>
        <v/>
      </c>
      <c r="F60" s="25" t="str">
        <f t="shared" si="9"/>
        <v/>
      </c>
      <c r="G60" s="1"/>
      <c r="H60" s="90" t="str">
        <f t="shared" si="10"/>
        <v/>
      </c>
      <c r="I60" s="672" t="str">
        <f t="shared" si="11"/>
        <v/>
      </c>
      <c r="J60" s="675" t="str">
        <f>IFERROR(INDEX('Calcular Dieta'!$J$9:$J$35,MATCH(B60,'Calcular Dieta'!$B$9:$B$35,0))*D60,"")</f>
        <v/>
      </c>
      <c r="K60" s="686" t="s">
        <v>1362</v>
      </c>
      <c r="L60" s="1"/>
      <c r="M60" s="1"/>
      <c r="N60" s="1"/>
    </row>
    <row r="61" spans="1:14" ht="15.75">
      <c r="A61" s="87"/>
      <c r="B61" s="26" t="str">
        <f>MPR!J51</f>
        <v/>
      </c>
      <c r="C61" s="14" t="str">
        <f t="shared" si="8"/>
        <v/>
      </c>
      <c r="D61" s="11" t="str">
        <f>IF(B61="","",MPR!K51*$D$3*$D$4)</f>
        <v/>
      </c>
      <c r="E61" s="32" t="str">
        <f>MPR!L51</f>
        <v/>
      </c>
      <c r="F61" s="25" t="str">
        <f t="shared" si="9"/>
        <v/>
      </c>
      <c r="G61" s="1"/>
      <c r="H61" s="90" t="str">
        <f t="shared" si="10"/>
        <v/>
      </c>
      <c r="I61" s="672" t="str">
        <f t="shared" si="11"/>
        <v/>
      </c>
      <c r="J61" s="675" t="str">
        <f>IFERROR(INDEX('Calcular Dieta'!$J$9:$J$35,MATCH(B61,'Calcular Dieta'!$B$9:$B$35,0))*D61,"")</f>
        <v/>
      </c>
      <c r="K61" s="687" t="s">
        <v>3</v>
      </c>
      <c r="L61" s="51">
        <f>SUMIFS('Calcular Dieta'!BE9:BE33,'Calcular Dieta'!BL9:BL33,"Volumoso")</f>
        <v>0</v>
      </c>
      <c r="M61" s="1"/>
      <c r="N61" s="1"/>
    </row>
    <row r="62" spans="1:14" ht="15.75">
      <c r="A62" s="87"/>
      <c r="B62" s="26" t="str">
        <f>MPR!J52</f>
        <v/>
      </c>
      <c r="C62" s="14" t="str">
        <f t="shared" si="8"/>
        <v/>
      </c>
      <c r="D62" s="11" t="str">
        <f>IF(B62="","",MPR!K52*$D$3*$D$4)</f>
        <v/>
      </c>
      <c r="E62" s="32" t="str">
        <f>MPR!L52</f>
        <v/>
      </c>
      <c r="F62" s="25" t="str">
        <f t="shared" si="9"/>
        <v/>
      </c>
      <c r="G62" s="1"/>
      <c r="H62" s="90" t="str">
        <f t="shared" si="10"/>
        <v/>
      </c>
      <c r="I62" s="672" t="str">
        <f t="shared" si="11"/>
        <v/>
      </c>
      <c r="J62" s="675" t="str">
        <f>IFERROR(INDEX('Calcular Dieta'!$J$9:$J$35,MATCH(B62,'Calcular Dieta'!$B$9:$B$35,0))*D62,"")</f>
        <v/>
      </c>
      <c r="K62" s="687" t="s">
        <v>4</v>
      </c>
      <c r="L62" s="51">
        <f>SUMIFS('Calcular Dieta'!BE9:BE33,'Calcular Dieta'!BL9:BL33,"Concentrado")</f>
        <v>0.99999994080117671</v>
      </c>
      <c r="M62" s="1"/>
      <c r="N62" s="1"/>
    </row>
    <row r="63" spans="1:14" ht="15.75">
      <c r="A63" s="87"/>
      <c r="B63" s="26" t="str">
        <f>MPR!J53</f>
        <v/>
      </c>
      <c r="C63" s="14" t="str">
        <f t="shared" si="8"/>
        <v/>
      </c>
      <c r="D63" s="11" t="str">
        <f>IF(B63="","",MPR!K53*$D$3*$D$4)</f>
        <v/>
      </c>
      <c r="E63" s="32" t="str">
        <f>MPR!L53</f>
        <v/>
      </c>
      <c r="F63" s="25" t="str">
        <f t="shared" si="9"/>
        <v/>
      </c>
      <c r="G63" s="1"/>
      <c r="H63" s="90" t="str">
        <f t="shared" si="10"/>
        <v/>
      </c>
      <c r="I63" s="672" t="str">
        <f t="shared" si="11"/>
        <v/>
      </c>
      <c r="J63" s="675" t="str">
        <f>IFERROR(INDEX('Calcular Dieta'!$J$9:$J$35,MATCH(B63,'Calcular Dieta'!$B$9:$B$35,0))*D63,"")</f>
        <v/>
      </c>
      <c r="K63" s="688"/>
      <c r="L63" s="51"/>
      <c r="M63" s="1"/>
      <c r="N63" s="1"/>
    </row>
    <row r="64" spans="1:14" ht="15.75">
      <c r="A64" s="87"/>
      <c r="B64" s="26" t="str">
        <f>MPR!J54</f>
        <v/>
      </c>
      <c r="C64" s="14" t="str">
        <f t="shared" si="8"/>
        <v/>
      </c>
      <c r="D64" s="11" t="str">
        <f>IF(B64="","",MPR!K54*$D$3*$D$4)</f>
        <v/>
      </c>
      <c r="E64" s="32" t="str">
        <f>MPR!L54</f>
        <v/>
      </c>
      <c r="F64" s="25" t="str">
        <f t="shared" si="9"/>
        <v/>
      </c>
      <c r="G64" s="1"/>
      <c r="H64" s="90" t="str">
        <f t="shared" si="10"/>
        <v/>
      </c>
      <c r="I64" s="672" t="str">
        <f t="shared" si="11"/>
        <v/>
      </c>
      <c r="J64" s="675" t="str">
        <f>IFERROR(INDEX('Calcular Dieta'!$J$9:$J$35,MATCH(B64,'Calcular Dieta'!$B$9:$B$35,0))*D64,"")</f>
        <v/>
      </c>
      <c r="K64" s="686" t="s">
        <v>1363</v>
      </c>
      <c r="L64" s="1"/>
      <c r="M64" s="1"/>
      <c r="N64" s="1"/>
    </row>
    <row r="65" spans="1:14" ht="15.75">
      <c r="A65" s="87"/>
      <c r="B65" s="26" t="str">
        <f>MPR!J55</f>
        <v/>
      </c>
      <c r="C65" s="14" t="str">
        <f t="shared" si="8"/>
        <v/>
      </c>
      <c r="D65" s="11" t="str">
        <f>IF(B65="","",MPR!K55*$D$3*$D$4)</f>
        <v/>
      </c>
      <c r="E65" s="32" t="str">
        <f>MPR!L55</f>
        <v/>
      </c>
      <c r="F65" s="25" t="str">
        <f t="shared" si="9"/>
        <v/>
      </c>
      <c r="G65" s="1"/>
      <c r="H65" s="90" t="str">
        <f t="shared" si="10"/>
        <v/>
      </c>
      <c r="I65" s="672" t="str">
        <f t="shared" si="11"/>
        <v/>
      </c>
      <c r="J65" s="675" t="str">
        <f>IFERROR(INDEX('Calcular Dieta'!$J$9:$J$35,MATCH(B65,'Calcular Dieta'!$B$9:$B$35,0))*D65,"")</f>
        <v/>
      </c>
      <c r="K65" s="687" t="s">
        <v>3</v>
      </c>
      <c r="L65" s="51">
        <f>SUMIFS('Calcular Dieta'!BI9:BI33,'Calcular Dieta'!BL9:BL33,"Volumoso")</f>
        <v>0</v>
      </c>
      <c r="M65" s="1"/>
      <c r="N65" s="1"/>
    </row>
    <row r="66" spans="1:14" ht="15.75">
      <c r="A66" s="87"/>
      <c r="B66" s="26" t="str">
        <f>MPR!J56</f>
        <v/>
      </c>
      <c r="C66" s="14" t="str">
        <f t="shared" si="8"/>
        <v/>
      </c>
      <c r="D66" s="11" t="str">
        <f>IF(B66="","",MPR!K56*$D$3*$D$4)</f>
        <v/>
      </c>
      <c r="E66" s="32" t="str">
        <f>MPR!L56</f>
        <v/>
      </c>
      <c r="F66" s="25" t="str">
        <f t="shared" si="9"/>
        <v/>
      </c>
      <c r="G66" s="1"/>
      <c r="H66" s="90" t="str">
        <f t="shared" si="10"/>
        <v/>
      </c>
      <c r="I66" s="672" t="str">
        <f t="shared" si="11"/>
        <v/>
      </c>
      <c r="J66" s="675" t="str">
        <f>IFERROR(INDEX('Calcular Dieta'!$J$9:$J$35,MATCH(B66,'Calcular Dieta'!$B$9:$B$35,0))*D66,"")</f>
        <v/>
      </c>
      <c r="K66" s="687" t="s">
        <v>4</v>
      </c>
      <c r="L66" s="51">
        <f>SUMIFS('Calcular Dieta'!BI9:BI33,'Calcular Dieta'!BL9:BL33,"Concentrado")</f>
        <v>0.99216764145481651</v>
      </c>
      <c r="M66" s="1"/>
      <c r="N66" s="1"/>
    </row>
    <row r="67" spans="1:14" ht="15.75">
      <c r="A67" s="87"/>
      <c r="B67" s="26" t="str">
        <f>MPR!J57</f>
        <v/>
      </c>
      <c r="C67" s="14" t="str">
        <f t="shared" si="8"/>
        <v/>
      </c>
      <c r="D67" s="11" t="str">
        <f>IF(B67="","",MPR!K57*$D$3*$D$4)</f>
        <v/>
      </c>
      <c r="E67" s="32" t="str">
        <f>MPR!L57</f>
        <v/>
      </c>
      <c r="F67" s="25" t="str">
        <f t="shared" si="9"/>
        <v/>
      </c>
      <c r="G67" s="1"/>
      <c r="H67" s="90" t="str">
        <f t="shared" si="10"/>
        <v/>
      </c>
      <c r="I67" s="672" t="str">
        <f t="shared" si="11"/>
        <v/>
      </c>
      <c r="J67" s="675" t="str">
        <f>IFERROR(INDEX('Calcular Dieta'!$J$9:$J$35,MATCH(B67,'Calcular Dieta'!$B$9:$B$35,0))*D67,"")</f>
        <v/>
      </c>
      <c r="K67" s="1"/>
      <c r="L67" s="1"/>
      <c r="M67" s="1"/>
      <c r="N67" s="1"/>
    </row>
    <row r="68" spans="1:14" ht="16.5" thickBot="1">
      <c r="A68" s="87"/>
      <c r="B68" s="26" t="str">
        <f>MPR!J58</f>
        <v/>
      </c>
      <c r="C68" s="14" t="str">
        <f t="shared" si="8"/>
        <v/>
      </c>
      <c r="D68" s="11" t="str">
        <f>IF(B68="","",MPR!K58*$D$3*$D$4)</f>
        <v/>
      </c>
      <c r="E68" s="32" t="str">
        <f>MPR!L58</f>
        <v/>
      </c>
      <c r="F68" s="25" t="str">
        <f t="shared" si="9"/>
        <v/>
      </c>
      <c r="G68" s="1"/>
      <c r="H68" s="90" t="str">
        <f t="shared" ref="H68" si="12">IF(D68="","",D68/SUM($D$44:$D$68))</f>
        <v/>
      </c>
      <c r="I68" s="672" t="str">
        <f t="shared" si="11"/>
        <v/>
      </c>
      <c r="J68" s="675" t="str">
        <f>IFERROR(INDEX('Calcular Dieta'!$J$9:$J$35,MATCH(B68,'Calcular Dieta'!$B$9:$B$35,0))*D68,"")</f>
        <v/>
      </c>
      <c r="K68" s="1"/>
      <c r="L68" s="1"/>
      <c r="M68" s="1"/>
      <c r="N68" s="1"/>
    </row>
    <row r="69" spans="1:14" ht="16.5" thickBot="1">
      <c r="A69" s="88"/>
      <c r="B69" s="677"/>
      <c r="C69" s="33">
        <f>SUM(C44:C68)</f>
        <v>8.9999994672105874</v>
      </c>
      <c r="D69" s="36">
        <f>SUM(D43:D68)</f>
        <v>8999.9994672105895</v>
      </c>
      <c r="E69" s="35">
        <f>IFERROR(F69/D69,0)</f>
        <v>1.060780125726541</v>
      </c>
      <c r="F69" s="13">
        <f>SUM(F44:F68)</f>
        <v>9547.020566366451</v>
      </c>
      <c r="G69" s="1"/>
      <c r="H69" s="678">
        <f>SUM(H43:H68)</f>
        <v>1.0000000000000002</v>
      </c>
      <c r="I69" s="673">
        <f t="shared" ref="I69:J69" si="13">SUM(I43:I68)</f>
        <v>1.0000000000000004</v>
      </c>
      <c r="J69" s="676">
        <f t="shared" si="13"/>
        <v>8929.5087730933465</v>
      </c>
      <c r="K69" s="1"/>
      <c r="L69" s="1"/>
      <c r="M69" s="1"/>
      <c r="N69" s="1"/>
    </row>
    <row r="70" spans="1:14" ht="15.75">
      <c r="A70" s="1"/>
      <c r="B70" s="17"/>
      <c r="C70" s="54"/>
      <c r="D70" s="55"/>
      <c r="E70" s="56"/>
      <c r="F70" s="18"/>
      <c r="G70" s="1"/>
      <c r="H70" s="1"/>
      <c r="I70" s="1"/>
      <c r="J70" s="1"/>
      <c r="K70" s="1"/>
      <c r="L70" s="1"/>
      <c r="M70" s="1"/>
      <c r="N70" s="1"/>
    </row>
    <row r="71" spans="1:14" ht="15.75">
      <c r="A71" s="1"/>
      <c r="B71" s="17"/>
      <c r="C71" s="54"/>
      <c r="D71" s="55"/>
      <c r="E71" s="56"/>
      <c r="F71" s="18"/>
      <c r="G71" s="1"/>
      <c r="H71" s="1"/>
      <c r="I71" s="1"/>
      <c r="J71" s="1"/>
      <c r="K71" s="1"/>
      <c r="L71" s="1"/>
      <c r="M71" s="1"/>
      <c r="N71" s="1"/>
    </row>
    <row r="72" spans="1:14" ht="15" thickBo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</row>
    <row r="73" spans="1:14" ht="27" thickTop="1" thickBot="1">
      <c r="A73" s="1"/>
      <c r="B73" s="682" t="s">
        <v>842</v>
      </c>
      <c r="C73" s="683"/>
      <c r="D73" s="683"/>
      <c r="E73" s="683"/>
      <c r="F73" s="683"/>
      <c r="G73" s="683"/>
      <c r="H73" s="683"/>
      <c r="I73" s="683"/>
      <c r="J73" s="683"/>
      <c r="K73" s="683"/>
      <c r="L73" s="684"/>
      <c r="M73" s="685"/>
      <c r="N73" s="1"/>
    </row>
    <row r="74" spans="1:14" ht="6.75" customHeight="1" thickTop="1">
      <c r="A74" s="1"/>
      <c r="B74" s="2231"/>
      <c r="C74" s="2231"/>
      <c r="D74" s="2231"/>
      <c r="E74" s="2231"/>
      <c r="F74" s="2231"/>
      <c r="G74" s="2231"/>
      <c r="H74" s="2231"/>
      <c r="I74" s="2231"/>
      <c r="J74" s="2231"/>
      <c r="K74" s="2231"/>
      <c r="L74" s="2231"/>
      <c r="M74" s="2231"/>
      <c r="N74" s="1"/>
    </row>
    <row r="75" spans="1:14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</row>
    <row r="76" spans="1:14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</row>
    <row r="77" spans="1:14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</row>
    <row r="78" spans="1:14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</row>
    <row r="79" spans="1:14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</row>
    <row r="80" spans="1:14" ht="18.75">
      <c r="A80" s="1"/>
      <c r="B80" s="680"/>
      <c r="C80" s="680"/>
      <c r="D80" s="680"/>
      <c r="E80" s="680"/>
      <c r="F80" s="680"/>
      <c r="G80" s="680"/>
      <c r="H80" s="680"/>
      <c r="I80" s="680"/>
      <c r="J80" s="680"/>
      <c r="K80" s="680"/>
      <c r="L80" s="680"/>
      <c r="M80" s="680"/>
      <c r="N80" s="1"/>
    </row>
    <row r="81" spans="1:14" ht="15" customHeight="1">
      <c r="A81" s="1"/>
      <c r="B81" s="680"/>
      <c r="C81" s="680"/>
      <c r="D81" s="680"/>
      <c r="E81" s="680"/>
      <c r="F81" s="680"/>
      <c r="G81" s="680"/>
      <c r="H81" s="680"/>
      <c r="I81" s="680"/>
      <c r="J81" s="680"/>
      <c r="K81" s="680"/>
      <c r="L81" s="680"/>
      <c r="M81" s="680"/>
      <c r="N81" s="1"/>
    </row>
    <row r="82" spans="1:14" ht="15" customHeight="1">
      <c r="A82" s="1"/>
      <c r="B82" s="681"/>
      <c r="C82" s="681"/>
      <c r="D82" s="681"/>
      <c r="E82" s="681"/>
      <c r="F82" s="681"/>
      <c r="G82" s="681"/>
      <c r="H82" s="681"/>
      <c r="I82" s="681"/>
      <c r="J82" s="681"/>
      <c r="K82" s="681"/>
      <c r="L82" s="681"/>
      <c r="M82" s="681"/>
      <c r="N82" s="1"/>
    </row>
    <row r="83" spans="1:14" ht="15" customHeight="1">
      <c r="A83" s="1"/>
      <c r="B83" s="680"/>
      <c r="C83" s="680"/>
      <c r="D83" s="680"/>
      <c r="E83" s="680"/>
      <c r="F83" s="680"/>
      <c r="G83" s="680"/>
      <c r="H83" s="680"/>
      <c r="I83" s="680"/>
      <c r="J83" s="680"/>
      <c r="K83" s="680"/>
      <c r="L83" s="680"/>
      <c r="M83" s="680"/>
      <c r="N83" s="1"/>
    </row>
    <row r="84" spans="1:14" ht="15" customHeight="1">
      <c r="A84" s="1"/>
      <c r="B84" s="2215"/>
      <c r="C84" s="2215"/>
      <c r="D84" s="2215"/>
      <c r="E84" s="2215"/>
      <c r="F84" s="2215"/>
      <c r="G84" s="2215"/>
      <c r="H84" s="2215"/>
      <c r="I84" s="2215"/>
      <c r="J84" s="2215"/>
      <c r="K84" s="2215"/>
      <c r="L84" s="2215"/>
      <c r="M84" s="2215"/>
      <c r="N84" s="1"/>
    </row>
    <row r="85" spans="1:14" ht="18.75">
      <c r="A85" s="1"/>
      <c r="B85" s="2215"/>
      <c r="C85" s="2215"/>
      <c r="D85" s="2215"/>
      <c r="E85" s="2215"/>
      <c r="F85" s="2215"/>
      <c r="G85" s="2215"/>
      <c r="H85" s="2215"/>
      <c r="I85" s="2215"/>
      <c r="J85" s="2215"/>
      <c r="K85" s="2215"/>
      <c r="L85" s="2215"/>
      <c r="M85" s="2215"/>
      <c r="N85" s="1"/>
    </row>
    <row r="86" spans="1:14" ht="18.75">
      <c r="A86" s="1"/>
      <c r="B86" s="2215"/>
      <c r="C86" s="2215"/>
      <c r="D86" s="2215"/>
      <c r="E86" s="2215"/>
      <c r="F86" s="2215"/>
      <c r="G86" s="2215"/>
      <c r="H86" s="2215"/>
      <c r="I86" s="2215"/>
      <c r="J86" s="2215"/>
      <c r="K86" s="2215"/>
      <c r="L86" s="2215"/>
      <c r="M86" s="2215"/>
      <c r="N86" s="1"/>
    </row>
    <row r="87" spans="1:14">
      <c r="A87" s="1"/>
      <c r="B87" s="2232" t="str">
        <f>"Técnico Responsável: "&amp;Usuário</f>
        <v>Técnico Responsável: Iomar Bezerra da Silva</v>
      </c>
      <c r="C87" s="2232"/>
      <c r="D87" s="2232"/>
      <c r="E87" s="2232"/>
      <c r="F87" s="2232"/>
      <c r="G87" s="2232"/>
      <c r="H87" s="2232"/>
      <c r="I87" s="2232"/>
      <c r="J87" s="2232"/>
      <c r="K87" s="2232"/>
      <c r="L87" s="2232"/>
      <c r="M87" s="2232"/>
      <c r="N87" s="1"/>
    </row>
    <row r="88" spans="1:14">
      <c r="A88" s="1"/>
      <c r="B88" s="259" t="str">
        <f>IF(A4&gt;0,"O "&amp;IF(MPR!R14&lt;0,"prejuizo de ","lucro de ")&amp;D3&amp;IF(D3&gt;1," animais"," animal")&amp;" no período de "&amp;D4&amp;" dia(s) é de "&amp;TEXT((D3*D4*MPR!R13),"R$ #.##0,00"),"")</f>
        <v/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</row>
    <row r="89" spans="1:14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038"/>
      <c r="N89" s="1"/>
    </row>
    <row r="90" spans="1:14" ht="38.25" customHeight="1">
      <c r="A90" s="668" t="str">
        <f>IFERROR(INDEX('Calcular Dieta'!$J$9:$J$35,MATCH(B90,'Calcular Dieta'!$B$9:$B$35,0))*D90,"")</f>
        <v/>
      </c>
      <c r="B90" s="1574" t="s">
        <v>3</v>
      </c>
      <c r="C90" s="1575"/>
      <c r="D90" s="1575"/>
      <c r="E90" s="1575"/>
      <c r="F90" s="1575"/>
      <c r="G90" s="1575"/>
      <c r="H90" s="1575"/>
      <c r="I90" s="1575"/>
      <c r="J90" s="1575"/>
      <c r="K90" s="1575"/>
      <c r="L90" s="1575"/>
      <c r="M90" s="1575"/>
      <c r="N90" s="1"/>
    </row>
    <row r="91" spans="1:14" ht="15" thickBot="1">
      <c r="A91" s="668" t="str">
        <f>IFERROR(INDEX('Calcular Dieta'!$J$9:$J$35,MATCH(B91,'Calcular Dieta'!$B$9:$B$35,0))*D91,"")</f>
        <v/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</row>
    <row r="92" spans="1:14" ht="16.5" thickBot="1">
      <c r="A92" s="668" t="str">
        <f>IFERROR(INDEX('Calcular Dieta'!$J$9:$J$35,MATCH(B92,'Calcular Dieta'!$B$9:$B$35,0))*D92,"")</f>
        <v/>
      </c>
      <c r="B92" s="2226" t="str">
        <f>IF(D54=0,"Favor informar o número de dia(s) para a alimentação",IF(D53=0,"Favor, informe quantidade de animais",IF($D$3&gt;1,"Volumosoo para "&amp;D53&amp;" Animais","Volumoso para 1 animal"))&amp;" por "&amp;D54&amp;" dia(s)")</f>
        <v>Volumosoo para 0,3035413153457 Animais por 0,157894736842105 dia(s)</v>
      </c>
      <c r="C92" s="2227"/>
      <c r="D92" s="2227"/>
      <c r="E92" s="2227"/>
      <c r="F92" s="2228"/>
      <c r="G92" s="1"/>
      <c r="H92" s="86" t="s">
        <v>318</v>
      </c>
      <c r="I92" s="670" t="s">
        <v>259</v>
      </c>
      <c r="J92" s="670" t="s">
        <v>259</v>
      </c>
      <c r="K92" s="1"/>
      <c r="L92" s="1"/>
      <c r="M92" s="1"/>
      <c r="N92" s="1"/>
    </row>
    <row r="93" spans="1:14" ht="15" thickBot="1">
      <c r="A93" s="668" t="str">
        <f>IFERROR(INDEX('Calcular Dieta'!$J$9:$J$35,MATCH(B93,'Calcular Dieta'!$B$9:$B$35,0))*D93,"")</f>
        <v/>
      </c>
      <c r="B93" s="1571" t="s">
        <v>74</v>
      </c>
      <c r="C93" s="1571" t="s">
        <v>82</v>
      </c>
      <c r="D93" s="1571" t="s">
        <v>78</v>
      </c>
      <c r="E93" s="1571" t="s">
        <v>73</v>
      </c>
      <c r="F93" s="1571" t="s">
        <v>64</v>
      </c>
      <c r="G93" s="1"/>
      <c r="H93" s="1571" t="s">
        <v>61</v>
      </c>
      <c r="I93" s="1571" t="s">
        <v>61</v>
      </c>
      <c r="J93" s="1571" t="s">
        <v>754</v>
      </c>
      <c r="K93" s="1"/>
      <c r="L93" s="1"/>
      <c r="M93" s="1"/>
      <c r="N93" s="1"/>
    </row>
    <row r="94" spans="1:14" ht="16.5" thickTop="1">
      <c r="A94" s="668"/>
      <c r="B94" s="26" t="str">
        <f>MPR!J61</f>
        <v/>
      </c>
      <c r="C94" s="14" t="str">
        <f>IF(D94="","",D94/1000)</f>
        <v/>
      </c>
      <c r="D94" s="11" t="str">
        <f>IF(B94="","",MPR!K61)</f>
        <v/>
      </c>
      <c r="E94" s="32" t="str">
        <f>IF(B94="","",MPR!L61)</f>
        <v/>
      </c>
      <c r="F94" s="25" t="str">
        <f>IF(B94="","",D94*E94)</f>
        <v/>
      </c>
      <c r="G94" s="1"/>
      <c r="H94" s="89" t="str">
        <f>IFERROR(IF(D94="","",D94/SUM($D$94:$D$118)),0)</f>
        <v/>
      </c>
      <c r="I94" s="671" t="str">
        <f>IFERROR(J94/J$119,"")</f>
        <v/>
      </c>
      <c r="J94" s="674" t="str">
        <f>IFERROR(INDEX('Calcular Dieta'!$J$9:$J$35,MATCH(B94,'Calcular Dieta'!$B$9:$B$35,0))*D94,"")</f>
        <v/>
      </c>
      <c r="K94" s="1"/>
      <c r="L94" s="1"/>
      <c r="M94" s="1"/>
      <c r="N94" s="1"/>
    </row>
    <row r="95" spans="1:14" ht="15.75">
      <c r="A95" s="668"/>
      <c r="B95" s="26" t="str">
        <f>MPR!J62</f>
        <v/>
      </c>
      <c r="C95" s="14" t="str">
        <f t="shared" ref="C95:C118" si="14">IF(D95="","",D95/1000)</f>
        <v/>
      </c>
      <c r="D95" s="11" t="str">
        <f>IF(B95="","",MPR!K62)</f>
        <v/>
      </c>
      <c r="E95" s="32" t="str">
        <f>IF(B95="","",MPR!L62)</f>
        <v/>
      </c>
      <c r="F95" s="25" t="str">
        <f t="shared" ref="F95:F118" si="15">IF(B95="","",D95*E95)</f>
        <v/>
      </c>
      <c r="G95" s="1"/>
      <c r="H95" s="90" t="str">
        <f t="shared" ref="H95:H118" si="16">IFERROR(IF(D95="","",D95/SUM($D$94:$D$118)),0)</f>
        <v/>
      </c>
      <c r="I95" s="672" t="str">
        <f>IFERROR(J95/J$69,"")</f>
        <v/>
      </c>
      <c r="J95" s="675" t="str">
        <f>IFERROR(INDEX('Calcular Dieta'!$J$9:$J$35,MATCH(B95,'Calcular Dieta'!$B$9:$B$35,0))*D95,"")</f>
        <v/>
      </c>
      <c r="K95" s="1"/>
      <c r="L95" s="1"/>
      <c r="M95" s="1"/>
      <c r="N95" s="1"/>
    </row>
    <row r="96" spans="1:14" ht="15.75">
      <c r="A96" s="668"/>
      <c r="B96" s="26" t="str">
        <f>MPR!J63</f>
        <v/>
      </c>
      <c r="C96" s="14" t="str">
        <f t="shared" si="14"/>
        <v/>
      </c>
      <c r="D96" s="11" t="str">
        <f>IF(B96="","",MPR!K63)</f>
        <v/>
      </c>
      <c r="E96" s="32" t="str">
        <f>IF(B96="","",MPR!L63)</f>
        <v/>
      </c>
      <c r="F96" s="25" t="str">
        <f t="shared" si="15"/>
        <v/>
      </c>
      <c r="G96" s="1"/>
      <c r="H96" s="90" t="str">
        <f t="shared" si="16"/>
        <v/>
      </c>
      <c r="I96" s="672" t="str">
        <f>IFERROR(J96/J$69,"")</f>
        <v/>
      </c>
      <c r="J96" s="675" t="str">
        <f>IFERROR(INDEX('Calcular Dieta'!$J$9:$J$35,MATCH(B96,'Calcular Dieta'!$B$9:$B$35,0))*D96,"")</f>
        <v/>
      </c>
      <c r="K96" s="1"/>
      <c r="L96" s="1"/>
      <c r="M96" s="1"/>
      <c r="N96" s="1"/>
    </row>
    <row r="97" spans="1:14" ht="15.75">
      <c r="A97" s="668"/>
      <c r="B97" s="26" t="str">
        <f>MPR!J64</f>
        <v/>
      </c>
      <c r="C97" s="14" t="str">
        <f t="shared" si="14"/>
        <v/>
      </c>
      <c r="D97" s="11" t="str">
        <f>IF(B97="","",MPR!K64)</f>
        <v/>
      </c>
      <c r="E97" s="32" t="str">
        <f>IF(B97="","",MPR!L64)</f>
        <v/>
      </c>
      <c r="F97" s="25" t="str">
        <f t="shared" si="15"/>
        <v/>
      </c>
      <c r="G97" s="1"/>
      <c r="H97" s="90" t="str">
        <f t="shared" si="16"/>
        <v/>
      </c>
      <c r="I97" s="672" t="str">
        <f>IFERROR(J97/J$69,"")</f>
        <v/>
      </c>
      <c r="J97" s="675" t="str">
        <f>IFERROR(INDEX('Calcular Dieta'!$J$9:$J$35,MATCH(B97,'Calcular Dieta'!$B$9:$B$35,0))*D97,"")</f>
        <v/>
      </c>
      <c r="K97" s="1"/>
      <c r="L97" s="1"/>
      <c r="M97" s="1"/>
      <c r="N97" s="1"/>
    </row>
    <row r="98" spans="1:14" ht="15.75">
      <c r="A98" s="668"/>
      <c r="B98" s="26" t="str">
        <f>MPR!J65</f>
        <v/>
      </c>
      <c r="C98" s="14" t="str">
        <f t="shared" si="14"/>
        <v/>
      </c>
      <c r="D98" s="11" t="str">
        <f>IF(B98="","",MPR!K65)</f>
        <v/>
      </c>
      <c r="E98" s="32" t="str">
        <f>IF(B98="","",MPR!L65)</f>
        <v/>
      </c>
      <c r="F98" s="25" t="str">
        <f t="shared" si="15"/>
        <v/>
      </c>
      <c r="G98" s="1"/>
      <c r="H98" s="90" t="str">
        <f t="shared" si="16"/>
        <v/>
      </c>
      <c r="I98" s="672" t="str">
        <f>IFERROR(J98/J$69,"")</f>
        <v/>
      </c>
      <c r="J98" s="675" t="str">
        <f>IFERROR(INDEX('Calcular Dieta'!$J$9:$J$35,MATCH(B98,'Calcular Dieta'!$B$9:$B$35,0))*D98,"")</f>
        <v/>
      </c>
      <c r="K98" s="1"/>
      <c r="L98" s="1"/>
      <c r="M98" s="1"/>
      <c r="N98" s="1"/>
    </row>
    <row r="99" spans="1:14" ht="15.75">
      <c r="A99" s="668"/>
      <c r="B99" s="26" t="str">
        <f>MPR!J66</f>
        <v/>
      </c>
      <c r="C99" s="14" t="str">
        <f t="shared" si="14"/>
        <v/>
      </c>
      <c r="D99" s="11" t="str">
        <f>IF(B99="","",MPR!K66)</f>
        <v/>
      </c>
      <c r="E99" s="32" t="str">
        <f>IF(B99="","",MPR!L66)</f>
        <v/>
      </c>
      <c r="F99" s="25" t="str">
        <f t="shared" si="15"/>
        <v/>
      </c>
      <c r="G99" s="1"/>
      <c r="H99" s="90" t="str">
        <f t="shared" si="16"/>
        <v/>
      </c>
      <c r="I99" s="672" t="str">
        <f t="shared" ref="I99:I118" si="17">IFERROR(J99/J$69,"")</f>
        <v/>
      </c>
      <c r="J99" s="675" t="str">
        <f>IFERROR(INDEX('Calcular Dieta'!$J$9:$J$35,MATCH(B99,'Calcular Dieta'!$B$9:$B$35,0))*D99,"")</f>
        <v/>
      </c>
      <c r="K99" s="1"/>
      <c r="L99" s="1"/>
      <c r="M99" s="1"/>
      <c r="N99" s="1"/>
    </row>
    <row r="100" spans="1:14" ht="15.75">
      <c r="A100" s="668"/>
      <c r="B100" s="26" t="str">
        <f>MPR!J67</f>
        <v/>
      </c>
      <c r="C100" s="14" t="str">
        <f t="shared" si="14"/>
        <v/>
      </c>
      <c r="D100" s="11" t="str">
        <f>IF(B100="","",MPR!K67)</f>
        <v/>
      </c>
      <c r="E100" s="32" t="str">
        <f>IF(B100="","",MPR!L67)</f>
        <v/>
      </c>
      <c r="F100" s="25" t="str">
        <f t="shared" si="15"/>
        <v/>
      </c>
      <c r="G100" s="1"/>
      <c r="H100" s="90" t="str">
        <f t="shared" si="16"/>
        <v/>
      </c>
      <c r="I100" s="672" t="str">
        <f t="shared" si="17"/>
        <v/>
      </c>
      <c r="J100" s="675" t="str">
        <f>IFERROR(INDEX('Calcular Dieta'!$J$9:$J$35,MATCH(B100,'Calcular Dieta'!$B$9:$B$35,0))*D100,"")</f>
        <v/>
      </c>
      <c r="K100" s="1"/>
      <c r="L100" s="1"/>
      <c r="M100" s="1"/>
      <c r="N100" s="1"/>
    </row>
    <row r="101" spans="1:14" ht="15.75">
      <c r="A101" s="668"/>
      <c r="B101" s="26" t="str">
        <f>MPR!J68</f>
        <v/>
      </c>
      <c r="C101" s="14" t="str">
        <f t="shared" si="14"/>
        <v/>
      </c>
      <c r="D101" s="11" t="str">
        <f>IF(B101="","",MPR!K68)</f>
        <v/>
      </c>
      <c r="E101" s="32" t="str">
        <f>IF(B101="","",MPR!L68)</f>
        <v/>
      </c>
      <c r="F101" s="25" t="str">
        <f t="shared" si="15"/>
        <v/>
      </c>
      <c r="G101" s="1"/>
      <c r="H101" s="90" t="str">
        <f t="shared" si="16"/>
        <v/>
      </c>
      <c r="I101" s="672" t="str">
        <f t="shared" si="17"/>
        <v/>
      </c>
      <c r="J101" s="675" t="str">
        <f>IFERROR(INDEX('Calcular Dieta'!$J$9:$J$35,MATCH(B101,'Calcular Dieta'!$B$9:$B$35,0))*D101,"")</f>
        <v/>
      </c>
      <c r="K101" s="1"/>
      <c r="L101" s="1"/>
      <c r="M101" s="1"/>
      <c r="N101" s="1"/>
    </row>
    <row r="102" spans="1:14" ht="15.75">
      <c r="A102" s="668"/>
      <c r="B102" s="26" t="str">
        <f>MPR!J69</f>
        <v/>
      </c>
      <c r="C102" s="14" t="str">
        <f t="shared" si="14"/>
        <v/>
      </c>
      <c r="D102" s="11" t="str">
        <f>IF(B102="","",MPR!K69)</f>
        <v/>
      </c>
      <c r="E102" s="32" t="str">
        <f>IF(B102="","",MPR!L69)</f>
        <v/>
      </c>
      <c r="F102" s="25" t="str">
        <f t="shared" si="15"/>
        <v/>
      </c>
      <c r="G102" s="1"/>
      <c r="H102" s="90" t="str">
        <f t="shared" si="16"/>
        <v/>
      </c>
      <c r="I102" s="672" t="str">
        <f t="shared" si="17"/>
        <v/>
      </c>
      <c r="J102" s="675" t="str">
        <f>IFERROR(INDEX('Calcular Dieta'!$J$9:$J$35,MATCH(B102,'Calcular Dieta'!$B$9:$B$35,0))*D102,"")</f>
        <v/>
      </c>
      <c r="K102" s="1"/>
      <c r="L102" s="1"/>
      <c r="M102" s="1"/>
      <c r="N102" s="1"/>
    </row>
    <row r="103" spans="1:14" ht="15.75">
      <c r="A103" s="668"/>
      <c r="B103" s="26" t="str">
        <f>MPR!J70</f>
        <v/>
      </c>
      <c r="C103" s="14" t="str">
        <f t="shared" si="14"/>
        <v/>
      </c>
      <c r="D103" s="11" t="str">
        <f>IF(B103="","",MPR!K70)</f>
        <v/>
      </c>
      <c r="E103" s="32" t="str">
        <f>IF(B103="","",MPR!L70)</f>
        <v/>
      </c>
      <c r="F103" s="25" t="str">
        <f t="shared" si="15"/>
        <v/>
      </c>
      <c r="G103" s="1"/>
      <c r="H103" s="90" t="str">
        <f t="shared" si="16"/>
        <v/>
      </c>
      <c r="I103" s="672" t="str">
        <f t="shared" si="17"/>
        <v/>
      </c>
      <c r="J103" s="675" t="str">
        <f>IFERROR(INDEX('Calcular Dieta'!$J$9:$J$35,MATCH(B103,'Calcular Dieta'!$B$9:$B$35,0))*D103,"")</f>
        <v/>
      </c>
      <c r="K103" s="1"/>
      <c r="L103" s="1"/>
      <c r="M103" s="1"/>
      <c r="N103" s="1"/>
    </row>
    <row r="104" spans="1:14" ht="15.75">
      <c r="A104" s="668"/>
      <c r="B104" s="26" t="str">
        <f>MPR!J71</f>
        <v/>
      </c>
      <c r="C104" s="14" t="str">
        <f t="shared" si="14"/>
        <v/>
      </c>
      <c r="D104" s="11" t="str">
        <f>IF(B104="","",MPR!K71)</f>
        <v/>
      </c>
      <c r="E104" s="32" t="str">
        <f>IF(B104="","",MPR!L71)</f>
        <v/>
      </c>
      <c r="F104" s="25" t="str">
        <f t="shared" si="15"/>
        <v/>
      </c>
      <c r="G104" s="1"/>
      <c r="H104" s="90" t="str">
        <f t="shared" si="16"/>
        <v/>
      </c>
      <c r="I104" s="672" t="str">
        <f t="shared" si="17"/>
        <v/>
      </c>
      <c r="J104" s="675" t="str">
        <f>IFERROR(INDEX('Calcular Dieta'!$J$9:$J$35,MATCH(B104,'Calcular Dieta'!$B$9:$B$35,0))*D104,"")</f>
        <v/>
      </c>
      <c r="K104" s="1"/>
      <c r="L104" s="1"/>
      <c r="M104" s="1"/>
      <c r="N104" s="1"/>
    </row>
    <row r="105" spans="1:14" ht="15.75">
      <c r="A105" s="668"/>
      <c r="B105" s="26" t="str">
        <f>MPR!J72</f>
        <v/>
      </c>
      <c r="C105" s="14" t="str">
        <f t="shared" si="14"/>
        <v/>
      </c>
      <c r="D105" s="11" t="str">
        <f>IF(B105="","",MPR!K72)</f>
        <v/>
      </c>
      <c r="E105" s="32" t="str">
        <f>IF(B105="","",MPR!L72)</f>
        <v/>
      </c>
      <c r="F105" s="25" t="str">
        <f t="shared" si="15"/>
        <v/>
      </c>
      <c r="G105" s="1"/>
      <c r="H105" s="90" t="str">
        <f t="shared" si="16"/>
        <v/>
      </c>
      <c r="I105" s="672" t="str">
        <f t="shared" si="17"/>
        <v/>
      </c>
      <c r="J105" s="675" t="str">
        <f>IFERROR(INDEX('Calcular Dieta'!$J$9:$J$35,MATCH(B105,'Calcular Dieta'!$B$9:$B$35,0))*D105,"")</f>
        <v/>
      </c>
      <c r="K105" s="1"/>
      <c r="L105" s="1"/>
      <c r="M105" s="1"/>
      <c r="N105" s="1"/>
    </row>
    <row r="106" spans="1:14" ht="15.75">
      <c r="A106" s="668"/>
      <c r="B106" s="26" t="str">
        <f>MPR!J73</f>
        <v/>
      </c>
      <c r="C106" s="14" t="str">
        <f t="shared" si="14"/>
        <v/>
      </c>
      <c r="D106" s="11" t="str">
        <f>IF(B106="","",MPR!K73)</f>
        <v/>
      </c>
      <c r="E106" s="32" t="str">
        <f>IF(B106="","",MPR!L73)</f>
        <v/>
      </c>
      <c r="F106" s="25" t="str">
        <f t="shared" si="15"/>
        <v/>
      </c>
      <c r="G106" s="1"/>
      <c r="H106" s="90" t="str">
        <f t="shared" si="16"/>
        <v/>
      </c>
      <c r="I106" s="672" t="str">
        <f t="shared" si="17"/>
        <v/>
      </c>
      <c r="J106" s="675" t="str">
        <f>IFERROR(INDEX('Calcular Dieta'!$J$9:$J$35,MATCH(B106,'Calcular Dieta'!$B$9:$B$35,0))*D106,"")</f>
        <v/>
      </c>
      <c r="K106" s="1"/>
      <c r="L106" s="1"/>
      <c r="M106" s="1"/>
      <c r="N106" s="1"/>
    </row>
    <row r="107" spans="1:14" ht="15.75">
      <c r="A107" s="668"/>
      <c r="B107" s="26" t="str">
        <f>MPR!J74</f>
        <v/>
      </c>
      <c r="C107" s="14" t="str">
        <f t="shared" si="14"/>
        <v/>
      </c>
      <c r="D107" s="11" t="str">
        <f>IF(B107="","",MPR!K74)</f>
        <v/>
      </c>
      <c r="E107" s="32" t="str">
        <f>IF(B107="","",MPR!L74)</f>
        <v/>
      </c>
      <c r="F107" s="25" t="str">
        <f t="shared" si="15"/>
        <v/>
      </c>
      <c r="G107" s="1"/>
      <c r="H107" s="90" t="str">
        <f t="shared" si="16"/>
        <v/>
      </c>
      <c r="I107" s="672" t="str">
        <f t="shared" si="17"/>
        <v/>
      </c>
      <c r="J107" s="675" t="str">
        <f>IFERROR(INDEX('Calcular Dieta'!$J$9:$J$35,MATCH(B107,'Calcular Dieta'!$B$9:$B$35,0))*D107,"")</f>
        <v/>
      </c>
      <c r="K107" s="1"/>
      <c r="L107" s="1"/>
      <c r="M107" s="1"/>
      <c r="N107" s="1"/>
    </row>
    <row r="108" spans="1:14" ht="15.75">
      <c r="A108" s="668"/>
      <c r="B108" s="26" t="str">
        <f>MPR!J75</f>
        <v/>
      </c>
      <c r="C108" s="14" t="str">
        <f t="shared" si="14"/>
        <v/>
      </c>
      <c r="D108" s="11" t="str">
        <f>IF(B108="","",MPR!K75)</f>
        <v/>
      </c>
      <c r="E108" s="32" t="str">
        <f>IF(B108="","",MPR!L75)</f>
        <v/>
      </c>
      <c r="F108" s="25" t="str">
        <f t="shared" si="15"/>
        <v/>
      </c>
      <c r="G108" s="1"/>
      <c r="H108" s="90" t="str">
        <f t="shared" si="16"/>
        <v/>
      </c>
      <c r="I108" s="672" t="str">
        <f t="shared" si="17"/>
        <v/>
      </c>
      <c r="J108" s="675" t="str">
        <f>IFERROR(INDEX('Calcular Dieta'!$J$9:$J$35,MATCH(B108,'Calcular Dieta'!$B$9:$B$35,0))*D108,"")</f>
        <v/>
      </c>
      <c r="K108" s="1"/>
      <c r="L108" s="1"/>
      <c r="M108" s="1"/>
      <c r="N108" s="1"/>
    </row>
    <row r="109" spans="1:14" ht="15.75">
      <c r="A109" s="668"/>
      <c r="B109" s="26" t="str">
        <f>MPR!J76</f>
        <v/>
      </c>
      <c r="C109" s="14" t="str">
        <f t="shared" si="14"/>
        <v/>
      </c>
      <c r="D109" s="11" t="str">
        <f>IF(B109="","",MPR!K76)</f>
        <v/>
      </c>
      <c r="E109" s="32" t="str">
        <f>IF(B109="","",MPR!L76)</f>
        <v/>
      </c>
      <c r="F109" s="25" t="str">
        <f t="shared" si="15"/>
        <v/>
      </c>
      <c r="G109" s="1"/>
      <c r="H109" s="90" t="str">
        <f t="shared" si="16"/>
        <v/>
      </c>
      <c r="I109" s="672" t="str">
        <f t="shared" si="17"/>
        <v/>
      </c>
      <c r="J109" s="675" t="str">
        <f>IFERROR(INDEX('Calcular Dieta'!$J$9:$J$35,MATCH(B109,'Calcular Dieta'!$B$9:$B$35,0))*D109,"")</f>
        <v/>
      </c>
      <c r="K109" s="16"/>
      <c r="L109" s="1"/>
      <c r="M109" s="1"/>
      <c r="N109" s="1"/>
    </row>
    <row r="110" spans="1:14" ht="15.75">
      <c r="A110" s="668"/>
      <c r="B110" s="26" t="str">
        <f>MPR!J77</f>
        <v/>
      </c>
      <c r="C110" s="14" t="str">
        <f t="shared" si="14"/>
        <v/>
      </c>
      <c r="D110" s="11" t="str">
        <f>IF(B110="","",MPR!K77)</f>
        <v/>
      </c>
      <c r="E110" s="32" t="str">
        <f>IF(B110="","",MPR!L77)</f>
        <v/>
      </c>
      <c r="F110" s="25" t="str">
        <f t="shared" si="15"/>
        <v/>
      </c>
      <c r="G110" s="1"/>
      <c r="H110" s="90" t="str">
        <f t="shared" si="16"/>
        <v/>
      </c>
      <c r="I110" s="672" t="str">
        <f t="shared" si="17"/>
        <v/>
      </c>
      <c r="J110" s="675" t="str">
        <f>IFERROR(INDEX('Calcular Dieta'!$J$9:$J$35,MATCH(B110,'Calcular Dieta'!$B$9:$B$35,0))*D110,"")</f>
        <v/>
      </c>
      <c r="K110" s="15"/>
      <c r="L110" s="51"/>
      <c r="M110" s="51"/>
      <c r="N110" s="1"/>
    </row>
    <row r="111" spans="1:14" ht="15.75">
      <c r="A111" s="668"/>
      <c r="B111" s="26" t="str">
        <f>MPR!J78</f>
        <v/>
      </c>
      <c r="C111" s="14" t="str">
        <f t="shared" si="14"/>
        <v/>
      </c>
      <c r="D111" s="11" t="str">
        <f>IF(B111="","",MPR!K78)</f>
        <v/>
      </c>
      <c r="E111" s="32" t="str">
        <f>IF(B111="","",MPR!L78)</f>
        <v/>
      </c>
      <c r="F111" s="25" t="str">
        <f t="shared" si="15"/>
        <v/>
      </c>
      <c r="G111" s="1"/>
      <c r="H111" s="90" t="str">
        <f t="shared" si="16"/>
        <v/>
      </c>
      <c r="I111" s="672" t="str">
        <f t="shared" si="17"/>
        <v/>
      </c>
      <c r="J111" s="675" t="str">
        <f>IFERROR(INDEX('Calcular Dieta'!$J$9:$J$35,MATCH(B111,'Calcular Dieta'!$B$9:$B$35,0))*D111,"")</f>
        <v/>
      </c>
      <c r="K111" s="15"/>
      <c r="L111" s="51"/>
      <c r="M111" s="51"/>
      <c r="N111" s="1"/>
    </row>
    <row r="112" spans="1:14" ht="15.75">
      <c r="A112" s="668"/>
      <c r="B112" s="26" t="str">
        <f>MPR!J79</f>
        <v/>
      </c>
      <c r="C112" s="14" t="str">
        <f t="shared" si="14"/>
        <v/>
      </c>
      <c r="D112" s="11" t="str">
        <f>IF(B112="","",MPR!K79)</f>
        <v/>
      </c>
      <c r="E112" s="32" t="str">
        <f>IF(B112="","",MPR!L79)</f>
        <v/>
      </c>
      <c r="F112" s="25" t="str">
        <f t="shared" si="15"/>
        <v/>
      </c>
      <c r="G112" s="1"/>
      <c r="H112" s="90" t="str">
        <f t="shared" si="16"/>
        <v/>
      </c>
      <c r="I112" s="672" t="str">
        <f t="shared" si="17"/>
        <v/>
      </c>
      <c r="J112" s="675" t="str">
        <f>IFERROR(INDEX('Calcular Dieta'!$J$9:$J$35,MATCH(B112,'Calcular Dieta'!$B$9:$B$35,0))*D112,"")</f>
        <v/>
      </c>
      <c r="K112" s="1"/>
      <c r="L112" s="1"/>
      <c r="M112" s="1"/>
      <c r="N112" s="1"/>
    </row>
    <row r="113" spans="1:14" ht="15.75">
      <c r="A113" s="668"/>
      <c r="B113" s="26" t="str">
        <f>MPR!J80</f>
        <v/>
      </c>
      <c r="C113" s="14" t="str">
        <f t="shared" si="14"/>
        <v/>
      </c>
      <c r="D113" s="11" t="str">
        <f>IF(B113="","",MPR!K80)</f>
        <v/>
      </c>
      <c r="E113" s="32" t="str">
        <f>IF(B113="","",MPR!L80)</f>
        <v/>
      </c>
      <c r="F113" s="25" t="str">
        <f t="shared" si="15"/>
        <v/>
      </c>
      <c r="G113" s="1"/>
      <c r="H113" s="90" t="str">
        <f t="shared" si="16"/>
        <v/>
      </c>
      <c r="I113" s="672" t="str">
        <f t="shared" si="17"/>
        <v/>
      </c>
      <c r="J113" s="675" t="str">
        <f>IFERROR(INDEX('Calcular Dieta'!$J$9:$J$35,MATCH(B113,'Calcular Dieta'!$B$9:$B$35,0))*D113,"")</f>
        <v/>
      </c>
      <c r="K113" s="1"/>
      <c r="L113" s="1"/>
      <c r="M113" s="1"/>
      <c r="N113" s="1"/>
    </row>
    <row r="114" spans="1:14" ht="15.75">
      <c r="A114" s="668"/>
      <c r="B114" s="26" t="str">
        <f>MPR!J81</f>
        <v/>
      </c>
      <c r="C114" s="14" t="str">
        <f t="shared" si="14"/>
        <v/>
      </c>
      <c r="D114" s="11" t="str">
        <f>IF(B114="","",MPR!K81)</f>
        <v/>
      </c>
      <c r="E114" s="32" t="str">
        <f>IF(B114="","",MPR!L81)</f>
        <v/>
      </c>
      <c r="F114" s="25" t="str">
        <f t="shared" si="15"/>
        <v/>
      </c>
      <c r="G114" s="1"/>
      <c r="H114" s="90" t="str">
        <f t="shared" si="16"/>
        <v/>
      </c>
      <c r="I114" s="672" t="str">
        <f t="shared" si="17"/>
        <v/>
      </c>
      <c r="J114" s="675" t="str">
        <f>IFERROR(INDEX('Calcular Dieta'!$J$9:$J$35,MATCH(B114,'Calcular Dieta'!$B$9:$B$35,0))*D114,"")</f>
        <v/>
      </c>
      <c r="K114" s="1"/>
      <c r="L114" s="1"/>
      <c r="M114" s="1"/>
      <c r="N114" s="1"/>
    </row>
    <row r="115" spans="1:14" ht="15.75">
      <c r="A115" s="668"/>
      <c r="B115" s="26" t="str">
        <f>MPR!J82</f>
        <v/>
      </c>
      <c r="C115" s="14" t="str">
        <f t="shared" si="14"/>
        <v/>
      </c>
      <c r="D115" s="11" t="str">
        <f>IF(B115="","",MPR!K82)</f>
        <v/>
      </c>
      <c r="E115" s="32" t="str">
        <f>IF(B115="","",MPR!L82)</f>
        <v/>
      </c>
      <c r="F115" s="25" t="str">
        <f t="shared" si="15"/>
        <v/>
      </c>
      <c r="G115" s="1"/>
      <c r="H115" s="90" t="str">
        <f t="shared" si="16"/>
        <v/>
      </c>
      <c r="I115" s="672" t="str">
        <f t="shared" si="17"/>
        <v/>
      </c>
      <c r="J115" s="675" t="str">
        <f>IFERROR(INDEX('Calcular Dieta'!$J$9:$J$35,MATCH(B115,'Calcular Dieta'!$B$9:$B$35,0))*D115,"")</f>
        <v/>
      </c>
      <c r="K115" s="1"/>
      <c r="L115" s="1"/>
      <c r="M115" s="1"/>
      <c r="N115" s="1"/>
    </row>
    <row r="116" spans="1:14" ht="15.75">
      <c r="A116" s="668"/>
      <c r="B116" s="26" t="str">
        <f>MPR!J83</f>
        <v/>
      </c>
      <c r="C116" s="14" t="str">
        <f t="shared" si="14"/>
        <v/>
      </c>
      <c r="D116" s="11" t="str">
        <f>IF(B116="","",MPR!K83)</f>
        <v/>
      </c>
      <c r="E116" s="32" t="str">
        <f>IF(B116="","",MPR!L83)</f>
        <v/>
      </c>
      <c r="F116" s="25" t="str">
        <f t="shared" si="15"/>
        <v/>
      </c>
      <c r="G116" s="1"/>
      <c r="H116" s="90" t="str">
        <f t="shared" si="16"/>
        <v/>
      </c>
      <c r="I116" s="672" t="str">
        <f t="shared" si="17"/>
        <v/>
      </c>
      <c r="J116" s="675" t="str">
        <f>IFERROR(INDEX('Calcular Dieta'!$J$9:$J$35,MATCH(B116,'Calcular Dieta'!$B$9:$B$35,0))*D116,"")</f>
        <v/>
      </c>
      <c r="K116" s="1"/>
      <c r="L116" s="1"/>
      <c r="M116" s="1"/>
      <c r="N116" s="1"/>
    </row>
    <row r="117" spans="1:14" ht="15.75">
      <c r="A117" s="668"/>
      <c r="B117" s="26" t="str">
        <f>MPR!J84</f>
        <v/>
      </c>
      <c r="C117" s="14" t="str">
        <f t="shared" si="14"/>
        <v/>
      </c>
      <c r="D117" s="11" t="str">
        <f>IF(B117="","",MPR!K84)</f>
        <v/>
      </c>
      <c r="E117" s="32" t="str">
        <f>IF(B117="","",MPR!L84)</f>
        <v/>
      </c>
      <c r="F117" s="25" t="str">
        <f t="shared" si="15"/>
        <v/>
      </c>
      <c r="G117" s="1"/>
      <c r="H117" s="90" t="str">
        <f t="shared" si="16"/>
        <v/>
      </c>
      <c r="I117" s="672" t="str">
        <f t="shared" si="17"/>
        <v/>
      </c>
      <c r="J117" s="675" t="str">
        <f>IFERROR(INDEX('Calcular Dieta'!$J$9:$J$35,MATCH(B117,'Calcular Dieta'!$B$9:$B$35,0))*D117,"")</f>
        <v/>
      </c>
      <c r="K117" s="1"/>
      <c r="L117" s="1"/>
      <c r="M117" s="1"/>
      <c r="N117" s="1"/>
    </row>
    <row r="118" spans="1:14" ht="16.5" thickBot="1">
      <c r="A118" s="668"/>
      <c r="B118" s="26" t="str">
        <f>MPR!J85</f>
        <v/>
      </c>
      <c r="C118" s="14" t="str">
        <f t="shared" si="14"/>
        <v/>
      </c>
      <c r="D118" s="11" t="str">
        <f>IF(B118="","",MPR!K85)</f>
        <v/>
      </c>
      <c r="E118" s="32" t="str">
        <f>IF(B118="","",MPR!L85)</f>
        <v/>
      </c>
      <c r="F118" s="25" t="str">
        <f t="shared" si="15"/>
        <v/>
      </c>
      <c r="G118" s="1"/>
      <c r="H118" s="90" t="str">
        <f t="shared" si="16"/>
        <v/>
      </c>
      <c r="I118" s="672" t="str">
        <f t="shared" si="17"/>
        <v/>
      </c>
      <c r="J118" s="675" t="str">
        <f>IFERROR(INDEX('Calcular Dieta'!$J$9:$J$35,MATCH(B118,'Calcular Dieta'!$B$9:$B$35,0))*D118,"")</f>
        <v/>
      </c>
      <c r="K118" s="1"/>
      <c r="L118" s="1"/>
      <c r="M118" s="1"/>
      <c r="N118" s="1"/>
    </row>
    <row r="119" spans="1:14" ht="16.5" thickBot="1">
      <c r="A119" s="669"/>
      <c r="B119" s="679"/>
      <c r="C119" s="33">
        <f>SUM(C94:C118)</f>
        <v>0</v>
      </c>
      <c r="D119" s="36">
        <f>SUM(D93:D118)</f>
        <v>0</v>
      </c>
      <c r="E119" s="35">
        <f>IFERROR(F119/D119,0)</f>
        <v>0</v>
      </c>
      <c r="F119" s="13">
        <f>SUM(F94:F118)</f>
        <v>0</v>
      </c>
      <c r="G119" s="1"/>
      <c r="H119" s="678">
        <f>SUM(H93:H118)</f>
        <v>0</v>
      </c>
      <c r="I119" s="673">
        <f t="shared" ref="I119" si="18">SUM(I93:I118)</f>
        <v>0</v>
      </c>
      <c r="J119" s="676">
        <f>SUM(J93:J118)</f>
        <v>0</v>
      </c>
      <c r="K119" s="1"/>
      <c r="L119" s="1"/>
      <c r="M119" s="1"/>
      <c r="N119" s="1"/>
    </row>
    <row r="120" spans="1:14" ht="15.75">
      <c r="A120" s="1"/>
      <c r="B120" s="17"/>
      <c r="C120" s="54"/>
      <c r="D120" s="55"/>
      <c r="E120" s="56"/>
      <c r="F120" s="18"/>
      <c r="G120" s="1"/>
      <c r="H120" s="1"/>
      <c r="I120" s="1"/>
      <c r="J120" s="1"/>
      <c r="K120" s="1"/>
      <c r="L120" s="1"/>
      <c r="M120" s="1"/>
      <c r="N120" s="1"/>
    </row>
    <row r="121" spans="1:14" ht="15.75">
      <c r="A121" s="1"/>
      <c r="B121" s="17"/>
      <c r="C121" s="54"/>
      <c r="D121" s="55"/>
      <c r="E121" s="56"/>
      <c r="F121" s="18"/>
      <c r="G121" s="1"/>
      <c r="H121" s="1"/>
      <c r="I121" s="1"/>
      <c r="J121" s="1"/>
      <c r="K121" s="1"/>
      <c r="L121" s="1"/>
      <c r="M121" s="1"/>
      <c r="N121" s="1"/>
    </row>
    <row r="123" spans="1:14" ht="43.5" customHeight="1">
      <c r="A123" s="1"/>
      <c r="B123" s="1285" t="s">
        <v>1395</v>
      </c>
      <c r="C123" s="716"/>
      <c r="D123" s="716"/>
      <c r="E123" s="716"/>
      <c r="F123" s="716"/>
      <c r="G123" s="716"/>
      <c r="H123" s="716"/>
      <c r="I123" s="716"/>
      <c r="J123" s="716"/>
      <c r="K123" s="716"/>
      <c r="L123" s="716"/>
      <c r="M123" s="716"/>
      <c r="N123" s="1"/>
    </row>
    <row r="124" spans="1:14" ht="13.5" customHeight="1">
      <c r="A124" s="1"/>
      <c r="B124" s="689"/>
      <c r="C124" s="690"/>
      <c r="D124" s="690"/>
      <c r="E124" s="690"/>
      <c r="F124" s="690"/>
      <c r="G124" s="690"/>
      <c r="H124" s="690"/>
      <c r="I124" s="690"/>
      <c r="J124" s="690"/>
      <c r="K124" s="690"/>
      <c r="L124" s="690"/>
      <c r="M124" s="690"/>
      <c r="N124" s="1"/>
    </row>
    <row r="125" spans="1:14" ht="18.75">
      <c r="A125" s="1"/>
      <c r="B125" s="2221" t="str">
        <f>IF(A3&gt;0,"O custo com alimentação para produzir uma arroba de Peso Vivo com os parâmetros adotados é de "&amp;IFERROR(TEXT(MPR!P7,"R$ #.##0,00"),"-"),IF(A4&gt;0,"O custo com alimentação para produzir 1 litro de leite com os parâmetros adotados é de "&amp;IFERROR(TEXT(MPR!P14,"R$ #.##0,00"),"-"),""))</f>
        <v>O custo com alimentação para produzir uma arroba de Peso Vivo com os parâmetros adotados é de R$ 0,00</v>
      </c>
      <c r="C125" s="2221"/>
      <c r="D125" s="2221"/>
      <c r="E125" s="2221"/>
      <c r="F125" s="2221"/>
      <c r="G125" s="2221"/>
      <c r="H125" s="2221"/>
      <c r="I125" s="2221"/>
      <c r="J125" s="2221"/>
      <c r="K125" s="2221"/>
      <c r="L125" s="2221"/>
      <c r="M125" s="2221"/>
      <c r="N125" s="1"/>
    </row>
    <row r="126" spans="1:14" ht="18.75">
      <c r="A126" s="1"/>
      <c r="B126" s="2221" t="str">
        <f>IF(A3&gt;0,"Considerando o preço de venda informado, "&amp;IF(MPR!R8&lt;0,"o prejuizo","o lucro")&amp;" por arroba (PV) produzida é de "&amp;IFERROR(TEXT(MPR!R7,"R$ #.##0,00"),"-"),IF(A4&gt;0,"Considerando o preço de venda informado, o "&amp;IF(MPR!R14&lt;0,"prejuizo","lucro")&amp;" por litro de leite produzido"&amp;" é de "&amp;TEXT(MPR!R14,"R$ #.##0,00"),""))</f>
        <v>Considerando o preço de venda informado, o lucro por arroba (PV) produzida é de R$ 220,00</v>
      </c>
      <c r="C126" s="2221"/>
      <c r="D126" s="2221"/>
      <c r="E126" s="2221"/>
      <c r="F126" s="2221"/>
      <c r="G126" s="2221"/>
      <c r="H126" s="2221"/>
      <c r="I126" s="2221"/>
      <c r="J126" s="2221"/>
      <c r="K126" s="2221"/>
      <c r="L126" s="2221"/>
      <c r="M126" s="2221"/>
      <c r="N126" s="1"/>
    </row>
    <row r="127" spans="1:14" ht="18.75">
      <c r="A127" s="1"/>
      <c r="B127" s="2222" t="str">
        <f>IF(A3&gt;0,"Considerando o preço de venda informado, o "&amp;IF(MPR!R8&lt;0,"prejuizo","lucro")&amp;" por kg produzido"&amp;" é de "&amp;TEXT(MPR!R8,"R$ #.##0,00"),IF(A4&gt;0,"Considerando o preço de venda informado, o "&amp;IF(MPR!R14&lt;0,"prejuizo por animal/dia","lucro por animal/dia")&amp;" é de "&amp;TEXT(MPR!R13,"R$ #.##0,00"),""))</f>
        <v>Considerando o preço de venda informado, o lucro por kg produzido é de R$ 7,33</v>
      </c>
      <c r="C127" s="2222"/>
      <c r="D127" s="2222"/>
      <c r="E127" s="2222"/>
      <c r="F127" s="2222"/>
      <c r="G127" s="2222"/>
      <c r="H127" s="2222"/>
      <c r="I127" s="2222"/>
      <c r="J127" s="2222"/>
      <c r="K127" s="2222"/>
      <c r="L127" s="2222"/>
      <c r="M127" s="2222"/>
      <c r="N127" s="1"/>
    </row>
    <row r="128" spans="1:14" ht="18.75">
      <c r="A128" s="1"/>
      <c r="B128" s="2222" t="str">
        <f>IF(A3&gt;0,"Considerando o preço de venda informado, o "&amp;IF(MPR!R8&lt;0,"prejuizo por animal/dia","lucro por animal/dia")&amp;" é de "&amp;TEXT(MPR!R6,"R$ #.##0,00"),IF(A4&gt;0,"O "&amp;IF(MPR!R14&lt;0,"prejuizo de ","lucro de ")&amp;D3&amp;IF(D3&gt;1," animais"," animal")&amp;" no período de "&amp;D4&amp;" dia(s) é de "&amp;TEXT((D3*D4*MPR!R13),"R$ #.##0,00"),""))</f>
        <v>Considerando o preço de venda informado, o lucro por animal/dia é de -R$ 1,06</v>
      </c>
      <c r="C128" s="2222"/>
      <c r="D128" s="2222"/>
      <c r="E128" s="2222"/>
      <c r="F128" s="2222"/>
      <c r="G128" s="2222"/>
      <c r="H128" s="2222"/>
      <c r="I128" s="2222"/>
      <c r="J128" s="2222"/>
      <c r="K128" s="2222"/>
      <c r="L128" s="2222"/>
      <c r="M128" s="2222"/>
      <c r="N128" s="1"/>
    </row>
    <row r="129" spans="1:14" ht="18.75">
      <c r="A129" s="1"/>
      <c r="B129" s="2222" t="str">
        <f>IF(A3&gt;0,"O "&amp;IF(MPR!R8&lt;0,"prejuizo de ","lucro de ")&amp;D3&amp;IF(D3&gt;1," animais"," animal")&amp;" no período de "&amp;D4&amp;" dia(s) é de "&amp;TEXT((D3*D4*MPR!R6),"R$ #.##0,00"),"")</f>
        <v>O lucro de 100 animais no período de 90 dia(s) é de -R$ 9.547,02</v>
      </c>
      <c r="C129" s="2222"/>
      <c r="D129" s="2222"/>
      <c r="E129" s="2222"/>
      <c r="F129" s="2222"/>
      <c r="G129" s="2222"/>
      <c r="H129" s="2222"/>
      <c r="I129" s="2222"/>
      <c r="J129" s="2222"/>
      <c r="K129" s="2222"/>
      <c r="L129" s="2222"/>
      <c r="M129" s="2222"/>
      <c r="N129" s="1"/>
    </row>
    <row r="130" spans="1:14" ht="18.75">
      <c r="A130" s="1"/>
      <c r="B130" s="2222"/>
      <c r="C130" s="2222"/>
      <c r="D130" s="2222"/>
      <c r="E130" s="2222"/>
      <c r="F130" s="2222"/>
      <c r="G130" s="2222"/>
      <c r="H130" s="2222"/>
      <c r="I130" s="2222"/>
      <c r="J130" s="2222"/>
      <c r="K130" s="2222"/>
      <c r="L130" s="2222"/>
      <c r="M130" s="2222"/>
      <c r="N130" s="1"/>
    </row>
    <row r="132" spans="1:14" ht="27.75">
      <c r="A132" s="1"/>
      <c r="B132" s="715" t="s">
        <v>843</v>
      </c>
      <c r="C132" s="716"/>
      <c r="D132" s="716"/>
      <c r="E132" s="716"/>
      <c r="F132" s="716"/>
      <c r="G132" s="716"/>
      <c r="H132" s="716"/>
      <c r="I132" s="716"/>
      <c r="J132" s="716"/>
      <c r="K132" s="716"/>
      <c r="L132" s="716"/>
      <c r="M132" s="716"/>
      <c r="N132" s="1"/>
    </row>
    <row r="133" spans="1:14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1:14">
      <c r="A134" s="1"/>
      <c r="N134" s="1"/>
    </row>
    <row r="135" spans="1:14">
      <c r="A135" s="1"/>
      <c r="N135" s="1"/>
    </row>
    <row r="136" spans="1:14">
      <c r="A136" s="1"/>
      <c r="B136" s="2216"/>
      <c r="C136" s="2216"/>
      <c r="D136" s="2216"/>
      <c r="E136" s="2216"/>
      <c r="F136" s="2216"/>
      <c r="G136" s="2216"/>
      <c r="H136" s="2216"/>
      <c r="I136" s="2216"/>
      <c r="J136" s="2216"/>
      <c r="K136" s="2216"/>
      <c r="L136" s="2216"/>
      <c r="M136" s="2216"/>
      <c r="N136" s="1"/>
    </row>
    <row r="137" spans="1:14">
      <c r="A137" s="1"/>
      <c r="B137" s="2216"/>
      <c r="C137" s="2216"/>
      <c r="D137" s="2216"/>
      <c r="E137" s="2216"/>
      <c r="F137" s="2216"/>
      <c r="G137" s="2216"/>
      <c r="H137" s="2216"/>
      <c r="I137" s="2216"/>
      <c r="J137" s="2216"/>
      <c r="K137" s="2216"/>
      <c r="L137" s="2216"/>
      <c r="M137" s="2216"/>
      <c r="N137" s="1"/>
    </row>
    <row r="138" spans="1:14">
      <c r="A138" s="1"/>
      <c r="B138" s="2216"/>
      <c r="C138" s="2216"/>
      <c r="D138" s="2216"/>
      <c r="E138" s="2216"/>
      <c r="F138" s="2216"/>
      <c r="G138" s="2216"/>
      <c r="H138" s="2216"/>
      <c r="I138" s="2216"/>
      <c r="J138" s="2216"/>
      <c r="K138" s="2216"/>
      <c r="L138" s="2216"/>
      <c r="M138" s="2216"/>
      <c r="N138" s="1"/>
    </row>
    <row r="139" spans="1:14">
      <c r="A139" s="1"/>
      <c r="B139" s="2216"/>
      <c r="C139" s="2216"/>
      <c r="D139" s="2216"/>
      <c r="E139" s="2216"/>
      <c r="F139" s="2216"/>
      <c r="G139" s="2216"/>
      <c r="H139" s="2216"/>
      <c r="I139" s="2216"/>
      <c r="J139" s="2216"/>
      <c r="K139" s="2216"/>
      <c r="L139" s="2216"/>
      <c r="M139" s="2216"/>
      <c r="N139" s="1"/>
    </row>
    <row r="140" spans="1:14">
      <c r="A140" s="1"/>
      <c r="B140" s="2216"/>
      <c r="C140" s="2216"/>
      <c r="D140" s="2216"/>
      <c r="E140" s="2216"/>
      <c r="F140" s="2216"/>
      <c r="G140" s="2216"/>
      <c r="H140" s="2216"/>
      <c r="I140" s="2216"/>
      <c r="J140" s="2216"/>
      <c r="K140" s="2216"/>
      <c r="L140" s="2216"/>
      <c r="M140" s="2216"/>
      <c r="N140" s="1"/>
    </row>
    <row r="141" spans="1:14">
      <c r="A141" s="1"/>
      <c r="B141" s="2216"/>
      <c r="C141" s="2216"/>
      <c r="D141" s="2216"/>
      <c r="E141" s="2216"/>
      <c r="F141" s="2216"/>
      <c r="G141" s="2216"/>
      <c r="H141" s="2216"/>
      <c r="I141" s="2216"/>
      <c r="J141" s="2216"/>
      <c r="K141" s="2216"/>
      <c r="L141" s="2216"/>
      <c r="M141" s="2216"/>
      <c r="N141" s="1"/>
    </row>
    <row r="142" spans="1:14">
      <c r="A142" s="1"/>
      <c r="B142" s="2216"/>
      <c r="C142" s="2216"/>
      <c r="D142" s="2216"/>
      <c r="E142" s="2216"/>
      <c r="F142" s="2216"/>
      <c r="G142" s="2216"/>
      <c r="H142" s="2216"/>
      <c r="I142" s="2216"/>
      <c r="J142" s="2216"/>
      <c r="K142" s="2216"/>
      <c r="L142" s="2216"/>
      <c r="M142" s="2216"/>
      <c r="N142" s="1"/>
    </row>
    <row r="143" spans="1:14">
      <c r="A143" s="1"/>
      <c r="B143" s="2216"/>
      <c r="C143" s="2216"/>
      <c r="D143" s="2216"/>
      <c r="E143" s="2216"/>
      <c r="F143" s="2216"/>
      <c r="G143" s="2216"/>
      <c r="H143" s="2216"/>
      <c r="I143" s="2216"/>
      <c r="J143" s="2216"/>
      <c r="K143" s="2216"/>
      <c r="L143" s="2216"/>
      <c r="M143" s="2216"/>
      <c r="N143" s="1"/>
    </row>
    <row r="144" spans="1:14">
      <c r="A144" s="1"/>
      <c r="B144" s="2216"/>
      <c r="C144" s="2216"/>
      <c r="D144" s="2216"/>
      <c r="E144" s="2216"/>
      <c r="F144" s="2216"/>
      <c r="G144" s="2216"/>
      <c r="H144" s="2216"/>
      <c r="I144" s="2216"/>
      <c r="J144" s="2216"/>
      <c r="K144" s="2216"/>
      <c r="L144" s="2216"/>
      <c r="M144" s="2216"/>
      <c r="N144" s="1"/>
    </row>
    <row r="145" spans="1:14">
      <c r="A145" s="1"/>
      <c r="B145" s="2216"/>
      <c r="C145" s="2216"/>
      <c r="D145" s="2216"/>
      <c r="E145" s="2216"/>
      <c r="F145" s="2216"/>
      <c r="G145" s="2216"/>
      <c r="H145" s="2216"/>
      <c r="I145" s="2216"/>
      <c r="J145" s="2216"/>
      <c r="K145" s="2216"/>
      <c r="L145" s="2216"/>
      <c r="M145" s="2216"/>
      <c r="N145" s="1"/>
    </row>
    <row r="146" spans="1:14">
      <c r="A146" s="1"/>
      <c r="B146" s="2216"/>
      <c r="C146" s="2216"/>
      <c r="D146" s="2216"/>
      <c r="E146" s="2216"/>
      <c r="F146" s="2216"/>
      <c r="G146" s="2216"/>
      <c r="H146" s="2216"/>
      <c r="I146" s="2216"/>
      <c r="J146" s="2216"/>
      <c r="K146" s="2216"/>
      <c r="L146" s="2216"/>
      <c r="M146" s="2216"/>
      <c r="N146" s="1"/>
    </row>
    <row r="147" spans="1:14">
      <c r="A147" s="1"/>
      <c r="B147" s="2216"/>
      <c r="C147" s="2216"/>
      <c r="D147" s="2216"/>
      <c r="E147" s="2216"/>
      <c r="F147" s="2216"/>
      <c r="G147" s="2216"/>
      <c r="H147" s="2216"/>
      <c r="I147" s="2216"/>
      <c r="J147" s="2216"/>
      <c r="K147" s="2216"/>
      <c r="L147" s="2216"/>
      <c r="M147" s="2216"/>
      <c r="N147" s="1"/>
    </row>
    <row r="148" spans="1:14">
      <c r="A148" s="1"/>
      <c r="B148" s="2216"/>
      <c r="C148" s="2216"/>
      <c r="D148" s="2216"/>
      <c r="E148" s="2216"/>
      <c r="F148" s="2216"/>
      <c r="G148" s="2216"/>
      <c r="H148" s="2216"/>
      <c r="I148" s="2216"/>
      <c r="J148" s="2216"/>
      <c r="K148" s="2216"/>
      <c r="L148" s="2216"/>
      <c r="M148" s="2216"/>
      <c r="N148" s="1"/>
    </row>
    <row r="149" spans="1:14">
      <c r="A149" s="1"/>
      <c r="B149" s="2216"/>
      <c r="C149" s="2216"/>
      <c r="D149" s="2216"/>
      <c r="E149" s="2216"/>
      <c r="F149" s="2216"/>
      <c r="G149" s="2216"/>
      <c r="H149" s="2216"/>
      <c r="I149" s="2216"/>
      <c r="J149" s="2216"/>
      <c r="K149" s="2216"/>
      <c r="L149" s="2216"/>
      <c r="M149" s="2216"/>
      <c r="N149" s="1"/>
    </row>
    <row r="150" spans="1:14">
      <c r="A150" s="1"/>
      <c r="B150" s="2216"/>
      <c r="C150" s="2216"/>
      <c r="D150" s="2216"/>
      <c r="E150" s="2216"/>
      <c r="F150" s="2216"/>
      <c r="G150" s="2216"/>
      <c r="H150" s="2216"/>
      <c r="I150" s="2216"/>
      <c r="J150" s="2216"/>
      <c r="K150" s="2216"/>
      <c r="L150" s="2216"/>
      <c r="M150" s="2216"/>
      <c r="N150" s="1"/>
    </row>
    <row r="151" spans="1:14">
      <c r="A151" s="1"/>
      <c r="B151" s="2216"/>
      <c r="C151" s="2216"/>
      <c r="D151" s="2216"/>
      <c r="E151" s="2216"/>
      <c r="F151" s="2216"/>
      <c r="G151" s="2216"/>
      <c r="H151" s="2216"/>
      <c r="I151" s="2216"/>
      <c r="J151" s="2216"/>
      <c r="K151" s="2216"/>
      <c r="L151" s="2216"/>
      <c r="M151" s="2216"/>
      <c r="N151" s="1"/>
    </row>
    <row r="152" spans="1:14">
      <c r="A152" s="1"/>
      <c r="B152" s="2216"/>
      <c r="C152" s="2216"/>
      <c r="D152" s="2216"/>
      <c r="E152" s="2216"/>
      <c r="F152" s="2216"/>
      <c r="G152" s="2216"/>
      <c r="H152" s="2216"/>
      <c r="I152" s="2216"/>
      <c r="J152" s="2216"/>
      <c r="K152" s="2216"/>
      <c r="L152" s="2216"/>
      <c r="M152" s="2216"/>
      <c r="N152" s="1"/>
    </row>
    <row r="153" spans="1:14">
      <c r="A153" s="1"/>
      <c r="B153" s="2216"/>
      <c r="C153" s="2216"/>
      <c r="D153" s="2216"/>
      <c r="E153" s="2216"/>
      <c r="F153" s="2216"/>
      <c r="G153" s="2216"/>
      <c r="H153" s="2216"/>
      <c r="I153" s="2216"/>
      <c r="J153" s="2216"/>
      <c r="K153" s="2216"/>
      <c r="L153" s="2216"/>
      <c r="M153" s="2216"/>
      <c r="N153" s="1"/>
    </row>
    <row r="154" spans="1:14">
      <c r="A154" s="1"/>
      <c r="B154" s="2216"/>
      <c r="C154" s="2216"/>
      <c r="D154" s="2216"/>
      <c r="E154" s="2216"/>
      <c r="F154" s="2216"/>
      <c r="G154" s="2216"/>
      <c r="H154" s="2216"/>
      <c r="I154" s="2216"/>
      <c r="J154" s="2216"/>
      <c r="K154" s="2216"/>
      <c r="L154" s="2216"/>
      <c r="M154" s="2216"/>
      <c r="N154" s="1"/>
    </row>
    <row r="155" spans="1:14">
      <c r="A155" s="1"/>
      <c r="B155" s="2216"/>
      <c r="C155" s="2216"/>
      <c r="D155" s="2216"/>
      <c r="E155" s="2216"/>
      <c r="F155" s="2216"/>
      <c r="G155" s="2216"/>
      <c r="H155" s="2216"/>
      <c r="I155" s="2216"/>
      <c r="J155" s="2216"/>
      <c r="K155" s="2216"/>
      <c r="L155" s="2216"/>
      <c r="M155" s="2216"/>
      <c r="N155" s="1"/>
    </row>
    <row r="156" spans="1:14">
      <c r="A156" s="1"/>
      <c r="B156" s="2216"/>
      <c r="C156" s="2216"/>
      <c r="D156" s="2216"/>
      <c r="E156" s="2216"/>
      <c r="F156" s="2216"/>
      <c r="G156" s="2216"/>
      <c r="H156" s="2216"/>
      <c r="I156" s="2216"/>
      <c r="J156" s="2216"/>
      <c r="K156" s="2216"/>
      <c r="L156" s="2216"/>
      <c r="M156" s="2216"/>
      <c r="N156" s="1"/>
    </row>
    <row r="157" spans="1:14">
      <c r="A157" s="1"/>
      <c r="B157" s="2216"/>
      <c r="C157" s="2216"/>
      <c r="D157" s="2216"/>
      <c r="E157" s="2216"/>
      <c r="F157" s="2216"/>
      <c r="G157" s="2216"/>
      <c r="H157" s="2216"/>
      <c r="I157" s="2216"/>
      <c r="J157" s="2216"/>
      <c r="K157" s="2216"/>
      <c r="L157" s="2216"/>
      <c r="M157" s="2216"/>
      <c r="N157" s="1"/>
    </row>
    <row r="158" spans="1:14">
      <c r="A158" s="1"/>
      <c r="B158" s="2217">
        <f ca="1">TODAY()</f>
        <v>45298</v>
      </c>
      <c r="C158" s="2217"/>
      <c r="D158" s="2217"/>
      <c r="E158" s="2217"/>
      <c r="F158" s="2217"/>
      <c r="G158" s="2217"/>
      <c r="H158" s="2217"/>
      <c r="I158" s="2217"/>
      <c r="J158" s="2217"/>
      <c r="K158" s="2217"/>
      <c r="L158" s="2217"/>
      <c r="M158" s="2217"/>
      <c r="N158" s="1"/>
    </row>
    <row r="159" spans="1:14">
      <c r="A159" s="1"/>
      <c r="B159" s="2216"/>
      <c r="C159" s="2216"/>
      <c r="D159" s="2216"/>
      <c r="E159" s="2216"/>
      <c r="F159" s="2216"/>
      <c r="G159" s="2216"/>
      <c r="H159" s="2216"/>
      <c r="I159" s="2216"/>
      <c r="J159" s="2216"/>
      <c r="K159" s="2216"/>
      <c r="L159" s="2216"/>
      <c r="M159" s="2216"/>
      <c r="N159" s="1"/>
    </row>
    <row r="160" spans="1:14">
      <c r="A160" s="1"/>
      <c r="B160" s="2216"/>
      <c r="C160" s="2216"/>
      <c r="D160" s="2216"/>
      <c r="E160" s="2216"/>
      <c r="F160" s="2216"/>
      <c r="G160" s="2216"/>
      <c r="H160" s="2216"/>
      <c r="I160" s="2216"/>
      <c r="J160" s="2216"/>
      <c r="K160" s="2216"/>
      <c r="L160" s="2216"/>
      <c r="M160" s="2216"/>
      <c r="N160" s="1"/>
    </row>
    <row r="161" spans="1:14">
      <c r="A161" s="1"/>
      <c r="B161" s="2234" t="s">
        <v>857</v>
      </c>
      <c r="C161" s="2235"/>
      <c r="D161" s="2235"/>
      <c r="E161" s="2235"/>
      <c r="F161" s="2235"/>
      <c r="G161" s="2235"/>
      <c r="H161" s="2235"/>
      <c r="I161" s="2235"/>
      <c r="J161" s="2235"/>
      <c r="K161" s="2235"/>
      <c r="L161" s="2235"/>
      <c r="M161" s="2235"/>
      <c r="N161" s="1"/>
    </row>
    <row r="162" spans="1:14" ht="15">
      <c r="A162" s="1"/>
      <c r="B162" s="2236" t="str">
        <f>Usuário</f>
        <v>Iomar Bezerra da Silva</v>
      </c>
      <c r="C162" s="2236"/>
      <c r="D162" s="2236"/>
      <c r="E162" s="2236"/>
      <c r="F162" s="2236"/>
      <c r="G162" s="2236"/>
      <c r="H162" s="2236"/>
      <c r="I162" s="2236"/>
      <c r="J162" s="2236"/>
      <c r="K162" s="2236"/>
      <c r="L162" s="2236"/>
      <c r="M162" s="2236"/>
      <c r="N162" s="1"/>
    </row>
    <row r="163" spans="1:14">
      <c r="A163" s="1"/>
      <c r="B163" s="2233" t="str">
        <f>Profissão</f>
        <v>Técnico</v>
      </c>
      <c r="C163" s="2233"/>
      <c r="D163" s="2233"/>
      <c r="E163" s="2233"/>
      <c r="F163" s="2233"/>
      <c r="G163" s="2233"/>
      <c r="H163" s="2233"/>
      <c r="I163" s="2233"/>
      <c r="J163" s="2233"/>
      <c r="K163" s="2233"/>
      <c r="L163" s="2233"/>
      <c r="M163" s="2233"/>
      <c r="N163" s="1"/>
    </row>
    <row r="164" spans="1:14">
      <c r="A164" s="1"/>
      <c r="B164" s="2233" t="str">
        <f>RGProfissional</f>
        <v>MA-00259-ZP</v>
      </c>
      <c r="C164" s="2233"/>
      <c r="D164" s="2233"/>
      <c r="E164" s="2233"/>
      <c r="F164" s="2233"/>
      <c r="G164" s="2233"/>
      <c r="H164" s="2233"/>
      <c r="I164" s="2233"/>
      <c r="J164" s="2233"/>
      <c r="K164" s="2233"/>
      <c r="L164" s="2233"/>
      <c r="M164" s="2233"/>
      <c r="N164" s="1"/>
    </row>
    <row r="165" spans="1:14">
      <c r="A165" s="1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1"/>
    </row>
    <row r="166" spans="1:14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</row>
  </sheetData>
  <mergeCells count="46">
    <mergeCell ref="B147:M147"/>
    <mergeCell ref="B164:M164"/>
    <mergeCell ref="B159:M159"/>
    <mergeCell ref="B160:M160"/>
    <mergeCell ref="B161:M161"/>
    <mergeCell ref="B162:M162"/>
    <mergeCell ref="B163:M163"/>
    <mergeCell ref="B152:M152"/>
    <mergeCell ref="B153:M153"/>
    <mergeCell ref="B154:M154"/>
    <mergeCell ref="B155:M155"/>
    <mergeCell ref="B148:M148"/>
    <mergeCell ref="B149:M149"/>
    <mergeCell ref="B150:M150"/>
    <mergeCell ref="L2:M2"/>
    <mergeCell ref="D2:J2"/>
    <mergeCell ref="B84:M84"/>
    <mergeCell ref="B126:M126"/>
    <mergeCell ref="B136:M136"/>
    <mergeCell ref="B130:M130"/>
    <mergeCell ref="B129:M129"/>
    <mergeCell ref="B8:F8"/>
    <mergeCell ref="B42:F42"/>
    <mergeCell ref="H8:M8"/>
    <mergeCell ref="B74:M74"/>
    <mergeCell ref="B125:M125"/>
    <mergeCell ref="B92:F92"/>
    <mergeCell ref="B87:M87"/>
    <mergeCell ref="B127:M127"/>
    <mergeCell ref="B128:M128"/>
    <mergeCell ref="B85:M85"/>
    <mergeCell ref="B86:M86"/>
    <mergeCell ref="B157:M157"/>
    <mergeCell ref="B158:M158"/>
    <mergeCell ref="B156:M156"/>
    <mergeCell ref="B137:M137"/>
    <mergeCell ref="B138:M138"/>
    <mergeCell ref="B139:M139"/>
    <mergeCell ref="B140:M140"/>
    <mergeCell ref="B143:M143"/>
    <mergeCell ref="B141:M141"/>
    <mergeCell ref="B142:M142"/>
    <mergeCell ref="B144:M144"/>
    <mergeCell ref="B151:M151"/>
    <mergeCell ref="B145:M145"/>
    <mergeCell ref="B146:M146"/>
  </mergeCells>
  <conditionalFormatting sqref="H8">
    <cfRule type="expression" dxfId="5" priority="93" stopIfTrue="1">
      <formula>$D3=0</formula>
    </cfRule>
    <cfRule type="expression" dxfId="4" priority="94" stopIfTrue="1">
      <formula>IF(D$4=0,TRUE,FALSE)</formula>
    </cfRule>
  </conditionalFormatting>
  <dataValidations count="2">
    <dataValidation type="whole" showInputMessage="1" showErrorMessage="1" sqref="D3:D4" xr:uid="{A57C03C4-9BC7-4060-BE03-35552A4B60DC}">
      <formula1>1</formula1>
      <formula2>1000000</formula2>
    </dataValidation>
    <dataValidation type="list" errorStyle="warning" allowBlank="1" showInputMessage="1" showErrorMessage="1" errorTitle="Atenção" error="Esse nome náo é de um cliente cadastrado, quer mesmo usar esse nome?" promptTitle="Opcional" prompt="_x000a_Caso deixe em branco o nome desse relatório será o nome da exigência nutricial." sqref="D2" xr:uid="{67D52337-49ED-4FED-BFBF-916D021AFD20}">
      <formula1>Clientes</formula1>
    </dataValidation>
  </dataValidations>
  <printOptions horizontalCentered="1"/>
  <pageMargins left="0.23622047244094491" right="0.23622047244094491" top="0.62992125984251968" bottom="0.39370078740157483" header="0.23622047244094491" footer="0.19685039370078741"/>
  <pageSetup paperSize="9" scale="54" fitToHeight="0" orientation="portrait" r:id="rId1"/>
  <headerFooter>
    <oddHeader>&amp;C&amp;18&amp;K00-049PFDR - Programa de Formulação de Dietas para Ruminantes&amp;R=</oddHeader>
    <oddFooter>&amp;C&amp;K00-046By Iomar Bezerra&amp;R&amp;D</oddFooter>
  </headerFooter>
  <ignoredErrors>
    <ignoredError sqref="E36" 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8595C-E87F-4166-8991-DC76E5D837CB}">
  <sheetPr codeName="Planilha5">
    <tabColor rgb="FF00B0F0"/>
    <pageSetUpPr fitToPage="1"/>
  </sheetPr>
  <dimension ref="A1:N59"/>
  <sheetViews>
    <sheetView showGridLines="0" showRowColHeaders="0" zoomScaleNormal="100" workbookViewId="0">
      <pane ySplit="2" topLeftCell="A3" activePane="bottomLeft" state="frozen"/>
      <selection activeCell="G2" sqref="G2"/>
      <selection pane="bottomLeft" activeCell="E45" sqref="E45"/>
    </sheetView>
  </sheetViews>
  <sheetFormatPr defaultColWidth="0" defaultRowHeight="14.25" zeroHeight="1"/>
  <cols>
    <col min="1" max="1" width="14.375" customWidth="1"/>
    <col min="2" max="2" width="25.75" customWidth="1"/>
    <col min="3" max="3" width="10.5" customWidth="1"/>
    <col min="4" max="4" width="12.875" customWidth="1"/>
    <col min="5" max="5" width="13.25" customWidth="1"/>
    <col min="6" max="6" width="11" bestFit="1" customWidth="1"/>
    <col min="7" max="7" width="13.25" bestFit="1" customWidth="1"/>
    <col min="8" max="8" width="0.5" customWidth="1"/>
    <col min="9" max="9" width="12.375" customWidth="1"/>
    <col min="10" max="10" width="11.125" customWidth="1"/>
    <col min="11" max="11" width="39.375" style="1" customWidth="1"/>
    <col min="12" max="12" width="9" style="1" hidden="1" customWidth="1"/>
    <col min="13" max="13" width="54" style="1" hidden="1" customWidth="1"/>
    <col min="14" max="14" width="0" style="1" hidden="1" customWidth="1"/>
    <col min="15" max="16384" width="9" style="1" hidden="1"/>
  </cols>
  <sheetData>
    <row r="1" spans="1:14" s="588" customFormat="1" ht="50.25" customHeight="1" thickTop="1" thickBot="1">
      <c r="A1" s="1389"/>
      <c r="B1" s="2218"/>
      <c r="C1" s="2219"/>
      <c r="D1" s="1"/>
      <c r="E1" s="1"/>
      <c r="F1" s="1"/>
      <c r="G1" s="1"/>
      <c r="H1" s="637"/>
      <c r="I1" s="2237"/>
      <c r="J1" s="2238"/>
      <c r="K1" s="637"/>
      <c r="M1"/>
      <c r="N1"/>
    </row>
    <row r="2" spans="1:14" ht="21" thickBot="1">
      <c r="A2" s="1"/>
      <c r="B2" s="1949" t="s">
        <v>890</v>
      </c>
      <c r="C2" s="2246" t="str">
        <f>IF('Ficha Mistura'!D2=0,"",'Ficha Mistura'!D2)</f>
        <v/>
      </c>
      <c r="D2" s="2246"/>
      <c r="E2" s="2246"/>
      <c r="F2" s="2246"/>
      <c r="G2" s="2247"/>
      <c r="H2" s="1950"/>
      <c r="I2" s="1951" t="s">
        <v>791</v>
      </c>
      <c r="J2" s="1952">
        <v>1000</v>
      </c>
    </row>
    <row r="3" spans="1:14" ht="3" customHeight="1" thickBot="1">
      <c r="A3" s="1"/>
      <c r="B3" s="1953" t="str">
        <f ca="1">IF(C2="",TEXT(TODAY(),"AAMMDD")&amp;TEXT(NOW(),"hhmmss")&amp;" "&amp;"Ficha de Batida "&amp;I3,TEXT(TODAY(),"AAMMDD")&amp;TEXT(NOW(),"hhmmss")&amp;" "&amp;"Ficha de Batida "&amp;C2)</f>
        <v>240107120423 Ficha de Batida Suplemento  Mineral</v>
      </c>
      <c r="C3" s="259"/>
      <c r="D3" s="1954"/>
      <c r="E3" s="259"/>
      <c r="F3" s="1954"/>
      <c r="G3" s="259"/>
      <c r="H3" s="1954"/>
      <c r="I3" s="1954" t="str">
        <f>RIGHT(SUBSTITUTE(SUBSTITUTE('Calcular Dieta'!A4,",","."),"/","-"),LEN(SUBSTITUTE(SUBSTITUTE('Calcular Dieta'!A4,",","."),"/","-"))-5)</f>
        <v>Suplemento  Mineral</v>
      </c>
      <c r="J3" s="1955"/>
      <c r="K3" s="259"/>
    </row>
    <row r="4" spans="1:14" ht="26.25" customHeight="1" thickBot="1">
      <c r="A4" s="1"/>
      <c r="B4" s="2254" t="str">
        <f>"Ficha de Batida para "&amp;TEXT(J2," #.##0")&amp;" kg"</f>
        <v>Ficha de Batida para  1.000 kg</v>
      </c>
      <c r="C4" s="2255"/>
      <c r="D4" s="2255"/>
      <c r="E4" s="2255"/>
      <c r="F4" s="2255"/>
      <c r="G4" s="2256"/>
      <c r="H4" s="1"/>
      <c r="I4" s="2260" t="s">
        <v>761</v>
      </c>
      <c r="J4" s="2261"/>
    </row>
    <row r="5" spans="1:14" ht="32.25" customHeight="1" thickBot="1">
      <c r="A5" s="1"/>
      <c r="B5" s="2257" t="str">
        <f>I3</f>
        <v>Suplemento  Mineral</v>
      </c>
      <c r="C5" s="2258"/>
      <c r="D5" s="2258"/>
      <c r="E5" s="2258"/>
      <c r="F5" s="2258"/>
      <c r="G5" s="2259"/>
      <c r="H5" s="1"/>
      <c r="I5" s="587" t="s">
        <v>763</v>
      </c>
      <c r="J5" s="587" t="s">
        <v>762</v>
      </c>
    </row>
    <row r="6" spans="1:14" ht="25.5" customHeight="1" thickBot="1">
      <c r="A6" s="1"/>
      <c r="B6" s="1956" t="s">
        <v>74</v>
      </c>
      <c r="C6" s="1957" t="s">
        <v>82</v>
      </c>
      <c r="D6" s="1957" t="s">
        <v>78</v>
      </c>
      <c r="E6" s="1957" t="s">
        <v>79</v>
      </c>
      <c r="F6" s="1957" t="s">
        <v>73</v>
      </c>
      <c r="G6" s="1957" t="s">
        <v>64</v>
      </c>
      <c r="H6" s="1"/>
      <c r="I6" s="1957" t="s">
        <v>61</v>
      </c>
      <c r="J6" s="1958" t="s">
        <v>61</v>
      </c>
    </row>
    <row r="7" spans="1:14" ht="16.5" thickTop="1">
      <c r="A7" s="1"/>
      <c r="B7" s="1959" t="str">
        <f>'Ficha Mistura'!B44</f>
        <v>Fosfato Bicálcico</v>
      </c>
      <c r="C7" s="1960">
        <f>IF(B7="","",D7/1000)</f>
        <v>0.45378003429106012</v>
      </c>
      <c r="D7" s="1961">
        <f t="shared" ref="D7:D31" si="0">IF(B7="","",J$2*I7)</f>
        <v>453.78003429106013</v>
      </c>
      <c r="E7" s="1962">
        <f>IF(B7="","",D7*1000)</f>
        <v>453780.03429106012</v>
      </c>
      <c r="F7" s="32">
        <f>'Ficha Mistura'!E44</f>
        <v>1</v>
      </c>
      <c r="G7" s="25">
        <f>IF(B7="","",D7*F7)</f>
        <v>453.78003429106013</v>
      </c>
      <c r="H7" s="1"/>
      <c r="I7" s="1946">
        <f>'Ficha Mistura'!H44</f>
        <v>0.45378003429106012</v>
      </c>
      <c r="J7" s="1963">
        <f>'Ficha Mistura'!I44</f>
        <v>0.45022738159142534</v>
      </c>
    </row>
    <row r="8" spans="1:14" ht="15.75">
      <c r="A8" s="1"/>
      <c r="B8" s="1959" t="str">
        <f>'Ficha Mistura'!B45</f>
        <v>Cloreto de Potássio</v>
      </c>
      <c r="C8" s="1960">
        <f t="shared" ref="C8:C31" si="1">IF(B8="","",D8/1000)</f>
        <v>0.27925958030909875</v>
      </c>
      <c r="D8" s="1961">
        <f t="shared" si="0"/>
        <v>279.25958030909874</v>
      </c>
      <c r="E8" s="1962">
        <f t="shared" ref="E8:E31" si="2">IF(B8="","",D8*1000)</f>
        <v>279259.58030909876</v>
      </c>
      <c r="F8" s="32">
        <f>'Ficha Mistura'!E45</f>
        <v>1</v>
      </c>
      <c r="G8" s="25">
        <f t="shared" ref="G8:G31" si="3">IF(B8="","",D8*F8)</f>
        <v>279.25958030909874</v>
      </c>
      <c r="H8" s="1"/>
      <c r="I8" s="1947">
        <f>'Ficha Mistura'!H45</f>
        <v>0.27925958030909875</v>
      </c>
      <c r="J8" s="1964">
        <f>'Ficha Mistura'!I45</f>
        <v>0.28146409145916268</v>
      </c>
    </row>
    <row r="9" spans="1:14" ht="15.75">
      <c r="A9" s="1"/>
      <c r="B9" s="1959" t="str">
        <f>'Ficha Mistura'!B46</f>
        <v>Sal Comum (NaCl)</v>
      </c>
      <c r="C9" s="1960">
        <f>IF(B9="","",D9/1000)</f>
        <v>0.12001639171256456</v>
      </c>
      <c r="D9" s="1961">
        <f t="shared" si="0"/>
        <v>120.01639171256457</v>
      </c>
      <c r="E9" s="1962">
        <f t="shared" si="2"/>
        <v>120016.39171256457</v>
      </c>
      <c r="F9" s="32">
        <f>'Ficha Mistura'!E46</f>
        <v>1.5</v>
      </c>
      <c r="G9" s="25">
        <f t="shared" si="3"/>
        <v>180.02458756884687</v>
      </c>
      <c r="H9" s="1"/>
      <c r="I9" s="1947">
        <f>'Ficha Mistura'!H46</f>
        <v>0.12001639171256456</v>
      </c>
      <c r="J9" s="1964">
        <f>'Ficha Mistura'!I46</f>
        <v>0.12096381659026419</v>
      </c>
    </row>
    <row r="10" spans="1:14" ht="15.75">
      <c r="A10" s="1"/>
      <c r="B10" s="1959" t="str">
        <f>'Ficha Mistura'!B47</f>
        <v>Sulfato Magnésio</v>
      </c>
      <c r="C10" s="1960">
        <f t="shared" si="1"/>
        <v>5.6813472766963108E-2</v>
      </c>
      <c r="D10" s="1961">
        <f t="shared" si="0"/>
        <v>56.813472766963109</v>
      </c>
      <c r="E10" s="1962">
        <f t="shared" si="2"/>
        <v>56813.47276696311</v>
      </c>
      <c r="F10" s="32">
        <f>'Ficha Mistura'!E47</f>
        <v>1</v>
      </c>
      <c r="G10" s="25">
        <f t="shared" si="3"/>
        <v>56.813472766963109</v>
      </c>
      <c r="H10" s="1"/>
      <c r="I10" s="1947">
        <f>'Ficha Mistura'!H47</f>
        <v>5.6813472766963108E-2</v>
      </c>
      <c r="J10" s="1964">
        <f>'Ficha Mistura'!I47</f>
        <v>5.7261965649642359E-2</v>
      </c>
    </row>
    <row r="11" spans="1:14" ht="15.75">
      <c r="A11" s="1"/>
      <c r="B11" s="1959" t="str">
        <f>'Ficha Mistura'!B48</f>
        <v>Óxido de Magnésio</v>
      </c>
      <c r="C11" s="1960">
        <f t="shared" si="1"/>
        <v>4.4841147326343186E-2</v>
      </c>
      <c r="D11" s="1961">
        <f t="shared" si="0"/>
        <v>44.841147326343183</v>
      </c>
      <c r="E11" s="1962">
        <f t="shared" si="2"/>
        <v>44841.147326343184</v>
      </c>
      <c r="F11" s="32">
        <f>'Ficha Mistura'!E48</f>
        <v>1</v>
      </c>
      <c r="G11" s="25">
        <f t="shared" si="3"/>
        <v>44.841147326343183</v>
      </c>
      <c r="H11" s="1"/>
      <c r="I11" s="1947">
        <f>'Ficha Mistura'!H48</f>
        <v>4.4841147326343186E-2</v>
      </c>
      <c r="J11" s="1964">
        <f>'Ficha Mistura'!I48</f>
        <v>4.4435850958279371E-2</v>
      </c>
    </row>
    <row r="12" spans="1:14" ht="15.75">
      <c r="A12" s="1"/>
      <c r="B12" s="1959" t="str">
        <f>'Ficha Mistura'!B49</f>
        <v xml:space="preserve">Flor de S </v>
      </c>
      <c r="C12" s="1960">
        <f t="shared" si="1"/>
        <v>3.7039950469451646E-2</v>
      </c>
      <c r="D12" s="1961">
        <f t="shared" si="0"/>
        <v>37.039950469451647</v>
      </c>
      <c r="E12" s="1962">
        <f t="shared" si="2"/>
        <v>37039.950469451644</v>
      </c>
      <c r="F12" s="32">
        <f>'Ficha Mistura'!E49</f>
        <v>1</v>
      </c>
      <c r="G12" s="25">
        <f t="shared" si="3"/>
        <v>37.039950469451647</v>
      </c>
      <c r="H12" s="1"/>
      <c r="I12" s="1947">
        <f>'Ficha Mistura'!H49</f>
        <v>3.7039950469451646E-2</v>
      </c>
      <c r="J12" s="1964">
        <f>'Ficha Mistura'!I49</f>
        <v>3.7332348616427813E-2</v>
      </c>
    </row>
    <row r="13" spans="1:14" ht="15.75">
      <c r="A13" s="1"/>
      <c r="B13" s="1959" t="str">
        <f>'Ficha Mistura'!B50</f>
        <v>Sulfato de Zinco</v>
      </c>
      <c r="C13" s="1960">
        <f t="shared" si="1"/>
        <v>5.1306041799196091E-3</v>
      </c>
      <c r="D13" s="1961">
        <f t="shared" si="0"/>
        <v>5.1306041799196089</v>
      </c>
      <c r="E13" s="1962">
        <f t="shared" si="2"/>
        <v>5130.6041799196091</v>
      </c>
      <c r="F13" s="32">
        <f>'Ficha Mistura'!E50</f>
        <v>1</v>
      </c>
      <c r="G13" s="25">
        <f t="shared" si="3"/>
        <v>5.1306041799196089</v>
      </c>
      <c r="H13" s="1"/>
      <c r="I13" s="1947">
        <f>'Ficha Mistura'!H50</f>
        <v>5.1306041799196091E-3</v>
      </c>
      <c r="J13" s="1964">
        <f>'Ficha Mistura'!I50</f>
        <v>5.171105831138445E-3</v>
      </c>
    </row>
    <row r="14" spans="1:14" ht="15.75">
      <c r="A14" s="1"/>
      <c r="B14" s="1959" t="str">
        <f>'Ficha Mistura'!B51</f>
        <v>Sulfato de Manganês</v>
      </c>
      <c r="C14" s="1960">
        <f t="shared" si="1"/>
        <v>1.5413976488366124E-3</v>
      </c>
      <c r="D14" s="1961">
        <f t="shared" si="0"/>
        <v>1.5413976488366123</v>
      </c>
      <c r="E14" s="1962">
        <f t="shared" si="2"/>
        <v>1541.3976488366122</v>
      </c>
      <c r="F14" s="32">
        <f>'Ficha Mistura'!E51</f>
        <v>1</v>
      </c>
      <c r="G14" s="25">
        <f t="shared" si="3"/>
        <v>1.5413976488366123</v>
      </c>
      <c r="H14" s="1"/>
      <c r="I14" s="1947">
        <f>'Ficha Mistura'!H51</f>
        <v>1.5413976488366124E-3</v>
      </c>
      <c r="J14" s="1964">
        <f>'Ficha Mistura'!I51</f>
        <v>1.5535656407091977E-3</v>
      </c>
    </row>
    <row r="15" spans="1:14" ht="15.75">
      <c r="A15" s="1"/>
      <c r="B15" s="1959" t="str">
        <f>'Ficha Mistura'!B52</f>
        <v>SULFATO COBRE</v>
      </c>
      <c r="C15" s="1960">
        <f t="shared" si="1"/>
        <v>1.5100215870491314E-3</v>
      </c>
      <c r="D15" s="1961">
        <f t="shared" si="0"/>
        <v>1.5100215870491314</v>
      </c>
      <c r="E15" s="1962">
        <f t="shared" si="2"/>
        <v>1510.0215870491313</v>
      </c>
      <c r="F15" s="32">
        <f>'Ficha Mistura'!E52</f>
        <v>1</v>
      </c>
      <c r="G15" s="25">
        <f t="shared" si="3"/>
        <v>1.5100215870491314</v>
      </c>
      <c r="H15" s="1"/>
      <c r="I15" s="1947">
        <f>'Ficha Mistura'!H52</f>
        <v>1.5100215870491314E-3</v>
      </c>
      <c r="J15" s="1964">
        <f>'Ficha Mistura'!I52</f>
        <v>1.5219418922426096E-3</v>
      </c>
    </row>
    <row r="16" spans="1:14" ht="15.75">
      <c r="A16" s="1"/>
      <c r="B16" s="1959" t="str">
        <f>'Ficha Mistura'!B53</f>
        <v>Iodato de Potássio</v>
      </c>
      <c r="C16" s="1960">
        <f t="shared" si="1"/>
        <v>3.3726814812776626E-5</v>
      </c>
      <c r="D16" s="1961">
        <f t="shared" si="0"/>
        <v>3.3726814812776625E-2</v>
      </c>
      <c r="E16" s="1962">
        <f t="shared" si="2"/>
        <v>33.726814812776624</v>
      </c>
      <c r="F16" s="32">
        <f>'Ficha Mistura'!E53</f>
        <v>1</v>
      </c>
      <c r="G16" s="25">
        <f t="shared" si="3"/>
        <v>3.3726814812776625E-2</v>
      </c>
      <c r="H16" s="1"/>
      <c r="I16" s="1947">
        <f>'Ficha Mistura'!H53</f>
        <v>3.3726814812776626E-5</v>
      </c>
      <c r="J16" s="1964">
        <f>'Ficha Mistura'!I53</f>
        <v>3.39930586395009E-5</v>
      </c>
    </row>
    <row r="17" spans="1:10" ht="15.75">
      <c r="A17" s="1"/>
      <c r="B17" s="1959" t="str">
        <f>'Ficha Mistura'!B54</f>
        <v>Selenito de Sódio</v>
      </c>
      <c r="C17" s="1960">
        <f t="shared" si="1"/>
        <v>1.7543860687698718E-5</v>
      </c>
      <c r="D17" s="1961">
        <f t="shared" si="0"/>
        <v>1.7543860687698719E-2</v>
      </c>
      <c r="E17" s="1962">
        <f t="shared" si="2"/>
        <v>17.543860687698718</v>
      </c>
      <c r="F17" s="32">
        <f>'Ficha Mistura'!E54</f>
        <v>45</v>
      </c>
      <c r="G17" s="25">
        <f t="shared" si="3"/>
        <v>0.78947373094644235</v>
      </c>
      <c r="H17" s="1"/>
      <c r="I17" s="1947">
        <f>'Ficha Mistura'!H54</f>
        <v>1.7543860687698718E-5</v>
      </c>
      <c r="J17" s="1964">
        <f>'Ficha Mistura'!I54</f>
        <v>1.7682354187038627E-5</v>
      </c>
    </row>
    <row r="18" spans="1:10" ht="15.75">
      <c r="A18" s="1"/>
      <c r="B18" s="1959" t="str">
        <f>'Ficha Mistura'!B55</f>
        <v>Sulfato Cobalto</v>
      </c>
      <c r="C18" s="1960">
        <f t="shared" si="1"/>
        <v>1.6129033212884307E-5</v>
      </c>
      <c r="D18" s="1961">
        <f t="shared" si="0"/>
        <v>1.6129033212884308E-2</v>
      </c>
      <c r="E18" s="1962">
        <f t="shared" si="2"/>
        <v>16.129033212884309</v>
      </c>
      <c r="F18" s="32">
        <f>'Ficha Mistura'!E55</f>
        <v>1</v>
      </c>
      <c r="G18" s="25">
        <f t="shared" si="3"/>
        <v>1.6129033212884308E-2</v>
      </c>
      <c r="H18" s="1"/>
      <c r="I18" s="1947">
        <f>'Ficha Mistura'!H55</f>
        <v>1.6129033212884307E-5</v>
      </c>
      <c r="J18" s="1964">
        <f>'Ficha Mistura'!I55</f>
        <v>1.6256357881632286E-5</v>
      </c>
    </row>
    <row r="19" spans="1:10" ht="15.75">
      <c r="A19" s="1"/>
      <c r="B19" s="1959" t="str">
        <f>'Ficha Mistura'!B56</f>
        <v/>
      </c>
      <c r="C19" s="1960" t="str">
        <f t="shared" si="1"/>
        <v/>
      </c>
      <c r="D19" s="1961" t="str">
        <f t="shared" si="0"/>
        <v/>
      </c>
      <c r="E19" s="1962" t="str">
        <f t="shared" si="2"/>
        <v/>
      </c>
      <c r="F19" s="32" t="str">
        <f>'Ficha Mistura'!E56</f>
        <v/>
      </c>
      <c r="G19" s="25" t="str">
        <f t="shared" si="3"/>
        <v/>
      </c>
      <c r="H19" s="1"/>
      <c r="I19" s="1947" t="str">
        <f>'Ficha Mistura'!H56</f>
        <v/>
      </c>
      <c r="J19" s="1964" t="str">
        <f>'Ficha Mistura'!I56</f>
        <v/>
      </c>
    </row>
    <row r="20" spans="1:10" ht="15.75">
      <c r="A20" s="1"/>
      <c r="B20" s="1959" t="str">
        <f>'Ficha Mistura'!B57</f>
        <v/>
      </c>
      <c r="C20" s="1960" t="str">
        <f t="shared" si="1"/>
        <v/>
      </c>
      <c r="D20" s="1961" t="str">
        <f t="shared" si="0"/>
        <v/>
      </c>
      <c r="E20" s="1962" t="str">
        <f t="shared" si="2"/>
        <v/>
      </c>
      <c r="F20" s="32" t="str">
        <f>'Ficha Mistura'!E57</f>
        <v/>
      </c>
      <c r="G20" s="25" t="str">
        <f t="shared" si="3"/>
        <v/>
      </c>
      <c r="H20" s="1"/>
      <c r="I20" s="1947" t="str">
        <f>'Ficha Mistura'!H57</f>
        <v/>
      </c>
      <c r="J20" s="1964" t="str">
        <f>'Ficha Mistura'!I57</f>
        <v/>
      </c>
    </row>
    <row r="21" spans="1:10" ht="15.75">
      <c r="A21" s="1"/>
      <c r="B21" s="1959" t="str">
        <f>'Ficha Mistura'!B58</f>
        <v/>
      </c>
      <c r="C21" s="1960" t="str">
        <f t="shared" si="1"/>
        <v/>
      </c>
      <c r="D21" s="1961" t="str">
        <f t="shared" si="0"/>
        <v/>
      </c>
      <c r="E21" s="1962" t="str">
        <f t="shared" si="2"/>
        <v/>
      </c>
      <c r="F21" s="32" t="str">
        <f>'Ficha Mistura'!E58</f>
        <v/>
      </c>
      <c r="G21" s="25" t="str">
        <f t="shared" si="3"/>
        <v/>
      </c>
      <c r="H21" s="1"/>
      <c r="I21" s="1947" t="str">
        <f>'Ficha Mistura'!H58</f>
        <v/>
      </c>
      <c r="J21" s="1964" t="str">
        <f>'Ficha Mistura'!I58</f>
        <v/>
      </c>
    </row>
    <row r="22" spans="1:10" ht="15.75">
      <c r="A22" s="1"/>
      <c r="B22" s="1959" t="str">
        <f>'Ficha Mistura'!B59</f>
        <v/>
      </c>
      <c r="C22" s="1960" t="str">
        <f t="shared" si="1"/>
        <v/>
      </c>
      <c r="D22" s="1961" t="str">
        <f t="shared" si="0"/>
        <v/>
      </c>
      <c r="E22" s="1962" t="str">
        <f t="shared" si="2"/>
        <v/>
      </c>
      <c r="F22" s="32" t="str">
        <f>'Ficha Mistura'!E59</f>
        <v/>
      </c>
      <c r="G22" s="25" t="str">
        <f t="shared" si="3"/>
        <v/>
      </c>
      <c r="H22" s="1"/>
      <c r="I22" s="1947" t="str">
        <f>'Ficha Mistura'!H59</f>
        <v/>
      </c>
      <c r="J22" s="1964" t="str">
        <f>'Ficha Mistura'!I59</f>
        <v/>
      </c>
    </row>
    <row r="23" spans="1:10" ht="15.75">
      <c r="A23" s="1"/>
      <c r="B23" s="1959" t="str">
        <f>'Ficha Mistura'!B60</f>
        <v/>
      </c>
      <c r="C23" s="1960" t="str">
        <f t="shared" si="1"/>
        <v/>
      </c>
      <c r="D23" s="1961" t="str">
        <f t="shared" si="0"/>
        <v/>
      </c>
      <c r="E23" s="1962" t="str">
        <f t="shared" si="2"/>
        <v/>
      </c>
      <c r="F23" s="32" t="str">
        <f>'Ficha Mistura'!E60</f>
        <v/>
      </c>
      <c r="G23" s="25" t="str">
        <f t="shared" si="3"/>
        <v/>
      </c>
      <c r="H23" s="1"/>
      <c r="I23" s="1947" t="str">
        <f>'Ficha Mistura'!H60</f>
        <v/>
      </c>
      <c r="J23" s="1964" t="str">
        <f>'Ficha Mistura'!I60</f>
        <v/>
      </c>
    </row>
    <row r="24" spans="1:10" ht="15.75">
      <c r="A24" s="1"/>
      <c r="B24" s="1959" t="str">
        <f>'Ficha Mistura'!B61</f>
        <v/>
      </c>
      <c r="C24" s="1960" t="str">
        <f t="shared" si="1"/>
        <v/>
      </c>
      <c r="D24" s="1961" t="str">
        <f t="shared" si="0"/>
        <v/>
      </c>
      <c r="E24" s="1962" t="str">
        <f t="shared" si="2"/>
        <v/>
      </c>
      <c r="F24" s="32" t="str">
        <f>'Ficha Mistura'!E61</f>
        <v/>
      </c>
      <c r="G24" s="25" t="str">
        <f t="shared" si="3"/>
        <v/>
      </c>
      <c r="H24" s="1"/>
      <c r="I24" s="1947" t="str">
        <f>'Ficha Mistura'!H61</f>
        <v/>
      </c>
      <c r="J24" s="1964" t="str">
        <f>'Ficha Mistura'!I61</f>
        <v/>
      </c>
    </row>
    <row r="25" spans="1:10" ht="15.75">
      <c r="A25" s="1"/>
      <c r="B25" s="1959" t="str">
        <f>'Ficha Mistura'!B62</f>
        <v/>
      </c>
      <c r="C25" s="1960" t="str">
        <f t="shared" si="1"/>
        <v/>
      </c>
      <c r="D25" s="1961" t="str">
        <f t="shared" si="0"/>
        <v/>
      </c>
      <c r="E25" s="1962" t="str">
        <f t="shared" si="2"/>
        <v/>
      </c>
      <c r="F25" s="32" t="str">
        <f>'Ficha Mistura'!E62</f>
        <v/>
      </c>
      <c r="G25" s="25" t="str">
        <f t="shared" si="3"/>
        <v/>
      </c>
      <c r="H25" s="1"/>
      <c r="I25" s="1947" t="str">
        <f>'Ficha Mistura'!H62</f>
        <v/>
      </c>
      <c r="J25" s="1964" t="str">
        <f>'Ficha Mistura'!I62</f>
        <v/>
      </c>
    </row>
    <row r="26" spans="1:10" ht="15.75">
      <c r="A26" s="1"/>
      <c r="B26" s="1959" t="str">
        <f>'Ficha Mistura'!B63</f>
        <v/>
      </c>
      <c r="C26" s="1960" t="str">
        <f t="shared" si="1"/>
        <v/>
      </c>
      <c r="D26" s="1961" t="str">
        <f t="shared" si="0"/>
        <v/>
      </c>
      <c r="E26" s="1962" t="str">
        <f t="shared" si="2"/>
        <v/>
      </c>
      <c r="F26" s="32" t="str">
        <f>'Ficha Mistura'!E63</f>
        <v/>
      </c>
      <c r="G26" s="25" t="str">
        <f t="shared" si="3"/>
        <v/>
      </c>
      <c r="H26" s="1"/>
      <c r="I26" s="1947" t="str">
        <f>'Ficha Mistura'!H63</f>
        <v/>
      </c>
      <c r="J26" s="1964" t="str">
        <f>'Ficha Mistura'!I63</f>
        <v/>
      </c>
    </row>
    <row r="27" spans="1:10" ht="15.75">
      <c r="A27" s="1"/>
      <c r="B27" s="1959" t="str">
        <f>'Ficha Mistura'!B64</f>
        <v/>
      </c>
      <c r="C27" s="1960" t="str">
        <f t="shared" si="1"/>
        <v/>
      </c>
      <c r="D27" s="1961" t="str">
        <f t="shared" si="0"/>
        <v/>
      </c>
      <c r="E27" s="1962" t="str">
        <f t="shared" si="2"/>
        <v/>
      </c>
      <c r="F27" s="32" t="str">
        <f>'Ficha Mistura'!E64</f>
        <v/>
      </c>
      <c r="G27" s="25" t="str">
        <f t="shared" si="3"/>
        <v/>
      </c>
      <c r="H27" s="1"/>
      <c r="I27" s="1947" t="str">
        <f>'Ficha Mistura'!H64</f>
        <v/>
      </c>
      <c r="J27" s="1964" t="str">
        <f>'Ficha Mistura'!I64</f>
        <v/>
      </c>
    </row>
    <row r="28" spans="1:10" ht="15.75">
      <c r="A28" s="1"/>
      <c r="B28" s="1959" t="str">
        <f>'Ficha Mistura'!B65</f>
        <v/>
      </c>
      <c r="C28" s="1960" t="str">
        <f t="shared" si="1"/>
        <v/>
      </c>
      <c r="D28" s="1961" t="str">
        <f t="shared" si="0"/>
        <v/>
      </c>
      <c r="E28" s="1962" t="str">
        <f t="shared" si="2"/>
        <v/>
      </c>
      <c r="F28" s="32" t="str">
        <f>'Ficha Mistura'!E65</f>
        <v/>
      </c>
      <c r="G28" s="25" t="str">
        <f t="shared" si="3"/>
        <v/>
      </c>
      <c r="H28" s="1"/>
      <c r="I28" s="1947" t="str">
        <f>'Ficha Mistura'!H65</f>
        <v/>
      </c>
      <c r="J28" s="1964" t="str">
        <f>'Ficha Mistura'!I65</f>
        <v/>
      </c>
    </row>
    <row r="29" spans="1:10" ht="15.75">
      <c r="A29" s="1"/>
      <c r="B29" s="1959" t="str">
        <f>'Ficha Mistura'!B66</f>
        <v/>
      </c>
      <c r="C29" s="1960" t="str">
        <f t="shared" si="1"/>
        <v/>
      </c>
      <c r="D29" s="1961" t="str">
        <f t="shared" si="0"/>
        <v/>
      </c>
      <c r="E29" s="1962" t="str">
        <f t="shared" si="2"/>
        <v/>
      </c>
      <c r="F29" s="32" t="str">
        <f>'Ficha Mistura'!E66</f>
        <v/>
      </c>
      <c r="G29" s="25" t="str">
        <f t="shared" si="3"/>
        <v/>
      </c>
      <c r="H29" s="1"/>
      <c r="I29" s="1947" t="str">
        <f>'Ficha Mistura'!H66</f>
        <v/>
      </c>
      <c r="J29" s="1964" t="str">
        <f>'Ficha Mistura'!I66</f>
        <v/>
      </c>
    </row>
    <row r="30" spans="1:10" ht="15.75">
      <c r="A30" s="1"/>
      <c r="B30" s="1959" t="str">
        <f>'Ficha Mistura'!B67</f>
        <v/>
      </c>
      <c r="C30" s="1960" t="str">
        <f t="shared" si="1"/>
        <v/>
      </c>
      <c r="D30" s="1961" t="str">
        <f t="shared" si="0"/>
        <v/>
      </c>
      <c r="E30" s="1962" t="str">
        <f t="shared" si="2"/>
        <v/>
      </c>
      <c r="F30" s="32" t="str">
        <f>'Ficha Mistura'!E67</f>
        <v/>
      </c>
      <c r="G30" s="25" t="str">
        <f t="shared" si="3"/>
        <v/>
      </c>
      <c r="H30" s="1"/>
      <c r="I30" s="1947" t="str">
        <f>'Ficha Mistura'!H67</f>
        <v/>
      </c>
      <c r="J30" s="1964" t="str">
        <f>'Ficha Mistura'!I67</f>
        <v/>
      </c>
    </row>
    <row r="31" spans="1:10" ht="16.5" thickBot="1">
      <c r="A31" s="1"/>
      <c r="B31" s="1959" t="str">
        <f>'Ficha Mistura'!B68</f>
        <v/>
      </c>
      <c r="C31" s="1960" t="str">
        <f t="shared" si="1"/>
        <v/>
      </c>
      <c r="D31" s="1961" t="str">
        <f t="shared" si="0"/>
        <v/>
      </c>
      <c r="E31" s="1962" t="str">
        <f t="shared" si="2"/>
        <v/>
      </c>
      <c r="F31" s="32" t="str">
        <f>'Ficha Mistura'!E68</f>
        <v/>
      </c>
      <c r="G31" s="25" t="str">
        <f t="shared" si="3"/>
        <v/>
      </c>
      <c r="H31" s="1"/>
      <c r="I31" s="1948" t="str">
        <f>'Ficha Mistura'!H68</f>
        <v/>
      </c>
      <c r="J31" s="1965" t="str">
        <f>'Ficha Mistura'!I68</f>
        <v/>
      </c>
    </row>
    <row r="32" spans="1:10" ht="17.25" thickTop="1" thickBot="1">
      <c r="A32" s="1"/>
      <c r="B32" s="1966"/>
      <c r="C32" s="1967">
        <f>IFERROR(SUM(C7:C31),0)</f>
        <v>1.0000000000000002</v>
      </c>
      <c r="D32" s="1968">
        <f>IFERROR(SUM(D7:D31),0)</f>
        <v>1000.0000000000001</v>
      </c>
      <c r="E32" s="1967"/>
      <c r="F32" s="1969">
        <f>IFERROR(G32/D32,0)</f>
        <v>1.0607801257265408</v>
      </c>
      <c r="G32" s="1968">
        <f>IFERROR(SUM(G7:G31),0)</f>
        <v>1060.780125726541</v>
      </c>
      <c r="H32" s="1970"/>
      <c r="I32" s="1971">
        <f>SUM(I7:I31)</f>
        <v>1.0000000000000002</v>
      </c>
      <c r="J32" s="1972">
        <f>SUM(J7:J31)</f>
        <v>1.0000000000000004</v>
      </c>
    </row>
    <row r="33" spans="1:10" ht="15" thickBot="1">
      <c r="A33" s="1"/>
      <c r="B33" s="1"/>
      <c r="C33" s="1"/>
      <c r="D33" s="1"/>
      <c r="E33" s="1"/>
      <c r="F33" s="1"/>
      <c r="G33" s="1"/>
      <c r="H33" s="1"/>
      <c r="I33" s="1"/>
      <c r="J33" s="1"/>
    </row>
    <row r="34" spans="1:10">
      <c r="A34" s="1"/>
      <c r="B34" s="620"/>
      <c r="C34" s="621"/>
      <c r="D34" s="621"/>
      <c r="E34" s="621"/>
      <c r="F34" s="621"/>
      <c r="G34" s="621"/>
      <c r="H34" s="621"/>
      <c r="I34" s="621"/>
      <c r="J34" s="622"/>
    </row>
    <row r="35" spans="1:10">
      <c r="A35" s="1"/>
      <c r="B35" s="2248" t="s">
        <v>792</v>
      </c>
      <c r="C35" s="2249"/>
      <c r="D35" s="2249"/>
      <c r="E35" s="2249"/>
      <c r="F35" s="2249"/>
      <c r="G35" s="2249"/>
      <c r="H35" s="2249"/>
      <c r="I35" s="2249"/>
      <c r="J35" s="2250"/>
    </row>
    <row r="36" spans="1:10">
      <c r="A36" s="1"/>
      <c r="B36" s="2251"/>
      <c r="C36" s="2252"/>
      <c r="D36" s="2252"/>
      <c r="E36" s="2252"/>
      <c r="F36" s="2252"/>
      <c r="G36" s="2252"/>
      <c r="H36" s="2252"/>
      <c r="I36" s="2252"/>
      <c r="J36" s="2253"/>
    </row>
    <row r="37" spans="1:10">
      <c r="A37" s="1"/>
      <c r="B37" s="2251"/>
      <c r="C37" s="2252"/>
      <c r="D37" s="2252"/>
      <c r="E37" s="2252"/>
      <c r="F37" s="2252"/>
      <c r="G37" s="2252"/>
      <c r="H37" s="2252"/>
      <c r="I37" s="2252"/>
      <c r="J37" s="2253"/>
    </row>
    <row r="38" spans="1:10">
      <c r="A38" s="1"/>
      <c r="B38" s="2251"/>
      <c r="C38" s="2252"/>
      <c r="D38" s="2252"/>
      <c r="E38" s="2252"/>
      <c r="F38" s="2252"/>
      <c r="G38" s="2252"/>
      <c r="H38" s="2252"/>
      <c r="I38" s="2252"/>
      <c r="J38" s="2253"/>
    </row>
    <row r="39" spans="1:10">
      <c r="A39" s="1"/>
      <c r="B39" s="2251"/>
      <c r="C39" s="2252"/>
      <c r="D39" s="2252"/>
      <c r="E39" s="2252"/>
      <c r="F39" s="2252"/>
      <c r="G39" s="2252"/>
      <c r="H39" s="2252"/>
      <c r="I39" s="2252"/>
      <c r="J39" s="2253"/>
    </row>
    <row r="40" spans="1:10">
      <c r="A40" s="1"/>
      <c r="B40" s="2251"/>
      <c r="C40" s="2252"/>
      <c r="D40" s="2252"/>
      <c r="E40" s="2252"/>
      <c r="F40" s="2252"/>
      <c r="G40" s="2252"/>
      <c r="H40" s="2252"/>
      <c r="I40" s="2252"/>
      <c r="J40" s="2253"/>
    </row>
    <row r="41" spans="1:10">
      <c r="A41" s="1"/>
      <c r="B41" s="2251"/>
      <c r="C41" s="2252"/>
      <c r="D41" s="2252"/>
      <c r="E41" s="2252"/>
      <c r="F41" s="2252"/>
      <c r="G41" s="2252"/>
      <c r="H41" s="2252"/>
      <c r="I41" s="2252"/>
      <c r="J41" s="2253"/>
    </row>
    <row r="42" spans="1:10">
      <c r="A42" s="1"/>
      <c r="B42" s="2251"/>
      <c r="C42" s="2252"/>
      <c r="D42" s="2252"/>
      <c r="E42" s="2252"/>
      <c r="F42" s="2252"/>
      <c r="G42" s="2252"/>
      <c r="H42" s="2252"/>
      <c r="I42" s="2252"/>
      <c r="J42" s="2253"/>
    </row>
    <row r="43" spans="1:10">
      <c r="A43" s="1"/>
      <c r="B43" s="2251"/>
      <c r="C43" s="2252"/>
      <c r="D43" s="2252"/>
      <c r="E43" s="2252"/>
      <c r="F43" s="2252"/>
      <c r="G43" s="2252"/>
      <c r="H43" s="2252"/>
      <c r="I43" s="2252"/>
      <c r="J43" s="2253"/>
    </row>
    <row r="44" spans="1:10">
      <c r="A44" s="1"/>
      <c r="B44" s="2251"/>
      <c r="C44" s="2252"/>
      <c r="D44" s="2252"/>
      <c r="E44" s="2252"/>
      <c r="F44" s="2252"/>
      <c r="G44" s="2252"/>
      <c r="H44" s="2252"/>
      <c r="I44" s="2252"/>
      <c r="J44" s="2253"/>
    </row>
    <row r="45" spans="1:10">
      <c r="A45" s="1"/>
      <c r="B45" s="1939"/>
      <c r="C45" s="80"/>
      <c r="D45" s="80"/>
      <c r="E45" s="80"/>
      <c r="F45" s="80"/>
      <c r="G45" s="80"/>
      <c r="H45" s="80"/>
      <c r="I45" s="80"/>
      <c r="J45" s="1940"/>
    </row>
    <row r="46" spans="1:10">
      <c r="A46" s="1"/>
      <c r="B46" s="2251"/>
      <c r="C46" s="2252"/>
      <c r="D46" s="2252"/>
      <c r="E46" s="2252"/>
      <c r="F46" s="2252"/>
      <c r="G46" s="2252"/>
      <c r="H46" s="2252"/>
      <c r="I46" s="2252"/>
      <c r="J46" s="2253"/>
    </row>
    <row r="47" spans="1:10">
      <c r="A47" s="1"/>
      <c r="B47" s="2251"/>
      <c r="C47" s="2252"/>
      <c r="D47" s="2252"/>
      <c r="E47" s="2252"/>
      <c r="F47" s="2252"/>
      <c r="G47" s="2252"/>
      <c r="H47" s="2252"/>
      <c r="I47" s="2252"/>
      <c r="J47" s="2253"/>
    </row>
    <row r="48" spans="1:10">
      <c r="A48" s="1"/>
      <c r="B48" s="2251"/>
      <c r="C48" s="2252"/>
      <c r="D48" s="2252"/>
      <c r="E48" s="2252"/>
      <c r="F48" s="2252"/>
      <c r="G48" s="2252"/>
      <c r="H48" s="2252"/>
      <c r="I48" s="2252"/>
      <c r="J48" s="2253"/>
    </row>
    <row r="49" spans="1:10">
      <c r="A49" s="1"/>
      <c r="B49" s="2251"/>
      <c r="C49" s="2252"/>
      <c r="D49" s="2252"/>
      <c r="E49" s="2252"/>
      <c r="F49" s="2252"/>
      <c r="G49" s="2252"/>
      <c r="H49" s="2252"/>
      <c r="I49" s="2252"/>
      <c r="J49" s="2253"/>
    </row>
    <row r="50" spans="1:10">
      <c r="A50" s="1"/>
      <c r="B50" s="2263">
        <f ca="1">TODAY()</f>
        <v>45298</v>
      </c>
      <c r="C50" s="2264"/>
      <c r="D50" s="2264"/>
      <c r="E50" s="2264"/>
      <c r="F50" s="2264"/>
      <c r="G50" s="2264"/>
      <c r="H50" s="2264"/>
      <c r="I50" s="2264"/>
      <c r="J50" s="2265"/>
    </row>
    <row r="51" spans="1:10">
      <c r="A51" s="1"/>
      <c r="B51" s="2244"/>
      <c r="C51" s="2233"/>
      <c r="D51" s="2233"/>
      <c r="E51" s="2233"/>
      <c r="F51" s="2233"/>
      <c r="G51" s="2233"/>
      <c r="H51" s="2233"/>
      <c r="I51" s="2233"/>
      <c r="J51" s="2245"/>
    </row>
    <row r="52" spans="1:10">
      <c r="A52" s="1"/>
      <c r="B52" s="2244"/>
      <c r="C52" s="2233"/>
      <c r="D52" s="2233"/>
      <c r="E52" s="2233"/>
      <c r="F52" s="2233"/>
      <c r="G52" s="2233"/>
      <c r="H52" s="2233"/>
      <c r="I52" s="2233"/>
      <c r="J52" s="2245"/>
    </row>
    <row r="53" spans="1:10">
      <c r="A53" s="1"/>
      <c r="B53" s="2262" t="s">
        <v>856</v>
      </c>
      <c r="C53" s="2233"/>
      <c r="D53" s="2233"/>
      <c r="E53" s="2233"/>
      <c r="F53" s="2233"/>
      <c r="G53" s="2233"/>
      <c r="H53" s="2233"/>
      <c r="I53" s="2233"/>
      <c r="J53" s="2245"/>
    </row>
    <row r="54" spans="1:10" ht="15">
      <c r="A54" s="1"/>
      <c r="B54" s="2242" t="str">
        <f>Usuário</f>
        <v>Iomar Bezerra da Silva</v>
      </c>
      <c r="C54" s="2236"/>
      <c r="D54" s="2236"/>
      <c r="E54" s="2236"/>
      <c r="F54" s="2236"/>
      <c r="G54" s="2236"/>
      <c r="H54" s="2236"/>
      <c r="I54" s="2236"/>
      <c r="J54" s="2243"/>
    </row>
    <row r="55" spans="1:10">
      <c r="A55" s="1"/>
      <c r="B55" s="2244" t="str">
        <f>Profissão</f>
        <v>Técnico</v>
      </c>
      <c r="C55" s="2233"/>
      <c r="D55" s="2233"/>
      <c r="E55" s="2233"/>
      <c r="F55" s="2233"/>
      <c r="G55" s="2233"/>
      <c r="H55" s="2233"/>
      <c r="I55" s="2233"/>
      <c r="J55" s="2245"/>
    </row>
    <row r="56" spans="1:10" ht="15" thickBot="1">
      <c r="A56" s="1"/>
      <c r="B56" s="2239" t="str">
        <f>RGProfissional</f>
        <v>MA-00259-ZP</v>
      </c>
      <c r="C56" s="2240"/>
      <c r="D56" s="2240"/>
      <c r="E56" s="2240"/>
      <c r="F56" s="2240"/>
      <c r="G56" s="2240"/>
      <c r="H56" s="2240"/>
      <c r="I56" s="2240"/>
      <c r="J56" s="2241"/>
    </row>
    <row r="57" spans="1:10">
      <c r="A57" s="1"/>
      <c r="B57" s="1"/>
      <c r="C57" s="1"/>
      <c r="D57" s="1"/>
      <c r="E57" s="1"/>
      <c r="F57" s="1"/>
      <c r="G57" s="1"/>
      <c r="H57" s="1"/>
      <c r="I57" s="1"/>
      <c r="J57" s="1"/>
    </row>
    <row r="58" spans="1:10">
      <c r="A58" s="1"/>
      <c r="B58" s="1"/>
      <c r="C58" s="1"/>
      <c r="D58" s="1"/>
      <c r="E58" s="1"/>
      <c r="F58" s="1"/>
      <c r="G58" s="1"/>
      <c r="H58" s="1"/>
      <c r="I58" s="1"/>
      <c r="J58" s="1"/>
    </row>
    <row r="59" spans="1:10">
      <c r="A59" s="1"/>
      <c r="B59" s="1"/>
      <c r="C59" s="1"/>
      <c r="D59" s="1"/>
      <c r="E59" s="1"/>
      <c r="F59" s="1"/>
      <c r="G59" s="1"/>
      <c r="H59" s="1"/>
      <c r="I59" s="1"/>
      <c r="J59" s="1"/>
    </row>
  </sheetData>
  <mergeCells count="27">
    <mergeCell ref="B53:J53"/>
    <mergeCell ref="B48:J48"/>
    <mergeCell ref="B49:J49"/>
    <mergeCell ref="B50:J50"/>
    <mergeCell ref="B51:J51"/>
    <mergeCell ref="B52:J52"/>
    <mergeCell ref="B46:J46"/>
    <mergeCell ref="B4:G4"/>
    <mergeCell ref="B5:G5"/>
    <mergeCell ref="I4:J4"/>
    <mergeCell ref="B47:J47"/>
    <mergeCell ref="B1:C1"/>
    <mergeCell ref="I1:J1"/>
    <mergeCell ref="B56:J56"/>
    <mergeCell ref="B54:J54"/>
    <mergeCell ref="B55:J55"/>
    <mergeCell ref="C2:G2"/>
    <mergeCell ref="B35:J35"/>
    <mergeCell ref="B36:J36"/>
    <mergeCell ref="B37:J37"/>
    <mergeCell ref="B38:J38"/>
    <mergeCell ref="B39:J39"/>
    <mergeCell ref="B40:J40"/>
    <mergeCell ref="B41:J41"/>
    <mergeCell ref="B42:J42"/>
    <mergeCell ref="B43:J43"/>
    <mergeCell ref="B44:J44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portrait" r:id="rId1"/>
  <headerFooter>
    <oddHeader>&amp;C&amp;"Arial,Negrito itálico"&amp;K00-034PROGRAMA DE FORMULAÇÃO DE DIETAS PARA RUMIANTES</oddHeader>
    <oddFooter>&amp;C&amp;"Arial,Negrito"&amp;K00-033PFDR&amp;"Arial,Normal" - By Iomar Bezerra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190E6-3B35-4A3A-9534-0EA9F0A941D9}">
  <sheetPr codeName="Planilha16"/>
  <dimension ref="A1:L47"/>
  <sheetViews>
    <sheetView showGridLines="0" showRowColHeaders="0" zoomScaleNormal="100" workbookViewId="0">
      <selection activeCell="I5" sqref="I5"/>
    </sheetView>
  </sheetViews>
  <sheetFormatPr defaultRowHeight="14.25"/>
  <cols>
    <col min="1" max="1" width="33.625" bestFit="1" customWidth="1"/>
    <col min="2" max="2" width="8.875" bestFit="1" customWidth="1"/>
    <col min="3" max="4" width="10.375" customWidth="1"/>
    <col min="6" max="6" width="3" bestFit="1" customWidth="1"/>
    <col min="7" max="7" width="8.875" bestFit="1" customWidth="1"/>
    <col min="8" max="8" width="4.625" bestFit="1" customWidth="1"/>
    <col min="9" max="9" width="12.625" bestFit="1" customWidth="1"/>
    <col min="10" max="10" width="3.25" bestFit="1" customWidth="1"/>
    <col min="11" max="11" width="10.625" bestFit="1" customWidth="1"/>
    <col min="12" max="12" width="12.75" customWidth="1"/>
    <col min="13" max="13" width="4.25" bestFit="1" customWidth="1"/>
    <col min="14" max="14" width="4.5" bestFit="1" customWidth="1"/>
    <col min="15" max="15" width="3.625" bestFit="1" customWidth="1"/>
    <col min="16" max="16" width="3.75" bestFit="1" customWidth="1"/>
    <col min="17" max="17" width="4.625" bestFit="1" customWidth="1"/>
    <col min="18" max="18" width="3.5" bestFit="1" customWidth="1"/>
    <col min="19" max="19" width="6.125" bestFit="1" customWidth="1"/>
    <col min="20" max="20" width="11.25" bestFit="1" customWidth="1"/>
    <col min="21" max="21" width="11.375" bestFit="1" customWidth="1"/>
    <col min="22" max="23" width="5.25" bestFit="1" customWidth="1"/>
    <col min="24" max="24" width="3.25" bestFit="1" customWidth="1"/>
    <col min="25" max="29" width="4.625" bestFit="1" customWidth="1"/>
  </cols>
  <sheetData>
    <row r="1" spans="1:9">
      <c r="A1" s="99" t="s">
        <v>427</v>
      </c>
    </row>
    <row r="2" spans="1:9">
      <c r="B2" s="99" t="s">
        <v>318</v>
      </c>
      <c r="C2" s="84">
        <v>1</v>
      </c>
      <c r="D2" s="84">
        <f t="shared" ref="D2:D47" si="0">IF(C2&gt;100%,100%,C2)</f>
        <v>1</v>
      </c>
      <c r="E2" s="84">
        <v>1</v>
      </c>
    </row>
    <row r="3" spans="1:9">
      <c r="A3" t="str">
        <f>Atendimento!B7</f>
        <v>Matéria Seca</v>
      </c>
      <c r="B3" t="str">
        <f>'Calcular Dieta'!J8</f>
        <v>MS</v>
      </c>
      <c r="C3" s="84">
        <v>1</v>
      </c>
      <c r="D3" s="84">
        <f t="shared" si="0"/>
        <v>1</v>
      </c>
      <c r="E3" s="84">
        <v>1</v>
      </c>
    </row>
    <row r="4" spans="1:9">
      <c r="A4" t="str">
        <f>Atendimento!B8</f>
        <v>Fibra em 
Detergente Neutro</v>
      </c>
      <c r="B4" t="str">
        <f>'Calcular Dieta'!K8</f>
        <v>FDN</v>
      </c>
      <c r="C4" s="84" t="e">
        <f>Atendimento!F8/Atendimento!E8</f>
        <v>#DIV/0!</v>
      </c>
      <c r="D4" s="84" t="e">
        <f t="shared" si="0"/>
        <v>#DIV/0!</v>
      </c>
      <c r="E4" s="84">
        <v>1</v>
      </c>
    </row>
    <row r="5" spans="1:9">
      <c r="A5" t="str">
        <f>Atendimento!B9</f>
        <v>Fibra em 
Detergente Ácido</v>
      </c>
      <c r="B5" t="str">
        <f>'Calcular Dieta'!L8</f>
        <v>FDA</v>
      </c>
      <c r="C5" s="84" t="str">
        <f>IFERROR(Atendimento!F9/Atendimento!E9,"")</f>
        <v/>
      </c>
      <c r="D5" s="84">
        <f t="shared" si="0"/>
        <v>1</v>
      </c>
      <c r="E5" s="84">
        <v>1</v>
      </c>
    </row>
    <row r="6" spans="1:9">
      <c r="A6" t="str">
        <f>Atendimento!B10</f>
        <v>Carboidratos Não Fibrosos</v>
      </c>
      <c r="B6" t="str">
        <f>'Calcular Dieta'!M8</f>
        <v>CNF</v>
      </c>
      <c r="C6" s="84" t="str">
        <f>IFERROR(Atendimento!F10/Atendimento!E10,"")</f>
        <v/>
      </c>
      <c r="D6" s="84">
        <f t="shared" si="0"/>
        <v>1</v>
      </c>
      <c r="E6" s="84">
        <v>1</v>
      </c>
    </row>
    <row r="7" spans="1:9">
      <c r="A7" t="str">
        <f>Atendimento!B11</f>
        <v>Nutrientes Digestíveis Totais</v>
      </c>
      <c r="B7" t="str">
        <f>'Calcular Dieta'!N8</f>
        <v>NDT</v>
      </c>
      <c r="C7" s="84" t="e">
        <f>Atendimento!F11/Atendimento!E11</f>
        <v>#DIV/0!</v>
      </c>
      <c r="D7" s="84" t="e">
        <f t="shared" si="0"/>
        <v>#DIV/0!</v>
      </c>
      <c r="E7" s="84">
        <v>1</v>
      </c>
    </row>
    <row r="8" spans="1:9">
      <c r="A8" t="str">
        <f>Atendimento!B12</f>
        <v>Energia Digestível (Bovinos)</v>
      </c>
      <c r="B8" t="str">
        <f>'Calcular Dieta'!O8</f>
        <v>ED</v>
      </c>
      <c r="C8" s="84" t="str">
        <f>IFERROR(Atendimento!F12/Atendimento!E12,"")</f>
        <v/>
      </c>
      <c r="D8" s="84">
        <f t="shared" si="0"/>
        <v>1</v>
      </c>
      <c r="E8" s="84">
        <v>1</v>
      </c>
    </row>
    <row r="9" spans="1:9">
      <c r="A9" t="str">
        <f>Atendimento!B13</f>
        <v>Energia Metabolizável (Bovinos)</v>
      </c>
      <c r="B9" t="str">
        <f>'Calcular Dieta'!P8</f>
        <v>EM</v>
      </c>
      <c r="C9" s="84" t="str">
        <f>IFERROR(Atendimento!F13/Atendimento!E13,"")</f>
        <v/>
      </c>
      <c r="D9" s="84">
        <f t="shared" si="0"/>
        <v>1</v>
      </c>
      <c r="E9" s="84">
        <v>1</v>
      </c>
      <c r="I9" s="80"/>
    </row>
    <row r="10" spans="1:9">
      <c r="A10" t="str">
        <f>Atendimento!B14</f>
        <v>Energia Líquida (Bovinos)</v>
      </c>
      <c r="B10" t="str">
        <f>'Calcular Dieta'!Q8</f>
        <v>EL</v>
      </c>
      <c r="C10" s="84" t="str">
        <f>IFERROR(Atendimento!F14/Atendimento!E14,"")</f>
        <v/>
      </c>
      <c r="D10" s="84">
        <f t="shared" si="0"/>
        <v>1</v>
      </c>
      <c r="E10" s="84">
        <v>1</v>
      </c>
    </row>
    <row r="11" spans="1:9">
      <c r="A11" t="str">
        <f>Atendimento!B15</f>
        <v>Gordura</v>
      </c>
      <c r="B11" t="str">
        <f>'Calcular Dieta'!R8</f>
        <v>EE</v>
      </c>
      <c r="C11" s="84" t="str">
        <f>IFERROR(Atendimento!F15/Atendimento!E15,"")</f>
        <v/>
      </c>
      <c r="D11" s="84">
        <f t="shared" si="0"/>
        <v>1</v>
      </c>
      <c r="E11" s="84">
        <v>1</v>
      </c>
    </row>
    <row r="12" spans="1:9">
      <c r="A12" t="str">
        <f>Atendimento!B16</f>
        <v>Proteína Bruta</v>
      </c>
      <c r="B12" t="str">
        <f>'Calcular Dieta'!S8</f>
        <v>PB</v>
      </c>
      <c r="C12" s="84" t="str">
        <f>IFERROR(Atendimento!F16/Atendimento!E16,"")</f>
        <v/>
      </c>
      <c r="D12" s="84">
        <f t="shared" si="0"/>
        <v>1</v>
      </c>
      <c r="E12" s="84">
        <v>1</v>
      </c>
    </row>
    <row r="13" spans="1:9">
      <c r="A13" t="str">
        <f>Atendimento!B17</f>
        <v>Proteína Degradável no Rúmen</v>
      </c>
      <c r="B13" t="str">
        <f>'Calcular Dieta'!T8</f>
        <v>PDR</v>
      </c>
      <c r="C13" s="84" t="str">
        <f>IFERROR(Atendimento!F17/Atendimento!E17,"")</f>
        <v/>
      </c>
      <c r="D13" s="84">
        <f t="shared" si="0"/>
        <v>1</v>
      </c>
      <c r="E13" s="84">
        <v>1</v>
      </c>
    </row>
    <row r="14" spans="1:9">
      <c r="A14" t="str">
        <f>Atendimento!B18</f>
        <v>Proteína Não Degradável no Rúmen</v>
      </c>
      <c r="B14" t="str">
        <f>'Calcular Dieta'!U8</f>
        <v>PNDR</v>
      </c>
      <c r="C14" s="84" t="str">
        <f>IFERROR(Atendimento!F18/Atendimento!E18,"")</f>
        <v/>
      </c>
      <c r="D14" s="84">
        <f t="shared" si="0"/>
        <v>1</v>
      </c>
      <c r="E14" s="84">
        <v>1</v>
      </c>
    </row>
    <row r="15" spans="1:9">
      <c r="A15" t="str">
        <f>Atendimento!B19</f>
        <v>Proteína Metabolizável</v>
      </c>
      <c r="B15" t="str">
        <f>'Calcular Dieta'!V8</f>
        <v>PM</v>
      </c>
      <c r="C15" s="84" t="str">
        <f>IFERROR(Atendimento!F19/Atendimento!E19,"")</f>
        <v/>
      </c>
      <c r="D15" s="84">
        <f t="shared" si="0"/>
        <v>1</v>
      </c>
      <c r="E15" s="84">
        <v>1</v>
      </c>
    </row>
    <row r="16" spans="1:9">
      <c r="A16" t="str">
        <f>Atendimento!B20</f>
        <v>Proteína (NNP)</v>
      </c>
      <c r="B16" t="str">
        <f>'Calcular Dieta'!W8</f>
        <v>PBNNP</v>
      </c>
      <c r="C16" s="84" t="str">
        <f>IFERROR(Atendimento!F20/Atendimento!E20,"")</f>
        <v/>
      </c>
      <c r="D16" s="84">
        <f t="shared" si="0"/>
        <v>1</v>
      </c>
      <c r="E16" s="84">
        <v>1</v>
      </c>
    </row>
    <row r="17" spans="1:12">
      <c r="A17" t="str">
        <f>Atendimento!B21</f>
        <v>Cálcio</v>
      </c>
      <c r="B17" t="str">
        <f>'Calcular Dieta'!X8</f>
        <v>Ca</v>
      </c>
      <c r="C17" s="84">
        <f>IFERROR(Atendimento!F21/Atendimento!E21,"")</f>
        <v>1.0000000000000004</v>
      </c>
      <c r="D17" s="84">
        <f t="shared" si="0"/>
        <v>1.0000000000000004</v>
      </c>
      <c r="E17" s="84">
        <v>1</v>
      </c>
    </row>
    <row r="18" spans="1:12">
      <c r="A18" t="str">
        <f>Atendimento!B22</f>
        <v>Fósforo</v>
      </c>
      <c r="B18" t="str">
        <f>'Calcular Dieta'!Y8</f>
        <v>P</v>
      </c>
      <c r="C18" s="84" t="str">
        <f>IFERROR(Atendimento!F22/Atendimento!E22,"")</f>
        <v/>
      </c>
      <c r="D18" s="84">
        <f t="shared" si="0"/>
        <v>1</v>
      </c>
      <c r="E18" s="84">
        <v>1</v>
      </c>
    </row>
    <row r="19" spans="1:12">
      <c r="A19" t="str">
        <f>Atendimento!B23</f>
        <v>Magnésio</v>
      </c>
      <c r="B19" t="str">
        <f>'Calcular Dieta'!Z8</f>
        <v>Mg</v>
      </c>
      <c r="C19" s="84">
        <f>IFERROR(Atendimento!F23/Atendimento!E23,"")</f>
        <v>1.0000000000000302</v>
      </c>
      <c r="D19" s="84">
        <f t="shared" si="0"/>
        <v>1</v>
      </c>
      <c r="E19" s="84">
        <v>1</v>
      </c>
    </row>
    <row r="20" spans="1:12">
      <c r="A20" t="str">
        <f>Atendimento!B24</f>
        <v>Sódio</v>
      </c>
      <c r="B20" t="str">
        <f>'Calcular Dieta'!AA8</f>
        <v>Na</v>
      </c>
      <c r="C20" s="84">
        <f>IFERROR(Atendimento!F24/Atendimento!E24,"")</f>
        <v>1.0000000000000002</v>
      </c>
      <c r="D20" s="84">
        <f t="shared" si="0"/>
        <v>1.0000000000000002</v>
      </c>
      <c r="E20" s="84">
        <v>1</v>
      </c>
    </row>
    <row r="21" spans="1:12">
      <c r="A21" t="str">
        <f>Atendimento!B25</f>
        <v>Potássio</v>
      </c>
      <c r="B21" t="str">
        <f>'Calcular Dieta'!AB8</f>
        <v>K</v>
      </c>
      <c r="C21" s="84">
        <f>IFERROR(Atendimento!F25/Atendimento!E25,"")</f>
        <v>1.0000000000000002</v>
      </c>
      <c r="D21" s="84">
        <f t="shared" si="0"/>
        <v>1.0000000000000002</v>
      </c>
      <c r="E21" s="84">
        <v>1</v>
      </c>
    </row>
    <row r="22" spans="1:12">
      <c r="A22" t="str">
        <f>Atendimento!B26</f>
        <v>Enxofre</v>
      </c>
      <c r="B22" t="str">
        <f>'Calcular Dieta'!AC8</f>
        <v>S</v>
      </c>
      <c r="C22" s="84">
        <f>IFERROR(Atendimento!F26/Atendimento!E26,"")</f>
        <v>1.0000009999581261</v>
      </c>
      <c r="D22" s="84">
        <f t="shared" si="0"/>
        <v>1</v>
      </c>
      <c r="E22" s="84">
        <v>1</v>
      </c>
    </row>
    <row r="23" spans="1:12">
      <c r="A23" t="str">
        <f>Atendimento!B27</f>
        <v>Cobre</v>
      </c>
      <c r="B23" t="str">
        <f>'Calcular Dieta'!AD8</f>
        <v>Cu</v>
      </c>
      <c r="C23" s="84">
        <f>IFERROR(Atendimento!F27/Atendimento!E27,"")</f>
        <v>1.0000000000000002</v>
      </c>
      <c r="D23" s="84">
        <f t="shared" si="0"/>
        <v>1.0000000000000002</v>
      </c>
      <c r="E23" s="84">
        <v>1</v>
      </c>
    </row>
    <row r="24" spans="1:12">
      <c r="A24" t="str">
        <f>Atendimento!B28</f>
        <v>Zinco</v>
      </c>
      <c r="B24" t="str">
        <f>'Calcular Dieta'!AE8</f>
        <v>Zn</v>
      </c>
      <c r="C24" s="84">
        <f>IFERROR(Atendimento!F28/Atendimento!E28,"")</f>
        <v>0.99999999999999978</v>
      </c>
      <c r="D24" s="84">
        <f t="shared" si="0"/>
        <v>0.99999999999999978</v>
      </c>
      <c r="E24" s="84">
        <v>1</v>
      </c>
      <c r="H24" s="99" t="s">
        <v>7</v>
      </c>
      <c r="I24" s="100">
        <v>1</v>
      </c>
      <c r="K24" s="101">
        <v>1</v>
      </c>
      <c r="L24" s="100">
        <v>100</v>
      </c>
    </row>
    <row r="25" spans="1:12">
      <c r="A25" t="str">
        <f>Atendimento!B29</f>
        <v>Ferro</v>
      </c>
      <c r="B25" t="str">
        <f>'Calcular Dieta'!AF8</f>
        <v>Fe</v>
      </c>
      <c r="C25" s="84" t="str">
        <f>IFERROR(Atendimento!F29/Atendimento!E29,"")</f>
        <v/>
      </c>
      <c r="D25" s="84">
        <f t="shared" si="0"/>
        <v>1</v>
      </c>
      <c r="E25" s="84">
        <v>1</v>
      </c>
      <c r="H25" s="99" t="s">
        <v>10</v>
      </c>
      <c r="I25" s="100">
        <v>1000</v>
      </c>
      <c r="K25" s="101">
        <f>I24/I25</f>
        <v>1E-3</v>
      </c>
      <c r="L25" s="100">
        <v>10000</v>
      </c>
    </row>
    <row r="26" spans="1:12">
      <c r="A26" t="str">
        <f>Atendimento!B30</f>
        <v>Manganês</v>
      </c>
      <c r="B26" t="str">
        <f>'Calcular Dieta'!AG8</f>
        <v>Mn</v>
      </c>
      <c r="C26" s="84">
        <f>IFERROR(Atendimento!F30/Atendimento!E30,"")</f>
        <v>1</v>
      </c>
      <c r="D26" s="84">
        <f t="shared" si="0"/>
        <v>1</v>
      </c>
      <c r="E26" s="84">
        <v>1</v>
      </c>
      <c r="H26" s="99" t="s">
        <v>21</v>
      </c>
      <c r="I26" s="100">
        <v>1000000</v>
      </c>
      <c r="K26" s="101">
        <f>I24/I26</f>
        <v>9.9999999999999995E-7</v>
      </c>
      <c r="L26" s="100">
        <v>100000</v>
      </c>
    </row>
    <row r="27" spans="1:12">
      <c r="A27" t="str">
        <f>Atendimento!B31</f>
        <v>Iodo</v>
      </c>
      <c r="B27" t="str">
        <f>'Calcular Dieta'!AH8</f>
        <v>I</v>
      </c>
      <c r="C27" s="84">
        <f>IFERROR(Atendimento!F31/Atendimento!E31,"")</f>
        <v>1</v>
      </c>
      <c r="D27" s="84">
        <f t="shared" si="0"/>
        <v>1</v>
      </c>
      <c r="E27" s="84">
        <v>1</v>
      </c>
      <c r="H27" s="99" t="s">
        <v>39</v>
      </c>
      <c r="I27" s="100">
        <v>1000000</v>
      </c>
      <c r="K27" s="101">
        <f>I$24/I27</f>
        <v>9.9999999999999995E-7</v>
      </c>
      <c r="L27" s="100">
        <v>100000</v>
      </c>
    </row>
    <row r="28" spans="1:12">
      <c r="A28" t="str">
        <f>Atendimento!B32</f>
        <v>Cobalto</v>
      </c>
      <c r="B28" t="str">
        <f>'Calcular Dieta'!AI8</f>
        <v>Co</v>
      </c>
      <c r="C28" s="84">
        <f>IFERROR(Atendimento!F32/Atendimento!E32,"")</f>
        <v>1</v>
      </c>
      <c r="D28" s="84">
        <f t="shared" si="0"/>
        <v>1</v>
      </c>
      <c r="E28" s="84">
        <v>1</v>
      </c>
      <c r="H28" s="99" t="s">
        <v>33</v>
      </c>
      <c r="I28" s="104" t="s">
        <v>42</v>
      </c>
      <c r="K28" s="101"/>
      <c r="L28" s="100">
        <v>100</v>
      </c>
    </row>
    <row r="29" spans="1:12">
      <c r="A29" t="str">
        <f>Atendimento!B33</f>
        <v>Selênio</v>
      </c>
      <c r="B29" t="str">
        <f>'Calcular Dieta'!AJ8</f>
        <v>Se</v>
      </c>
      <c r="C29" s="84">
        <f>IFERROR(Atendimento!F33/Atendimento!E33,"")</f>
        <v>1.0000000000000002</v>
      </c>
      <c r="D29" s="84">
        <f t="shared" si="0"/>
        <v>1.0000000000000002</v>
      </c>
      <c r="E29" s="84">
        <v>1</v>
      </c>
      <c r="H29" s="99" t="s">
        <v>41</v>
      </c>
      <c r="I29" s="104" t="s">
        <v>42</v>
      </c>
      <c r="K29" s="101"/>
      <c r="L29" s="100">
        <v>1000000</v>
      </c>
    </row>
    <row r="30" spans="1:12">
      <c r="A30" t="str">
        <f>Atendimento!B34</f>
        <v>Lisina</v>
      </c>
      <c r="B30" t="str">
        <f>'Calcular Dieta'!AK8</f>
        <v>Lis</v>
      </c>
      <c r="C30" s="84" t="str">
        <f>IFERROR(Atendimento!F34/Atendimento!E34,"")</f>
        <v/>
      </c>
      <c r="D30" s="84">
        <f t="shared" si="0"/>
        <v>1</v>
      </c>
      <c r="E30" s="84">
        <v>1</v>
      </c>
      <c r="H30" t="s">
        <v>42</v>
      </c>
      <c r="I30" s="104" t="s">
        <v>42</v>
      </c>
      <c r="K30" s="101"/>
      <c r="L30" s="100">
        <v>1000000</v>
      </c>
    </row>
    <row r="31" spans="1:12">
      <c r="A31" t="str">
        <f>Atendimento!B35</f>
        <v>Metionina</v>
      </c>
      <c r="B31" t="str">
        <f>'Calcular Dieta'!AL8</f>
        <v>Met</v>
      </c>
      <c r="C31" s="84" t="str">
        <f>IFERROR(Atendimento!F35/Atendimento!E35,"")</f>
        <v/>
      </c>
      <c r="D31" s="84">
        <f t="shared" si="0"/>
        <v>1</v>
      </c>
      <c r="E31" s="84">
        <v>1</v>
      </c>
    </row>
    <row r="32" spans="1:12">
      <c r="A32" t="str">
        <f>Atendimento!B36</f>
        <v>Monensina</v>
      </c>
      <c r="B32" t="str">
        <f>'Calcular Dieta'!AM8</f>
        <v>Mon</v>
      </c>
      <c r="C32" s="84" t="str">
        <f>IFERROR(Atendimento!F36/Atendimento!E36,"")</f>
        <v/>
      </c>
      <c r="D32" s="84">
        <f t="shared" si="0"/>
        <v>1</v>
      </c>
      <c r="E32" s="84">
        <v>1</v>
      </c>
    </row>
    <row r="33" spans="1:5">
      <c r="A33" t="str">
        <f>Atendimento!B37</f>
        <v>Vitamina A</v>
      </c>
      <c r="B33" t="str">
        <f>'Calcular Dieta'!AN8</f>
        <v>Vit A</v>
      </c>
      <c r="C33" s="84" t="str">
        <f>IFERROR(Atendimento!F37/Atendimento!E37,"")</f>
        <v/>
      </c>
      <c r="D33" s="84">
        <f t="shared" si="0"/>
        <v>1</v>
      </c>
      <c r="E33" s="84">
        <v>1</v>
      </c>
    </row>
    <row r="34" spans="1:5">
      <c r="A34" t="str">
        <f>Atendimento!B38</f>
        <v>Vitamina B</v>
      </c>
      <c r="B34" t="str">
        <f>'Calcular Dieta'!AO8</f>
        <v>Vit B (UI)</v>
      </c>
      <c r="C34" s="84" t="str">
        <f>IFERROR(Atendimento!F38/Atendimento!E38,"")</f>
        <v/>
      </c>
      <c r="D34" s="84">
        <f t="shared" si="0"/>
        <v>1</v>
      </c>
      <c r="E34" s="84">
        <v>1</v>
      </c>
    </row>
    <row r="35" spans="1:5">
      <c r="A35" t="str">
        <f>Atendimento!B39</f>
        <v>Vitamina D</v>
      </c>
      <c r="B35" t="str">
        <f>'Calcular Dieta'!AP8</f>
        <v>Vit D (UI)</v>
      </c>
      <c r="C35" s="84" t="str">
        <f>IFERROR(Atendimento!F39/Atendimento!E39,"")</f>
        <v/>
      </c>
      <c r="D35" s="84">
        <f t="shared" si="0"/>
        <v>1</v>
      </c>
      <c r="E35" s="84">
        <v>1</v>
      </c>
    </row>
    <row r="36" spans="1:5">
      <c r="A36" t="str">
        <f>Atendimento!B40</f>
        <v>Vitamina E</v>
      </c>
      <c r="B36" t="str">
        <f>'Calcular Dieta'!AQ8</f>
        <v>Vit E (UI)</v>
      </c>
      <c r="C36" s="84" t="str">
        <f>IFERROR(Atendimento!F40/Atendimento!E40,"")</f>
        <v/>
      </c>
      <c r="D36" s="84">
        <f t="shared" si="0"/>
        <v>1</v>
      </c>
      <c r="E36" s="84">
        <v>1</v>
      </c>
    </row>
    <row r="37" spans="1:5">
      <c r="A37" t="str">
        <f>Atendimento!B41</f>
        <v>Nutriente Novo 01</v>
      </c>
      <c r="B37" t="str">
        <f>'Calcular Dieta'!AR8</f>
        <v>Novo 01</v>
      </c>
      <c r="C37" s="84" t="str">
        <f>IFERROR(Atendimento!F41/Atendimento!E41,"")</f>
        <v/>
      </c>
      <c r="D37" s="84">
        <f t="shared" si="0"/>
        <v>1</v>
      </c>
      <c r="E37" s="84">
        <v>1</v>
      </c>
    </row>
    <row r="38" spans="1:5">
      <c r="A38" t="str">
        <f>Atendimento!B42</f>
        <v>Nutriente Novo 02</v>
      </c>
      <c r="B38" t="str">
        <f>'Calcular Dieta'!AS8</f>
        <v>Novo 02</v>
      </c>
      <c r="C38" s="84" t="str">
        <f>IFERROR(Atendimento!F42/Atendimento!E42,"")</f>
        <v/>
      </c>
      <c r="D38" s="84">
        <f t="shared" si="0"/>
        <v>1</v>
      </c>
      <c r="E38" s="84">
        <v>1</v>
      </c>
    </row>
    <row r="39" spans="1:5">
      <c r="A39" t="str">
        <f>Atendimento!B43</f>
        <v>Nutriente Novo 03</v>
      </c>
      <c r="B39" t="str">
        <f>'Calcular Dieta'!AT8</f>
        <v>Novo 03</v>
      </c>
      <c r="C39" s="84" t="str">
        <f>IFERROR(Atendimento!F43/Atendimento!E43,"")</f>
        <v/>
      </c>
      <c r="D39" s="84">
        <f t="shared" si="0"/>
        <v>1</v>
      </c>
      <c r="E39" s="84">
        <v>1</v>
      </c>
    </row>
    <row r="40" spans="1:5">
      <c r="A40" t="str">
        <f>Atendimento!B44</f>
        <v>Nutriente Novo 04</v>
      </c>
      <c r="B40" t="str">
        <f>'Calcular Dieta'!AU8</f>
        <v>Novo 04</v>
      </c>
      <c r="C40" s="84" t="str">
        <f>IFERROR(Atendimento!F44/Atendimento!E44,"")</f>
        <v/>
      </c>
      <c r="D40" s="84">
        <f t="shared" si="0"/>
        <v>1</v>
      </c>
      <c r="E40" s="84">
        <v>1</v>
      </c>
    </row>
    <row r="41" spans="1:5">
      <c r="A41" t="str">
        <f>Atendimento!B45</f>
        <v>Nutriente Novo 05</v>
      </c>
      <c r="B41" t="str">
        <f>'Calcular Dieta'!AV8</f>
        <v>Novo 05</v>
      </c>
      <c r="C41" s="84" t="str">
        <f>IFERROR(Atendimento!F45/Atendimento!E45,"")</f>
        <v/>
      </c>
      <c r="D41" s="84">
        <f t="shared" si="0"/>
        <v>1</v>
      </c>
      <c r="E41" s="84">
        <v>1</v>
      </c>
    </row>
    <row r="42" spans="1:5">
      <c r="A42" t="str">
        <f>Atendimento!B46</f>
        <v>Nutriente Novo 06</v>
      </c>
      <c r="B42" t="str">
        <f>'Calcular Dieta'!AW8</f>
        <v>Novo 06</v>
      </c>
      <c r="C42" s="84" t="str">
        <f>IFERROR(Atendimento!F46/Atendimento!E46,"")</f>
        <v/>
      </c>
      <c r="D42" s="84">
        <f t="shared" si="0"/>
        <v>1</v>
      </c>
      <c r="E42" s="84">
        <v>1</v>
      </c>
    </row>
    <row r="43" spans="1:5">
      <c r="A43" t="str">
        <f>Atendimento!B47</f>
        <v>Nutriente Novo 07</v>
      </c>
      <c r="B43" t="str">
        <f>'Calcular Dieta'!AX8</f>
        <v>Novo 07</v>
      </c>
      <c r="C43" s="84" t="str">
        <f>IFERROR(Atendimento!F47/Atendimento!E47,"")</f>
        <v/>
      </c>
      <c r="D43" s="84">
        <f t="shared" si="0"/>
        <v>1</v>
      </c>
      <c r="E43" s="84">
        <v>1</v>
      </c>
    </row>
    <row r="44" spans="1:5">
      <c r="A44" t="str">
        <f>Atendimento!B48</f>
        <v>Nutriente Novo 08</v>
      </c>
      <c r="B44" t="str">
        <f>'Calcular Dieta'!AY8</f>
        <v>Novo 08</v>
      </c>
      <c r="C44" s="84" t="str">
        <f>IFERROR(Atendimento!F48/Atendimento!E48,"")</f>
        <v/>
      </c>
      <c r="D44" s="84">
        <f t="shared" si="0"/>
        <v>1</v>
      </c>
      <c r="E44" s="84">
        <v>1</v>
      </c>
    </row>
    <row r="45" spans="1:5">
      <c r="A45" t="str">
        <f>Atendimento!B49</f>
        <v>Nutriente Novo 09</v>
      </c>
      <c r="B45" t="str">
        <f>'Calcular Dieta'!AZ8</f>
        <v>Novo 09</v>
      </c>
      <c r="C45" s="84" t="str">
        <f>IFERROR(Atendimento!F49/Atendimento!E49,"")</f>
        <v/>
      </c>
      <c r="D45" s="84">
        <f t="shared" si="0"/>
        <v>1</v>
      </c>
      <c r="E45" s="84">
        <v>1</v>
      </c>
    </row>
    <row r="46" spans="1:5">
      <c r="A46" t="str">
        <f>Atendimento!B50</f>
        <v>Volumoso</v>
      </c>
      <c r="B46" t="str">
        <f>'Calcular Dieta'!BA8</f>
        <v>VOL</v>
      </c>
      <c r="C46" s="84" t="str">
        <f>IFERROR(Atendimento!F50/Atendimento!E50,"")</f>
        <v/>
      </c>
      <c r="D46" s="84">
        <f t="shared" si="0"/>
        <v>1</v>
      </c>
      <c r="E46" s="84">
        <v>1</v>
      </c>
    </row>
    <row r="47" spans="1:5">
      <c r="A47" t="str">
        <f>Atendimento!B51</f>
        <v>Concentrado</v>
      </c>
      <c r="B47" t="str">
        <f>'Calcular Dieta'!BB8</f>
        <v>CONC</v>
      </c>
      <c r="C47" s="84" t="str">
        <f>IFERROR(Atendimento!F51/Atendimento!E51,"")</f>
        <v/>
      </c>
      <c r="D47" s="84">
        <f t="shared" si="0"/>
        <v>1</v>
      </c>
      <c r="E47" s="84">
        <v>1</v>
      </c>
    </row>
  </sheetData>
  <sortState ref="M33:M38">
    <sortCondition ref="M33:M38"/>
  </sortState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76416-C71A-41A0-B2D5-C448ADAB3A63}">
  <sheetPr codeName="Planilha19">
    <tabColor rgb="FF00B0F0"/>
    <pageSetUpPr fitToPage="1"/>
  </sheetPr>
  <dimension ref="A1:Q56"/>
  <sheetViews>
    <sheetView showGridLines="0" showRowColHeaders="0" showZeros="0" zoomScaleNormal="100" workbookViewId="0">
      <pane ySplit="3" topLeftCell="A4" activePane="bottomLeft" state="frozen"/>
      <selection activeCell="G2" sqref="G2"/>
      <selection pane="bottomLeft" activeCell="A4" sqref="A4"/>
    </sheetView>
  </sheetViews>
  <sheetFormatPr defaultColWidth="0" defaultRowHeight="14.25" zeroHeight="1"/>
  <cols>
    <col min="1" max="1" width="20.875" customWidth="1"/>
    <col min="2" max="2" width="20.375" customWidth="1"/>
    <col min="3" max="3" width="1.375" customWidth="1"/>
    <col min="4" max="4" width="20.125" customWidth="1"/>
    <col min="5" max="5" width="1" customWidth="1"/>
    <col min="6" max="6" width="19.75" customWidth="1"/>
    <col min="7" max="7" width="1.125" customWidth="1"/>
    <col min="8" max="8" width="20" customWidth="1"/>
    <col min="9" max="9" width="59.75" customWidth="1"/>
    <col min="10" max="10" width="3.75" hidden="1" customWidth="1"/>
    <col min="11" max="11" width="18.5" hidden="1" customWidth="1"/>
    <col min="12" max="12" width="1.625" hidden="1" customWidth="1"/>
    <col min="13" max="13" width="19.75" hidden="1" customWidth="1"/>
    <col min="14" max="14" width="1.5" hidden="1" customWidth="1"/>
    <col min="15" max="15" width="18.875" hidden="1" customWidth="1"/>
    <col min="16" max="16" width="1.375" hidden="1" customWidth="1"/>
    <col min="17" max="17" width="19.75" hidden="1" customWidth="1"/>
    <col min="18" max="16384" width="9" hidden="1"/>
  </cols>
  <sheetData>
    <row r="1" spans="1:17" ht="9.75" hidden="1" customHeight="1">
      <c r="A1" s="628"/>
      <c r="B1" s="1"/>
      <c r="C1" s="1"/>
      <c r="D1" s="1"/>
      <c r="E1" s="1"/>
      <c r="F1" s="1"/>
      <c r="G1" s="1"/>
      <c r="H1" s="1"/>
      <c r="I1" s="1"/>
    </row>
    <row r="2" spans="1:17" ht="27.75" customHeight="1" thickBot="1">
      <c r="A2" s="628"/>
      <c r="I2" s="1"/>
    </row>
    <row r="3" spans="1:17" ht="26.25" customHeight="1" thickTop="1" thickBot="1">
      <c r="A3" s="1"/>
      <c r="B3" s="2284" t="s">
        <v>867</v>
      </c>
      <c r="C3" s="2285"/>
      <c r="D3" s="2285"/>
      <c r="E3" s="2285"/>
      <c r="F3" s="2285"/>
      <c r="G3" s="2285"/>
      <c r="H3" s="2286"/>
      <c r="I3" s="1"/>
      <c r="J3" s="82"/>
      <c r="K3" s="82"/>
      <c r="L3" s="82"/>
      <c r="M3" s="82"/>
    </row>
    <row r="4" spans="1:17" ht="8.25" customHeight="1" thickTop="1" thickBot="1">
      <c r="A4" s="1"/>
      <c r="B4" s="721" t="str">
        <f ca="1">IF(Batida!C2="",TEXT(NOW(),"AAMMDD")&amp;TEXT(NOW(),"hhmmss")&amp;" Relatório Financeiro "&amp;Batida!I3,TEXT(NOW(),"AAMMDD")&amp;TEXT(NOW(),"hhmmss")&amp;" Relatório Financeiro "&amp;Batida!C2)</f>
        <v>240107120423 Relatório Financeiro Suplemento  Mineral</v>
      </c>
      <c r="C4" s="718"/>
      <c r="D4" s="718"/>
      <c r="E4" s="719"/>
      <c r="F4" s="719"/>
      <c r="G4" s="719"/>
      <c r="H4" s="719"/>
      <c r="I4" s="1"/>
      <c r="J4" s="82"/>
      <c r="K4" s="82"/>
      <c r="L4" s="82"/>
      <c r="M4" s="82"/>
    </row>
    <row r="5" spans="1:17" ht="24" customHeight="1" thickTop="1" thickBot="1">
      <c r="A5" s="1"/>
      <c r="B5" s="2287" t="str">
        <f>Batida!I3</f>
        <v>Suplemento  Mineral</v>
      </c>
      <c r="C5" s="2288"/>
      <c r="D5" s="2288"/>
      <c r="E5" s="2288"/>
      <c r="F5" s="2288"/>
      <c r="G5" s="2288"/>
      <c r="H5" s="2289"/>
      <c r="I5" s="1"/>
      <c r="J5" s="82"/>
      <c r="K5" s="2287" t="str">
        <f>B5</f>
        <v>Suplemento  Mineral</v>
      </c>
      <c r="L5" s="2288"/>
      <c r="M5" s="2288"/>
      <c r="N5" s="2288"/>
      <c r="O5" s="2288"/>
      <c r="P5" s="2288"/>
      <c r="Q5" s="2289"/>
    </row>
    <row r="6" spans="1:17" ht="6" customHeight="1" thickTop="1" thickBot="1">
      <c r="A6" s="1"/>
      <c r="B6" s="717"/>
      <c r="C6" s="718"/>
      <c r="D6" s="718"/>
      <c r="E6" s="719"/>
      <c r="F6" s="719"/>
      <c r="G6" s="719"/>
      <c r="H6" s="719"/>
      <c r="I6" s="1"/>
      <c r="J6" s="82"/>
      <c r="K6" s="717"/>
      <c r="L6" s="718"/>
      <c r="M6" s="718"/>
      <c r="N6" s="719"/>
      <c r="O6" s="719"/>
      <c r="P6" s="719"/>
      <c r="Q6" s="719"/>
    </row>
    <row r="7" spans="1:17" ht="22.5" customHeight="1" thickTop="1" thickBot="1">
      <c r="A7" s="1"/>
      <c r="B7" s="2290" t="s">
        <v>872</v>
      </c>
      <c r="C7" s="2291"/>
      <c r="D7" s="2291"/>
      <c r="E7" s="2291"/>
      <c r="F7" s="2291"/>
      <c r="G7" s="2291"/>
      <c r="H7" s="2292"/>
      <c r="I7" s="1"/>
      <c r="J7" s="82"/>
      <c r="K7" s="2290" t="s">
        <v>872</v>
      </c>
      <c r="L7" s="2291"/>
      <c r="M7" s="2291"/>
      <c r="N7" s="2291"/>
      <c r="O7" s="2291"/>
      <c r="P7" s="2291"/>
      <c r="Q7" s="2292"/>
    </row>
    <row r="8" spans="1:17" ht="6.75" customHeight="1" thickTop="1" thickBot="1">
      <c r="A8" s="1"/>
      <c r="B8" s="720"/>
      <c r="C8" s="718"/>
      <c r="D8" s="718"/>
      <c r="E8" s="719"/>
      <c r="F8" s="719"/>
      <c r="G8" s="719"/>
      <c r="H8" s="719"/>
      <c r="I8" s="1"/>
      <c r="J8" s="82"/>
      <c r="K8" s="720"/>
      <c r="L8" s="718"/>
      <c r="M8" s="718"/>
      <c r="N8" s="719"/>
      <c r="O8" s="719"/>
      <c r="P8" s="719"/>
      <c r="Q8" s="719"/>
    </row>
    <row r="9" spans="1:17" ht="27.75" customHeight="1" thickTop="1" thickBot="1">
      <c r="A9" s="1"/>
      <c r="B9" s="727" t="s">
        <v>861</v>
      </c>
      <c r="C9" s="11"/>
      <c r="D9" s="727" t="s">
        <v>862</v>
      </c>
      <c r="E9" s="11"/>
      <c r="F9" s="727" t="s">
        <v>863</v>
      </c>
      <c r="G9" s="722"/>
      <c r="H9" s="727" t="s">
        <v>864</v>
      </c>
      <c r="I9" s="1"/>
      <c r="J9" s="82"/>
      <c r="K9" s="727" t="s">
        <v>861</v>
      </c>
      <c r="L9" s="11"/>
      <c r="M9" s="727" t="s">
        <v>862</v>
      </c>
      <c r="N9" s="11"/>
      <c r="O9" s="727" t="s">
        <v>863</v>
      </c>
      <c r="P9" s="722"/>
      <c r="Q9" s="727" t="s">
        <v>864</v>
      </c>
    </row>
    <row r="10" spans="1:17" ht="21" customHeight="1" thickBot="1">
      <c r="A10" s="1"/>
      <c r="B10" s="1298">
        <f>IF(K10&lt;&gt;"",K10,IF('Ficha Mistura'!A3&gt;0,'Ficha Mistura'!D3,""))</f>
        <v>100</v>
      </c>
      <c r="C10" s="726"/>
      <c r="D10" s="1390"/>
      <c r="E10" s="726"/>
      <c r="F10" s="1390"/>
      <c r="G10" s="726"/>
      <c r="H10" s="1390"/>
      <c r="I10" s="1"/>
      <c r="J10" s="82"/>
      <c r="K10" s="1298" t="str">
        <f>IF('Ficha Mistura'!A4&gt;0,'Ficha Mistura'!D3,"")</f>
        <v/>
      </c>
      <c r="L10" s="726"/>
      <c r="M10" s="1287">
        <v>10</v>
      </c>
      <c r="N10" s="726"/>
      <c r="O10" s="1287">
        <v>12</v>
      </c>
      <c r="P10" s="726"/>
      <c r="Q10" s="1287">
        <v>2</v>
      </c>
    </row>
    <row r="11" spans="1:17" ht="6.75" customHeight="1" thickTop="1" thickBot="1">
      <c r="A11" s="1"/>
      <c r="B11" s="32"/>
      <c r="C11" s="11"/>
      <c r="D11" s="32"/>
      <c r="E11" s="11"/>
      <c r="F11" s="32"/>
      <c r="G11" s="11"/>
      <c r="H11" s="32"/>
      <c r="I11" s="1"/>
      <c r="J11" s="82"/>
      <c r="K11" s="32"/>
      <c r="L11" s="11"/>
      <c r="M11" s="32"/>
      <c r="N11" s="11"/>
      <c r="O11" s="32"/>
      <c r="P11" s="11"/>
      <c r="Q11" s="32"/>
    </row>
    <row r="12" spans="1:17" ht="29.25" customHeight="1" thickTop="1" thickBot="1">
      <c r="A12" s="1"/>
      <c r="B12" s="729" t="str">
        <f>IF(K10&lt;&gt;"",K12,"Dias de Confinamento ou produção")</f>
        <v>Dias de Confinamento ou produção</v>
      </c>
      <c r="C12" s="11"/>
      <c r="D12" s="727" t="s">
        <v>866</v>
      </c>
      <c r="E12" s="11"/>
      <c r="F12" s="727" t="str">
        <f>IF(K10&lt;&gt;"",O12,"Preço de Compra (R$/@)")</f>
        <v>Preço de Compra (R$/@)</v>
      </c>
      <c r="G12" s="11"/>
      <c r="H12" s="727" t="str">
        <f>IF(K10&lt;&gt;"",Q12,"Preço de Venda (R$/@)")</f>
        <v>Preço de Venda (R$/@)</v>
      </c>
      <c r="I12" s="1"/>
      <c r="J12" s="82"/>
      <c r="K12" s="729" t="s">
        <v>1400</v>
      </c>
      <c r="L12" s="11"/>
      <c r="M12" s="727" t="s">
        <v>866</v>
      </c>
      <c r="N12" s="11"/>
      <c r="O12" s="727" t="s">
        <v>1401</v>
      </c>
      <c r="P12" s="11"/>
      <c r="Q12" s="727" t="s">
        <v>1402</v>
      </c>
    </row>
    <row r="13" spans="1:17" ht="17.25" customHeight="1" thickBot="1">
      <c r="A13" s="1"/>
      <c r="B13" s="1298">
        <f>IF(K10&lt;&gt;"",K13,IF('Ficha Mistura'!A3&gt;0,'Ficha Mistura'!D4,""))</f>
        <v>90</v>
      </c>
      <c r="C13" s="725"/>
      <c r="D13" s="1390"/>
      <c r="E13" s="725"/>
      <c r="F13" s="1390"/>
      <c r="G13" s="725"/>
      <c r="H13" s="1299">
        <f>IF(K10&lt;&gt;"",Q13,IF('Ficha Mistura'!A3&gt;0,'Ficha Mistura'!K3,""))</f>
        <v>220</v>
      </c>
      <c r="I13" s="1"/>
      <c r="J13" s="82"/>
      <c r="K13" s="1298" t="str">
        <f>IF('Ficha Mistura'!A4&gt;0,'Ficha Mistura'!D4,"")</f>
        <v/>
      </c>
      <c r="L13" s="725"/>
      <c r="M13" s="1287">
        <v>2</v>
      </c>
      <c r="N13" s="725"/>
      <c r="O13" s="1287">
        <v>2</v>
      </c>
      <c r="P13" s="725"/>
      <c r="Q13" s="1299" t="str">
        <f>IF('Ficha Mistura'!A4&gt;0,'Ficha Mistura'!K4,"")</f>
        <v/>
      </c>
    </row>
    <row r="14" spans="1:17" ht="7.5" customHeight="1" thickTop="1" thickBot="1">
      <c r="A14" s="1"/>
      <c r="B14" s="11"/>
      <c r="C14" s="11"/>
      <c r="D14" s="11"/>
      <c r="E14" s="11"/>
      <c r="F14" s="11"/>
      <c r="G14" s="11"/>
      <c r="H14" s="11"/>
      <c r="I14" s="1"/>
      <c r="J14" s="82"/>
      <c r="K14" s="11"/>
      <c r="L14" s="11"/>
      <c r="M14" s="11"/>
      <c r="N14" s="11"/>
      <c r="O14" s="11"/>
      <c r="P14" s="11"/>
      <c r="Q14" s="11"/>
    </row>
    <row r="15" spans="1:17" ht="28.5" customHeight="1" thickTop="1" thickBot="1">
      <c r="A15" s="1"/>
      <c r="B15" s="729" t="s">
        <v>865</v>
      </c>
      <c r="C15" s="11"/>
      <c r="D15" s="727" t="str">
        <f>IF(K10&lt;&gt;"",M15,"Rendimento de Carcaça Final (%)")</f>
        <v>Rendimento de Carcaça Final (%)</v>
      </c>
      <c r="E15" s="11"/>
      <c r="F15" s="727" t="str">
        <f>IF(K10&lt;&gt;"",O15,"Peso Médio - Entrada (@)")</f>
        <v>Peso Médio - Entrada (@)</v>
      </c>
      <c r="G15" s="11"/>
      <c r="H15" s="729" t="s">
        <v>1396</v>
      </c>
      <c r="I15" s="1"/>
      <c r="J15" s="82"/>
      <c r="K15" s="729" t="s">
        <v>865</v>
      </c>
      <c r="L15" s="11"/>
      <c r="M15" s="727" t="s">
        <v>661</v>
      </c>
      <c r="N15" s="11"/>
      <c r="O15" s="727" t="s">
        <v>661</v>
      </c>
      <c r="P15" s="11"/>
      <c r="Q15" s="729" t="s">
        <v>1412</v>
      </c>
    </row>
    <row r="16" spans="1:17" ht="21" customHeight="1" thickBot="1">
      <c r="A16" s="1"/>
      <c r="B16" s="1390"/>
      <c r="C16" s="725"/>
      <c r="D16" s="1391"/>
      <c r="E16" s="725"/>
      <c r="F16" s="1392"/>
      <c r="G16" s="725"/>
      <c r="H16" s="1393"/>
      <c r="I16" s="1"/>
      <c r="J16" s="82"/>
      <c r="K16" s="1287">
        <v>1</v>
      </c>
      <c r="L16" s="725"/>
      <c r="M16" s="1286"/>
      <c r="N16" s="725"/>
      <c r="O16" s="1286"/>
      <c r="P16" s="725"/>
      <c r="Q16" s="728">
        <v>1</v>
      </c>
    </row>
    <row r="17" spans="1:17" ht="6" customHeight="1" thickTop="1" thickBot="1">
      <c r="A17" s="1"/>
      <c r="B17" s="11"/>
      <c r="C17" s="11"/>
      <c r="D17" s="11"/>
      <c r="E17" s="11"/>
      <c r="F17" s="11"/>
      <c r="G17" s="11"/>
      <c r="H17" s="11"/>
      <c r="I17" s="1"/>
      <c r="J17" s="82"/>
      <c r="K17" s="11"/>
      <c r="L17" s="11"/>
      <c r="M17" s="11"/>
      <c r="N17" s="11"/>
      <c r="O17" s="11"/>
      <c r="P17" s="11"/>
      <c r="Q17" s="11"/>
    </row>
    <row r="18" spans="1:17" ht="21.75" customHeight="1" thickTop="1" thickBot="1">
      <c r="A18" s="1"/>
      <c r="B18" s="2290" t="s">
        <v>871</v>
      </c>
      <c r="C18" s="2291"/>
      <c r="D18" s="2291"/>
      <c r="E18" s="2291"/>
      <c r="F18" s="2291"/>
      <c r="G18" s="2291"/>
      <c r="H18" s="2292"/>
      <c r="I18" s="1"/>
      <c r="J18" s="82"/>
      <c r="K18" s="2290" t="s">
        <v>871</v>
      </c>
      <c r="L18" s="2291"/>
      <c r="M18" s="2291"/>
      <c r="N18" s="2291"/>
      <c r="O18" s="2291"/>
      <c r="P18" s="2291"/>
      <c r="Q18" s="2292"/>
    </row>
    <row r="19" spans="1:17" ht="14.25" customHeight="1" thickTop="1">
      <c r="A19" s="1"/>
      <c r="B19" s="2283" t="s">
        <v>874</v>
      </c>
      <c r="C19" s="2283"/>
      <c r="D19" s="2283"/>
      <c r="E19" s="723"/>
      <c r="F19" s="723" t="s">
        <v>810</v>
      </c>
      <c r="G19" s="723"/>
      <c r="H19" s="723" t="s">
        <v>484</v>
      </c>
      <c r="I19" s="1"/>
      <c r="J19" s="82"/>
      <c r="K19" s="2283" t="s">
        <v>874</v>
      </c>
      <c r="L19" s="2283"/>
      <c r="M19" s="2283"/>
      <c r="N19" s="723"/>
      <c r="O19" s="723" t="s">
        <v>810</v>
      </c>
      <c r="P19" s="723"/>
      <c r="Q19" s="723" t="s">
        <v>484</v>
      </c>
    </row>
    <row r="20" spans="1:17">
      <c r="A20" s="1324" t="s">
        <v>861</v>
      </c>
      <c r="B20" s="2266" t="str">
        <f>IF($K$10&lt;&gt;"",K20,A20)</f>
        <v>Número de Animais</v>
      </c>
      <c r="C20" s="2266"/>
      <c r="D20" s="2267"/>
      <c r="E20" s="1294"/>
      <c r="F20" s="1394">
        <f>IFERROR(IF(K10&lt;&gt;"",O20,B10),0)</f>
        <v>100</v>
      </c>
      <c r="G20" s="1294"/>
      <c r="H20" s="1317"/>
      <c r="I20" s="1292"/>
      <c r="J20" s="1293"/>
      <c r="K20" s="2296" t="s">
        <v>861</v>
      </c>
      <c r="L20" s="2296"/>
      <c r="M20" s="2297"/>
      <c r="N20" s="1294"/>
      <c r="O20" s="1309" t="str">
        <f>IFERROR(K10,0)</f>
        <v/>
      </c>
      <c r="P20" s="730"/>
      <c r="Q20" s="1304"/>
    </row>
    <row r="21" spans="1:17">
      <c r="A21" s="1324" t="s">
        <v>1420</v>
      </c>
      <c r="B21" s="2269" t="str">
        <f t="shared" ref="B21:B39" si="0">IF($K$10&lt;&gt;"",K21,A21)</f>
        <v>Dias de Confinamento</v>
      </c>
      <c r="C21" s="2269"/>
      <c r="D21" s="2270"/>
      <c r="E21" s="1294"/>
      <c r="F21" s="1395">
        <f>IFERROR(IF(K10&lt;&gt;"",O21,B13),0)</f>
        <v>90</v>
      </c>
      <c r="G21" s="1294"/>
      <c r="H21" s="1318"/>
      <c r="I21" s="1292"/>
      <c r="J21" s="1293"/>
      <c r="K21" s="2298" t="s">
        <v>1421</v>
      </c>
      <c r="L21" s="2298"/>
      <c r="M21" s="2299"/>
      <c r="N21" s="1294"/>
      <c r="O21" s="1313" t="str">
        <f>IFERROR(K13,0)</f>
        <v/>
      </c>
      <c r="P21" s="730"/>
      <c r="Q21" s="1303"/>
    </row>
    <row r="22" spans="1:17">
      <c r="A22" s="1324" t="s">
        <v>1415</v>
      </c>
      <c r="B22" s="2266" t="str">
        <f t="shared" si="0"/>
        <v>GMD por Animal (Kg)</v>
      </c>
      <c r="C22" s="2266"/>
      <c r="D22" s="2267"/>
      <c r="E22" s="1294"/>
      <c r="F22" s="1396">
        <f>IFERROR(IF(K10&lt;&gt;"",O22,MPR!Q5),0)</f>
        <v>0</v>
      </c>
      <c r="G22" s="1294"/>
      <c r="H22" s="1317"/>
      <c r="I22" s="1292"/>
      <c r="J22" s="1293"/>
      <c r="K22" s="2297" t="s">
        <v>1426</v>
      </c>
      <c r="L22" s="2301"/>
      <c r="M22" s="2301"/>
      <c r="N22" s="1294"/>
      <c r="O22" s="1309">
        <f>IFERROR(MPR!Q12,0)</f>
        <v>0</v>
      </c>
      <c r="P22" s="730"/>
      <c r="Q22" s="1304"/>
    </row>
    <row r="23" spans="1:17">
      <c r="A23" s="1324" t="s">
        <v>1416</v>
      </c>
      <c r="B23" s="2269" t="str">
        <f t="shared" si="0"/>
        <v>GMD do Lote (Kg)</v>
      </c>
      <c r="C23" s="2269"/>
      <c r="D23" s="2270"/>
      <c r="E23" s="1294"/>
      <c r="F23" s="1397">
        <f>IFERROR(IF(K10&lt;&gt;"",O23,F22*F20),0)</f>
        <v>0</v>
      </c>
      <c r="G23" s="1294"/>
      <c r="H23" s="1318"/>
      <c r="I23" s="1292"/>
      <c r="J23" s="1293"/>
      <c r="K23" s="2299" t="s">
        <v>1427</v>
      </c>
      <c r="L23" s="2300"/>
      <c r="M23" s="2300"/>
      <c r="N23" s="1294"/>
      <c r="O23" s="1310">
        <f>IFERROR(O22*O20,0)</f>
        <v>0</v>
      </c>
      <c r="P23" s="730"/>
      <c r="Q23" s="1303"/>
    </row>
    <row r="24" spans="1:17">
      <c r="A24" s="1324" t="s">
        <v>1417</v>
      </c>
      <c r="B24" s="2266" t="str">
        <f t="shared" si="0"/>
        <v>Ganho de Peso Mensal do Lote (Kg)</v>
      </c>
      <c r="C24" s="2266"/>
      <c r="D24" s="2267"/>
      <c r="E24" s="1294"/>
      <c r="F24" s="1396">
        <f>IFERROR(IF(K10&lt;&gt;"",O24,F23*30),0)</f>
        <v>0</v>
      </c>
      <c r="G24" s="1294"/>
      <c r="H24" s="1319">
        <f>IF(K10&lt;&gt;"","",F24/30)</f>
        <v>0</v>
      </c>
      <c r="I24" s="1292"/>
      <c r="J24" s="1293"/>
      <c r="K24" s="2297" t="s">
        <v>1428</v>
      </c>
      <c r="L24" s="2301"/>
      <c r="M24" s="2301"/>
      <c r="N24" s="1294"/>
      <c r="O24" s="1309">
        <f>IFERROR(O23*30,0)</f>
        <v>0</v>
      </c>
      <c r="P24" s="730"/>
      <c r="Q24" s="1304"/>
    </row>
    <row r="25" spans="1:17">
      <c r="A25" s="1324" t="s">
        <v>1418</v>
      </c>
      <c r="B25" s="2269" t="str">
        <f t="shared" si="0"/>
        <v>Ganho de Peso Total por Animal no Período (Kg)</v>
      </c>
      <c r="C25" s="2269"/>
      <c r="D25" s="2270"/>
      <c r="E25" s="1294"/>
      <c r="F25" s="1397">
        <f>IFERROR(IF(K10&lt;&gt;"",O25,F22*F21),0)</f>
        <v>0</v>
      </c>
      <c r="G25" s="1294"/>
      <c r="H25" s="1320">
        <f>IF(K10&lt;&gt;"","",F25/30)</f>
        <v>0</v>
      </c>
      <c r="I25" s="1292"/>
      <c r="J25" s="1293"/>
      <c r="K25" s="2299" t="s">
        <v>1429</v>
      </c>
      <c r="L25" s="2300"/>
      <c r="M25" s="2300"/>
      <c r="N25" s="1294"/>
      <c r="O25" s="1313">
        <f>IFERROR(O22*O21,0)</f>
        <v>0</v>
      </c>
      <c r="P25" s="730"/>
      <c r="Q25" s="1303"/>
    </row>
    <row r="26" spans="1:17">
      <c r="A26" s="1324" t="s">
        <v>1419</v>
      </c>
      <c r="B26" s="2266" t="str">
        <f t="shared" si="0"/>
        <v>Ganho de Peso Total do Lote no Período (Kg)</v>
      </c>
      <c r="C26" s="2266"/>
      <c r="D26" s="2267"/>
      <c r="E26" s="1294"/>
      <c r="F26" s="1396">
        <f>IFERROR(IF(K10&lt;&gt;"",O26,F23*F21),0)</f>
        <v>0</v>
      </c>
      <c r="G26" s="1294"/>
      <c r="H26" s="1319">
        <f>IF(K10&lt;&gt;"","",F26/30)</f>
        <v>0</v>
      </c>
      <c r="I26" s="1292"/>
      <c r="J26" s="1293"/>
      <c r="K26" s="2297" t="s">
        <v>1430</v>
      </c>
      <c r="L26" s="2301"/>
      <c r="M26" s="2301"/>
      <c r="N26" s="1294"/>
      <c r="O26" s="1309">
        <f>IFERROR(O23*O21,0)</f>
        <v>0</v>
      </c>
      <c r="P26" s="730"/>
      <c r="Q26" s="1304"/>
    </row>
    <row r="27" spans="1:17">
      <c r="A27" s="1324" t="s">
        <v>1403</v>
      </c>
      <c r="B27" s="2269" t="str">
        <f t="shared" si="0"/>
        <v>Custo Diária por Animal (R$)</v>
      </c>
      <c r="C27" s="2269"/>
      <c r="D27" s="2270"/>
      <c r="E27" s="1294"/>
      <c r="F27" s="1397">
        <f>IFERROR(IF(K10&lt;&gt;"",O27,'Ficha Mistura'!F36+((D10+F10+H10+D13+B16)/30/F21)),0)</f>
        <v>1.0607800629296054</v>
      </c>
      <c r="G27" s="1294"/>
      <c r="H27" s="1318"/>
      <c r="I27" s="1292"/>
      <c r="J27" s="1293"/>
      <c r="K27" s="2302" t="s">
        <v>1403</v>
      </c>
      <c r="L27" s="2303"/>
      <c r="M27" s="2303"/>
      <c r="N27" s="1294"/>
      <c r="O27" s="1310">
        <f>IFERROR('Ficha Mistura'!F36+(((D10+F10+H10+D13+F13+B16)/30)/O20),0)</f>
        <v>0</v>
      </c>
      <c r="P27" s="730"/>
      <c r="Q27" s="1314"/>
    </row>
    <row r="28" spans="1:17">
      <c r="A28" s="1324" t="s">
        <v>1404</v>
      </c>
      <c r="B28" s="2266" t="str">
        <f t="shared" si="0"/>
        <v>Custo Diária do Lote (R$)</v>
      </c>
      <c r="C28" s="2266"/>
      <c r="D28" s="2267"/>
      <c r="E28" s="1294"/>
      <c r="F28" s="1396">
        <f>IFERROR(IF(K10&lt;&gt;"",O28,F27*F20),0)</f>
        <v>106.07800629296054</v>
      </c>
      <c r="G28" s="1294"/>
      <c r="H28" s="1317"/>
      <c r="I28" s="1292"/>
      <c r="J28" s="1293"/>
      <c r="K28" s="2304" t="s">
        <v>1404</v>
      </c>
      <c r="L28" s="2305"/>
      <c r="M28" s="2305"/>
      <c r="N28" s="1294"/>
      <c r="O28" s="1309">
        <f>IFERROR(O27*O20,0)</f>
        <v>0</v>
      </c>
      <c r="P28" s="730"/>
      <c r="Q28" s="1304"/>
    </row>
    <row r="29" spans="1:17">
      <c r="A29" s="1324" t="s">
        <v>1405</v>
      </c>
      <c r="B29" s="2269" t="str">
        <f t="shared" si="0"/>
        <v>Custo Mensal do Lote (R$))</v>
      </c>
      <c r="C29" s="2269"/>
      <c r="D29" s="2270"/>
      <c r="E29" s="1294"/>
      <c r="F29" s="1397">
        <f>IFERROR(IF(K10&lt;&gt;"",O29,F28*30),0)</f>
        <v>3182.3401887888162</v>
      </c>
      <c r="G29" s="1294"/>
      <c r="H29" s="1318"/>
      <c r="I29" s="1292"/>
      <c r="J29" s="1293"/>
      <c r="K29" s="2302" t="s">
        <v>1405</v>
      </c>
      <c r="L29" s="2303"/>
      <c r="M29" s="2303"/>
      <c r="N29" s="1294"/>
      <c r="O29" s="1310">
        <f>IFERROR(O28*30,0)</f>
        <v>0</v>
      </c>
      <c r="P29" s="730"/>
      <c r="Q29" s="1303"/>
    </row>
    <row r="30" spans="1:17">
      <c r="A30" s="1324" t="s">
        <v>1406</v>
      </c>
      <c r="B30" s="2266" t="str">
        <f t="shared" si="0"/>
        <v>Custo Total por Animal no Período (R$)</v>
      </c>
      <c r="C30" s="2266"/>
      <c r="D30" s="2267"/>
      <c r="E30" s="1294"/>
      <c r="F30" s="1396">
        <f>IFERROR(IF(K10&lt;&gt;"",O30,F27*F21),0)</f>
        <v>95.470205663664487</v>
      </c>
      <c r="G30" s="1294"/>
      <c r="H30" s="1317"/>
      <c r="I30" s="1292"/>
      <c r="J30" s="1293"/>
      <c r="K30" s="2304" t="s">
        <v>1406</v>
      </c>
      <c r="L30" s="2305"/>
      <c r="M30" s="2305"/>
      <c r="N30" s="1294"/>
      <c r="O30" s="1309">
        <f>IFERROR(O27*O21,0)</f>
        <v>0</v>
      </c>
      <c r="P30" s="730"/>
      <c r="Q30" s="1304"/>
    </row>
    <row r="31" spans="1:17">
      <c r="A31" s="1324" t="s">
        <v>1407</v>
      </c>
      <c r="B31" s="2269" t="str">
        <f t="shared" si="0"/>
        <v>Custo Total do Lote no Período (R$)</v>
      </c>
      <c r="C31" s="2269"/>
      <c r="D31" s="2270"/>
      <c r="E31" s="1294"/>
      <c r="F31" s="1397">
        <f>IFERROR(IF(K10&lt;&gt;"",O31,F28*F21),0)</f>
        <v>9547.0205663664492</v>
      </c>
      <c r="G31" s="1294"/>
      <c r="H31" s="1318"/>
      <c r="I31" s="1292"/>
      <c r="J31" s="1293"/>
      <c r="K31" s="2302" t="s">
        <v>1407</v>
      </c>
      <c r="L31" s="2303"/>
      <c r="M31" s="2303"/>
      <c r="N31" s="1294"/>
      <c r="O31" s="1310">
        <f>IFERROR(O28*O21,0)</f>
        <v>0</v>
      </c>
      <c r="P31" s="730"/>
      <c r="Q31" s="1303"/>
    </row>
    <row r="32" spans="1:17">
      <c r="A32" s="1324" t="s">
        <v>1408</v>
      </c>
      <c r="B32" s="2266" t="str">
        <f t="shared" si="0"/>
        <v>Lucro Diário por Animal (R$)</v>
      </c>
      <c r="C32" s="2266"/>
      <c r="D32" s="2267"/>
      <c r="E32" s="1294"/>
      <c r="F32" s="1396">
        <f>IFERROR(IF(K10&lt;&gt;"",O32,(F22*(H13/30))-F27),0)</f>
        <v>-1.0607800629296054</v>
      </c>
      <c r="G32" s="1294"/>
      <c r="H32" s="1317"/>
      <c r="I32" s="1292"/>
      <c r="J32" s="1293"/>
      <c r="K32" s="2297" t="s">
        <v>1408</v>
      </c>
      <c r="L32" s="2301"/>
      <c r="M32" s="2301"/>
      <c r="N32" s="1294"/>
      <c r="O32" s="1309">
        <f>IFERROR((O22*Q13)-O27,0)</f>
        <v>0</v>
      </c>
      <c r="P32" s="730"/>
      <c r="Q32" s="1304"/>
    </row>
    <row r="33" spans="1:17">
      <c r="A33" s="1324" t="s">
        <v>1409</v>
      </c>
      <c r="B33" s="2269" t="str">
        <f t="shared" si="0"/>
        <v>Lucro Diário do Lote (R$)</v>
      </c>
      <c r="C33" s="2269"/>
      <c r="D33" s="2270"/>
      <c r="E33" s="1294"/>
      <c r="F33" s="1398">
        <f>IFERROR(IF(K10&lt;&gt;"",O33,F32*F20),0)</f>
        <v>-106.07800629296054</v>
      </c>
      <c r="G33" s="1294"/>
      <c r="H33" s="1318"/>
      <c r="I33" s="1292"/>
      <c r="J33" s="1293"/>
      <c r="K33" s="2299" t="s">
        <v>1409</v>
      </c>
      <c r="L33" s="2300"/>
      <c r="M33" s="2300"/>
      <c r="N33" s="1294"/>
      <c r="O33" s="1310">
        <f>IFERROR(O32*O20,0)</f>
        <v>0</v>
      </c>
      <c r="P33" s="730"/>
      <c r="Q33" s="1303"/>
    </row>
    <row r="34" spans="1:17">
      <c r="A34" s="1324" t="s">
        <v>1410</v>
      </c>
      <c r="B34" s="2266" t="str">
        <f t="shared" si="0"/>
        <v>Lucro Mensal do Lote (R$)</v>
      </c>
      <c r="C34" s="2266"/>
      <c r="D34" s="2267"/>
      <c r="E34" s="1294"/>
      <c r="F34" s="1396">
        <f>IFERROR(IF(K10&lt;&gt;"",O34,F33*30),0)</f>
        <v>-3182.3401887888162</v>
      </c>
      <c r="G34" s="1294"/>
      <c r="H34" s="1317"/>
      <c r="I34" s="1292"/>
      <c r="J34" s="1293"/>
      <c r="K34" s="2297" t="s">
        <v>1410</v>
      </c>
      <c r="L34" s="2301"/>
      <c r="M34" s="2301"/>
      <c r="N34" s="1294"/>
      <c r="O34" s="1309">
        <f>IFERROR(O33*30,0)</f>
        <v>0</v>
      </c>
      <c r="P34" s="730"/>
      <c r="Q34" s="1304"/>
    </row>
    <row r="35" spans="1:17">
      <c r="A35" s="1324" t="s">
        <v>1411</v>
      </c>
      <c r="B35" s="2269" t="str">
        <f t="shared" si="0"/>
        <v>Lucro Total por Animal no Período (R$)</v>
      </c>
      <c r="C35" s="2269"/>
      <c r="D35" s="2270"/>
      <c r="E35" s="1294"/>
      <c r="F35" s="1397">
        <f>IFERROR(IF(K10&lt;&gt;"",O35,F32*F21),0)</f>
        <v>-95.470205663664487</v>
      </c>
      <c r="G35" s="1294"/>
      <c r="H35" s="1318"/>
      <c r="I35" s="1292"/>
      <c r="J35" s="1293"/>
      <c r="K35" s="2299" t="s">
        <v>1411</v>
      </c>
      <c r="L35" s="2300"/>
      <c r="M35" s="2300"/>
      <c r="N35" s="1294"/>
      <c r="O35" s="1310">
        <f>IFERROR(O32*O21,0)</f>
        <v>0</v>
      </c>
      <c r="P35" s="730"/>
      <c r="Q35" s="1303"/>
    </row>
    <row r="36" spans="1:17">
      <c r="A36" s="1324" t="s">
        <v>1413</v>
      </c>
      <c r="B36" s="2266" t="str">
        <f t="shared" si="0"/>
        <v>Lucro Total do Lote no Período (R$)*</v>
      </c>
      <c r="C36" s="2266"/>
      <c r="D36" s="2267"/>
      <c r="E36" s="1294"/>
      <c r="F36" s="1396">
        <f>IFERROR(IF(K10&lt;&gt;"",O36,F33*F21),0)</f>
        <v>-9547.0205663664492</v>
      </c>
      <c r="G36" s="1294"/>
      <c r="H36" s="1399" t="s">
        <v>1414</v>
      </c>
      <c r="I36" s="1292"/>
      <c r="J36" s="1293"/>
      <c r="K36" s="2297" t="s">
        <v>1413</v>
      </c>
      <c r="L36" s="2301"/>
      <c r="M36" s="2301"/>
      <c r="N36" s="1294"/>
      <c r="O36" s="1309">
        <f>IFERROR(O33*O21,0)</f>
        <v>0</v>
      </c>
      <c r="P36" s="730"/>
      <c r="Q36" s="1323" t="s">
        <v>1414</v>
      </c>
    </row>
    <row r="37" spans="1:17">
      <c r="A37" s="1324" t="s">
        <v>1423</v>
      </c>
      <c r="B37" s="2269" t="str">
        <f t="shared" si="0"/>
        <v>Peso Médio na Saída (@/animal)</v>
      </c>
      <c r="C37" s="2269"/>
      <c r="D37" s="2270"/>
      <c r="E37" s="1294"/>
      <c r="F37" s="1397">
        <f>IF(K10&lt;&gt;"",O37,IFERROR(F16+(F25/30),0))</f>
        <v>0</v>
      </c>
      <c r="G37" s="1294"/>
      <c r="H37" s="1318"/>
      <c r="I37" s="1292"/>
      <c r="J37" s="1293"/>
      <c r="K37" s="2299" t="s">
        <v>1439</v>
      </c>
      <c r="L37" s="2300"/>
      <c r="M37" s="2300"/>
      <c r="N37" s="1294"/>
      <c r="O37" s="1310">
        <f>IFERROR(O44/O26,0)</f>
        <v>0</v>
      </c>
      <c r="P37" s="730"/>
      <c r="Q37" s="1303"/>
    </row>
    <row r="38" spans="1:17">
      <c r="A38" s="1324" t="s">
        <v>1424</v>
      </c>
      <c r="B38" s="2293" t="str">
        <f t="shared" si="0"/>
        <v>Custo para Produzir uma @</v>
      </c>
      <c r="C38" s="2293"/>
      <c r="D38" s="2294"/>
      <c r="E38" s="1294"/>
      <c r="F38" s="1400">
        <f>IF(K10&lt;&gt;"","",IFERROR(F31/H26,0))</f>
        <v>0</v>
      </c>
      <c r="G38" s="1294"/>
      <c r="H38" s="1321"/>
      <c r="I38" s="1292"/>
      <c r="J38" s="1293"/>
      <c r="K38" s="2297" t="s">
        <v>661</v>
      </c>
      <c r="L38" s="2301"/>
      <c r="M38" s="2301"/>
      <c r="N38" s="1294"/>
      <c r="O38" s="1309"/>
      <c r="P38" s="730"/>
      <c r="Q38" s="1304"/>
    </row>
    <row r="39" spans="1:17">
      <c r="A39" s="259" t="s">
        <v>661</v>
      </c>
      <c r="B39" s="2269" t="str">
        <f t="shared" si="0"/>
        <v xml:space="preserve"> </v>
      </c>
      <c r="C39" s="2269"/>
      <c r="D39" s="2270"/>
      <c r="E39" s="1294"/>
      <c r="F39" s="1397"/>
      <c r="G39" s="1294"/>
      <c r="H39" s="1318"/>
      <c r="I39" s="1292"/>
      <c r="J39" s="1293"/>
      <c r="K39" s="2299" t="s">
        <v>661</v>
      </c>
      <c r="L39" s="2300"/>
      <c r="M39" s="2300"/>
      <c r="N39" s="1294"/>
      <c r="O39" s="1310"/>
      <c r="P39" s="730"/>
      <c r="Q39" s="1303"/>
    </row>
    <row r="40" spans="1:17" ht="8.25" customHeight="1" thickBot="1">
      <c r="A40" s="259"/>
      <c r="B40" s="718"/>
      <c r="C40" s="718"/>
      <c r="D40" s="718"/>
      <c r="E40" s="719"/>
      <c r="F40" s="719"/>
      <c r="G40" s="719"/>
      <c r="H40" s="719"/>
      <c r="I40" s="1"/>
      <c r="J40" s="82"/>
      <c r="K40" s="105"/>
      <c r="L40" s="105"/>
      <c r="M40" s="105"/>
      <c r="N40" s="1"/>
      <c r="O40" s="1"/>
      <c r="P40" s="1"/>
      <c r="Q40" s="1"/>
    </row>
    <row r="41" spans="1:17" ht="21.75" customHeight="1" thickTop="1" thickBot="1">
      <c r="A41" s="259"/>
      <c r="B41" s="2295" t="s">
        <v>873</v>
      </c>
      <c r="C41" s="2291"/>
      <c r="D41" s="2291"/>
      <c r="E41" s="2291"/>
      <c r="F41" s="2291"/>
      <c r="G41" s="2291"/>
      <c r="H41" s="2292"/>
      <c r="I41" s="1"/>
      <c r="J41" s="82"/>
      <c r="K41" s="2290" t="s">
        <v>873</v>
      </c>
      <c r="L41" s="2291"/>
      <c r="M41" s="2291"/>
      <c r="N41" s="2291"/>
      <c r="O41" s="2291"/>
      <c r="P41" s="2291"/>
      <c r="Q41" s="2292"/>
    </row>
    <row r="42" spans="1:17" ht="15.75" thickTop="1">
      <c r="A42" s="259"/>
      <c r="B42" s="2283" t="s">
        <v>874</v>
      </c>
      <c r="C42" s="2283"/>
      <c r="D42" s="2283"/>
      <c r="E42" s="723"/>
      <c r="F42" s="723" t="s">
        <v>810</v>
      </c>
      <c r="G42" s="723"/>
      <c r="H42" s="723" t="s">
        <v>1399</v>
      </c>
      <c r="I42" s="1"/>
      <c r="J42" s="82"/>
      <c r="K42" s="2283" t="s">
        <v>874</v>
      </c>
      <c r="L42" s="2283"/>
      <c r="M42" s="2283"/>
      <c r="N42" s="723"/>
      <c r="O42" s="723" t="s">
        <v>810</v>
      </c>
      <c r="P42" s="723"/>
      <c r="Q42" s="723" t="s">
        <v>484</v>
      </c>
    </row>
    <row r="43" spans="1:17" ht="15">
      <c r="A43" s="1324" t="s">
        <v>1398</v>
      </c>
      <c r="B43" s="2274" t="str">
        <f t="shared" ref="B43:B49" si="1">IF($K$10&lt;&gt;"",K43,A43)</f>
        <v>Receita Total (R$)</v>
      </c>
      <c r="C43" s="2275"/>
      <c r="D43" s="2276"/>
      <c r="E43" s="1289"/>
      <c r="F43" s="1401">
        <f>IFERROR(IF(K10&lt;&gt;"",O43,F37*F20*H13),0)</f>
        <v>0</v>
      </c>
      <c r="G43" s="1289"/>
      <c r="H43" s="1402"/>
      <c r="I43" s="1"/>
      <c r="J43" s="82"/>
      <c r="K43" s="2306" t="s">
        <v>1398</v>
      </c>
      <c r="L43" s="2307"/>
      <c r="M43" s="2308"/>
      <c r="N43" s="723"/>
      <c r="O43" s="1311">
        <f>IFERROR(O26*Q13,0)</f>
        <v>0</v>
      </c>
      <c r="P43" s="723"/>
      <c r="Q43" s="724"/>
    </row>
    <row r="44" spans="1:17" ht="15">
      <c r="A44" s="1324" t="s">
        <v>1397</v>
      </c>
      <c r="B44" s="2314" t="str">
        <f t="shared" si="1"/>
        <v>Custo Total (R$)</v>
      </c>
      <c r="C44" s="2315"/>
      <c r="D44" s="2316"/>
      <c r="E44" s="1290"/>
      <c r="F44" s="1403">
        <f>SUM(F45:F47)</f>
        <v>9547.020566366451</v>
      </c>
      <c r="G44" s="1290"/>
      <c r="H44" s="1404">
        <f>IFERROR(F44/F$44,"")</f>
        <v>1</v>
      </c>
      <c r="I44" s="1"/>
      <c r="J44" s="82"/>
      <c r="K44" s="2309" t="s">
        <v>1397</v>
      </c>
      <c r="L44" s="2310"/>
      <c r="M44" s="2311"/>
      <c r="N44" s="723"/>
      <c r="O44" s="1312">
        <f>SUM(O45:O46)</f>
        <v>0</v>
      </c>
      <c r="P44" s="723"/>
      <c r="Q44" s="1300" t="str">
        <f>IFERROR(O44/O$44,"")</f>
        <v/>
      </c>
    </row>
    <row r="45" spans="1:17" ht="15">
      <c r="A45" s="1324" t="s">
        <v>868</v>
      </c>
      <c r="B45" s="2277" t="str">
        <f t="shared" si="1"/>
        <v>Investimento em Animais (R$)</v>
      </c>
      <c r="C45" s="2278"/>
      <c r="D45" s="2279"/>
      <c r="E45" s="1290"/>
      <c r="F45" s="1405">
        <f>IF(K10&lt;&gt;"",O45,F20*F16*F13)</f>
        <v>0</v>
      </c>
      <c r="G45" s="1290"/>
      <c r="H45" s="1406">
        <f>IFERROR(F45/F$44,"")</f>
        <v>0</v>
      </c>
      <c r="I45" s="1"/>
      <c r="J45" s="82"/>
      <c r="K45" s="2312" t="s">
        <v>869</v>
      </c>
      <c r="L45" s="2312"/>
      <c r="M45" s="2304"/>
      <c r="N45" s="723"/>
      <c r="O45" s="1311">
        <f>IFERROR(MPR!P13*'Relatório Financeiro'!O20*'Relatório Financeiro'!O21,0)</f>
        <v>0</v>
      </c>
      <c r="P45" s="723"/>
      <c r="Q45" s="1301" t="str">
        <f>IFERROR(O45/O$44,"")</f>
        <v/>
      </c>
    </row>
    <row r="46" spans="1:17" ht="15">
      <c r="A46" s="1324" t="s">
        <v>869</v>
      </c>
      <c r="B46" s="2280" t="str">
        <f t="shared" si="1"/>
        <v>Custo com Alimentação (R$)</v>
      </c>
      <c r="C46" s="2281"/>
      <c r="D46" s="2282"/>
      <c r="E46" s="1290"/>
      <c r="F46" s="1407">
        <f>IF(K10&lt;&gt;"",O46,'Ficha Mistura'!L36)</f>
        <v>9547.020566366451</v>
      </c>
      <c r="G46" s="1290"/>
      <c r="H46" s="1404">
        <f t="shared" ref="H46" si="2">IFERROR(F46/F$44,0)</f>
        <v>1</v>
      </c>
      <c r="I46" s="1"/>
      <c r="J46" s="82"/>
      <c r="K46" s="2320" t="s">
        <v>870</v>
      </c>
      <c r="L46" s="2320"/>
      <c r="M46" s="2302"/>
      <c r="N46" s="723"/>
      <c r="O46" s="1312">
        <f>IFERROR((D10+F10+H10+D13+F13+B16)/30*O21,0)</f>
        <v>0</v>
      </c>
      <c r="P46" s="723"/>
      <c r="Q46" s="1300">
        <f>IFERROR(O46/O$44,0)</f>
        <v>0</v>
      </c>
    </row>
    <row r="47" spans="1:17" ht="15">
      <c r="A47" s="1324" t="s">
        <v>870</v>
      </c>
      <c r="B47" s="2277" t="str">
        <f t="shared" si="1"/>
        <v>Custo Operacional (R$)</v>
      </c>
      <c r="C47" s="2278"/>
      <c r="D47" s="2279"/>
      <c r="E47" s="1290"/>
      <c r="F47" s="1405">
        <f>IF(B47=" ","",IF(K10&lt;&gt;"",O47,((D10+F10+H10+D13+B16)/30)*F21))</f>
        <v>0</v>
      </c>
      <c r="G47" s="1290"/>
      <c r="H47" s="1406">
        <f>IF(B47=" ","",IFERROR(F47/F$44,0))</f>
        <v>0</v>
      </c>
      <c r="I47" s="1"/>
      <c r="J47" s="82"/>
      <c r="K47" s="2312" t="s">
        <v>661</v>
      </c>
      <c r="L47" s="2312"/>
      <c r="M47" s="2304"/>
      <c r="N47" s="723"/>
      <c r="O47" s="1311"/>
      <c r="P47" s="723"/>
      <c r="Q47" s="1301"/>
    </row>
    <row r="48" spans="1:17" ht="15">
      <c r="A48" s="1324" t="s">
        <v>1396</v>
      </c>
      <c r="B48" s="2280" t="str">
        <f t="shared" si="1"/>
        <v>Despesa Extra (R$)</v>
      </c>
      <c r="C48" s="2281"/>
      <c r="D48" s="2282"/>
      <c r="E48" s="1290"/>
      <c r="F48" s="1407">
        <f>IF(K10&lt;&gt;"",O48,H16)</f>
        <v>0</v>
      </c>
      <c r="G48" s="1290"/>
      <c r="H48" s="1404"/>
      <c r="I48" s="1"/>
      <c r="J48" s="82"/>
      <c r="K48" s="2302" t="s">
        <v>1436</v>
      </c>
      <c r="L48" s="2303"/>
      <c r="M48" s="2321"/>
      <c r="N48" s="723"/>
      <c r="O48" s="1312">
        <f>H16</f>
        <v>0</v>
      </c>
      <c r="P48" s="723"/>
      <c r="Q48" s="1300"/>
    </row>
    <row r="49" spans="1:17" ht="15">
      <c r="A49" s="1324" t="s">
        <v>1425</v>
      </c>
      <c r="B49" s="2271" t="str">
        <f t="shared" si="1"/>
        <v>Lucro (R$)</v>
      </c>
      <c r="C49" s="2272"/>
      <c r="D49" s="2273"/>
      <c r="E49" s="1291"/>
      <c r="F49" s="1408">
        <f>F43-F44</f>
        <v>-9547.020566366451</v>
      </c>
      <c r="G49" s="1291"/>
      <c r="H49" s="1409">
        <f>IFERROR(F49/F$43,0)</f>
        <v>0</v>
      </c>
      <c r="I49" s="1"/>
      <c r="J49" s="82"/>
      <c r="K49" s="2322" t="str">
        <f>IF(O49&gt;=0,"Lucro (R$)","Prejuizo (R$)")</f>
        <v>Lucro (R$)</v>
      </c>
      <c r="L49" s="2323"/>
      <c r="M49" s="2324"/>
      <c r="N49" s="723"/>
      <c r="O49" s="1311">
        <f>O43-O44</f>
        <v>0</v>
      </c>
      <c r="P49" s="723"/>
      <c r="Q49" s="1302">
        <f>IFERROR(O49/O$43,0)</f>
        <v>0</v>
      </c>
    </row>
    <row r="50" spans="1:17" ht="15">
      <c r="A50" s="259"/>
      <c r="B50" s="2317" t="s">
        <v>1422</v>
      </c>
      <c r="C50" s="2318"/>
      <c r="D50" s="2319"/>
      <c r="E50" s="723"/>
      <c r="F50" s="1410">
        <f>F43-F44-F48</f>
        <v>-9547.020566366451</v>
      </c>
      <c r="G50" s="723"/>
      <c r="H50" s="1411" t="e">
        <f>F50/F43</f>
        <v>#DIV/0!</v>
      </c>
      <c r="I50" s="1"/>
      <c r="J50" s="82"/>
      <c r="K50" s="2325" t="s">
        <v>1422</v>
      </c>
      <c r="L50" s="2326"/>
      <c r="M50" s="2327"/>
      <c r="N50" s="723"/>
      <c r="O50" s="1322">
        <f>O43-O44-O47</f>
        <v>0</v>
      </c>
      <c r="P50" s="723"/>
      <c r="Q50" s="1316" t="e">
        <f>O50/O43</f>
        <v>#DIV/0!</v>
      </c>
    </row>
    <row r="51" spans="1:17" ht="15">
      <c r="A51" s="259"/>
      <c r="B51" s="719"/>
      <c r="C51" s="719"/>
      <c r="D51" s="719"/>
      <c r="E51" s="719"/>
      <c r="F51" s="719"/>
      <c r="G51" s="719"/>
      <c r="H51" s="719"/>
      <c r="I51" s="1"/>
      <c r="J51" s="82"/>
      <c r="K51" s="2313"/>
      <c r="L51" s="2313"/>
      <c r="M51" s="2313"/>
      <c r="N51" s="1306"/>
      <c r="O51" s="1307"/>
      <c r="P51" s="1306"/>
      <c r="Q51" s="1307"/>
    </row>
    <row r="52" spans="1:17">
      <c r="A52" s="1"/>
      <c r="B52" s="2268"/>
      <c r="C52" s="2268"/>
      <c r="D52" s="2268"/>
      <c r="E52" s="2268"/>
      <c r="F52" s="2268"/>
      <c r="G52" s="2268"/>
      <c r="H52" s="2268"/>
      <c r="I52" s="1"/>
      <c r="J52" s="82"/>
      <c r="K52" s="1308"/>
      <c r="L52" s="1308"/>
      <c r="M52" s="1308"/>
      <c r="N52" s="1"/>
      <c r="O52" s="1"/>
      <c r="P52" s="1"/>
      <c r="Q52" s="1"/>
    </row>
    <row r="53" spans="1:17" ht="15">
      <c r="A53" s="1"/>
      <c r="B53" s="2236" t="str">
        <f>Usuário</f>
        <v>Iomar Bezerra da Silva</v>
      </c>
      <c r="C53" s="2236"/>
      <c r="D53" s="2236"/>
      <c r="E53" s="2236"/>
      <c r="F53" s="2236"/>
      <c r="G53" s="2236"/>
      <c r="H53" s="2236"/>
      <c r="I53" s="1"/>
      <c r="J53" s="82"/>
      <c r="K53" s="1308"/>
      <c r="L53" s="1308"/>
      <c r="M53" s="1308"/>
      <c r="N53" s="1"/>
      <c r="O53" s="1"/>
      <c r="P53" s="1"/>
      <c r="Q53" s="1"/>
    </row>
    <row r="54" spans="1:17">
      <c r="A54" s="1"/>
      <c r="B54" s="2233" t="str">
        <f>Profissão</f>
        <v>Técnico</v>
      </c>
      <c r="C54" s="2233"/>
      <c r="D54" s="2233"/>
      <c r="E54" s="2233"/>
      <c r="F54" s="2233"/>
      <c r="G54" s="2233"/>
      <c r="H54" s="2233"/>
      <c r="I54" s="1"/>
      <c r="J54" s="82"/>
      <c r="K54" s="1308"/>
      <c r="L54" s="1308"/>
      <c r="M54" s="1308"/>
      <c r="N54" s="1"/>
      <c r="O54" s="1"/>
      <c r="P54" s="1"/>
      <c r="Q54" s="1"/>
    </row>
    <row r="55" spans="1:17">
      <c r="A55" s="1"/>
      <c r="B55" s="2268" t="str">
        <f>RGProfissional</f>
        <v>MA-00259-ZP</v>
      </c>
      <c r="C55" s="2268"/>
      <c r="D55" s="2268"/>
      <c r="E55" s="2268"/>
      <c r="F55" s="2268"/>
      <c r="G55" s="2268"/>
      <c r="H55" s="2268"/>
      <c r="I55" s="1"/>
      <c r="J55" s="82"/>
      <c r="K55" s="1308"/>
      <c r="L55" s="1308"/>
      <c r="M55" s="1308"/>
      <c r="N55" s="1"/>
      <c r="O55" s="1"/>
      <c r="P55" s="1"/>
      <c r="Q55" s="1"/>
    </row>
    <row r="56" spans="1:17">
      <c r="A56" s="1"/>
      <c r="B56" s="1"/>
      <c r="C56" s="1"/>
      <c r="D56" s="1"/>
      <c r="E56" s="1"/>
      <c r="F56" s="1"/>
      <c r="G56" s="1"/>
      <c r="H56" s="1"/>
      <c r="I56" s="1"/>
      <c r="J56" s="82"/>
      <c r="K56" s="1308"/>
      <c r="L56" s="1308"/>
      <c r="M56" s="1308"/>
      <c r="N56" s="1"/>
      <c r="O56" s="1"/>
      <c r="P56" s="1"/>
      <c r="Q56" s="1"/>
    </row>
  </sheetData>
  <mergeCells count="74">
    <mergeCell ref="B25:D25"/>
    <mergeCell ref="B32:D32"/>
    <mergeCell ref="K22:M22"/>
    <mergeCell ref="K51:M51"/>
    <mergeCell ref="B44:D44"/>
    <mergeCell ref="B50:D50"/>
    <mergeCell ref="B47:D47"/>
    <mergeCell ref="B26:D26"/>
    <mergeCell ref="B27:D27"/>
    <mergeCell ref="B31:D31"/>
    <mergeCell ref="K46:M46"/>
    <mergeCell ref="K47:M47"/>
    <mergeCell ref="K48:M48"/>
    <mergeCell ref="K49:M49"/>
    <mergeCell ref="K50:M50"/>
    <mergeCell ref="K41:Q41"/>
    <mergeCell ref="K42:M42"/>
    <mergeCell ref="K43:M43"/>
    <mergeCell ref="K44:M44"/>
    <mergeCell ref="K45:M45"/>
    <mergeCell ref="K35:M35"/>
    <mergeCell ref="K36:M36"/>
    <mergeCell ref="K37:M37"/>
    <mergeCell ref="K38:M38"/>
    <mergeCell ref="K39:M39"/>
    <mergeCell ref="K30:M30"/>
    <mergeCell ref="K31:M31"/>
    <mergeCell ref="K32:M32"/>
    <mergeCell ref="K33:M33"/>
    <mergeCell ref="K34:M34"/>
    <mergeCell ref="B38:D38"/>
    <mergeCell ref="B39:D39"/>
    <mergeCell ref="B41:H41"/>
    <mergeCell ref="K5:Q5"/>
    <mergeCell ref="K7:Q7"/>
    <mergeCell ref="K18:Q18"/>
    <mergeCell ref="K19:M19"/>
    <mergeCell ref="K20:M20"/>
    <mergeCell ref="K21:M21"/>
    <mergeCell ref="K23:M23"/>
    <mergeCell ref="K24:M24"/>
    <mergeCell ref="K25:M25"/>
    <mergeCell ref="K26:M26"/>
    <mergeCell ref="K27:M27"/>
    <mergeCell ref="K28:M28"/>
    <mergeCell ref="K29:M29"/>
    <mergeCell ref="B33:D33"/>
    <mergeCell ref="B34:D34"/>
    <mergeCell ref="B35:D35"/>
    <mergeCell ref="B36:D36"/>
    <mergeCell ref="B37:D37"/>
    <mergeCell ref="B3:H3"/>
    <mergeCell ref="B5:H5"/>
    <mergeCell ref="B7:H7"/>
    <mergeCell ref="B18:H18"/>
    <mergeCell ref="B21:D21"/>
    <mergeCell ref="B19:D19"/>
    <mergeCell ref="B20:D20"/>
    <mergeCell ref="B22:D22"/>
    <mergeCell ref="B53:H53"/>
    <mergeCell ref="B54:H54"/>
    <mergeCell ref="B55:H55"/>
    <mergeCell ref="B52:H52"/>
    <mergeCell ref="B23:D23"/>
    <mergeCell ref="B24:D24"/>
    <mergeCell ref="B28:D28"/>
    <mergeCell ref="B49:D49"/>
    <mergeCell ref="B43:D43"/>
    <mergeCell ref="B45:D45"/>
    <mergeCell ref="B46:D46"/>
    <mergeCell ref="B42:D42"/>
    <mergeCell ref="B48:D48"/>
    <mergeCell ref="B29:D29"/>
    <mergeCell ref="B30:D30"/>
  </mergeCells>
  <conditionalFormatting sqref="B49:H49">
    <cfRule type="expression" dxfId="3" priority="4">
      <formula>$F$49&lt;0</formula>
    </cfRule>
  </conditionalFormatting>
  <conditionalFormatting sqref="F34">
    <cfRule type="cellIs" dxfId="2" priority="3" operator="lessThan">
      <formula>0</formula>
    </cfRule>
  </conditionalFormatting>
  <conditionalFormatting sqref="K49:M49">
    <cfRule type="expression" dxfId="1" priority="2">
      <formula>$F$49&lt;0</formula>
    </cfRule>
  </conditionalFormatting>
  <conditionalFormatting sqref="Q49">
    <cfRule type="expression" dxfId="0" priority="1">
      <formula>$F$49&lt;0</formula>
    </cfRule>
  </conditionalFormatting>
  <printOptions horizontalCentered="1"/>
  <pageMargins left="0.23622047244094491" right="0.23622047244094491" top="0.35433070866141736" bottom="0.35433070866141736" header="0.31496062992125984" footer="0.31496062992125984"/>
  <pageSetup paperSize="9" scale="93" orientation="portrait" horizontalDpi="0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B6AAD-FA8D-4CCA-B4C7-8237A835C5A4}">
  <sheetPr codeName="Planilha18">
    <tabColor rgb="FFC00000"/>
  </sheetPr>
  <dimension ref="A1:T40"/>
  <sheetViews>
    <sheetView showGridLines="0" zoomScaleNormal="100" workbookViewId="0">
      <pane ySplit="6" topLeftCell="A7" activePane="bottomLeft" state="frozen"/>
      <selection activeCell="G2" sqref="G2"/>
      <selection pane="bottomLeft" activeCell="H19" sqref="H19"/>
    </sheetView>
  </sheetViews>
  <sheetFormatPr defaultRowHeight="14.25"/>
  <cols>
    <col min="1" max="1" width="2.5" customWidth="1"/>
    <col min="2" max="2" width="2.75" customWidth="1"/>
    <col min="3" max="3" width="41.875" customWidth="1"/>
    <col min="4" max="4" width="9.625" customWidth="1"/>
    <col min="5" max="5" width="12.5" bestFit="1" customWidth="1"/>
    <col min="6" max="6" width="1.5" customWidth="1"/>
    <col min="7" max="7" width="12.875" customWidth="1"/>
    <col min="8" max="8" width="32.625" customWidth="1"/>
    <col min="9" max="9" width="19" customWidth="1"/>
    <col min="10" max="10" width="11.75" customWidth="1"/>
    <col min="12" max="12" width="12.25" customWidth="1"/>
    <col min="17" max="17" width="27.25" customWidth="1"/>
  </cols>
  <sheetData>
    <row r="1" spans="1:20">
      <c r="A1" s="645"/>
      <c r="B1" s="645"/>
      <c r="C1" s="645"/>
      <c r="D1" s="645"/>
      <c r="E1" s="1984"/>
      <c r="F1" s="645"/>
      <c r="G1" s="645"/>
      <c r="H1" s="645"/>
      <c r="I1" s="645"/>
      <c r="J1" s="645"/>
      <c r="K1" s="645"/>
      <c r="L1" s="645"/>
      <c r="M1" s="645"/>
      <c r="N1" s="645"/>
      <c r="O1" s="645"/>
      <c r="P1" s="645"/>
    </row>
    <row r="2" spans="1:20">
      <c r="A2" s="645"/>
      <c r="B2" s="645"/>
      <c r="C2" s="1984"/>
      <c r="D2" s="1984"/>
      <c r="E2" s="1984"/>
      <c r="F2" s="645"/>
      <c r="G2" s="645"/>
      <c r="H2" s="645"/>
      <c r="I2" s="645"/>
      <c r="J2" s="645"/>
      <c r="K2" s="645"/>
      <c r="L2" s="645"/>
      <c r="M2" s="645"/>
      <c r="N2" s="645"/>
      <c r="O2" s="645"/>
      <c r="P2" s="645"/>
    </row>
    <row r="3" spans="1:20">
      <c r="A3" s="645"/>
      <c r="B3" s="645"/>
      <c r="C3" s="645"/>
      <c r="D3" s="645"/>
      <c r="E3" s="645"/>
      <c r="F3" s="645"/>
      <c r="G3" s="645"/>
      <c r="H3" s="645"/>
      <c r="I3" s="645"/>
      <c r="J3" s="645"/>
      <c r="K3" s="645"/>
      <c r="L3" s="645"/>
      <c r="M3" s="645"/>
      <c r="N3" s="645"/>
      <c r="O3" s="645"/>
      <c r="P3" s="645"/>
    </row>
    <row r="4" spans="1:20">
      <c r="A4" s="645"/>
      <c r="B4" s="645"/>
      <c r="C4" s="645"/>
      <c r="D4" s="645"/>
      <c r="E4" s="645"/>
      <c r="F4" s="645"/>
      <c r="G4" s="645"/>
      <c r="H4" s="645"/>
      <c r="I4" s="645"/>
      <c r="J4" s="645"/>
      <c r="K4" s="645"/>
      <c r="L4" s="645"/>
      <c r="M4" s="645"/>
      <c r="N4" s="645"/>
      <c r="O4" s="645"/>
      <c r="P4" s="645"/>
      <c r="R4" s="659" t="s">
        <v>757</v>
      </c>
      <c r="S4" s="660">
        <f>SUM(S6:S7)</f>
        <v>6</v>
      </c>
      <c r="T4" s="661">
        <f>SUM(T6:T7)</f>
        <v>101</v>
      </c>
    </row>
    <row r="5" spans="1:20">
      <c r="A5" s="645"/>
      <c r="B5" s="1577" t="s">
        <v>68</v>
      </c>
      <c r="C5" s="1576" t="s">
        <v>851</v>
      </c>
      <c r="D5" s="1576" t="s">
        <v>853</v>
      </c>
      <c r="E5" s="1578" t="s">
        <v>1507</v>
      </c>
      <c r="F5" s="645"/>
      <c r="G5" s="1987" t="s">
        <v>1502</v>
      </c>
      <c r="H5" s="1987" t="s">
        <v>1501</v>
      </c>
      <c r="I5" s="1987" t="s">
        <v>1508</v>
      </c>
      <c r="J5" s="1987" t="s">
        <v>1505</v>
      </c>
      <c r="K5" s="645"/>
      <c r="L5" s="645"/>
      <c r="M5" s="645"/>
      <c r="N5" s="645"/>
      <c r="O5" s="645"/>
      <c r="P5" s="645"/>
      <c r="R5" s="656" t="s">
        <v>816</v>
      </c>
      <c r="S5" s="657" t="s">
        <v>753</v>
      </c>
      <c r="T5" s="657" t="s">
        <v>810</v>
      </c>
    </row>
    <row r="6" spans="1:20">
      <c r="A6" s="645"/>
      <c r="B6" s="1988">
        <v>1</v>
      </c>
      <c r="C6" s="1989" t="s">
        <v>852</v>
      </c>
      <c r="D6" s="1990" t="s">
        <v>1486</v>
      </c>
      <c r="E6" s="1991" t="s">
        <v>855</v>
      </c>
      <c r="F6" s="1992"/>
      <c r="G6" s="1993" t="s">
        <v>1504</v>
      </c>
      <c r="H6" s="2025" t="s">
        <v>1440</v>
      </c>
      <c r="I6" s="2025">
        <v>-497428624</v>
      </c>
      <c r="J6" s="2026">
        <v>45657</v>
      </c>
      <c r="K6" s="645"/>
      <c r="L6" s="645"/>
      <c r="M6" s="645"/>
      <c r="N6" s="645"/>
      <c r="O6" s="645"/>
      <c r="P6" s="645"/>
      <c r="R6" s="81" t="s">
        <v>815</v>
      </c>
      <c r="S6" s="98">
        <f>COUNTIF('Controle Serviço'!$D$6:$D$1000,Config2!R6)</f>
        <v>3</v>
      </c>
      <c r="T6" s="658">
        <f>SUMIFS('Controle Serviço'!$G$6:$G$1000,'Controle Serviço'!$D$6:$D$1000,Config2!R6)</f>
        <v>101</v>
      </c>
    </row>
    <row r="7" spans="1:20">
      <c r="A7" s="645"/>
      <c r="B7" s="1985"/>
      <c r="C7" s="1994" t="s">
        <v>1500</v>
      </c>
      <c r="D7" s="1994"/>
      <c r="E7" s="1994"/>
      <c r="F7" s="1985"/>
      <c r="G7" s="1985"/>
      <c r="H7" s="1985"/>
      <c r="I7" s="1985"/>
      <c r="J7" s="1985"/>
      <c r="K7" s="1985"/>
      <c r="L7" s="1985"/>
      <c r="M7" s="645"/>
      <c r="N7" s="645"/>
      <c r="O7" s="645"/>
      <c r="P7" s="645"/>
      <c r="R7" s="81" t="s">
        <v>814</v>
      </c>
      <c r="S7" s="98">
        <f>COUNTIF('Controle Serviço'!$D$6:$D$1000,Config2!R7)</f>
        <v>3</v>
      </c>
      <c r="T7" s="658">
        <f>SUMIFS('Controle Serviço'!$G$6:$G$1000,'Controle Serviço'!$D$6:$D$1000,Config2!R7)</f>
        <v>0</v>
      </c>
    </row>
    <row r="8" spans="1:20">
      <c r="A8" s="645"/>
      <c r="B8" s="1985"/>
      <c r="C8" s="1994"/>
      <c r="D8" s="1994"/>
      <c r="E8" s="1994"/>
      <c r="F8" s="1985"/>
      <c r="G8" s="1985"/>
      <c r="H8" s="1985"/>
      <c r="I8" s="1985"/>
      <c r="J8" s="1985"/>
      <c r="K8" s="1985"/>
      <c r="L8" s="1985"/>
      <c r="M8" s="645"/>
      <c r="N8" s="645"/>
      <c r="O8" s="645"/>
      <c r="P8" s="645"/>
    </row>
    <row r="9" spans="1:20">
      <c r="A9" s="645"/>
      <c r="B9" s="1985"/>
      <c r="C9" s="1994"/>
      <c r="D9" s="1994"/>
      <c r="E9" s="1994"/>
      <c r="F9" s="1985"/>
      <c r="G9" s="1985"/>
      <c r="H9" s="1985"/>
      <c r="I9" s="1985"/>
      <c r="J9" s="1985"/>
      <c r="K9" s="1985"/>
      <c r="L9" s="1985"/>
      <c r="M9" s="645"/>
      <c r="N9" s="645"/>
      <c r="O9" s="645"/>
      <c r="P9" s="645"/>
    </row>
    <row r="10" spans="1:20">
      <c r="A10" s="645"/>
      <c r="B10" s="1985"/>
      <c r="C10" s="1994" t="s">
        <v>854</v>
      </c>
      <c r="D10" s="1994"/>
      <c r="E10" s="1994"/>
      <c r="F10" s="1985"/>
      <c r="G10" s="1985"/>
      <c r="H10" s="1985"/>
      <c r="I10" s="1985"/>
      <c r="J10" s="1985"/>
      <c r="K10" s="1985"/>
      <c r="L10" s="1985"/>
      <c r="M10" s="645"/>
      <c r="N10" s="645"/>
      <c r="O10" s="645"/>
      <c r="P10" s="645"/>
    </row>
    <row r="11" spans="1:20">
      <c r="A11" s="645"/>
      <c r="B11" s="1985"/>
      <c r="C11" s="1994" t="s">
        <v>1484</v>
      </c>
      <c r="D11" s="1994"/>
      <c r="E11" s="1994"/>
      <c r="F11" s="1985"/>
      <c r="G11" s="1985"/>
      <c r="H11" s="1985"/>
      <c r="I11" s="1985"/>
      <c r="J11" s="1985"/>
      <c r="K11" s="1985"/>
      <c r="L11" s="1985"/>
      <c r="M11" s="645"/>
      <c r="N11" s="645"/>
      <c r="O11" s="645"/>
      <c r="P11" s="645"/>
    </row>
    <row r="12" spans="1:20">
      <c r="A12" s="645"/>
      <c r="B12" s="1985"/>
      <c r="C12" s="1994" t="s">
        <v>1485</v>
      </c>
      <c r="D12" s="1994"/>
      <c r="E12" s="1994"/>
      <c r="F12" s="1985"/>
      <c r="G12" s="1985"/>
      <c r="H12" s="1985"/>
      <c r="I12" s="1985"/>
      <c r="J12" s="1985"/>
      <c r="K12" s="1985"/>
      <c r="L12" s="1985"/>
      <c r="M12" s="645"/>
      <c r="N12" s="645"/>
      <c r="O12" s="645"/>
      <c r="P12" s="645"/>
    </row>
    <row r="13" spans="1:20">
      <c r="A13" s="645"/>
      <c r="B13" s="1985"/>
      <c r="C13" s="1994" t="s">
        <v>1486</v>
      </c>
      <c r="D13" s="1994"/>
      <c r="E13" s="1994"/>
      <c r="F13" s="1985"/>
      <c r="G13" s="1985"/>
      <c r="H13" s="1985"/>
      <c r="I13" s="1985"/>
      <c r="J13" s="1985"/>
      <c r="K13" s="1985"/>
      <c r="L13" s="1985"/>
      <c r="M13" s="645"/>
      <c r="N13" s="645"/>
      <c r="O13" s="645"/>
      <c r="P13" s="645"/>
    </row>
    <row r="14" spans="1:20">
      <c r="A14" s="645"/>
      <c r="B14" s="1985"/>
      <c r="C14" s="1994" t="s">
        <v>1487</v>
      </c>
      <c r="D14" s="1994"/>
      <c r="E14" s="2021"/>
      <c r="F14" s="1985"/>
      <c r="G14" s="1985"/>
      <c r="H14" s="1985"/>
      <c r="I14" s="1985"/>
      <c r="J14" s="1985"/>
      <c r="K14" s="1985"/>
      <c r="L14" s="1985"/>
      <c r="M14" s="645"/>
      <c r="N14" s="645"/>
      <c r="O14" s="645"/>
      <c r="P14" s="645"/>
    </row>
    <row r="15" spans="1:20">
      <c r="A15" s="645"/>
      <c r="B15" s="1985"/>
      <c r="C15" s="1994"/>
      <c r="D15" s="1994"/>
      <c r="E15" s="1994"/>
      <c r="F15" s="1985"/>
      <c r="G15" s="1985"/>
      <c r="H15" s="1985"/>
      <c r="I15" s="1985"/>
      <c r="J15" s="1985"/>
      <c r="K15" s="1985"/>
      <c r="L15" s="1985"/>
      <c r="M15" s="645"/>
      <c r="N15" s="645"/>
      <c r="O15" s="645"/>
      <c r="P15" s="645"/>
    </row>
    <row r="16" spans="1:20">
      <c r="A16" s="645"/>
      <c r="B16" s="1985"/>
      <c r="C16" s="1994"/>
      <c r="D16" s="1994"/>
      <c r="E16" s="1994"/>
      <c r="F16" s="1985"/>
      <c r="G16" s="1985"/>
      <c r="H16" s="1986"/>
      <c r="I16" s="1986"/>
      <c r="J16" s="1985"/>
      <c r="K16" s="1985"/>
      <c r="L16" s="1985"/>
      <c r="M16" s="645"/>
      <c r="N16" s="645"/>
      <c r="O16" s="645"/>
      <c r="P16" s="645"/>
    </row>
    <row r="17" spans="1:16">
      <c r="A17" s="645"/>
      <c r="B17" s="1985"/>
      <c r="C17" s="1994"/>
      <c r="D17" s="1994"/>
      <c r="E17" s="1994"/>
      <c r="F17" s="1985"/>
      <c r="G17" s="1985"/>
      <c r="H17" s="1985"/>
      <c r="I17" s="1985"/>
      <c r="J17" s="1985"/>
      <c r="K17" s="1985"/>
      <c r="L17" s="1985"/>
      <c r="M17" s="645"/>
      <c r="N17" s="645"/>
      <c r="O17" s="645"/>
      <c r="P17" s="645"/>
    </row>
    <row r="18" spans="1:16">
      <c r="A18" s="645"/>
      <c r="B18" s="1985"/>
      <c r="C18" s="2022" t="s">
        <v>888</v>
      </c>
      <c r="D18" s="2022" t="s">
        <v>887</v>
      </c>
      <c r="E18" s="1994"/>
      <c r="F18" s="1985"/>
      <c r="G18" s="1985"/>
      <c r="H18" s="1985"/>
      <c r="I18" s="1985"/>
      <c r="J18" s="1985"/>
      <c r="K18" s="1985"/>
      <c r="L18" s="1985"/>
      <c r="M18" s="645"/>
      <c r="N18" s="645"/>
      <c r="O18" s="645"/>
      <c r="P18" s="645"/>
    </row>
    <row r="19" spans="1:16">
      <c r="A19" s="645"/>
      <c r="B19" s="1985"/>
      <c r="C19" s="2023"/>
      <c r="D19" s="1973"/>
      <c r="E19" s="1994"/>
      <c r="F19" s="1985"/>
      <c r="G19" s="1985"/>
      <c r="H19" s="1985"/>
      <c r="I19" s="1985"/>
      <c r="J19" s="1985"/>
      <c r="K19" s="1985"/>
      <c r="L19" s="1985"/>
      <c r="M19" s="645"/>
      <c r="N19" s="645"/>
      <c r="O19" s="645"/>
      <c r="P19" s="645"/>
    </row>
    <row r="20" spans="1:16">
      <c r="A20" s="645"/>
      <c r="B20" s="1985"/>
      <c r="C20" s="2022" t="s">
        <v>1488</v>
      </c>
      <c r="D20" s="1973">
        <v>64</v>
      </c>
      <c r="E20" s="1994"/>
      <c r="F20" s="1985"/>
      <c r="G20" s="1985"/>
      <c r="H20" s="1985"/>
      <c r="I20" s="1985"/>
      <c r="J20" s="1985"/>
      <c r="K20" s="1985"/>
      <c r="L20" s="1985"/>
      <c r="M20" s="645"/>
      <c r="N20" s="645"/>
      <c r="O20" s="645"/>
      <c r="P20" s="645"/>
    </row>
    <row r="21" spans="1:16">
      <c r="A21" s="645"/>
      <c r="B21" s="1985"/>
      <c r="C21" s="2022" t="s">
        <v>1489</v>
      </c>
      <c r="D21" s="1973">
        <v>63</v>
      </c>
      <c r="E21" s="1994"/>
      <c r="F21" s="1985"/>
      <c r="G21" s="1985"/>
      <c r="H21" s="1985"/>
      <c r="I21" s="1985"/>
      <c r="J21" s="1985"/>
      <c r="K21" s="1985"/>
      <c r="L21" s="1985"/>
      <c r="M21" s="645"/>
      <c r="N21" s="739"/>
      <c r="O21" s="739"/>
      <c r="P21" s="739"/>
    </row>
    <row r="22" spans="1:16">
      <c r="A22" s="645"/>
      <c r="B22" s="1985"/>
      <c r="C22" s="2022" t="s">
        <v>1491</v>
      </c>
      <c r="D22" s="1973">
        <v>62</v>
      </c>
      <c r="E22" s="1994"/>
      <c r="F22" s="1985"/>
      <c r="G22" s="1985"/>
      <c r="H22" s="1985"/>
      <c r="I22" s="1985"/>
      <c r="J22" s="1985"/>
      <c r="K22" s="1985"/>
      <c r="L22" s="1985"/>
      <c r="M22" s="645"/>
      <c r="N22" s="645"/>
      <c r="O22" s="645"/>
      <c r="P22" s="645"/>
    </row>
    <row r="23" spans="1:16">
      <c r="A23" s="645"/>
      <c r="B23" s="1985"/>
      <c r="C23" s="2022" t="s">
        <v>1490</v>
      </c>
      <c r="D23" s="1973">
        <v>61</v>
      </c>
      <c r="E23" s="1994"/>
      <c r="F23" s="1985"/>
      <c r="G23" s="1985"/>
      <c r="H23" s="1985"/>
      <c r="I23" s="1985"/>
      <c r="J23" s="1985"/>
      <c r="K23" s="1985"/>
      <c r="L23" s="1985"/>
      <c r="M23" s="645"/>
      <c r="N23" s="645"/>
      <c r="O23" s="645"/>
      <c r="P23" s="645"/>
    </row>
    <row r="24" spans="1:16">
      <c r="A24" s="645"/>
      <c r="B24" s="1985"/>
      <c r="C24" s="2024" t="s">
        <v>878</v>
      </c>
      <c r="D24" s="1973">
        <v>60</v>
      </c>
      <c r="E24" s="1994"/>
      <c r="F24" s="1985"/>
      <c r="G24" s="1985"/>
      <c r="H24" s="1985"/>
      <c r="I24" s="1985"/>
      <c r="J24" s="1985"/>
      <c r="K24" s="1985"/>
      <c r="L24" s="1985"/>
      <c r="M24" s="645"/>
      <c r="N24" s="645"/>
      <c r="O24" s="645"/>
      <c r="P24" s="645"/>
    </row>
    <row r="25" spans="1:16">
      <c r="A25" s="645"/>
      <c r="B25" s="1985"/>
      <c r="C25" s="2024" t="s">
        <v>1492</v>
      </c>
      <c r="D25" s="1973">
        <f>LEN(C25)</f>
        <v>59</v>
      </c>
      <c r="E25" s="1994"/>
      <c r="F25" s="1985"/>
      <c r="G25" s="1985"/>
      <c r="H25" s="1985"/>
      <c r="I25" s="1985"/>
      <c r="J25" s="1985"/>
      <c r="K25" s="1985"/>
      <c r="L25" s="1985"/>
      <c r="M25" s="645"/>
      <c r="N25" s="645"/>
      <c r="O25" s="645"/>
      <c r="P25" s="645"/>
    </row>
    <row r="26" spans="1:16">
      <c r="A26" s="645"/>
      <c r="B26" s="1985"/>
      <c r="C26" s="2024" t="s">
        <v>879</v>
      </c>
      <c r="D26" s="1973">
        <f t="shared" ref="D26:D40" si="0">LEN(C26)</f>
        <v>53</v>
      </c>
      <c r="E26" s="1994"/>
      <c r="F26" s="1985"/>
      <c r="G26" s="1985"/>
      <c r="H26" s="1985"/>
      <c r="I26" s="1985"/>
      <c r="J26" s="1985"/>
      <c r="K26" s="1985"/>
      <c r="L26" s="1985"/>
      <c r="M26" s="645"/>
      <c r="N26" s="645"/>
      <c r="O26" s="645"/>
      <c r="P26" s="645"/>
    </row>
    <row r="27" spans="1:16">
      <c r="A27" s="645"/>
      <c r="B27" s="1985"/>
      <c r="C27" s="2024" t="s">
        <v>880</v>
      </c>
      <c r="D27" s="1973">
        <f t="shared" si="0"/>
        <v>49</v>
      </c>
      <c r="E27" s="1994"/>
      <c r="F27" s="1985"/>
      <c r="G27" s="1985"/>
      <c r="H27" s="1985"/>
      <c r="I27" s="1985"/>
      <c r="J27" s="1985"/>
      <c r="K27" s="1985"/>
      <c r="L27" s="1985"/>
      <c r="M27" s="645"/>
      <c r="N27" s="645"/>
      <c r="O27" s="645"/>
      <c r="P27" s="645"/>
    </row>
    <row r="28" spans="1:16">
      <c r="A28" s="645"/>
      <c r="B28" s="1985"/>
      <c r="C28" s="2024" t="s">
        <v>1493</v>
      </c>
      <c r="D28" s="1973">
        <f t="shared" si="0"/>
        <v>48</v>
      </c>
      <c r="E28" s="1994"/>
      <c r="F28" s="1985"/>
      <c r="G28" s="1985"/>
      <c r="H28" s="1985"/>
      <c r="I28" s="1985"/>
      <c r="J28" s="1985"/>
      <c r="K28" s="1985"/>
      <c r="L28" s="1985"/>
      <c r="M28" s="645"/>
      <c r="N28" s="645"/>
      <c r="O28" s="645"/>
      <c r="P28" s="645"/>
    </row>
    <row r="29" spans="1:16">
      <c r="A29" s="645"/>
      <c r="B29" s="1985"/>
      <c r="C29" s="2024" t="s">
        <v>1494</v>
      </c>
      <c r="D29" s="1973">
        <f t="shared" si="0"/>
        <v>48</v>
      </c>
      <c r="E29" s="1994"/>
      <c r="F29" s="1985"/>
      <c r="G29" s="1985"/>
      <c r="H29" s="1985"/>
      <c r="I29" s="1985"/>
      <c r="J29" s="1985"/>
      <c r="K29" s="1985"/>
      <c r="L29" s="1985"/>
      <c r="M29" s="645"/>
      <c r="N29" s="645"/>
      <c r="O29" s="645"/>
      <c r="P29" s="645"/>
    </row>
    <row r="30" spans="1:16">
      <c r="A30" s="645"/>
      <c r="B30" s="1985"/>
      <c r="C30" s="2022" t="s">
        <v>1495</v>
      </c>
      <c r="D30" s="1973">
        <f t="shared" si="0"/>
        <v>45</v>
      </c>
      <c r="E30" s="1994"/>
      <c r="F30" s="1985"/>
      <c r="G30" s="1985"/>
      <c r="H30" s="1985"/>
      <c r="I30" s="1985"/>
      <c r="J30" s="1985"/>
      <c r="K30" s="1985"/>
      <c r="L30" s="1985"/>
      <c r="M30" s="645"/>
      <c r="N30" s="645"/>
      <c r="O30" s="645"/>
      <c r="P30" s="645"/>
    </row>
    <row r="31" spans="1:16">
      <c r="A31" s="645"/>
      <c r="B31" s="1985"/>
      <c r="C31" s="2024" t="s">
        <v>882</v>
      </c>
      <c r="D31" s="1973">
        <f t="shared" si="0"/>
        <v>42</v>
      </c>
      <c r="E31" s="1994"/>
      <c r="F31" s="1985"/>
      <c r="G31" s="1985"/>
      <c r="H31" s="1985"/>
      <c r="I31" s="1985"/>
      <c r="J31" s="1985"/>
      <c r="K31" s="1985"/>
      <c r="L31" s="1985"/>
      <c r="M31" s="645"/>
      <c r="N31" s="645"/>
      <c r="O31" s="645"/>
      <c r="P31" s="645"/>
    </row>
    <row r="32" spans="1:16">
      <c r="A32" s="645"/>
      <c r="B32" s="1985"/>
      <c r="C32" s="2022" t="s">
        <v>881</v>
      </c>
      <c r="D32" s="1973">
        <f t="shared" si="0"/>
        <v>43</v>
      </c>
      <c r="E32" s="1994"/>
      <c r="F32" s="1985"/>
      <c r="G32" s="1985"/>
      <c r="H32" s="1985"/>
      <c r="I32" s="1985"/>
      <c r="J32" s="1985"/>
      <c r="K32" s="1985"/>
      <c r="L32" s="1985"/>
      <c r="M32" s="645"/>
      <c r="N32" s="645"/>
      <c r="O32" s="645"/>
      <c r="P32" s="645"/>
    </row>
    <row r="33" spans="1:16">
      <c r="A33" s="645"/>
      <c r="B33" s="1985"/>
      <c r="C33" s="2022" t="s">
        <v>1496</v>
      </c>
      <c r="D33" s="1973">
        <f t="shared" si="0"/>
        <v>38</v>
      </c>
      <c r="E33" s="1994"/>
      <c r="F33" s="1985"/>
      <c r="G33" s="1985"/>
      <c r="H33" s="1985"/>
      <c r="I33" s="1985"/>
      <c r="J33" s="1985"/>
      <c r="K33" s="1985"/>
      <c r="L33" s="1985"/>
      <c r="M33" s="645"/>
      <c r="N33" s="645"/>
      <c r="O33" s="645"/>
      <c r="P33" s="645"/>
    </row>
    <row r="34" spans="1:16">
      <c r="A34" s="645"/>
      <c r="B34" s="1985"/>
      <c r="C34" s="2022" t="s">
        <v>883</v>
      </c>
      <c r="D34" s="1973">
        <f t="shared" si="0"/>
        <v>34</v>
      </c>
      <c r="E34" s="1994"/>
      <c r="F34" s="1985"/>
      <c r="G34" s="1985"/>
      <c r="H34" s="1985"/>
      <c r="I34" s="1985"/>
      <c r="J34" s="1985"/>
      <c r="K34" s="1985"/>
      <c r="L34" s="1985"/>
      <c r="M34" s="645"/>
      <c r="N34" s="645"/>
      <c r="O34" s="645"/>
      <c r="P34" s="645"/>
    </row>
    <row r="35" spans="1:16">
      <c r="A35" s="645"/>
      <c r="B35" s="1985"/>
      <c r="C35" s="1973" t="s">
        <v>1497</v>
      </c>
      <c r="D35" s="1973">
        <f t="shared" si="0"/>
        <v>33</v>
      </c>
      <c r="E35" s="1994"/>
      <c r="F35" s="1985"/>
      <c r="G35" s="1985"/>
      <c r="H35" s="1985"/>
      <c r="I35" s="1985"/>
      <c r="J35" s="1985"/>
      <c r="K35" s="1985"/>
      <c r="L35" s="1985"/>
      <c r="M35" s="645"/>
      <c r="N35" s="645"/>
      <c r="O35" s="645"/>
      <c r="P35" s="645"/>
    </row>
    <row r="36" spans="1:16">
      <c r="A36" s="645"/>
      <c r="B36" s="1985"/>
      <c r="C36" s="1973" t="s">
        <v>884</v>
      </c>
      <c r="D36" s="1973">
        <f t="shared" si="0"/>
        <v>32</v>
      </c>
      <c r="E36" s="1994"/>
      <c r="F36" s="1985"/>
      <c r="G36" s="1985"/>
      <c r="H36" s="1985"/>
      <c r="I36" s="1985"/>
      <c r="J36" s="1985"/>
      <c r="K36" s="1985"/>
      <c r="L36" s="1985"/>
      <c r="M36" s="645"/>
      <c r="N36" s="645"/>
      <c r="O36" s="645"/>
      <c r="P36" s="645"/>
    </row>
    <row r="37" spans="1:16">
      <c r="A37" s="645"/>
      <c r="B37" s="1985"/>
      <c r="C37" s="1973" t="s">
        <v>886</v>
      </c>
      <c r="D37" s="1973">
        <f t="shared" si="0"/>
        <v>31</v>
      </c>
      <c r="E37" s="1994"/>
      <c r="F37" s="1985"/>
      <c r="G37" s="1985"/>
      <c r="H37" s="1985"/>
      <c r="I37" s="1985"/>
      <c r="J37" s="1985"/>
      <c r="K37" s="1985"/>
      <c r="L37" s="1985"/>
      <c r="M37" s="645"/>
      <c r="N37" s="645"/>
      <c r="O37" s="645"/>
      <c r="P37" s="645"/>
    </row>
    <row r="38" spans="1:16">
      <c r="A38" s="645"/>
      <c r="B38" s="1985"/>
      <c r="C38" s="1973" t="s">
        <v>885</v>
      </c>
      <c r="D38" s="1973">
        <f t="shared" si="0"/>
        <v>31</v>
      </c>
      <c r="E38" s="1994"/>
      <c r="F38" s="1985"/>
      <c r="G38" s="1985"/>
      <c r="H38" s="1985"/>
      <c r="I38" s="1985"/>
      <c r="J38" s="1985"/>
      <c r="K38" s="1985"/>
      <c r="L38" s="1985"/>
      <c r="M38" s="645"/>
      <c r="N38" s="645"/>
      <c r="O38" s="645"/>
      <c r="P38" s="645"/>
    </row>
    <row r="39" spans="1:16">
      <c r="A39" s="645"/>
      <c r="B39" s="1985"/>
      <c r="C39" s="1973" t="s">
        <v>1498</v>
      </c>
      <c r="D39" s="1973">
        <f t="shared" si="0"/>
        <v>28</v>
      </c>
      <c r="E39" s="1994"/>
      <c r="F39" s="1985"/>
      <c r="G39" s="1985"/>
      <c r="H39" s="1985"/>
      <c r="I39" s="1985"/>
      <c r="J39" s="1985"/>
      <c r="K39" s="1985"/>
      <c r="L39" s="1985"/>
      <c r="M39" s="645"/>
      <c r="N39" s="645"/>
      <c r="O39" s="645"/>
      <c r="P39" s="645"/>
    </row>
    <row r="40" spans="1:16">
      <c r="A40" s="645"/>
      <c r="B40" s="1985"/>
      <c r="C40" s="1973" t="s">
        <v>1499</v>
      </c>
      <c r="D40" s="1973">
        <f t="shared" si="0"/>
        <v>26</v>
      </c>
      <c r="E40" s="1994"/>
      <c r="F40" s="1985"/>
      <c r="G40" s="1985"/>
      <c r="H40" s="1985"/>
      <c r="I40" s="1985"/>
      <c r="J40" s="1985"/>
      <c r="K40" s="1985"/>
      <c r="L40" s="1985"/>
      <c r="M40" s="645"/>
      <c r="N40" s="645"/>
      <c r="O40" s="645"/>
      <c r="P40" s="645"/>
    </row>
  </sheetData>
  <sheetProtection selectLockedCells="1" selectUnlockedCells="1"/>
  <dataValidations count="3">
    <dataValidation type="list" allowBlank="1" sqref="E6" xr:uid="{8E7D424E-2963-42C7-BC57-56F20879EF91}">
      <formula1>"MA-00259-ZP"</formula1>
    </dataValidation>
    <dataValidation type="list" allowBlank="1" showInputMessage="1" showErrorMessage="1" sqref="D6" xr:uid="{AC802B62-D984-4748-8713-74C67ECC525F}">
      <formula1>$C$10:$C$14</formula1>
    </dataValidation>
    <dataValidation type="list" allowBlank="1" sqref="C6" xr:uid="{576457FB-610C-4040-974A-6BB41066CDB8}">
      <formula1>"Usuário Cadastrado no PFDR"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8408A-0A5D-4EBA-B29C-9DE0F9872033}">
  <sheetPr codeName="shtConfig">
    <tabColor rgb="FFC00000"/>
  </sheetPr>
  <dimension ref="A3:E18"/>
  <sheetViews>
    <sheetView showGridLines="0" showRowColHeaders="0" showZeros="0" zoomScaleNormal="100" workbookViewId="0">
      <selection activeCell="A7" sqref="A7"/>
    </sheetView>
  </sheetViews>
  <sheetFormatPr defaultRowHeight="14.25"/>
  <cols>
    <col min="1" max="1" width="15.375" bestFit="1" customWidth="1"/>
  </cols>
  <sheetData>
    <row r="3" spans="1:5" ht="15">
      <c r="A3" s="1982" t="s">
        <v>1350</v>
      </c>
      <c r="B3" s="82"/>
      <c r="C3" s="82"/>
      <c r="D3" s="82"/>
      <c r="E3" s="82"/>
    </row>
    <row r="4" spans="1:5">
      <c r="A4" s="1983"/>
      <c r="B4" s="82"/>
      <c r="C4" s="82"/>
      <c r="D4" s="82"/>
      <c r="E4" s="82"/>
    </row>
    <row r="5" spans="1:5">
      <c r="A5" s="1983" t="s">
        <v>1440</v>
      </c>
      <c r="B5" s="82"/>
      <c r="C5" s="82"/>
      <c r="D5" s="82"/>
      <c r="E5" s="82"/>
    </row>
    <row r="6" spans="1:5">
      <c r="A6" s="1983" t="s">
        <v>1460</v>
      </c>
      <c r="B6" s="82"/>
      <c r="C6" s="82"/>
      <c r="D6" s="82"/>
      <c r="E6" s="82"/>
    </row>
    <row r="7" spans="1:5">
      <c r="A7" s="1983" t="s">
        <v>1503</v>
      </c>
      <c r="B7" s="82"/>
      <c r="C7" s="82"/>
      <c r="D7" s="82"/>
      <c r="E7" s="82"/>
    </row>
    <row r="8" spans="1:5">
      <c r="A8" s="82"/>
      <c r="B8" s="82"/>
      <c r="C8" s="82"/>
      <c r="D8" s="82"/>
      <c r="E8" s="82"/>
    </row>
    <row r="9" spans="1:5">
      <c r="A9" s="82"/>
      <c r="B9" s="82"/>
      <c r="C9" s="82"/>
      <c r="D9" s="82"/>
      <c r="E9" s="82"/>
    </row>
    <row r="10" spans="1:5">
      <c r="A10" s="82"/>
      <c r="B10" s="82"/>
      <c r="C10" s="82"/>
      <c r="D10" s="82"/>
      <c r="E10" s="82"/>
    </row>
    <row r="11" spans="1:5">
      <c r="A11" s="82"/>
      <c r="B11" s="82"/>
      <c r="C11" s="82"/>
      <c r="D11" s="82"/>
      <c r="E11" s="82"/>
    </row>
    <row r="12" spans="1:5">
      <c r="A12" s="82"/>
      <c r="B12" s="82"/>
      <c r="C12" s="82"/>
      <c r="D12" s="82"/>
      <c r="E12" s="82"/>
    </row>
    <row r="13" spans="1:5">
      <c r="A13" s="82"/>
      <c r="B13" s="82"/>
      <c r="C13" s="82"/>
      <c r="D13" s="82"/>
      <c r="E13" s="82"/>
    </row>
    <row r="14" spans="1:5">
      <c r="A14" s="82"/>
      <c r="B14" s="82"/>
      <c r="C14" s="82"/>
      <c r="D14" s="82"/>
      <c r="E14" s="82"/>
    </row>
    <row r="15" spans="1:5">
      <c r="A15" s="82"/>
      <c r="B15" s="82"/>
      <c r="C15" s="82"/>
      <c r="D15" s="82"/>
      <c r="E15" s="82"/>
    </row>
    <row r="16" spans="1:5">
      <c r="A16" s="82"/>
      <c r="B16" s="82"/>
      <c r="C16" s="82"/>
      <c r="D16" s="82"/>
      <c r="E16" s="82"/>
    </row>
    <row r="17" spans="1:5">
      <c r="A17" s="82"/>
      <c r="B17" s="82"/>
      <c r="C17" s="82"/>
      <c r="D17" s="82"/>
      <c r="E17" s="82"/>
    </row>
    <row r="18" spans="1:5">
      <c r="A18" s="82"/>
      <c r="B18" s="82"/>
      <c r="C18" s="82"/>
      <c r="D18" s="82"/>
      <c r="E18" s="82"/>
    </row>
  </sheetData>
  <phoneticPr fontId="14" type="noConversion"/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D21AB-BA8C-42FC-A873-95ADC78DB88F}">
  <sheetPr codeName="Planilha17"/>
  <dimension ref="A1:AL141"/>
  <sheetViews>
    <sheetView showGridLines="0" topLeftCell="A137" zoomScaleNormal="100" workbookViewId="0">
      <selection activeCell="D150" sqref="D150"/>
    </sheetView>
  </sheetViews>
  <sheetFormatPr defaultRowHeight="14.25"/>
  <cols>
    <col min="1" max="1" width="3.75" style="4" customWidth="1"/>
    <col min="2" max="2" width="26.875" style="4" bestFit="1" customWidth="1"/>
    <col min="3" max="3" width="11.375" style="4" customWidth="1"/>
    <col min="4" max="4" width="11.125" style="4" customWidth="1"/>
    <col min="5" max="5" width="9.25" style="4" bestFit="1" customWidth="1"/>
    <col min="6" max="6" width="11.375" style="4" bestFit="1" customWidth="1"/>
    <col min="7" max="7" width="8" style="4" customWidth="1"/>
    <col min="8" max="8" width="5.5" style="4" customWidth="1"/>
    <col min="9" max="9" width="6.5" style="4" customWidth="1"/>
    <col min="10" max="10" width="31" style="4" bestFit="1" customWidth="1"/>
    <col min="11" max="11" width="13.375" style="4" customWidth="1"/>
    <col min="12" max="12" width="9" style="4"/>
    <col min="13" max="13" width="11" style="4" bestFit="1" customWidth="1"/>
    <col min="14" max="14" width="5.125" style="4" customWidth="1"/>
    <col min="15" max="15" width="18.25" style="4" customWidth="1"/>
    <col min="16" max="16" width="10" style="4" customWidth="1"/>
    <col min="17" max="17" width="13" style="4" bestFit="1" customWidth="1"/>
    <col min="18" max="18" width="12.625" style="4" customWidth="1"/>
    <col min="19" max="19" width="2.5" style="4" customWidth="1"/>
    <col min="20" max="20" width="3.75" style="62" customWidth="1"/>
    <col min="21" max="21" width="19.5" style="4" bestFit="1" customWidth="1"/>
    <col min="22" max="23" width="10.25" style="4" bestFit="1" customWidth="1"/>
    <col min="24" max="24" width="6.25" style="4" customWidth="1"/>
    <col min="25" max="25" width="24.5" style="4" customWidth="1"/>
    <col min="26" max="26" width="6.375" style="4" customWidth="1"/>
    <col min="27" max="27" width="4.5" style="4" customWidth="1"/>
    <col min="28" max="28" width="6.5" style="63" customWidth="1"/>
    <col min="29" max="29" width="6.125" style="63" customWidth="1"/>
    <col min="30" max="30" width="5.75" style="63" customWidth="1"/>
    <col min="31" max="31" width="11.75" style="4" customWidth="1"/>
    <col min="32" max="32" width="8.25" style="4" customWidth="1"/>
    <col min="33" max="33" width="8.75" style="62" bestFit="1" customWidth="1"/>
    <col min="34" max="34" width="7" style="4" customWidth="1"/>
    <col min="35" max="37" width="3.25" style="62" customWidth="1"/>
    <col min="38" max="16384" width="9" style="4"/>
  </cols>
  <sheetData>
    <row r="1" spans="1:38" ht="42" customHeight="1" thickBot="1">
      <c r="A1" s="484" t="s">
        <v>656</v>
      </c>
      <c r="C1" s="513" t="s">
        <v>877</v>
      </c>
    </row>
    <row r="2" spans="1:38" ht="19.5" thickBot="1">
      <c r="A2" s="485" t="str">
        <f>IF(BJ34=0,"Mistura Matéria Natural",BL34/BJ34)</f>
        <v>Mistura Matéria Natural</v>
      </c>
      <c r="C2" s="513" t="s">
        <v>1462</v>
      </c>
      <c r="AE2" s="626" t="s">
        <v>771</v>
      </c>
    </row>
    <row r="3" spans="1:38" ht="30">
      <c r="A3" s="486" t="str">
        <f>IF(BN34=0,"Mistura Matéria Seca",BP34/BN34)</f>
        <v>Mistura Matéria Seca</v>
      </c>
      <c r="C3" s="513">
        <v>0</v>
      </c>
      <c r="O3" s="488" t="s">
        <v>669</v>
      </c>
      <c r="P3" s="488"/>
      <c r="Q3" s="488"/>
      <c r="R3" s="488"/>
      <c r="AE3" s="593" t="s">
        <v>437</v>
      </c>
      <c r="AF3" s="594" t="s">
        <v>310</v>
      </c>
      <c r="AG3" s="594" t="s">
        <v>770</v>
      </c>
      <c r="AH3" s="594" t="s">
        <v>487</v>
      </c>
      <c r="AI3" s="736" t="s">
        <v>767</v>
      </c>
      <c r="AJ3" s="736" t="s">
        <v>768</v>
      </c>
      <c r="AK3" s="736" t="s">
        <v>769</v>
      </c>
      <c r="AL3" s="625" t="s">
        <v>793</v>
      </c>
    </row>
    <row r="4" spans="1:38" ht="30" customHeight="1">
      <c r="B4" s="6" t="s">
        <v>74</v>
      </c>
      <c r="C4" s="5" t="s">
        <v>62</v>
      </c>
      <c r="D4" s="5" t="s">
        <v>63</v>
      </c>
      <c r="E4" s="5" t="s">
        <v>64</v>
      </c>
      <c r="F4" s="20" t="s">
        <v>80</v>
      </c>
      <c r="G4" s="7" t="s">
        <v>76</v>
      </c>
      <c r="J4" s="6" t="s">
        <v>74</v>
      </c>
      <c r="K4" s="5" t="s">
        <v>62</v>
      </c>
      <c r="L4" s="5" t="s">
        <v>63</v>
      </c>
      <c r="M4" s="7" t="s">
        <v>64</v>
      </c>
      <c r="O4" s="489" t="s">
        <v>323</v>
      </c>
      <c r="P4" s="489" t="s">
        <v>666</v>
      </c>
      <c r="Q4" s="496" t="s">
        <v>668</v>
      </c>
      <c r="R4" s="492" t="s">
        <v>667</v>
      </c>
      <c r="T4" s="516" t="s">
        <v>68</v>
      </c>
      <c r="U4" s="517" t="s">
        <v>751</v>
      </c>
      <c r="V4" s="517" t="s">
        <v>754</v>
      </c>
      <c r="W4" s="517" t="s">
        <v>755</v>
      </c>
      <c r="X4" s="517" t="s">
        <v>753</v>
      </c>
      <c r="Y4" s="517" t="s">
        <v>751</v>
      </c>
      <c r="Z4" s="517" t="s">
        <v>753</v>
      </c>
      <c r="AB4" s="517" t="s">
        <v>68</v>
      </c>
      <c r="AC4" s="517" t="s">
        <v>766</v>
      </c>
      <c r="AD4" s="517" t="s">
        <v>765</v>
      </c>
      <c r="AE4" s="593" t="s">
        <v>42</v>
      </c>
      <c r="AF4" s="593" t="s">
        <v>42</v>
      </c>
      <c r="AG4" s="593" t="s">
        <v>42</v>
      </c>
      <c r="AH4" s="593" t="s">
        <v>42</v>
      </c>
      <c r="AI4" s="736" t="s">
        <v>767</v>
      </c>
      <c r="AJ4" s="736" t="s">
        <v>768</v>
      </c>
      <c r="AK4" s="736" t="s">
        <v>769</v>
      </c>
      <c r="AL4" s="593" t="s">
        <v>42</v>
      </c>
    </row>
    <row r="5" spans="1:38" ht="15">
      <c r="B5" s="19" t="str">
        <f>'Calcular Dieta'!B9</f>
        <v>CAPIM BRAQUIÁRIA DECUMBENS ÁGUAS-SECA</v>
      </c>
      <c r="C5" s="21">
        <f>IF('Calcular Dieta'!BE9&lt;0.00001,0,'Calcular Dieta'!BE9)</f>
        <v>0</v>
      </c>
      <c r="D5" s="22">
        <f>'Calcular Dieta'!BF9</f>
        <v>0.2</v>
      </c>
      <c r="E5" s="23">
        <f>'Calcular Dieta'!BG9</f>
        <v>0</v>
      </c>
      <c r="F5" s="49" t="str">
        <f>'Calcular Dieta'!BL9</f>
        <v>Volumoso</v>
      </c>
      <c r="G5" s="24" t="str">
        <f>IF(C5=0,"",IF(B5=0,0,C5+(ROW()/10000000)))</f>
        <v/>
      </c>
      <c r="H5" s="65">
        <v>1</v>
      </c>
      <c r="I5" s="65">
        <f>LARGE($G$5:$G$29,H5)</f>
        <v>0.45378130742781603</v>
      </c>
      <c r="J5" s="19" t="str">
        <f>IFERROR(INDEX($B$5:$B$29,MATCH(I5,$G$5:$G$29,0)),"")</f>
        <v>Fosfato Bicálcico</v>
      </c>
      <c r="K5" s="21">
        <f>IFERROR(INDEX($C$5:$C$29,MATCH(I5,$G$5:$G$29,0)),"")</f>
        <v>0.45378000742781605</v>
      </c>
      <c r="L5" s="22">
        <f>IFERROR(INDEX($D$5:$D$29,MATCH(I5,$G$5:$G$29,0)),"")</f>
        <v>1</v>
      </c>
      <c r="M5" s="50">
        <f>IFERROR(INDEX($E$5:$E$29,MATCH(I5,$G$5:$G$29,0)),"")</f>
        <v>0.45378000742781605</v>
      </c>
      <c r="O5" s="490" t="s">
        <v>664</v>
      </c>
      <c r="P5" s="1288" t="str">
        <f>IFERROR(P6/Q5,"-")</f>
        <v>-</v>
      </c>
      <c r="Q5" s="491">
        <f>INDEX(G61:G110,MATCH(F60,F61:F110,0))</f>
        <v>0</v>
      </c>
      <c r="R5" s="491" t="str">
        <f>INDEX(H61:H110,MATCH(G60,G61:G110,0))</f>
        <v xml:space="preserve"> </v>
      </c>
      <c r="T5" s="62">
        <v>1</v>
      </c>
      <c r="U5" s="63" t="s">
        <v>252</v>
      </c>
      <c r="V5" s="514">
        <f>COUNTIF(Alimentos!$C$4:$C$310,MPR!U5)</f>
        <v>28</v>
      </c>
      <c r="W5" s="515">
        <f>V5+ROW()/100000</f>
        <v>28.000050000000002</v>
      </c>
      <c r="X5" s="103">
        <f>LARGE($W$5:$W$19,T5)</f>
        <v>83.000110000000006</v>
      </c>
      <c r="Y5" s="63" t="str">
        <f>INDEX($U$5:$U$19,MATCH(X5,$W$5:$W$19,0))</f>
        <v>Forragens Verdes</v>
      </c>
      <c r="Z5" s="59">
        <f>INDEX($V$5:$V$19,MATCH(X5,$W$5:$W$19,0))</f>
        <v>83</v>
      </c>
      <c r="AA5" s="59">
        <v>1</v>
      </c>
      <c r="AB5" s="591" t="str">
        <f>IF(IFERROR((Atendimento!I7)+ROW()/1000000,"-")="-","-",AA5)</f>
        <v>-</v>
      </c>
      <c r="AC5" s="590" t="str">
        <f>Atendimento!C7</f>
        <v>MS</v>
      </c>
      <c r="AD5" s="589">
        <f>IFERROR(SMALL($AB$5:$AB$49,H34),"-")</f>
        <v>17</v>
      </c>
      <c r="AE5" s="592" t="str">
        <f>IF(AD5="-","-",INDEX($AC$5:$AC$49,MATCH(AD5,$AB$5:$AB$49,0)))</f>
        <v>Mg</v>
      </c>
      <c r="AF5" s="59" t="str">
        <f>IF(OR(AL5="Máxmo",AL5="Mínimo"),AL5,IF(AL5="-",IF(AG5="-","-",IF(AG5=0,"-",IF(AG5&lt;0,"Abaixo","Acima"))),AL5))</f>
        <v>Máximo</v>
      </c>
      <c r="AG5" s="595">
        <f>IF(AD5="-","-",ROUND(INDEX(Atendimento!$I$7:$I$51,MATCH(AE5,Atendimento!$C$7:$C$51,0)),2))</f>
        <v>0</v>
      </c>
      <c r="AH5" s="59" t="str">
        <f>IF(OR(AG5=0,AG5="-"),"-",INDEX(Atendimento!$D$7:$D$51,MATCH(AE5,Atendimento!$C$7:$C$51,0)))</f>
        <v>-</v>
      </c>
      <c r="AI5" s="59" t="str">
        <f>IF(OR(AG5=0,AG5="-"),"-",INDEX(Atendimento!$N$7:$N$51,MATCH(AE5,Atendimento!$C$7:$C$51,0)))</f>
        <v>-</v>
      </c>
      <c r="AJ5" s="59" t="str">
        <f>IF(OR(AG5=0,AG5="-"),"-",INDEX(Atendimento!$O$7:$O$51,MATCH(AE5,Atendimento!$C$7:$C$51,0)))</f>
        <v>-</v>
      </c>
      <c r="AK5" s="59" t="str">
        <f>IF(OR(AG5=0,AG5="-"),"-",INDEX(Atendimento!$P$7:$P$51,MATCH(AE5,Atendimento!$C$7:$C$51,0)))</f>
        <v>-</v>
      </c>
      <c r="AL5" s="59" t="str">
        <f>IFERROR(INDEX(Atendimento!$K$67:$K$111,MATCH(AE5,Atendimento!$C$67:$C$111,0)),"-")</f>
        <v>Máximo</v>
      </c>
    </row>
    <row r="6" spans="1:38" ht="15">
      <c r="B6" s="19" t="str">
        <f>'Calcular Dieta'!B10</f>
        <v>Cloreto de Potássio</v>
      </c>
      <c r="C6" s="21">
        <f>IF('Calcular Dieta'!BE10&lt;0.00001,0,'Calcular Dieta'!BE10)</f>
        <v>0.27925956377726013</v>
      </c>
      <c r="D6" s="22">
        <f>'Calcular Dieta'!BF10</f>
        <v>1</v>
      </c>
      <c r="E6" s="23">
        <f>'Calcular Dieta'!BG10</f>
        <v>0.27925956377726013</v>
      </c>
      <c r="F6" s="49" t="str">
        <f>'Calcular Dieta'!BL10</f>
        <v>Concentrado</v>
      </c>
      <c r="G6" s="24">
        <f t="shared" ref="G6:G29" si="0">IF(C6=0,"",IF(B6=0,0,C6+(ROW()/10000000)))</f>
        <v>0.27926016377726015</v>
      </c>
      <c r="H6" s="65">
        <v>2</v>
      </c>
      <c r="I6" s="65">
        <f t="shared" ref="I6:I29" si="1">LARGE($G$5:$G$29,H6)</f>
        <v>0.27926016377726015</v>
      </c>
      <c r="J6" s="19" t="str">
        <f t="shared" ref="J6:J29" si="2">IFERROR(INDEX($B$5:$B$29,MATCH(I6,$G$5:$G$29,0)),"")</f>
        <v>Cloreto de Potássio</v>
      </c>
      <c r="K6" s="21">
        <f t="shared" ref="K6:K13" si="3">IFERROR(INDEX($C$5:$C$29,MATCH(I6,$G$5:$G$29,0)),"")</f>
        <v>0.27925956377726013</v>
      </c>
      <c r="L6" s="22">
        <f t="shared" ref="L6:L13" si="4">IFERROR(INDEX($D$5:$D$29,MATCH(I6,$G$5:$G$29,0)),"")</f>
        <v>1</v>
      </c>
      <c r="M6" s="50">
        <f t="shared" ref="M6:M29" si="5">IFERROR(INDEX($E$5:$E$29,MATCH(I6,$G$5:$G$29,0)),"")</f>
        <v>0.27925956377726013</v>
      </c>
      <c r="O6" s="255" t="s">
        <v>665</v>
      </c>
      <c r="P6" s="487">
        <f>'Calcular Dieta'!BG34</f>
        <v>1.0607800629296058</v>
      </c>
      <c r="Q6" s="495">
        <f>Q7/30*Q5</f>
        <v>0</v>
      </c>
      <c r="R6" s="495">
        <f>Q6-P6</f>
        <v>-1.0607800629296058</v>
      </c>
      <c r="T6" s="62">
        <v>2</v>
      </c>
      <c r="U6" s="63" t="s">
        <v>250</v>
      </c>
      <c r="V6" s="514">
        <f>COUNTIF(Alimentos!$C$4:$C$310,MPR!U6)</f>
        <v>40</v>
      </c>
      <c r="W6" s="515">
        <f>V6+ROW()/100000</f>
        <v>40.000059999999998</v>
      </c>
      <c r="X6" s="103">
        <f t="shared" ref="X6:X19" si="6">LARGE($W$5:$W$19,T6)</f>
        <v>40.000059999999998</v>
      </c>
      <c r="Y6" s="63" t="str">
        <f t="shared" ref="Y6:Y19" si="7">INDEX($U$5:$U$19,MATCH(X6,$W$5:$W$19,0))</f>
        <v>Concentrados Protéicos</v>
      </c>
      <c r="Z6" s="59">
        <f t="shared" ref="Z6:Z19" si="8">INDEX($V$5:$V$19,MATCH(X6,$W$5:$W$19,0))</f>
        <v>40</v>
      </c>
      <c r="AA6" s="59">
        <v>2</v>
      </c>
      <c r="AB6" s="591" t="str">
        <f>IF(IFERROR((Atendimento!I8)+ROW()/1000000,"-")="-","-",AA6)</f>
        <v>-</v>
      </c>
      <c r="AC6" s="590" t="str">
        <f>Atendimento!C8</f>
        <v>FDN</v>
      </c>
      <c r="AD6" s="589">
        <f t="shared" ref="AD6:AD49" si="9">IFERROR(SMALL($AB$5:$AB$49,H35),"-")</f>
        <v>20</v>
      </c>
      <c r="AE6" s="592" t="str">
        <f>IF(AD6="-","-",INDEX($AC$5:$AC$49,MATCH(AD6,$AB$5:$AB$49,0)))</f>
        <v>S</v>
      </c>
      <c r="AF6" s="59" t="str">
        <f t="shared" ref="AF6:AF49" si="10">IF(OR(AL6="Máxmo",AL6="Mínimo"),AL6,IF(AL6="-",IF(AG6="-","-",IF(AG6=0,"-",IF(AG6&lt;0,"Abaixo","Acima"))),AL6))</f>
        <v>Máximo</v>
      </c>
      <c r="AG6" s="595">
        <f>IF(AD6="-","-",ROUND(INDEX(Atendimento!$I$7:$I$51,MATCH(AE6,Atendimento!$C$7:$C$51,0)),2))</f>
        <v>0</v>
      </c>
      <c r="AH6" s="59" t="str">
        <f>IF(OR(AG6=0,AG6="-"),"-",INDEX(Atendimento!$D$7:$D$51,MATCH(AE6,Atendimento!$C$7:$C$51,0)))</f>
        <v>-</v>
      </c>
      <c r="AI6" s="59" t="str">
        <f>IF(OR(AG6=0,AG6="-"),"-",INDEX(Atendimento!$N$7:$N$51,MATCH(AE6,Atendimento!$C$7:$C$51,0)))</f>
        <v>-</v>
      </c>
      <c r="AJ6" s="59" t="str">
        <f>IF(OR(AG6=0,AG6="-"),"-",INDEX(Atendimento!$O$7:$O$51,MATCH(AE6,Atendimento!$C$7:$C$51,0)))</f>
        <v>-</v>
      </c>
      <c r="AK6" s="59" t="str">
        <f>IF(OR(AG6=0,AG6="-"),"-",INDEX(Atendimento!$P$7:$P$51,MATCH(AE6,Atendimento!$C$7:$C$51,0)))</f>
        <v>-</v>
      </c>
      <c r="AL6" s="59" t="str">
        <f>IFERROR(INDEX(Atendimento!$K$67:$K$111,MATCH(AE6,Atendimento!$C$67:$C$111,0)),"-")</f>
        <v>Máximo</v>
      </c>
    </row>
    <row r="7" spans="1:38" ht="15">
      <c r="B7" s="19" t="str">
        <f>'Calcular Dieta'!B11</f>
        <v>Sulfato de Zinco</v>
      </c>
      <c r="C7" s="21">
        <f>IF('Calcular Dieta'!BE11&lt;0.00001,0,'Calcular Dieta'!BE11)</f>
        <v>5.1306038761938788E-3</v>
      </c>
      <c r="D7" s="22">
        <f>'Calcular Dieta'!BF11</f>
        <v>1</v>
      </c>
      <c r="E7" s="23">
        <f>'Calcular Dieta'!BG11</f>
        <v>5.1306038761938788E-3</v>
      </c>
      <c r="F7" s="49" t="str">
        <f>'Calcular Dieta'!BL11</f>
        <v>Concentrado</v>
      </c>
      <c r="G7" s="24">
        <f t="shared" si="0"/>
        <v>5.131303876193879E-3</v>
      </c>
      <c r="H7" s="65">
        <v>3</v>
      </c>
      <c r="I7" s="65">
        <f t="shared" si="1"/>
        <v>0.12001828460773538</v>
      </c>
      <c r="J7" s="19" t="str">
        <f t="shared" si="2"/>
        <v>Sal Comum (NaCl)</v>
      </c>
      <c r="K7" s="21">
        <f t="shared" si="3"/>
        <v>0.12001638460773538</v>
      </c>
      <c r="L7" s="22">
        <f t="shared" si="4"/>
        <v>1.5</v>
      </c>
      <c r="M7" s="50">
        <f t="shared" si="5"/>
        <v>0.18002457691160306</v>
      </c>
      <c r="O7" s="255" t="s">
        <v>662</v>
      </c>
      <c r="P7" s="1315">
        <f>IFERROR(P8*30,0)</f>
        <v>0</v>
      </c>
      <c r="Q7" s="495">
        <f>'Ficha Mistura'!K3</f>
        <v>220</v>
      </c>
      <c r="R7" s="495">
        <f>Q7-P7</f>
        <v>220</v>
      </c>
      <c r="T7" s="62">
        <v>3</v>
      </c>
      <c r="U7" s="63" t="s">
        <v>750</v>
      </c>
      <c r="V7" s="514">
        <f>COUNTIF(Alimentos!$C$4:$C$310,MPR!U7)</f>
        <v>9</v>
      </c>
      <c r="W7" s="515">
        <f t="shared" ref="W7:W19" si="11">V7+ROW()/100000</f>
        <v>9.0000699999999991</v>
      </c>
      <c r="X7" s="103">
        <f t="shared" si="6"/>
        <v>28.000050000000002</v>
      </c>
      <c r="Y7" s="63" t="str">
        <f t="shared" si="7"/>
        <v>Concentrados Energéticos</v>
      </c>
      <c r="Z7" s="59">
        <f t="shared" si="8"/>
        <v>28</v>
      </c>
      <c r="AA7" s="59">
        <v>3</v>
      </c>
      <c r="AB7" s="591" t="str">
        <f>IF(IFERROR((Atendimento!I9)+ROW()/1000000,"-")="-","-",AA7)</f>
        <v>-</v>
      </c>
      <c r="AC7" s="590" t="str">
        <f>Atendimento!C9</f>
        <v>FDA</v>
      </c>
      <c r="AD7" s="589" t="str">
        <f t="shared" si="9"/>
        <v>-</v>
      </c>
      <c r="AE7" s="592" t="str">
        <f>IF(AD7="-","-",INDEX($AC$5:$AC$49,MATCH(AD7,$AB$5:$AB$49,0)))</f>
        <v>-</v>
      </c>
      <c r="AF7" s="59" t="str">
        <f t="shared" si="10"/>
        <v>-</v>
      </c>
      <c r="AG7" s="595" t="str">
        <f>IF(AD7="-","-",ROUND(INDEX(Atendimento!$I$7:$I$51,MATCH(AE7,Atendimento!$C$7:$C$51,0)),2))</f>
        <v>-</v>
      </c>
      <c r="AH7" s="59" t="str">
        <f>IF(OR(AG7=0,AG7="-"),"-",INDEX(Atendimento!$D$7:$D$51,MATCH(AE7,Atendimento!$C$7:$C$51,0)))</f>
        <v>-</v>
      </c>
      <c r="AI7" s="59" t="str">
        <f>IF(OR(AG7=0,AG7="-"),"-",INDEX(Atendimento!$N$7:$N$51,MATCH(AE7,Atendimento!$C$7:$C$51,0)))</f>
        <v>-</v>
      </c>
      <c r="AJ7" s="59" t="str">
        <f>IF(OR(AG7=0,AG7="-"),"-",INDEX(Atendimento!$O$7:$O$51,MATCH(AE7,Atendimento!$C$7:$C$51,0)))</f>
        <v>-</v>
      </c>
      <c r="AK7" s="59" t="str">
        <f>IF(OR(AG7=0,AG7="-"),"-",INDEX(Atendimento!$P$7:$P$51,MATCH(AE7,Atendimento!$C$7:$C$51,0)))</f>
        <v>-</v>
      </c>
      <c r="AL7" s="59" t="str">
        <f>IFERROR(INDEX(Atendimento!$K$67:$K$111,MATCH(AE7,Atendimento!$C$67:$C$111,0)),"-")</f>
        <v>-</v>
      </c>
    </row>
    <row r="8" spans="1:38" ht="15">
      <c r="B8" s="19" t="str">
        <f>'Calcular Dieta'!B12</f>
        <v>Sulfato de Manganês</v>
      </c>
      <c r="C8" s="21">
        <f>IF('Calcular Dieta'!BE12&lt;0.00001,0,'Calcular Dieta'!BE12)</f>
        <v>1.5413975575876851E-3</v>
      </c>
      <c r="D8" s="22">
        <f>'Calcular Dieta'!BF12</f>
        <v>1</v>
      </c>
      <c r="E8" s="23">
        <f>'Calcular Dieta'!BG12</f>
        <v>1.5413975575876851E-3</v>
      </c>
      <c r="F8" s="49" t="str">
        <f>'Calcular Dieta'!BL12</f>
        <v>Concentrado</v>
      </c>
      <c r="G8" s="24">
        <f t="shared" si="0"/>
        <v>1.5421975575876852E-3</v>
      </c>
      <c r="H8" s="65">
        <v>4</v>
      </c>
      <c r="I8" s="65">
        <f t="shared" si="1"/>
        <v>5.6815269403672375E-2</v>
      </c>
      <c r="J8" s="19" t="str">
        <f>IFERROR(INDEX($B$5:$B$29,MATCH(I8,$G$5:$G$29,0)),"")</f>
        <v>Sulfato Magnésio</v>
      </c>
      <c r="K8" s="21">
        <f t="shared" si="3"/>
        <v>5.6813469403672372E-2</v>
      </c>
      <c r="L8" s="22">
        <f t="shared" si="4"/>
        <v>1</v>
      </c>
      <c r="M8" s="50">
        <f t="shared" si="5"/>
        <v>5.6813469403672372E-2</v>
      </c>
      <c r="O8" s="255" t="s">
        <v>78</v>
      </c>
      <c r="P8" s="494">
        <f>IFERROR(P6/Q5,0)</f>
        <v>0</v>
      </c>
      <c r="Q8" s="495">
        <f>Q7/30</f>
        <v>7.333333333333333</v>
      </c>
      <c r="R8" s="495">
        <f>Q8-P8</f>
        <v>7.333333333333333</v>
      </c>
      <c r="T8" s="62">
        <v>4</v>
      </c>
      <c r="U8" s="63" t="s">
        <v>253</v>
      </c>
      <c r="V8" s="514">
        <f>COUNTIF(Alimentos!$C$4:$C$310,MPR!U8)</f>
        <v>20</v>
      </c>
      <c r="W8" s="515">
        <f t="shared" si="11"/>
        <v>20.000080000000001</v>
      </c>
      <c r="X8" s="103">
        <f t="shared" si="6"/>
        <v>27.000129999999999</v>
      </c>
      <c r="Y8" s="63" t="str">
        <f t="shared" si="7"/>
        <v>Premix Mineral</v>
      </c>
      <c r="Z8" s="59">
        <f t="shared" si="8"/>
        <v>27</v>
      </c>
      <c r="AA8" s="59">
        <v>4</v>
      </c>
      <c r="AB8" s="591" t="str">
        <f>IF(IFERROR((Atendimento!I10)+ROW()/1000000,"-")="-","-",AA8)</f>
        <v>-</v>
      </c>
      <c r="AC8" s="590" t="str">
        <f>Atendimento!C10</f>
        <v>CNF</v>
      </c>
      <c r="AD8" s="589" t="str">
        <f t="shared" si="9"/>
        <v>-</v>
      </c>
      <c r="AE8" s="592" t="str">
        <f t="shared" ref="AE8:AE49" si="12">IF(AD8="-","-",INDEX($AC$5:$AC$49,MATCH(AD8,$AB$5:$AB$49,0)))</f>
        <v>-</v>
      </c>
      <c r="AF8" s="59" t="str">
        <f t="shared" si="10"/>
        <v>-</v>
      </c>
      <c r="AG8" s="595" t="str">
        <f>IF(AD8="-","-",ROUND(INDEX(Atendimento!$I$7:$I$51,MATCH(AE8,Atendimento!$C$7:$C$51,0)),2))</f>
        <v>-</v>
      </c>
      <c r="AH8" s="59" t="str">
        <f>IF(OR(AG8=0,AG8="-"),"-",INDEX(Atendimento!$D$7:$D$51,MATCH(AE8,Atendimento!$C$7:$C$51,0)))</f>
        <v>-</v>
      </c>
      <c r="AI8" s="59" t="str">
        <f>IF(OR(AG8=0,AG8="-"),"-",INDEX(Atendimento!$N$7:$N$51,MATCH(AE8,Atendimento!$C$7:$C$51,0)))</f>
        <v>-</v>
      </c>
      <c r="AJ8" s="59" t="str">
        <f>IF(OR(AG8=0,AG8="-"),"-",INDEX(Atendimento!$O$7:$O$51,MATCH(AE8,Atendimento!$C$7:$C$51,0)))</f>
        <v>-</v>
      </c>
      <c r="AK8" s="59" t="str">
        <f>IF(OR(AG8=0,AG8="-"),"-",INDEX(Atendimento!$P$7:$P$51,MATCH(AE8,Atendimento!$C$7:$C$51,0)))</f>
        <v>-</v>
      </c>
      <c r="AL8" s="59" t="str">
        <f>IFERROR(INDEX(Atendimento!$K$67:$K$111,MATCH(AE8,Atendimento!$C$67:$C$111,0)),"-")</f>
        <v>-</v>
      </c>
    </row>
    <row r="9" spans="1:38" ht="15">
      <c r="B9" s="19" t="str">
        <f>'Calcular Dieta'!B13</f>
        <v>Calcário Calcítico</v>
      </c>
      <c r="C9" s="21">
        <f>IF('Calcular Dieta'!BE13&lt;0.00001,0,'Calcular Dieta'!BE13)</f>
        <v>0</v>
      </c>
      <c r="D9" s="22">
        <f>'Calcular Dieta'!BF13</f>
        <v>1</v>
      </c>
      <c r="E9" s="23">
        <f>'Calcular Dieta'!BG13</f>
        <v>0</v>
      </c>
      <c r="F9" s="49" t="str">
        <f>'Calcular Dieta'!BL13</f>
        <v>Concentrado</v>
      </c>
      <c r="G9" s="24" t="str">
        <f t="shared" si="0"/>
        <v/>
      </c>
      <c r="H9" s="65">
        <v>5</v>
      </c>
      <c r="I9" s="65">
        <f t="shared" si="1"/>
        <v>4.4842144671800026E-2</v>
      </c>
      <c r="J9" s="19" t="str">
        <f t="shared" si="2"/>
        <v>Óxido de Magnésio</v>
      </c>
      <c r="K9" s="21">
        <f t="shared" si="3"/>
        <v>4.4841144671800025E-2</v>
      </c>
      <c r="L9" s="22">
        <f t="shared" si="4"/>
        <v>1</v>
      </c>
      <c r="M9" s="50">
        <f t="shared" si="5"/>
        <v>4.4841144671800025E-2</v>
      </c>
      <c r="T9" s="62">
        <v>5</v>
      </c>
      <c r="U9" s="63" t="s">
        <v>713</v>
      </c>
      <c r="V9" s="514">
        <f>COUNTIF(Alimentos!$C$4:$C$310,MPR!U9)</f>
        <v>1</v>
      </c>
      <c r="W9" s="515">
        <f t="shared" si="11"/>
        <v>1.0000899999999999</v>
      </c>
      <c r="X9" s="103">
        <f t="shared" si="6"/>
        <v>27.000119999999999</v>
      </c>
      <c r="Y9" s="63" t="str">
        <f t="shared" si="7"/>
        <v>Núcleo</v>
      </c>
      <c r="Z9" s="59">
        <f t="shared" si="8"/>
        <v>27</v>
      </c>
      <c r="AA9" s="59">
        <v>5</v>
      </c>
      <c r="AB9" s="591" t="str">
        <f>IF(IFERROR((Atendimento!I11)+ROW()/1000000,"-")="-","-",AA9)</f>
        <v>-</v>
      </c>
      <c r="AC9" s="590" t="str">
        <f>Atendimento!C11</f>
        <v>NDT</v>
      </c>
      <c r="AD9" s="589" t="str">
        <f t="shared" si="9"/>
        <v>-</v>
      </c>
      <c r="AE9" s="592" t="str">
        <f t="shared" si="12"/>
        <v>-</v>
      </c>
      <c r="AF9" s="59" t="str">
        <f t="shared" si="10"/>
        <v>-</v>
      </c>
      <c r="AG9" s="595" t="str">
        <f>IF(AD9="-","-",ROUND(INDEX(Atendimento!$I$7:$I$51,MATCH(AE9,Atendimento!$C$7:$C$51,0)),2))</f>
        <v>-</v>
      </c>
      <c r="AH9" s="59" t="str">
        <f>IF(OR(AG9=0,AG9="-"),"-",INDEX(Atendimento!$D$7:$D$51,MATCH(AE9,Atendimento!$C$7:$C$51,0)))</f>
        <v>-</v>
      </c>
      <c r="AI9" s="59" t="str">
        <f>IF(OR(AG9=0,AG9="-"),"-",INDEX(Atendimento!$N$7:$N$51,MATCH(AE9,Atendimento!$C$7:$C$51,0)))</f>
        <v>-</v>
      </c>
      <c r="AJ9" s="59" t="str">
        <f>IF(OR(AG9=0,AG9="-"),"-",INDEX(Atendimento!$O$7:$O$51,MATCH(AE9,Atendimento!$C$7:$C$51,0)))</f>
        <v>-</v>
      </c>
      <c r="AK9" s="59" t="str">
        <f>IF(OR(AG9=0,AG9="-"),"-",INDEX(Atendimento!$P$7:$P$51,MATCH(AE9,Atendimento!$C$7:$C$51,0)))</f>
        <v>-</v>
      </c>
      <c r="AL9" s="59" t="str">
        <f>IFERROR(INDEX(Atendimento!$K$67:$K$111,MATCH(AE9,Atendimento!$C$67:$C$111,0)),"-")</f>
        <v>-</v>
      </c>
    </row>
    <row r="10" spans="1:38" ht="15">
      <c r="B10" s="19" t="str">
        <f>'Calcular Dieta'!B14</f>
        <v>Óxido de Magnésio</v>
      </c>
      <c r="C10" s="21">
        <f>IF('Calcular Dieta'!BE14&lt;0.00001,0,'Calcular Dieta'!BE14)</f>
        <v>4.4841144671800025E-2</v>
      </c>
      <c r="D10" s="22">
        <f>'Calcular Dieta'!BF14</f>
        <v>1</v>
      </c>
      <c r="E10" s="23">
        <f>'Calcular Dieta'!BG14</f>
        <v>4.4841144671800025E-2</v>
      </c>
      <c r="F10" s="49" t="str">
        <f>'Calcular Dieta'!BL14</f>
        <v>Concentrado</v>
      </c>
      <c r="G10" s="24">
        <f t="shared" si="0"/>
        <v>4.4842144671800026E-2</v>
      </c>
      <c r="H10" s="65">
        <v>6</v>
      </c>
      <c r="I10" s="65">
        <f>LARGE($G$5:$G$29,H10)</f>
        <v>3.7041148276730156E-2</v>
      </c>
      <c r="J10" s="19" t="str">
        <f t="shared" si="2"/>
        <v xml:space="preserve">Flor de S </v>
      </c>
      <c r="K10" s="21">
        <f t="shared" si="3"/>
        <v>3.7039948276730156E-2</v>
      </c>
      <c r="L10" s="22">
        <f t="shared" si="4"/>
        <v>1</v>
      </c>
      <c r="M10" s="50">
        <f t="shared" si="5"/>
        <v>3.7039948276730156E-2</v>
      </c>
      <c r="O10" s="488" t="s">
        <v>670</v>
      </c>
      <c r="P10" s="488"/>
      <c r="Q10" s="488"/>
      <c r="R10" s="488"/>
      <c r="T10" s="62">
        <v>6</v>
      </c>
      <c r="U10" s="63" t="s">
        <v>248</v>
      </c>
      <c r="V10" s="514">
        <f>COUNTIF(Alimentos!$C$4:$C$310,MPR!U10)</f>
        <v>8</v>
      </c>
      <c r="W10" s="515">
        <f t="shared" si="11"/>
        <v>8.0000999999999998</v>
      </c>
      <c r="X10" s="103">
        <f t="shared" si="6"/>
        <v>20.000080000000001</v>
      </c>
      <c r="Y10" s="63" t="str">
        <f t="shared" si="7"/>
        <v>Fontes de Minerais</v>
      </c>
      <c r="Z10" s="59">
        <f t="shared" si="8"/>
        <v>20</v>
      </c>
      <c r="AA10" s="59">
        <v>6</v>
      </c>
      <c r="AB10" s="591" t="str">
        <f>IF(IFERROR((Atendimento!I12)+ROW()/1000000,"-")="-","-",AA10)</f>
        <v>-</v>
      </c>
      <c r="AC10" s="590" t="str">
        <f>Atendimento!C12</f>
        <v>ED</v>
      </c>
      <c r="AD10" s="589" t="str">
        <f t="shared" si="9"/>
        <v>-</v>
      </c>
      <c r="AE10" s="592" t="str">
        <f t="shared" si="12"/>
        <v>-</v>
      </c>
      <c r="AF10" s="59" t="str">
        <f t="shared" si="10"/>
        <v>-</v>
      </c>
      <c r="AG10" s="595" t="str">
        <f>IF(AD10="-","-",ROUND(INDEX(Atendimento!$I$7:$I$51,MATCH(AE10,Atendimento!$C$7:$C$51,0)),2))</f>
        <v>-</v>
      </c>
      <c r="AH10" s="59" t="str">
        <f>IF(OR(AG10=0,AG10="-"),"-",INDEX(Atendimento!$D$7:$D$51,MATCH(AE10,Atendimento!$C$7:$C$51,0)))</f>
        <v>-</v>
      </c>
      <c r="AI10" s="59" t="str">
        <f>IF(OR(AG10=0,AG10="-"),"-",INDEX(Atendimento!$N$7:$N$51,MATCH(AE10,Atendimento!$C$7:$C$51,0)))</f>
        <v>-</v>
      </c>
      <c r="AJ10" s="59" t="str">
        <f>IF(OR(AG10=0,AG10="-"),"-",INDEX(Atendimento!$O$7:$O$51,MATCH(AE10,Atendimento!$C$7:$C$51,0)))</f>
        <v>-</v>
      </c>
      <c r="AK10" s="59" t="str">
        <f>IF(OR(AG10=0,AG10="-"),"-",INDEX(Atendimento!$P$7:$P$51,MATCH(AE10,Atendimento!$C$7:$C$51,0)))</f>
        <v>-</v>
      </c>
      <c r="AL10" s="59" t="str">
        <f>IFERROR(INDEX(Atendimento!$K$67:$K$111,MATCH(AE10,Atendimento!$C$67:$C$111,0)),"-")</f>
        <v>-</v>
      </c>
    </row>
    <row r="11" spans="1:38" ht="15">
      <c r="B11" s="19" t="str">
        <f>'Calcular Dieta'!B15</f>
        <v>SULFATO COBRE</v>
      </c>
      <c r="C11" s="21">
        <f>IF('Calcular Dieta'!BE15&lt;0.00001,0,'Calcular Dieta'!BE15)</f>
        <v>1.51002149765763E-3</v>
      </c>
      <c r="D11" s="22">
        <f>'Calcular Dieta'!BF15</f>
        <v>1</v>
      </c>
      <c r="E11" s="23">
        <f>'Calcular Dieta'!BG15</f>
        <v>1.51002149765763E-3</v>
      </c>
      <c r="F11" s="49" t="str">
        <f>'Calcular Dieta'!BL15</f>
        <v>Concentrado</v>
      </c>
      <c r="G11" s="24">
        <f t="shared" si="0"/>
        <v>1.51112149765763E-3</v>
      </c>
      <c r="H11" s="65">
        <v>7</v>
      </c>
      <c r="I11" s="65">
        <f t="shared" si="1"/>
        <v>5.131303876193879E-3</v>
      </c>
      <c r="J11" s="19" t="str">
        <f>IFERROR(INDEX($B$5:$B$29,MATCH(I11,$G$5:$G$29,0)),"")</f>
        <v>Sulfato de Zinco</v>
      </c>
      <c r="K11" s="21">
        <f t="shared" si="3"/>
        <v>5.1306038761938788E-3</v>
      </c>
      <c r="L11" s="22">
        <f t="shared" si="4"/>
        <v>1</v>
      </c>
      <c r="M11" s="50">
        <f t="shared" si="5"/>
        <v>5.1306038761938788E-3</v>
      </c>
      <c r="O11" s="489" t="s">
        <v>323</v>
      </c>
      <c r="P11" s="489" t="s">
        <v>666</v>
      </c>
      <c r="Q11" s="496" t="s">
        <v>668</v>
      </c>
      <c r="R11" s="492" t="s">
        <v>667</v>
      </c>
      <c r="T11" s="62">
        <v>7</v>
      </c>
      <c r="U11" s="63" t="s">
        <v>249</v>
      </c>
      <c r="V11" s="514">
        <f>COUNTIF(Alimentos!$C$4:$C$310,MPR!U11)</f>
        <v>83</v>
      </c>
      <c r="W11" s="515">
        <f t="shared" si="11"/>
        <v>83.000110000000006</v>
      </c>
      <c r="X11" s="103">
        <f t="shared" si="6"/>
        <v>16.000139999999998</v>
      </c>
      <c r="Y11" s="63" t="str">
        <f t="shared" si="7"/>
        <v>Silagens</v>
      </c>
      <c r="Z11" s="59">
        <f t="shared" si="8"/>
        <v>16</v>
      </c>
      <c r="AA11" s="59">
        <v>7</v>
      </c>
      <c r="AB11" s="591" t="str">
        <f>IF(IFERROR((Atendimento!I13)+ROW()/1000000,"-")="-","-",AA11)</f>
        <v>-</v>
      </c>
      <c r="AC11" s="590" t="str">
        <f>Atendimento!C13</f>
        <v>EM</v>
      </c>
      <c r="AD11" s="589" t="str">
        <f t="shared" si="9"/>
        <v>-</v>
      </c>
      <c r="AE11" s="592" t="str">
        <f t="shared" si="12"/>
        <v>-</v>
      </c>
      <c r="AF11" s="59" t="str">
        <f t="shared" si="10"/>
        <v>-</v>
      </c>
      <c r="AG11" s="595" t="str">
        <f>IF(AD11="-","-",ROUND(INDEX(Atendimento!$I$7:$I$51,MATCH(AE11,Atendimento!$C$7:$C$51,0)),2))</f>
        <v>-</v>
      </c>
      <c r="AH11" s="59" t="str">
        <f>IF(OR(AG11=0,AG11="-"),"-",INDEX(Atendimento!$D$7:$D$51,MATCH(AE11,Atendimento!$C$7:$C$51,0)))</f>
        <v>-</v>
      </c>
      <c r="AI11" s="59" t="str">
        <f>IF(OR(AG11=0,AG11="-"),"-",INDEX(Atendimento!$N$7:$N$51,MATCH(AE11,Atendimento!$C$7:$C$51,0)))</f>
        <v>-</v>
      </c>
      <c r="AJ11" s="59" t="str">
        <f>IF(OR(AG11=0,AG11="-"),"-",INDEX(Atendimento!$O$7:$O$51,MATCH(AE11,Atendimento!$C$7:$C$51,0)))</f>
        <v>-</v>
      </c>
      <c r="AK11" s="59" t="str">
        <f>IF(OR(AG11=0,AG11="-"),"-",INDEX(Atendimento!$P$7:$P$51,MATCH(AE11,Atendimento!$C$7:$C$51,0)))</f>
        <v>-</v>
      </c>
      <c r="AL11" s="59" t="str">
        <f>IFERROR(INDEX(Atendimento!$K$67:$K$111,MATCH(AE11,Atendimento!$C$67:$C$111,0)),"-")</f>
        <v>-</v>
      </c>
    </row>
    <row r="12" spans="1:38" ht="15">
      <c r="B12" s="19" t="str">
        <f>'Calcular Dieta'!B16</f>
        <v xml:space="preserve">Flor de S </v>
      </c>
      <c r="C12" s="21">
        <f>IF('Calcular Dieta'!BE16&lt;0.00001,0,'Calcular Dieta'!BE16)</f>
        <v>3.7039948276730156E-2</v>
      </c>
      <c r="D12" s="22">
        <f>'Calcular Dieta'!BF16</f>
        <v>1</v>
      </c>
      <c r="E12" s="23">
        <f>'Calcular Dieta'!BG16</f>
        <v>3.7039948276730156E-2</v>
      </c>
      <c r="F12" s="49" t="str">
        <f>'Calcular Dieta'!BL16</f>
        <v>Concentrado</v>
      </c>
      <c r="G12" s="24">
        <f t="shared" si="0"/>
        <v>3.7041148276730156E-2</v>
      </c>
      <c r="H12" s="65">
        <v>8</v>
      </c>
      <c r="I12" s="65">
        <f t="shared" si="1"/>
        <v>1.5421975575876852E-3</v>
      </c>
      <c r="J12" s="19" t="str">
        <f t="shared" si="2"/>
        <v>Sulfato de Manganês</v>
      </c>
      <c r="K12" s="21">
        <f t="shared" si="3"/>
        <v>1.5413975575876851E-3</v>
      </c>
      <c r="L12" s="22">
        <f t="shared" si="4"/>
        <v>1</v>
      </c>
      <c r="M12" s="50">
        <f t="shared" si="5"/>
        <v>1.5413975575876851E-3</v>
      </c>
      <c r="O12" s="490" t="s">
        <v>664</v>
      </c>
      <c r="Q12" s="491">
        <f>Q5</f>
        <v>0</v>
      </c>
      <c r="R12" s="495"/>
      <c r="T12" s="62">
        <v>8</v>
      </c>
      <c r="U12" s="63" t="s">
        <v>251</v>
      </c>
      <c r="V12" s="514">
        <f>COUNTIF(Alimentos!$C$4:$C$310,MPR!U12)</f>
        <v>27</v>
      </c>
      <c r="W12" s="515">
        <f t="shared" si="11"/>
        <v>27.000119999999999</v>
      </c>
      <c r="X12" s="103">
        <f t="shared" si="6"/>
        <v>9.0000699999999991</v>
      </c>
      <c r="Y12" s="63" t="str">
        <f t="shared" si="7"/>
        <v>Coprodutos</v>
      </c>
      <c r="Z12" s="59">
        <f t="shared" si="8"/>
        <v>9</v>
      </c>
      <c r="AA12" s="59">
        <v>8</v>
      </c>
      <c r="AB12" s="591" t="str">
        <f>IF(IFERROR((Atendimento!I14)+ROW()/1000000,"-")="-","-",AA12)</f>
        <v>-</v>
      </c>
      <c r="AC12" s="590" t="str">
        <f>Atendimento!C14</f>
        <v>EL</v>
      </c>
      <c r="AD12" s="589" t="str">
        <f t="shared" si="9"/>
        <v>-</v>
      </c>
      <c r="AE12" s="592" t="str">
        <f t="shared" si="12"/>
        <v>-</v>
      </c>
      <c r="AF12" s="59" t="str">
        <f t="shared" si="10"/>
        <v>-</v>
      </c>
      <c r="AG12" s="595" t="str">
        <f>IF(AD12="-","-",ROUND(INDEX(Atendimento!$I$7:$I$51,MATCH(AE12,Atendimento!$C$7:$C$51,0)),2))</f>
        <v>-</v>
      </c>
      <c r="AH12" s="59" t="str">
        <f>IF(OR(AG12=0,AG12="-"),"-",INDEX(Atendimento!$D$7:$D$51,MATCH(AE12,Atendimento!$C$7:$C$51,0)))</f>
        <v>-</v>
      </c>
      <c r="AI12" s="59" t="str">
        <f>IF(OR(AG12=0,AG12="-"),"-",INDEX(Atendimento!$N$7:$N$51,MATCH(AE12,Atendimento!$C$7:$C$51,0)))</f>
        <v>-</v>
      </c>
      <c r="AJ12" s="59" t="str">
        <f>IF(OR(AG12=0,AG12="-"),"-",INDEX(Atendimento!$O$7:$O$51,MATCH(AE12,Atendimento!$C$7:$C$51,0)))</f>
        <v>-</v>
      </c>
      <c r="AK12" s="59" t="str">
        <f>IF(OR(AG12=0,AG12="-"),"-",INDEX(Atendimento!$P$7:$P$51,MATCH(AE12,Atendimento!$C$7:$C$51,0)))</f>
        <v>-</v>
      </c>
      <c r="AL12" s="59" t="str">
        <f>IFERROR(INDEX(Atendimento!$K$67:$K$111,MATCH(AE12,Atendimento!$C$67:$C$111,0)),"-")</f>
        <v>-</v>
      </c>
    </row>
    <row r="13" spans="1:38" ht="15">
      <c r="B13" s="19" t="str">
        <f>'Calcular Dieta'!B17</f>
        <v>Fosfato Bicálcico</v>
      </c>
      <c r="C13" s="21">
        <f>IF('Calcular Dieta'!BE17&lt;0.00001,0,'Calcular Dieta'!BE17)</f>
        <v>0.45378000742781605</v>
      </c>
      <c r="D13" s="22">
        <f>'Calcular Dieta'!BF17</f>
        <v>1</v>
      </c>
      <c r="E13" s="23">
        <f>'Calcular Dieta'!BG17</f>
        <v>0.45378000742781605</v>
      </c>
      <c r="F13" s="49" t="str">
        <f>'Calcular Dieta'!BL17</f>
        <v>Concentrado</v>
      </c>
      <c r="G13" s="24">
        <f t="shared" si="0"/>
        <v>0.45378130742781603</v>
      </c>
      <c r="H13" s="65">
        <v>9</v>
      </c>
      <c r="I13" s="65">
        <f t="shared" si="1"/>
        <v>1.51112149765763E-3</v>
      </c>
      <c r="J13" s="19" t="str">
        <f t="shared" si="2"/>
        <v>SULFATO COBRE</v>
      </c>
      <c r="K13" s="21">
        <f t="shared" si="3"/>
        <v>1.51002149765763E-3</v>
      </c>
      <c r="L13" s="22">
        <f t="shared" si="4"/>
        <v>1</v>
      </c>
      <c r="M13" s="50">
        <f t="shared" si="5"/>
        <v>1.51002149765763E-3</v>
      </c>
      <c r="O13" s="255" t="s">
        <v>665</v>
      </c>
      <c r="P13" s="497">
        <f>'Calcular Dieta'!BG34</f>
        <v>1.0607800629296058</v>
      </c>
      <c r="Q13" s="500">
        <f>'Ficha Mistura'!K4*Q12</f>
        <v>0</v>
      </c>
      <c r="R13" s="495">
        <f>Q13-P13</f>
        <v>-1.0607800629296058</v>
      </c>
      <c r="T13" s="62">
        <v>9</v>
      </c>
      <c r="U13" s="63" t="s">
        <v>749</v>
      </c>
      <c r="V13" s="514">
        <f>COUNTIF(Alimentos!$C$4:$C$310,MPR!U13)</f>
        <v>27</v>
      </c>
      <c r="W13" s="515">
        <f t="shared" si="11"/>
        <v>27.000129999999999</v>
      </c>
      <c r="X13" s="103">
        <f t="shared" si="6"/>
        <v>8.0000999999999998</v>
      </c>
      <c r="Y13" s="63" t="str">
        <f t="shared" si="7"/>
        <v>Forragens Secas</v>
      </c>
      <c r="Z13" s="59">
        <f t="shared" si="8"/>
        <v>8</v>
      </c>
      <c r="AA13" s="59">
        <v>9</v>
      </c>
      <c r="AB13" s="591" t="str">
        <f>IF(IFERROR((Atendimento!I15)+ROW()/1000000,"-")="-","-",AA13)</f>
        <v>-</v>
      </c>
      <c r="AC13" s="590" t="str">
        <f>Atendimento!C15</f>
        <v>EE</v>
      </c>
      <c r="AD13" s="589" t="str">
        <f t="shared" si="9"/>
        <v>-</v>
      </c>
      <c r="AE13" s="592" t="str">
        <f t="shared" si="12"/>
        <v>-</v>
      </c>
      <c r="AF13" s="59" t="str">
        <f t="shared" si="10"/>
        <v>-</v>
      </c>
      <c r="AG13" s="595" t="str">
        <f>IF(AD13="-","-",ROUND(INDEX(Atendimento!$I$7:$I$51,MATCH(AE13,Atendimento!$C$7:$C$51,0)),2))</f>
        <v>-</v>
      </c>
      <c r="AH13" s="59" t="str">
        <f>IF(OR(AG13=0,AG13="-"),"-",INDEX(Atendimento!$D$7:$D$51,MATCH(AE13,Atendimento!$C$7:$C$51,0)))</f>
        <v>-</v>
      </c>
      <c r="AI13" s="59" t="str">
        <f>IF(OR(AG13=0,AG13="-"),"-",INDEX(Atendimento!$N$7:$N$51,MATCH(AE13,Atendimento!$C$7:$C$51,0)))</f>
        <v>-</v>
      </c>
      <c r="AJ13" s="59" t="str">
        <f>IF(OR(AG13=0,AG13="-"),"-",INDEX(Atendimento!$O$7:$O$51,MATCH(AE13,Atendimento!$C$7:$C$51,0)))</f>
        <v>-</v>
      </c>
      <c r="AK13" s="59" t="str">
        <f>IF(OR(AG13=0,AG13="-"),"-",INDEX(Atendimento!$P$7:$P$51,MATCH(AE13,Atendimento!$C$7:$C$51,0)))</f>
        <v>-</v>
      </c>
      <c r="AL13" s="59" t="str">
        <f>IFERROR(INDEX(Atendimento!$K$67:$K$111,MATCH(AE13,Atendimento!$C$67:$C$111,0)),"-")</f>
        <v>-</v>
      </c>
    </row>
    <row r="14" spans="1:38" ht="15">
      <c r="B14" s="19" t="str">
        <f>'Calcular Dieta'!B18</f>
        <v>Selenito de Sódio</v>
      </c>
      <c r="C14" s="21">
        <f>IF('Calcular Dieta'!BE18&lt;0.00001,0,'Calcular Dieta'!BE18)</f>
        <v>1.7543859649122809E-5</v>
      </c>
      <c r="D14" s="22">
        <f>'Calcular Dieta'!BF18</f>
        <v>45</v>
      </c>
      <c r="E14" s="23">
        <f>'Calcular Dieta'!BG18</f>
        <v>7.8947368421052641E-4</v>
      </c>
      <c r="F14" s="49" t="str">
        <f>'Calcular Dieta'!BL18</f>
        <v>Concentrado</v>
      </c>
      <c r="G14" s="24">
        <f t="shared" si="0"/>
        <v>1.8943859649122809E-5</v>
      </c>
      <c r="H14" s="65">
        <v>10</v>
      </c>
      <c r="I14" s="65">
        <f>LARGE($G$5:$G$29,H14)</f>
        <v>3.5226812816188872E-5</v>
      </c>
      <c r="J14" s="19" t="str">
        <f>IFERROR(INDEX($B$5:$B$29,MATCH(I14,$G$5:$G$29,0)),"")</f>
        <v>Iodato de Potássio</v>
      </c>
      <c r="K14" s="21">
        <f>IFERROR(INDEX($C$5:$C$29,MATCH(I14,$G$5:$G$29,0)),"")</f>
        <v>3.3726812816188869E-5</v>
      </c>
      <c r="L14" s="22">
        <f>IFERROR(INDEX($D$5:$D$29,MATCH(I14,$G$5:$G$29,0)),"")</f>
        <v>1</v>
      </c>
      <c r="M14" s="50">
        <f t="shared" si="5"/>
        <v>3.3726812816188869E-5</v>
      </c>
      <c r="O14" s="255" t="s">
        <v>663</v>
      </c>
      <c r="P14" s="499">
        <f>IFERROR(P13/Q12,0)</f>
        <v>0</v>
      </c>
      <c r="Q14" s="498">
        <f>'Ficha Mistura'!K4</f>
        <v>0</v>
      </c>
      <c r="R14" s="495">
        <f t="shared" ref="R14" si="13">Q14-P14</f>
        <v>0</v>
      </c>
      <c r="T14" s="62">
        <v>10</v>
      </c>
      <c r="U14" s="63" t="s">
        <v>254</v>
      </c>
      <c r="V14" s="514">
        <f>COUNTIF(Alimentos!$C$4:$C$310,MPR!U14)</f>
        <v>16</v>
      </c>
      <c r="W14" s="515">
        <f t="shared" si="11"/>
        <v>16.000139999999998</v>
      </c>
      <c r="X14" s="103">
        <f t="shared" si="6"/>
        <v>1.0000899999999999</v>
      </c>
      <c r="Y14" s="63" t="str">
        <f t="shared" si="7"/>
        <v>Fontes de Vitaminas</v>
      </c>
      <c r="Z14" s="59">
        <f t="shared" si="8"/>
        <v>1</v>
      </c>
      <c r="AA14" s="59">
        <v>10</v>
      </c>
      <c r="AB14" s="591" t="str">
        <f>IF(IFERROR((Atendimento!I16)+ROW()/1000000,"-")="-","-",AA14)</f>
        <v>-</v>
      </c>
      <c r="AC14" s="590" t="str">
        <f>Atendimento!C16</f>
        <v>PB</v>
      </c>
      <c r="AD14" s="589" t="str">
        <f t="shared" si="9"/>
        <v>-</v>
      </c>
      <c r="AE14" s="592" t="str">
        <f t="shared" si="12"/>
        <v>-</v>
      </c>
      <c r="AF14" s="59" t="str">
        <f t="shared" si="10"/>
        <v>-</v>
      </c>
      <c r="AG14" s="595" t="str">
        <f>IF(AD14="-","-",ROUND(INDEX(Atendimento!$I$7:$I$51,MATCH(AE14,Atendimento!$C$7:$C$51,0)),2))</f>
        <v>-</v>
      </c>
      <c r="AH14" s="59" t="str">
        <f>IF(OR(AG14=0,AG14="-"),"-",INDEX(Atendimento!$D$7:$D$51,MATCH(AE14,Atendimento!$C$7:$C$51,0)))</f>
        <v>-</v>
      </c>
      <c r="AI14" s="59" t="str">
        <f>IF(OR(AG14=0,AG14="-"),"-",INDEX(Atendimento!$N$7:$N$51,MATCH(AE14,Atendimento!$C$7:$C$51,0)))</f>
        <v>-</v>
      </c>
      <c r="AJ14" s="59" t="str">
        <f>IF(OR(AG14=0,AG14="-"),"-",INDEX(Atendimento!$O$7:$O$51,MATCH(AE14,Atendimento!$C$7:$C$51,0)))</f>
        <v>-</v>
      </c>
      <c r="AK14" s="59" t="str">
        <f>IF(OR(AG14=0,AG14="-"),"-",INDEX(Atendimento!$P$7:$P$51,MATCH(AE14,Atendimento!$C$7:$C$51,0)))</f>
        <v>-</v>
      </c>
      <c r="AL14" s="59" t="str">
        <f>IFERROR(INDEX(Atendimento!$K$67:$K$111,MATCH(AE14,Atendimento!$C$67:$C$111,0)),"-")</f>
        <v>-</v>
      </c>
    </row>
    <row r="15" spans="1:38" ht="15">
      <c r="B15" s="19" t="str">
        <f>'Calcular Dieta'!B19</f>
        <v>Iodato de Potássio</v>
      </c>
      <c r="C15" s="21">
        <f>IF('Calcular Dieta'!BE19&lt;0.00001,0,'Calcular Dieta'!BE19)</f>
        <v>3.3726812816188869E-5</v>
      </c>
      <c r="D15" s="22">
        <f>'Calcular Dieta'!BF19</f>
        <v>1</v>
      </c>
      <c r="E15" s="23">
        <f>'Calcular Dieta'!BG19</f>
        <v>3.3726812816188869E-5</v>
      </c>
      <c r="F15" s="49" t="str">
        <f>'Calcular Dieta'!BL19</f>
        <v>Concentrado</v>
      </c>
      <c r="G15" s="24">
        <f t="shared" si="0"/>
        <v>3.5226812816188872E-5</v>
      </c>
      <c r="H15" s="65">
        <v>11</v>
      </c>
      <c r="I15" s="65">
        <f t="shared" si="1"/>
        <v>1.8943859649122809E-5</v>
      </c>
      <c r="J15" s="19" t="str">
        <f t="shared" si="2"/>
        <v>Selenito de Sódio</v>
      </c>
      <c r="K15" s="21">
        <f t="shared" ref="K15:K18" si="14">IFERROR(INDEX($C$5:$C$29,MATCH(I15,$G$5:$G$29,0)),"")</f>
        <v>1.7543859649122809E-5</v>
      </c>
      <c r="L15" s="22">
        <f t="shared" ref="L15:L18" si="15">IFERROR(INDEX($D$5:$D$29,MATCH(I15,$G$5:$G$29,0)),"")</f>
        <v>45</v>
      </c>
      <c r="M15" s="50">
        <f t="shared" si="5"/>
        <v>7.8947368421052641E-4</v>
      </c>
      <c r="O15" s="255"/>
      <c r="P15" s="494"/>
      <c r="Q15" s="493"/>
      <c r="R15" s="493"/>
      <c r="T15" s="62">
        <v>11</v>
      </c>
      <c r="U15" s="63" t="s">
        <v>752</v>
      </c>
      <c r="V15" s="514">
        <f>COUNTIF(Alimentos!$C$4:$C$310,MPR!U15)</f>
        <v>0</v>
      </c>
      <c r="W15" s="515">
        <f t="shared" si="11"/>
        <v>1.4999999999999999E-4</v>
      </c>
      <c r="X15" s="103">
        <f t="shared" si="6"/>
        <v>1.9000000000000001E-4</v>
      </c>
      <c r="Y15" s="63">
        <f t="shared" si="7"/>
        <v>0</v>
      </c>
      <c r="Z15" s="59">
        <f t="shared" si="8"/>
        <v>0</v>
      </c>
      <c r="AA15" s="59">
        <v>11</v>
      </c>
      <c r="AB15" s="591" t="str">
        <f>IF(IFERROR((Atendimento!I17)+ROW()/1000000,"-")="-","-",AA15)</f>
        <v>-</v>
      </c>
      <c r="AC15" s="590" t="str">
        <f>Atendimento!C17</f>
        <v>PDR</v>
      </c>
      <c r="AD15" s="589" t="str">
        <f t="shared" si="9"/>
        <v>-</v>
      </c>
      <c r="AE15" s="592" t="str">
        <f t="shared" si="12"/>
        <v>-</v>
      </c>
      <c r="AF15" s="59" t="str">
        <f t="shared" si="10"/>
        <v>-</v>
      </c>
      <c r="AG15" s="595" t="str">
        <f>IF(AD15="-","-",ROUND(INDEX(Atendimento!$I$7:$I$51,MATCH(AE15,Atendimento!$C$7:$C$51,0)),2))</f>
        <v>-</v>
      </c>
      <c r="AH15" s="59" t="str">
        <f>IF(OR(AG15=0,AG15="-"),"-",INDEX(Atendimento!$D$7:$D$51,MATCH(AE15,Atendimento!$C$7:$C$51,0)))</f>
        <v>-</v>
      </c>
      <c r="AI15" s="59" t="str">
        <f>IF(OR(AG15=0,AG15="-"),"-",INDEX(Atendimento!$N$7:$N$51,MATCH(AE15,Atendimento!$C$7:$C$51,0)))</f>
        <v>-</v>
      </c>
      <c r="AJ15" s="59" t="str">
        <f>IF(OR(AG15=0,AG15="-"),"-",INDEX(Atendimento!$O$7:$O$51,MATCH(AE15,Atendimento!$C$7:$C$51,0)))</f>
        <v>-</v>
      </c>
      <c r="AK15" s="59" t="str">
        <f>IF(OR(AG15=0,AG15="-"),"-",INDEX(Atendimento!$P$7:$P$51,MATCH(AE15,Atendimento!$C$7:$C$51,0)))</f>
        <v>-</v>
      </c>
      <c r="AL15" s="59" t="str">
        <f>IFERROR(INDEX(Atendimento!$K$67:$K$111,MATCH(AE15,Atendimento!$C$67:$C$111,0)),"-")</f>
        <v>-</v>
      </c>
    </row>
    <row r="16" spans="1:38" ht="15">
      <c r="B16" s="19" t="str">
        <f>'Calcular Dieta'!B20</f>
        <v>Sulfato Cobalto</v>
      </c>
      <c r="C16" s="21">
        <f>IF('Calcular Dieta'!BE20&lt;0.00001,0,'Calcular Dieta'!BE20)</f>
        <v>1.6129032258064517E-5</v>
      </c>
      <c r="D16" s="22">
        <f>'Calcular Dieta'!BF20</f>
        <v>1</v>
      </c>
      <c r="E16" s="23">
        <f>'Calcular Dieta'!BG20</f>
        <v>1.6129032258064517E-5</v>
      </c>
      <c r="F16" s="49" t="str">
        <f>'Calcular Dieta'!BL20</f>
        <v>Concentrado</v>
      </c>
      <c r="G16" s="24">
        <f t="shared" si="0"/>
        <v>1.7729032258064518E-5</v>
      </c>
      <c r="H16" s="65">
        <v>12</v>
      </c>
      <c r="I16" s="65">
        <f t="shared" si="1"/>
        <v>1.7729032258064518E-5</v>
      </c>
      <c r="J16" s="19" t="str">
        <f t="shared" si="2"/>
        <v>Sulfato Cobalto</v>
      </c>
      <c r="K16" s="21">
        <f t="shared" si="14"/>
        <v>1.6129032258064517E-5</v>
      </c>
      <c r="L16" s="22">
        <f t="shared" si="15"/>
        <v>1</v>
      </c>
      <c r="M16" s="50">
        <f t="shared" si="5"/>
        <v>1.6129032258064517E-5</v>
      </c>
      <c r="T16" s="62">
        <v>12</v>
      </c>
      <c r="U16" s="63"/>
      <c r="V16" s="514">
        <f>COUNTIF(Alimentos!$C$4:$C$310,MPR!U16)</f>
        <v>0</v>
      </c>
      <c r="W16" s="515">
        <f t="shared" si="11"/>
        <v>1.6000000000000001E-4</v>
      </c>
      <c r="X16" s="103">
        <f t="shared" si="6"/>
        <v>1.8000000000000001E-4</v>
      </c>
      <c r="Y16" s="63">
        <f t="shared" si="7"/>
        <v>0</v>
      </c>
      <c r="Z16" s="59">
        <f t="shared" si="8"/>
        <v>0</v>
      </c>
      <c r="AA16" s="59">
        <v>12</v>
      </c>
      <c r="AB16" s="591" t="str">
        <f>IF(IFERROR((Atendimento!I18)+ROW()/1000000,"-")="-","-",AA16)</f>
        <v>-</v>
      </c>
      <c r="AC16" s="590" t="str">
        <f>Atendimento!C18</f>
        <v>PNDR</v>
      </c>
      <c r="AD16" s="589" t="str">
        <f t="shared" si="9"/>
        <v>-</v>
      </c>
      <c r="AE16" s="592" t="str">
        <f t="shared" si="12"/>
        <v>-</v>
      </c>
      <c r="AF16" s="59" t="str">
        <f t="shared" si="10"/>
        <v>-</v>
      </c>
      <c r="AG16" s="595" t="str">
        <f>IF(AD16="-","-",ROUND(INDEX(Atendimento!$I$7:$I$51,MATCH(AE16,Atendimento!$C$7:$C$51,0)),2))</f>
        <v>-</v>
      </c>
      <c r="AH16" s="59" t="str">
        <f>IF(OR(AG16=0,AG16="-"),"-",INDEX(Atendimento!$D$7:$D$51,MATCH(AE16,Atendimento!$C$7:$C$51,0)))</f>
        <v>-</v>
      </c>
      <c r="AI16" s="59" t="str">
        <f>IF(OR(AG16=0,AG16="-"),"-",INDEX(Atendimento!$N$7:$N$51,MATCH(AE16,Atendimento!$C$7:$C$51,0)))</f>
        <v>-</v>
      </c>
      <c r="AJ16" s="59" t="str">
        <f>IF(OR(AG16=0,AG16="-"),"-",INDEX(Atendimento!$O$7:$O$51,MATCH(AE16,Atendimento!$C$7:$C$51,0)))</f>
        <v>-</v>
      </c>
      <c r="AK16" s="59" t="str">
        <f>IF(OR(AG16=0,AG16="-"),"-",INDEX(Atendimento!$P$7:$P$51,MATCH(AE16,Atendimento!$C$7:$C$51,0)))</f>
        <v>-</v>
      </c>
      <c r="AL16" s="59" t="str">
        <f>IFERROR(INDEX(Atendimento!$K$67:$K$111,MATCH(AE16,Atendimento!$C$67:$C$111,0)),"-")</f>
        <v>-</v>
      </c>
    </row>
    <row r="17" spans="2:38" ht="15">
      <c r="B17" s="19" t="str">
        <f>'Calcular Dieta'!B21</f>
        <v>Sulfato Ferro</v>
      </c>
      <c r="C17" s="21">
        <f>IF('Calcular Dieta'!BE21&lt;0.00001,0,'Calcular Dieta'!BE21)</f>
        <v>0</v>
      </c>
      <c r="D17" s="22">
        <f>'Calcular Dieta'!BF21</f>
        <v>29</v>
      </c>
      <c r="E17" s="23">
        <f>'Calcular Dieta'!BG21</f>
        <v>0</v>
      </c>
      <c r="F17" s="49" t="str">
        <f>'Calcular Dieta'!BL21</f>
        <v>Concentrado</v>
      </c>
      <c r="G17" s="24" t="str">
        <f t="shared" si="0"/>
        <v/>
      </c>
      <c r="H17" s="65">
        <v>13</v>
      </c>
      <c r="I17" s="65" t="e">
        <f t="shared" si="1"/>
        <v>#NUM!</v>
      </c>
      <c r="J17" s="19" t="str">
        <f t="shared" si="2"/>
        <v/>
      </c>
      <c r="K17" s="21" t="str">
        <f t="shared" si="14"/>
        <v/>
      </c>
      <c r="L17" s="22" t="str">
        <f t="shared" si="15"/>
        <v/>
      </c>
      <c r="M17" s="50" t="str">
        <f t="shared" si="5"/>
        <v/>
      </c>
      <c r="O17" s="517" t="s">
        <v>756</v>
      </c>
      <c r="P17" s="517" t="s">
        <v>753</v>
      </c>
      <c r="T17" s="62">
        <v>13</v>
      </c>
      <c r="U17" s="63"/>
      <c r="V17" s="514">
        <f>COUNTIF(Alimentos!$C$4:$C$310,MPR!U17)</f>
        <v>0</v>
      </c>
      <c r="W17" s="515">
        <f t="shared" si="11"/>
        <v>1.7000000000000001E-4</v>
      </c>
      <c r="X17" s="103">
        <f t="shared" si="6"/>
        <v>1.7000000000000001E-4</v>
      </c>
      <c r="Y17" s="63">
        <f t="shared" si="7"/>
        <v>0</v>
      </c>
      <c r="Z17" s="59">
        <f t="shared" si="8"/>
        <v>0</v>
      </c>
      <c r="AA17" s="59">
        <v>13</v>
      </c>
      <c r="AB17" s="591" t="str">
        <f>IF(IFERROR((Atendimento!I19)+ROW()/1000000,"-")="-","-",AA17)</f>
        <v>-</v>
      </c>
      <c r="AC17" s="590" t="str">
        <f>Atendimento!C19</f>
        <v>PM</v>
      </c>
      <c r="AD17" s="589" t="str">
        <f t="shared" si="9"/>
        <v>-</v>
      </c>
      <c r="AE17" s="592" t="str">
        <f t="shared" si="12"/>
        <v>-</v>
      </c>
      <c r="AF17" s="59" t="str">
        <f t="shared" si="10"/>
        <v>-</v>
      </c>
      <c r="AG17" s="595" t="str">
        <f>IF(AD17="-","-",ROUND(INDEX(Atendimento!$I$7:$I$51,MATCH(AE17,Atendimento!$C$7:$C$51,0)),2))</f>
        <v>-</v>
      </c>
      <c r="AH17" s="59" t="str">
        <f>IF(OR(AG17=0,AG17="-"),"-",INDEX(Atendimento!$D$7:$D$51,MATCH(AE17,Atendimento!$C$7:$C$51,0)))</f>
        <v>-</v>
      </c>
      <c r="AI17" s="59" t="str">
        <f>IF(OR(AG17=0,AG17="-"),"-",INDEX(Atendimento!$N$7:$N$51,MATCH(AE17,Atendimento!$C$7:$C$51,0)))</f>
        <v>-</v>
      </c>
      <c r="AJ17" s="59" t="str">
        <f>IF(OR(AG17=0,AG17="-"),"-",INDEX(Atendimento!$O$7:$O$51,MATCH(AE17,Atendimento!$C$7:$C$51,0)))</f>
        <v>-</v>
      </c>
      <c r="AK17" s="59" t="str">
        <f>IF(OR(AG17=0,AG17="-"),"-",INDEX(Atendimento!$P$7:$P$51,MATCH(AE17,Atendimento!$C$7:$C$51,0)))</f>
        <v>-</v>
      </c>
      <c r="AL17" s="59" t="str">
        <f>IFERROR(INDEX(Atendimento!$K$67:$K$111,MATCH(AE17,Atendimento!$C$67:$C$111,0)),"-")</f>
        <v>-</v>
      </c>
    </row>
    <row r="18" spans="2:38" ht="15">
      <c r="B18" s="19" t="str">
        <f>'Calcular Dieta'!B22</f>
        <v>Sulfato Magnésio</v>
      </c>
      <c r="C18" s="21">
        <f>IF('Calcular Dieta'!BE22&lt;0.00001,0,'Calcular Dieta'!BE22)</f>
        <v>5.6813469403672372E-2</v>
      </c>
      <c r="D18" s="22">
        <f>'Calcular Dieta'!BF22</f>
        <v>1</v>
      </c>
      <c r="E18" s="23">
        <f>'Calcular Dieta'!BG22</f>
        <v>5.6813469403672372E-2</v>
      </c>
      <c r="F18" s="49" t="str">
        <f>'Calcular Dieta'!BL22</f>
        <v>Concentrado</v>
      </c>
      <c r="G18" s="24">
        <f t="shared" si="0"/>
        <v>5.6815269403672375E-2</v>
      </c>
      <c r="H18" s="65">
        <v>14</v>
      </c>
      <c r="I18" s="65" t="e">
        <f t="shared" si="1"/>
        <v>#NUM!</v>
      </c>
      <c r="J18" s="19" t="str">
        <f t="shared" si="2"/>
        <v/>
      </c>
      <c r="K18" s="21" t="str">
        <f t="shared" si="14"/>
        <v/>
      </c>
      <c r="L18" s="22" t="str">
        <f t="shared" si="15"/>
        <v/>
      </c>
      <c r="M18" s="50" t="str">
        <f t="shared" si="5"/>
        <v/>
      </c>
      <c r="O18" s="518" t="s">
        <v>3</v>
      </c>
      <c r="P18" s="59">
        <f>COUNTIF(Alimentos!$B$4:$B$310,MPR!O18)</f>
        <v>111</v>
      </c>
      <c r="T18" s="62">
        <v>14</v>
      </c>
      <c r="U18" s="63"/>
      <c r="V18" s="514">
        <f>COUNTIF(Alimentos!$C$4:$C$310,MPR!U18)</f>
        <v>0</v>
      </c>
      <c r="W18" s="515">
        <f t="shared" si="11"/>
        <v>1.8000000000000001E-4</v>
      </c>
      <c r="X18" s="103">
        <f t="shared" si="6"/>
        <v>1.6000000000000001E-4</v>
      </c>
      <c r="Y18" s="63">
        <f t="shared" si="7"/>
        <v>0</v>
      </c>
      <c r="Z18" s="59">
        <f t="shared" si="8"/>
        <v>0</v>
      </c>
      <c r="AA18" s="59">
        <v>14</v>
      </c>
      <c r="AB18" s="591" t="str">
        <f>IF(IFERROR((Atendimento!I20)+ROW()/1000000,"-")="-","-",AA18)</f>
        <v>-</v>
      </c>
      <c r="AC18" s="590" t="str">
        <f>Atendimento!C20</f>
        <v>PBNNP</v>
      </c>
      <c r="AD18" s="589" t="str">
        <f t="shared" si="9"/>
        <v>-</v>
      </c>
      <c r="AE18" s="592" t="str">
        <f t="shared" si="12"/>
        <v>-</v>
      </c>
      <c r="AF18" s="59" t="str">
        <f t="shared" si="10"/>
        <v>-</v>
      </c>
      <c r="AG18" s="595" t="str">
        <f>IF(AD18="-","-",ROUND(INDEX(Atendimento!$I$7:$I$51,MATCH(AE18,Atendimento!$C$7:$C$51,0)),2))</f>
        <v>-</v>
      </c>
      <c r="AH18" s="59" t="str">
        <f>IF(OR(AG18=0,AG18="-"),"-",INDEX(Atendimento!$D$7:$D$51,MATCH(AE18,Atendimento!$C$7:$C$51,0)))</f>
        <v>-</v>
      </c>
      <c r="AI18" s="59" t="str">
        <f>IF(OR(AG18=0,AG18="-"),"-",INDEX(Atendimento!$N$7:$N$51,MATCH(AE18,Atendimento!$C$7:$C$51,0)))</f>
        <v>-</v>
      </c>
      <c r="AJ18" s="59" t="str">
        <f>IF(OR(AG18=0,AG18="-"),"-",INDEX(Atendimento!$O$7:$O$51,MATCH(AE18,Atendimento!$C$7:$C$51,0)))</f>
        <v>-</v>
      </c>
      <c r="AK18" s="59" t="str">
        <f>IF(OR(AG18=0,AG18="-"),"-",INDEX(Atendimento!$P$7:$P$51,MATCH(AE18,Atendimento!$C$7:$C$51,0)))</f>
        <v>-</v>
      </c>
      <c r="AL18" s="59" t="str">
        <f>IFERROR(INDEX(Atendimento!$K$67:$K$111,MATCH(AE18,Atendimento!$C$67:$C$111,0)),"-")</f>
        <v>-</v>
      </c>
    </row>
    <row r="19" spans="2:38" ht="15">
      <c r="B19" s="19" t="str">
        <f>'Calcular Dieta'!B23</f>
        <v>Sal Comum (NaCl)</v>
      </c>
      <c r="C19" s="21">
        <f>IF('Calcular Dieta'!BE23&lt;0.00001,0,'Calcular Dieta'!BE23)</f>
        <v>0.12001638460773538</v>
      </c>
      <c r="D19" s="22">
        <f>'Calcular Dieta'!BF23</f>
        <v>1.5</v>
      </c>
      <c r="E19" s="23">
        <f>'Calcular Dieta'!BG23</f>
        <v>0.18002457691160306</v>
      </c>
      <c r="F19" s="49" t="str">
        <f>'Calcular Dieta'!BL23</f>
        <v>Concentrado</v>
      </c>
      <c r="G19" s="24">
        <f t="shared" si="0"/>
        <v>0.12001828460773538</v>
      </c>
      <c r="H19" s="65">
        <v>15</v>
      </c>
      <c r="I19" s="65" t="e">
        <f>LARGE($G$5:$G$29,H19)</f>
        <v>#NUM!</v>
      </c>
      <c r="J19" s="19" t="str">
        <f>IFERROR(INDEX($B$5:$B$29,MATCH(I19,$G$5:$G$29,0)),"")</f>
        <v/>
      </c>
      <c r="K19" s="21" t="str">
        <f>IFERROR(INDEX($C$5:$C$29,MATCH(I19,$G$5:$G$29,0)),"")</f>
        <v/>
      </c>
      <c r="L19" s="22" t="str">
        <f>IFERROR(INDEX($D$5:$D$29,MATCH(I19,$G$5:$G$29,0)),"")</f>
        <v/>
      </c>
      <c r="M19" s="50" t="str">
        <f t="shared" si="5"/>
        <v/>
      </c>
      <c r="O19" s="518" t="s">
        <v>4</v>
      </c>
      <c r="P19" s="59">
        <f>COUNTIF(Alimentos!$B$4:$B$310,MPR!O19)</f>
        <v>148</v>
      </c>
      <c r="T19" s="62">
        <v>15</v>
      </c>
      <c r="U19" s="63"/>
      <c r="V19" s="514">
        <f>COUNTIF(Alimentos!$C$4:$C$310,MPR!U19)</f>
        <v>0</v>
      </c>
      <c r="W19" s="515">
        <f t="shared" si="11"/>
        <v>1.9000000000000001E-4</v>
      </c>
      <c r="X19" s="103">
        <f t="shared" si="6"/>
        <v>1.4999999999999999E-4</v>
      </c>
      <c r="Y19" s="63" t="str">
        <f t="shared" si="7"/>
        <v>Outro</v>
      </c>
      <c r="Z19" s="59">
        <f t="shared" si="8"/>
        <v>0</v>
      </c>
      <c r="AA19" s="59">
        <v>15</v>
      </c>
      <c r="AB19" s="591" t="str">
        <f>IF(IFERROR((Atendimento!I21)+ROW()/1000000,"-")="-","-",AA19)</f>
        <v>-</v>
      </c>
      <c r="AC19" s="590" t="str">
        <f>Atendimento!C21</f>
        <v>Ca</v>
      </c>
      <c r="AD19" s="589" t="str">
        <f t="shared" si="9"/>
        <v>-</v>
      </c>
      <c r="AE19" s="592" t="str">
        <f t="shared" si="12"/>
        <v>-</v>
      </c>
      <c r="AF19" s="59" t="str">
        <f t="shared" si="10"/>
        <v>-</v>
      </c>
      <c r="AG19" s="595" t="str">
        <f>IF(AD19="-","-",ROUND(INDEX(Atendimento!$I$7:$I$51,MATCH(AE19,Atendimento!$C$7:$C$51,0)),2))</f>
        <v>-</v>
      </c>
      <c r="AH19" s="59" t="str">
        <f>IF(OR(AG19=0,AG19="-"),"-",INDEX(Atendimento!$D$7:$D$51,MATCH(AE19,Atendimento!$C$7:$C$51,0)))</f>
        <v>-</v>
      </c>
      <c r="AI19" s="59" t="str">
        <f>IF(OR(AG19=0,AG19="-"),"-",INDEX(Atendimento!$N$7:$N$51,MATCH(AE19,Atendimento!$C$7:$C$51,0)))</f>
        <v>-</v>
      </c>
      <c r="AJ19" s="59" t="str">
        <f>IF(OR(AG19=0,AG19="-"),"-",INDEX(Atendimento!$O$7:$O$51,MATCH(AE19,Atendimento!$C$7:$C$51,0)))</f>
        <v>-</v>
      </c>
      <c r="AK19" s="59" t="str">
        <f>IF(OR(AG19=0,AG19="-"),"-",INDEX(Atendimento!$P$7:$P$51,MATCH(AE19,Atendimento!$C$7:$C$51,0)))</f>
        <v>-</v>
      </c>
      <c r="AL19" s="59" t="str">
        <f>IFERROR(INDEX(Atendimento!$K$67:$K$111,MATCH(AE19,Atendimento!$C$67:$C$111,0)),"-")</f>
        <v>-</v>
      </c>
    </row>
    <row r="20" spans="2:38" ht="15">
      <c r="B20" s="19">
        <f>'Calcular Dieta'!B24</f>
        <v>0</v>
      </c>
      <c r="C20" s="21">
        <f>IF('Calcular Dieta'!BE24&lt;0.00001,0,'Calcular Dieta'!BE24)</f>
        <v>0</v>
      </c>
      <c r="D20" s="22" t="str">
        <f>'Calcular Dieta'!BF24</f>
        <v/>
      </c>
      <c r="E20" s="23">
        <f>'Calcular Dieta'!BG24</f>
        <v>0</v>
      </c>
      <c r="F20" s="49" t="str">
        <f>'Calcular Dieta'!BL24</f>
        <v/>
      </c>
      <c r="G20" s="24" t="str">
        <f t="shared" si="0"/>
        <v/>
      </c>
      <c r="H20" s="65">
        <v>16</v>
      </c>
      <c r="I20" s="65" t="e">
        <f t="shared" si="1"/>
        <v>#NUM!</v>
      </c>
      <c r="J20" s="19" t="str">
        <f t="shared" si="2"/>
        <v/>
      </c>
      <c r="K20" s="21" t="str">
        <f t="shared" ref="K20:K27" si="16">IFERROR(INDEX($C$5:$C$29,MATCH(I20,$G$5:$G$29,0)),"")</f>
        <v/>
      </c>
      <c r="L20" s="22" t="str">
        <f t="shared" ref="L20:L27" si="17">IFERROR(INDEX($D$5:$D$29,MATCH(I20,$G$5:$G$29,0)),"")</f>
        <v/>
      </c>
      <c r="M20" s="50" t="str">
        <f t="shared" si="5"/>
        <v/>
      </c>
      <c r="O20" s="63" t="s">
        <v>757</v>
      </c>
      <c r="P20" s="62">
        <f>SUM(P18:P19)</f>
        <v>259</v>
      </c>
      <c r="AA20" s="59">
        <v>16</v>
      </c>
      <c r="AB20" s="591" t="str">
        <f>IF(IFERROR((Atendimento!I22)+ROW()/1000000,"-")="-","-",AA20)</f>
        <v>-</v>
      </c>
      <c r="AC20" s="590" t="str">
        <f>Atendimento!C22</f>
        <v>P</v>
      </c>
      <c r="AD20" s="589" t="str">
        <f t="shared" si="9"/>
        <v>-</v>
      </c>
      <c r="AE20" s="592" t="str">
        <f t="shared" si="12"/>
        <v>-</v>
      </c>
      <c r="AF20" s="59" t="str">
        <f t="shared" si="10"/>
        <v>-</v>
      </c>
      <c r="AG20" s="595" t="str">
        <f>IF(AD20="-","-",ROUND(INDEX(Atendimento!$I$7:$I$51,MATCH(AE20,Atendimento!$C$7:$C$51,0)),2))</f>
        <v>-</v>
      </c>
      <c r="AH20" s="59" t="str">
        <f>IF(OR(AG20=0,AG20="-"),"-",INDEX(Atendimento!$D$7:$D$51,MATCH(AE20,Atendimento!$C$7:$C$51,0)))</f>
        <v>-</v>
      </c>
      <c r="AI20" s="59" t="str">
        <f>IF(OR(AG20=0,AG20="-"),"-",INDEX(Atendimento!$N$7:$N$51,MATCH(AE20,Atendimento!$C$7:$C$51,0)))</f>
        <v>-</v>
      </c>
      <c r="AJ20" s="59" t="str">
        <f>IF(OR(AG20=0,AG20="-"),"-",INDEX(Atendimento!$O$7:$O$51,MATCH(AE20,Atendimento!$C$7:$C$51,0)))</f>
        <v>-</v>
      </c>
      <c r="AK20" s="59" t="str">
        <f>IF(OR(AG20=0,AG20="-"),"-",INDEX(Atendimento!$P$7:$P$51,MATCH(AE20,Atendimento!$C$7:$C$51,0)))</f>
        <v>-</v>
      </c>
      <c r="AL20" s="59" t="str">
        <f>IFERROR(INDEX(Atendimento!$K$67:$K$111,MATCH(AE20,Atendimento!$C$67:$C$111,0)),"-")</f>
        <v>-</v>
      </c>
    </row>
    <row r="21" spans="2:38" ht="15">
      <c r="B21" s="19">
        <f>'Calcular Dieta'!B25</f>
        <v>0</v>
      </c>
      <c r="C21" s="21">
        <f>IF('Calcular Dieta'!BE25&lt;0.00001,0,'Calcular Dieta'!BE25)</f>
        <v>0</v>
      </c>
      <c r="D21" s="22" t="str">
        <f>'Calcular Dieta'!BF25</f>
        <v/>
      </c>
      <c r="E21" s="23">
        <f>'Calcular Dieta'!BG25</f>
        <v>0</v>
      </c>
      <c r="F21" s="49" t="str">
        <f>'Calcular Dieta'!BL25</f>
        <v/>
      </c>
      <c r="G21" s="24" t="str">
        <f t="shared" si="0"/>
        <v/>
      </c>
      <c r="H21" s="65">
        <v>17</v>
      </c>
      <c r="I21" s="65" t="e">
        <f t="shared" si="1"/>
        <v>#NUM!</v>
      </c>
      <c r="J21" s="19" t="str">
        <f t="shared" si="2"/>
        <v/>
      </c>
      <c r="K21" s="21" t="str">
        <f t="shared" si="16"/>
        <v/>
      </c>
      <c r="L21" s="22" t="str">
        <f t="shared" si="17"/>
        <v/>
      </c>
      <c r="M21" s="50" t="str">
        <f t="shared" si="5"/>
        <v/>
      </c>
      <c r="AA21" s="59">
        <v>17</v>
      </c>
      <c r="AB21" s="591">
        <f>IF(IFERROR((Atendimento!I23)+ROW()/1000000,"-")="-","-",AA21)</f>
        <v>17</v>
      </c>
      <c r="AC21" s="590" t="str">
        <f>Atendimento!C23</f>
        <v>Mg</v>
      </c>
      <c r="AD21" s="589" t="str">
        <f t="shared" si="9"/>
        <v>-</v>
      </c>
      <c r="AE21" s="592" t="str">
        <f t="shared" si="12"/>
        <v>-</v>
      </c>
      <c r="AF21" s="59" t="str">
        <f t="shared" si="10"/>
        <v>-</v>
      </c>
      <c r="AG21" s="595" t="str">
        <f>IF(AD21="-","-",ROUND(INDEX(Atendimento!$I$7:$I$51,MATCH(AE21,Atendimento!$C$7:$C$51,0)),2))</f>
        <v>-</v>
      </c>
      <c r="AH21" s="59" t="str">
        <f>IF(OR(AG21=0,AG21="-"),"-",INDEX(Atendimento!$D$7:$D$51,MATCH(AE21,Atendimento!$C$7:$C$51,0)))</f>
        <v>-</v>
      </c>
      <c r="AI21" s="59" t="str">
        <f>IF(OR(AG21=0,AG21="-"),"-",INDEX(Atendimento!$N$7:$N$51,MATCH(AE21,Atendimento!$C$7:$C$51,0)))</f>
        <v>-</v>
      </c>
      <c r="AJ21" s="59" t="str">
        <f>IF(OR(AG21=0,AG21="-"),"-",INDEX(Atendimento!$O$7:$O$51,MATCH(AE21,Atendimento!$C$7:$C$51,0)))</f>
        <v>-</v>
      </c>
      <c r="AK21" s="59" t="str">
        <f>IF(OR(AG21=0,AG21="-"),"-",INDEX(Atendimento!$P$7:$P$51,MATCH(AE21,Atendimento!$C$7:$C$51,0)))</f>
        <v>-</v>
      </c>
      <c r="AL21" s="59" t="str">
        <f>IFERROR(INDEX(Atendimento!$K$67:$K$111,MATCH(AE21,Atendimento!$C$67:$C$111,0)),"-")</f>
        <v>-</v>
      </c>
    </row>
    <row r="22" spans="2:38" ht="15">
      <c r="B22" s="19">
        <f>'Calcular Dieta'!B26</f>
        <v>0</v>
      </c>
      <c r="C22" s="21">
        <f>IF('Calcular Dieta'!BE26&lt;0.00001,0,'Calcular Dieta'!BE26)</f>
        <v>0</v>
      </c>
      <c r="D22" s="22" t="str">
        <f>'Calcular Dieta'!BF26</f>
        <v/>
      </c>
      <c r="E22" s="23">
        <f>'Calcular Dieta'!BG26</f>
        <v>0</v>
      </c>
      <c r="F22" s="49" t="str">
        <f>'Calcular Dieta'!BL26</f>
        <v/>
      </c>
      <c r="G22" s="24" t="str">
        <f t="shared" si="0"/>
        <v/>
      </c>
      <c r="H22" s="65">
        <v>18</v>
      </c>
      <c r="I22" s="65" t="e">
        <f t="shared" si="1"/>
        <v>#NUM!</v>
      </c>
      <c r="J22" s="19" t="str">
        <f t="shared" si="2"/>
        <v/>
      </c>
      <c r="K22" s="21" t="str">
        <f t="shared" si="16"/>
        <v/>
      </c>
      <c r="L22" s="22" t="str">
        <f t="shared" si="17"/>
        <v/>
      </c>
      <c r="M22" s="50" t="str">
        <f t="shared" si="5"/>
        <v/>
      </c>
      <c r="AA22" s="59">
        <v>18</v>
      </c>
      <c r="AB22" s="591" t="str">
        <f>IF(IFERROR((Atendimento!I24)+ROW()/1000000,"-")="-","-",AA22)</f>
        <v>-</v>
      </c>
      <c r="AC22" s="590" t="str">
        <f>Atendimento!C24</f>
        <v>Na</v>
      </c>
      <c r="AD22" s="589" t="str">
        <f t="shared" si="9"/>
        <v>-</v>
      </c>
      <c r="AE22" s="592" t="str">
        <f t="shared" si="12"/>
        <v>-</v>
      </c>
      <c r="AF22" s="59" t="str">
        <f t="shared" si="10"/>
        <v>-</v>
      </c>
      <c r="AG22" s="595" t="str">
        <f>IF(AD22="-","-",ROUND(INDEX(Atendimento!$I$7:$I$51,MATCH(AE22,Atendimento!$C$7:$C$51,0)),2))</f>
        <v>-</v>
      </c>
      <c r="AH22" s="59" t="str">
        <f>IF(OR(AG22=0,AG22="-"),"-",INDEX(Atendimento!$D$7:$D$51,MATCH(AE22,Atendimento!$C$7:$C$51,0)))</f>
        <v>-</v>
      </c>
      <c r="AI22" s="59" t="str">
        <f>IF(OR(AG22=0,AG22="-"),"-",INDEX(Atendimento!$N$7:$N$51,MATCH(AE22,Atendimento!$C$7:$C$51,0)))</f>
        <v>-</v>
      </c>
      <c r="AJ22" s="59" t="str">
        <f>IF(OR(AG22=0,AG22="-"),"-",INDEX(Atendimento!$O$7:$O$51,MATCH(AE22,Atendimento!$C$7:$C$51,0)))</f>
        <v>-</v>
      </c>
      <c r="AK22" s="59" t="str">
        <f>IF(OR(AG22=0,AG22="-"),"-",INDEX(Atendimento!$P$7:$P$51,MATCH(AE22,Atendimento!$C$7:$C$51,0)))</f>
        <v>-</v>
      </c>
      <c r="AL22" s="59" t="str">
        <f>IFERROR(INDEX(Atendimento!$K$67:$K$111,MATCH(AE22,Atendimento!$C$67:$C$111,0)),"-")</f>
        <v>-</v>
      </c>
    </row>
    <row r="23" spans="2:38" ht="15">
      <c r="B23" s="19">
        <f>'Calcular Dieta'!B27</f>
        <v>0</v>
      </c>
      <c r="C23" s="21">
        <f>IF('Calcular Dieta'!BE27&lt;0.00001,0,'Calcular Dieta'!BE27)</f>
        <v>0</v>
      </c>
      <c r="D23" s="22" t="str">
        <f>'Calcular Dieta'!BF27</f>
        <v/>
      </c>
      <c r="E23" s="23">
        <f>'Calcular Dieta'!BG27</f>
        <v>0</v>
      </c>
      <c r="F23" s="49" t="str">
        <f>'Calcular Dieta'!BL27</f>
        <v/>
      </c>
      <c r="G23" s="24" t="str">
        <f t="shared" si="0"/>
        <v/>
      </c>
      <c r="H23" s="65">
        <v>19</v>
      </c>
      <c r="I23" s="65" t="e">
        <f t="shared" si="1"/>
        <v>#NUM!</v>
      </c>
      <c r="J23" s="19" t="str">
        <f t="shared" si="2"/>
        <v/>
      </c>
      <c r="K23" s="21" t="str">
        <f t="shared" si="16"/>
        <v/>
      </c>
      <c r="L23" s="22" t="str">
        <f t="shared" si="17"/>
        <v/>
      </c>
      <c r="M23" s="50" t="str">
        <f t="shared" si="5"/>
        <v/>
      </c>
      <c r="AA23" s="59">
        <v>19</v>
      </c>
      <c r="AB23" s="591" t="str">
        <f>IF(IFERROR((Atendimento!I25)+ROW()/1000000,"-")="-","-",AA23)</f>
        <v>-</v>
      </c>
      <c r="AC23" s="590" t="str">
        <f>Atendimento!C25</f>
        <v>K</v>
      </c>
      <c r="AD23" s="589" t="str">
        <f t="shared" si="9"/>
        <v>-</v>
      </c>
      <c r="AE23" s="592" t="str">
        <f t="shared" si="12"/>
        <v>-</v>
      </c>
      <c r="AF23" s="59" t="str">
        <f t="shared" si="10"/>
        <v>-</v>
      </c>
      <c r="AG23" s="595" t="str">
        <f>IF(AD23="-","-",ROUND(INDEX(Atendimento!$I$7:$I$51,MATCH(AE23,Atendimento!$C$7:$C$51,0)),2))</f>
        <v>-</v>
      </c>
      <c r="AH23" s="59" t="str">
        <f>IF(OR(AG23=0,AG23="-"),"-",INDEX(Atendimento!$D$7:$D$51,MATCH(AE23,Atendimento!$C$7:$C$51,0)))</f>
        <v>-</v>
      </c>
      <c r="AI23" s="59" t="str">
        <f>IF(OR(AG23=0,AG23="-"),"-",INDEX(Atendimento!$N$7:$N$51,MATCH(AE23,Atendimento!$C$7:$C$51,0)))</f>
        <v>-</v>
      </c>
      <c r="AJ23" s="59" t="str">
        <f>IF(OR(AG23=0,AG23="-"),"-",INDEX(Atendimento!$O$7:$O$51,MATCH(AE23,Atendimento!$C$7:$C$51,0)))</f>
        <v>-</v>
      </c>
      <c r="AK23" s="59" t="str">
        <f>IF(OR(AG23=0,AG23="-"),"-",INDEX(Atendimento!$P$7:$P$51,MATCH(AE23,Atendimento!$C$7:$C$51,0)))</f>
        <v>-</v>
      </c>
      <c r="AL23" s="59" t="str">
        <f>IFERROR(INDEX(Atendimento!$K$67:$K$111,MATCH(AE23,Atendimento!$C$67:$C$111,0)),"-")</f>
        <v>-</v>
      </c>
    </row>
    <row r="24" spans="2:38" ht="15">
      <c r="B24" s="19">
        <f>'Calcular Dieta'!B28</f>
        <v>0</v>
      </c>
      <c r="C24" s="21">
        <f>IF('Calcular Dieta'!BE28&lt;0.00001,0,'Calcular Dieta'!BE28)</f>
        <v>0</v>
      </c>
      <c r="D24" s="22" t="str">
        <f>'Calcular Dieta'!BF28</f>
        <v/>
      </c>
      <c r="E24" s="23">
        <f>'Calcular Dieta'!BG28</f>
        <v>0</v>
      </c>
      <c r="F24" s="49" t="str">
        <f>'Calcular Dieta'!BL28</f>
        <v/>
      </c>
      <c r="G24" s="24" t="str">
        <f t="shared" si="0"/>
        <v/>
      </c>
      <c r="H24" s="65">
        <v>20</v>
      </c>
      <c r="I24" s="65" t="e">
        <f t="shared" si="1"/>
        <v>#NUM!</v>
      </c>
      <c r="J24" s="19" t="str">
        <f t="shared" si="2"/>
        <v/>
      </c>
      <c r="K24" s="21" t="str">
        <f t="shared" si="16"/>
        <v/>
      </c>
      <c r="L24" s="22" t="str">
        <f t="shared" si="17"/>
        <v/>
      </c>
      <c r="M24" s="50" t="str">
        <f t="shared" si="5"/>
        <v/>
      </c>
      <c r="AA24" s="59">
        <v>20</v>
      </c>
      <c r="AB24" s="591">
        <f>IF(IFERROR((Atendimento!I26)+ROW()/1000000,"-")="-","-",AA24)</f>
        <v>20</v>
      </c>
      <c r="AC24" s="590" t="str">
        <f>Atendimento!C26</f>
        <v>S</v>
      </c>
      <c r="AD24" s="589" t="str">
        <f t="shared" si="9"/>
        <v>-</v>
      </c>
      <c r="AE24" s="592" t="str">
        <f t="shared" si="12"/>
        <v>-</v>
      </c>
      <c r="AF24" s="59" t="str">
        <f t="shared" si="10"/>
        <v>-</v>
      </c>
      <c r="AG24" s="595" t="str">
        <f>IF(AD24="-","-",ROUND(INDEX(Atendimento!$I$7:$I$51,MATCH(AE24,Atendimento!$C$7:$C$51,0)),2))</f>
        <v>-</v>
      </c>
      <c r="AH24" s="59" t="str">
        <f>IF(OR(AG24=0,AG24="-"),"-",INDEX(Atendimento!$D$7:$D$51,MATCH(AE24,Atendimento!$C$7:$C$51,0)))</f>
        <v>-</v>
      </c>
      <c r="AI24" s="59" t="str">
        <f>IF(OR(AG24=0,AG24="-"),"-",INDEX(Atendimento!$N$7:$N$51,MATCH(AE24,Atendimento!$C$7:$C$51,0)))</f>
        <v>-</v>
      </c>
      <c r="AJ24" s="59" t="str">
        <f>IF(OR(AG24=0,AG24="-"),"-",INDEX(Atendimento!$O$7:$O$51,MATCH(AE24,Atendimento!$C$7:$C$51,0)))</f>
        <v>-</v>
      </c>
      <c r="AK24" s="59" t="str">
        <f>IF(OR(AG24=0,AG24="-"),"-",INDEX(Atendimento!$P$7:$P$51,MATCH(AE24,Atendimento!$C$7:$C$51,0)))</f>
        <v>-</v>
      </c>
      <c r="AL24" s="59" t="str">
        <f>IFERROR(INDEX(Atendimento!$K$67:$K$111,MATCH(AE24,Atendimento!$C$67:$C$111,0)),"-")</f>
        <v>-</v>
      </c>
    </row>
    <row r="25" spans="2:38" ht="15">
      <c r="B25" s="19">
        <f>'Calcular Dieta'!B29</f>
        <v>0</v>
      </c>
      <c r="C25" s="21">
        <f>IF('Calcular Dieta'!BE29&lt;0.00001,0,'Calcular Dieta'!BE29)</f>
        <v>0</v>
      </c>
      <c r="D25" s="22" t="str">
        <f>'Calcular Dieta'!BF29</f>
        <v/>
      </c>
      <c r="E25" s="23">
        <f>'Calcular Dieta'!BG29</f>
        <v>0</v>
      </c>
      <c r="F25" s="49" t="str">
        <f>'Calcular Dieta'!BL29</f>
        <v/>
      </c>
      <c r="G25" s="24" t="str">
        <f t="shared" si="0"/>
        <v/>
      </c>
      <c r="H25" s="65">
        <v>21</v>
      </c>
      <c r="I25" s="65" t="e">
        <f t="shared" si="1"/>
        <v>#NUM!</v>
      </c>
      <c r="J25" s="19" t="str">
        <f t="shared" si="2"/>
        <v/>
      </c>
      <c r="K25" s="21" t="str">
        <f t="shared" si="16"/>
        <v/>
      </c>
      <c r="L25" s="22" t="str">
        <f t="shared" si="17"/>
        <v/>
      </c>
      <c r="M25" s="50" t="str">
        <f t="shared" si="5"/>
        <v/>
      </c>
      <c r="AA25" s="59">
        <v>21</v>
      </c>
      <c r="AB25" s="591" t="str">
        <f>IF(IFERROR((Atendimento!I27)+ROW()/1000000,"-")="-","-",AA25)</f>
        <v>-</v>
      </c>
      <c r="AC25" s="590" t="str">
        <f>Atendimento!C27</f>
        <v>Cu</v>
      </c>
      <c r="AD25" s="589" t="str">
        <f t="shared" si="9"/>
        <v>-</v>
      </c>
      <c r="AE25" s="592" t="str">
        <f t="shared" si="12"/>
        <v>-</v>
      </c>
      <c r="AF25" s="59" t="str">
        <f t="shared" si="10"/>
        <v>-</v>
      </c>
      <c r="AG25" s="595" t="str">
        <f>IF(AD25="-","-",ROUND(INDEX(Atendimento!$I$7:$I$51,MATCH(AE25,Atendimento!$C$7:$C$51,0)),2))</f>
        <v>-</v>
      </c>
      <c r="AH25" s="59" t="str">
        <f>IF(OR(AG25=0,AG25="-"),"-",INDEX(Atendimento!$D$7:$D$51,MATCH(AE25,Atendimento!$C$7:$C$51,0)))</f>
        <v>-</v>
      </c>
      <c r="AI25" s="59" t="str">
        <f>IF(OR(AG25=0,AG25="-"),"-",INDEX(Atendimento!$N$7:$N$51,MATCH(AE25,Atendimento!$C$7:$C$51,0)))</f>
        <v>-</v>
      </c>
      <c r="AJ25" s="59" t="str">
        <f>IF(OR(AG25=0,AG25="-"),"-",INDEX(Atendimento!$O$7:$O$51,MATCH(AE25,Atendimento!$C$7:$C$51,0)))</f>
        <v>-</v>
      </c>
      <c r="AK25" s="59" t="str">
        <f>IF(OR(AG25=0,AG25="-"),"-",INDEX(Atendimento!$P$7:$P$51,MATCH(AE25,Atendimento!$C$7:$C$51,0)))</f>
        <v>-</v>
      </c>
      <c r="AL25" s="59" t="str">
        <f>IFERROR(INDEX(Atendimento!$K$67:$K$111,MATCH(AE25,Atendimento!$C$67:$C$111,0)),"-")</f>
        <v>-</v>
      </c>
    </row>
    <row r="26" spans="2:38" ht="15">
      <c r="B26" s="19">
        <f>'Calcular Dieta'!B30</f>
        <v>0</v>
      </c>
      <c r="C26" s="21">
        <f>IF('Calcular Dieta'!BE30&lt;0.00001,0,'Calcular Dieta'!BE30)</f>
        <v>0</v>
      </c>
      <c r="D26" s="22" t="str">
        <f>'Calcular Dieta'!BF30</f>
        <v/>
      </c>
      <c r="E26" s="23">
        <f>'Calcular Dieta'!BG30</f>
        <v>0</v>
      </c>
      <c r="F26" s="49" t="str">
        <f>'Calcular Dieta'!BL30</f>
        <v/>
      </c>
      <c r="G26" s="24" t="str">
        <f t="shared" si="0"/>
        <v/>
      </c>
      <c r="H26" s="65">
        <v>22</v>
      </c>
      <c r="I26" s="65" t="e">
        <f t="shared" si="1"/>
        <v>#NUM!</v>
      </c>
      <c r="J26" s="19" t="str">
        <f t="shared" si="2"/>
        <v/>
      </c>
      <c r="K26" s="21" t="str">
        <f t="shared" si="16"/>
        <v/>
      </c>
      <c r="L26" s="22" t="str">
        <f t="shared" si="17"/>
        <v/>
      </c>
      <c r="M26" s="50" t="str">
        <f t="shared" si="5"/>
        <v/>
      </c>
      <c r="AA26" s="59">
        <v>22</v>
      </c>
      <c r="AB26" s="591" t="str">
        <f>IF(IFERROR((Atendimento!I28)+ROW()/1000000,"-")="-","-",AA26)</f>
        <v>-</v>
      </c>
      <c r="AC26" s="590" t="str">
        <f>Atendimento!C28</f>
        <v>Zn</v>
      </c>
      <c r="AD26" s="589" t="str">
        <f t="shared" si="9"/>
        <v>-</v>
      </c>
      <c r="AE26" s="592" t="str">
        <f t="shared" si="12"/>
        <v>-</v>
      </c>
      <c r="AF26" s="59" t="str">
        <f t="shared" si="10"/>
        <v>-</v>
      </c>
      <c r="AG26" s="595" t="str">
        <f>IF(AD26="-","-",ROUND(INDEX(Atendimento!$I$7:$I$51,MATCH(AE26,Atendimento!$C$7:$C$51,0)),2))</f>
        <v>-</v>
      </c>
      <c r="AH26" s="59" t="str">
        <f>IF(OR(AG26=0,AG26="-"),"-",INDEX(Atendimento!$D$7:$D$51,MATCH(AE26,Atendimento!$C$7:$C$51,0)))</f>
        <v>-</v>
      </c>
      <c r="AI26" s="59" t="str">
        <f>IF(OR(AG26=0,AG26="-"),"-",INDEX(Atendimento!$N$7:$N$51,MATCH(AE26,Atendimento!$C$7:$C$51,0)))</f>
        <v>-</v>
      </c>
      <c r="AJ26" s="59" t="str">
        <f>IF(OR(AG26=0,AG26="-"),"-",INDEX(Atendimento!$O$7:$O$51,MATCH(AE26,Atendimento!$C$7:$C$51,0)))</f>
        <v>-</v>
      </c>
      <c r="AK26" s="59" t="str">
        <f>IF(OR(AG26=0,AG26="-"),"-",INDEX(Atendimento!$P$7:$P$51,MATCH(AE26,Atendimento!$C$7:$C$51,0)))</f>
        <v>-</v>
      </c>
      <c r="AL26" s="59" t="str">
        <f>IFERROR(INDEX(Atendimento!$K$67:$K$111,MATCH(AE26,Atendimento!$C$67:$C$111,0)),"-")</f>
        <v>-</v>
      </c>
    </row>
    <row r="27" spans="2:38" ht="15">
      <c r="B27" s="19">
        <f>'Calcular Dieta'!B31</f>
        <v>0</v>
      </c>
      <c r="C27" s="21">
        <f>IF('Calcular Dieta'!BE31&lt;0.00001,0,'Calcular Dieta'!BE31)</f>
        <v>0</v>
      </c>
      <c r="D27" s="22" t="str">
        <f>'Calcular Dieta'!BF31</f>
        <v/>
      </c>
      <c r="E27" s="23">
        <f>'Calcular Dieta'!BG31</f>
        <v>0</v>
      </c>
      <c r="F27" s="49" t="str">
        <f>'Calcular Dieta'!BL31</f>
        <v/>
      </c>
      <c r="G27" s="24" t="str">
        <f t="shared" si="0"/>
        <v/>
      </c>
      <c r="H27" s="65">
        <v>23</v>
      </c>
      <c r="I27" s="65" t="e">
        <f t="shared" si="1"/>
        <v>#NUM!</v>
      </c>
      <c r="J27" s="19" t="str">
        <f t="shared" si="2"/>
        <v/>
      </c>
      <c r="K27" s="21" t="str">
        <f t="shared" si="16"/>
        <v/>
      </c>
      <c r="L27" s="22" t="str">
        <f t="shared" si="17"/>
        <v/>
      </c>
      <c r="M27" s="50" t="str">
        <f t="shared" si="5"/>
        <v/>
      </c>
      <c r="AA27" s="59">
        <v>23</v>
      </c>
      <c r="AB27" s="591" t="str">
        <f>IF(IFERROR((Atendimento!I29)+ROW()/1000000,"-")="-","-",AA27)</f>
        <v>-</v>
      </c>
      <c r="AC27" s="590" t="str">
        <f>Atendimento!C29</f>
        <v>Fe</v>
      </c>
      <c r="AD27" s="589" t="str">
        <f t="shared" si="9"/>
        <v>-</v>
      </c>
      <c r="AE27" s="592" t="str">
        <f t="shared" si="12"/>
        <v>-</v>
      </c>
      <c r="AF27" s="59" t="str">
        <f t="shared" si="10"/>
        <v>-</v>
      </c>
      <c r="AG27" s="595" t="str">
        <f>IF(AD27="-","-",ROUND(INDEX(Atendimento!$I$7:$I$51,MATCH(AE27,Atendimento!$C$7:$C$51,0)),2))</f>
        <v>-</v>
      </c>
      <c r="AH27" s="59" t="str">
        <f>IF(OR(AG27=0,AG27="-"),"-",INDEX(Atendimento!$D$7:$D$51,MATCH(AE27,Atendimento!$C$7:$C$51,0)))</f>
        <v>-</v>
      </c>
      <c r="AI27" s="59" t="str">
        <f>IF(OR(AG27=0,AG27="-"),"-",INDEX(Atendimento!$N$7:$N$51,MATCH(AE27,Atendimento!$C$7:$C$51,0)))</f>
        <v>-</v>
      </c>
      <c r="AJ27" s="59" t="str">
        <f>IF(OR(AG27=0,AG27="-"),"-",INDEX(Atendimento!$O$7:$O$51,MATCH(AE27,Atendimento!$C$7:$C$51,0)))</f>
        <v>-</v>
      </c>
      <c r="AK27" s="59" t="str">
        <f>IF(OR(AG27=0,AG27="-"),"-",INDEX(Atendimento!$P$7:$P$51,MATCH(AE27,Atendimento!$C$7:$C$51,0)))</f>
        <v>-</v>
      </c>
      <c r="AL27" s="59" t="str">
        <f>IFERROR(INDEX(Atendimento!$K$67:$K$111,MATCH(AE27,Atendimento!$C$67:$C$111,0)),"-")</f>
        <v>-</v>
      </c>
    </row>
    <row r="28" spans="2:38" ht="15">
      <c r="B28" s="19">
        <f>'Calcular Dieta'!B32</f>
        <v>0</v>
      </c>
      <c r="C28" s="21">
        <f>IF('Calcular Dieta'!BE32&lt;0.00001,0,'Calcular Dieta'!BE32)</f>
        <v>0</v>
      </c>
      <c r="D28" s="22" t="str">
        <f>'Calcular Dieta'!BF32</f>
        <v/>
      </c>
      <c r="E28" s="23">
        <f>'Calcular Dieta'!BG32</f>
        <v>0</v>
      </c>
      <c r="F28" s="49" t="str">
        <f>'Calcular Dieta'!BL32</f>
        <v/>
      </c>
      <c r="G28" s="24" t="str">
        <f t="shared" si="0"/>
        <v/>
      </c>
      <c r="H28" s="65">
        <v>24</v>
      </c>
      <c r="I28" s="65" t="e">
        <f>LARGE($G$5:$G$29,H28)</f>
        <v>#NUM!</v>
      </c>
      <c r="J28" s="19" t="str">
        <f>IFERROR(INDEX($B$5:$B$29,MATCH(I28,$G$5:$G$29,0)),"")</f>
        <v/>
      </c>
      <c r="K28" s="21" t="str">
        <f>IFERROR(INDEX($C$5:$C$29,MATCH(I28,$G$5:$G$29,0)),"")</f>
        <v/>
      </c>
      <c r="L28" s="22" t="str">
        <f>IFERROR(INDEX($D$5:$D$29,MATCH(I28,$G$5:$G$29,0)),"")</f>
        <v/>
      </c>
      <c r="M28" s="50" t="str">
        <f t="shared" si="5"/>
        <v/>
      </c>
      <c r="AA28" s="59">
        <v>24</v>
      </c>
      <c r="AB28" s="591" t="str">
        <f>IF(IFERROR((Atendimento!I30)+ROW()/1000000,"-")="-","-",AA28)</f>
        <v>-</v>
      </c>
      <c r="AC28" s="590" t="str">
        <f>Atendimento!C30</f>
        <v>Mn</v>
      </c>
      <c r="AD28" s="589" t="str">
        <f t="shared" si="9"/>
        <v>-</v>
      </c>
      <c r="AE28" s="592" t="str">
        <f t="shared" si="12"/>
        <v>-</v>
      </c>
      <c r="AF28" s="59" t="str">
        <f t="shared" si="10"/>
        <v>-</v>
      </c>
      <c r="AG28" s="595" t="str">
        <f>IF(AD28="-","-",ROUND(INDEX(Atendimento!$I$7:$I$51,MATCH(AE28,Atendimento!$C$7:$C$51,0)),2))</f>
        <v>-</v>
      </c>
      <c r="AH28" s="59" t="str">
        <f>IF(OR(AG28=0,AG28="-"),"-",INDEX(Atendimento!$D$7:$D$51,MATCH(AE28,Atendimento!$C$7:$C$51,0)))</f>
        <v>-</v>
      </c>
      <c r="AI28" s="59" t="str">
        <f>IF(OR(AG28=0,AG28="-"),"-",INDEX(Atendimento!$N$7:$N$51,MATCH(AE28,Atendimento!$C$7:$C$51,0)))</f>
        <v>-</v>
      </c>
      <c r="AJ28" s="59" t="str">
        <f>IF(OR(AG28=0,AG28="-"),"-",INDEX(Atendimento!$O$7:$O$51,MATCH(AE28,Atendimento!$C$7:$C$51,0)))</f>
        <v>-</v>
      </c>
      <c r="AK28" s="59" t="str">
        <f>IF(OR(AG28=0,AG28="-"),"-",INDEX(Atendimento!$P$7:$P$51,MATCH(AE28,Atendimento!$C$7:$C$51,0)))</f>
        <v>-</v>
      </c>
      <c r="AL28" s="59" t="str">
        <f>IFERROR(INDEX(Atendimento!$K$67:$K$111,MATCH(AE28,Atendimento!$C$67:$C$111,0)),"-")</f>
        <v>-</v>
      </c>
    </row>
    <row r="29" spans="2:38" ht="15">
      <c r="B29" s="19">
        <f>'Calcular Dieta'!B33</f>
        <v>0</v>
      </c>
      <c r="C29" s="21">
        <f>IF('Calcular Dieta'!BE33&lt;0.00001,0,'Calcular Dieta'!BE33)</f>
        <v>0</v>
      </c>
      <c r="D29" s="22" t="str">
        <f>'Calcular Dieta'!BF33</f>
        <v/>
      </c>
      <c r="E29" s="23">
        <f>'Calcular Dieta'!BG33</f>
        <v>0</v>
      </c>
      <c r="F29" s="49" t="str">
        <f>'Calcular Dieta'!BL33</f>
        <v/>
      </c>
      <c r="G29" s="24" t="str">
        <f t="shared" si="0"/>
        <v/>
      </c>
      <c r="H29" s="65">
        <v>25</v>
      </c>
      <c r="I29" s="65" t="e">
        <f t="shared" si="1"/>
        <v>#NUM!</v>
      </c>
      <c r="J29" s="19" t="str">
        <f t="shared" si="2"/>
        <v/>
      </c>
      <c r="K29" s="21" t="str">
        <f t="shared" ref="K29" si="18">IFERROR(INDEX($C$5:$C$29,MATCH(I29,$G$5:$G$29,0)),"")</f>
        <v/>
      </c>
      <c r="L29" s="22" t="str">
        <f t="shared" ref="L29" si="19">IFERROR(INDEX($D$5:$D$29,MATCH(I29,$G$5:$G$29,0)),"")</f>
        <v/>
      </c>
      <c r="M29" s="50" t="str">
        <f t="shared" si="5"/>
        <v/>
      </c>
      <c r="AA29" s="59">
        <v>25</v>
      </c>
      <c r="AB29" s="591" t="str">
        <f>IF(IFERROR((Atendimento!I31)+ROW()/1000000,"-")="-","-",AA29)</f>
        <v>-</v>
      </c>
      <c r="AC29" s="590" t="str">
        <f>Atendimento!C31</f>
        <v>I</v>
      </c>
      <c r="AD29" s="589" t="str">
        <f t="shared" si="9"/>
        <v>-</v>
      </c>
      <c r="AE29" s="592" t="str">
        <f t="shared" si="12"/>
        <v>-</v>
      </c>
      <c r="AF29" s="59" t="str">
        <f t="shared" si="10"/>
        <v>-</v>
      </c>
      <c r="AG29" s="595" t="str">
        <f>IF(AD29="-","-",ROUND(INDEX(Atendimento!$I$7:$I$51,MATCH(AE29,Atendimento!$C$7:$C$51,0)),2))</f>
        <v>-</v>
      </c>
      <c r="AH29" s="59" t="str">
        <f>IF(OR(AG29=0,AG29="-"),"-",INDEX(Atendimento!$D$7:$D$51,MATCH(AE29,Atendimento!$C$7:$C$51,0)))</f>
        <v>-</v>
      </c>
      <c r="AI29" s="59" t="str">
        <f>IF(OR(AG29=0,AG29="-"),"-",INDEX(Atendimento!$N$7:$N$51,MATCH(AE29,Atendimento!$C$7:$C$51,0)))</f>
        <v>-</v>
      </c>
      <c r="AJ29" s="59" t="str">
        <f>IF(OR(AG29=0,AG29="-"),"-",INDEX(Atendimento!$O$7:$O$51,MATCH(AE29,Atendimento!$C$7:$C$51,0)))</f>
        <v>-</v>
      </c>
      <c r="AK29" s="59" t="str">
        <f>IF(OR(AG29=0,AG29="-"),"-",INDEX(Atendimento!$P$7:$P$51,MATCH(AE29,Atendimento!$C$7:$C$51,0)))</f>
        <v>-</v>
      </c>
      <c r="AL29" s="59" t="str">
        <f>IFERROR(INDEX(Atendimento!$K$67:$K$111,MATCH(AE29,Atendimento!$C$67:$C$111,0)),"-")</f>
        <v>-</v>
      </c>
    </row>
    <row r="30" spans="2:38" ht="15">
      <c r="AA30" s="59">
        <v>26</v>
      </c>
      <c r="AB30" s="591" t="str">
        <f>IF(IFERROR((Atendimento!I32)+ROW()/1000000,"-")="-","-",AA30)</f>
        <v>-</v>
      </c>
      <c r="AC30" s="590" t="str">
        <f>Atendimento!C32</f>
        <v>Co</v>
      </c>
      <c r="AD30" s="589" t="str">
        <f t="shared" si="9"/>
        <v>-</v>
      </c>
      <c r="AE30" s="592" t="str">
        <f t="shared" si="12"/>
        <v>-</v>
      </c>
      <c r="AF30" s="59" t="str">
        <f t="shared" si="10"/>
        <v>-</v>
      </c>
      <c r="AG30" s="595" t="str">
        <f>IF(AD30="-","-",ROUND(INDEX(Atendimento!$I$7:$I$51,MATCH(AE30,Atendimento!$C$7:$C$51,0)),2))</f>
        <v>-</v>
      </c>
      <c r="AH30" s="59" t="str">
        <f>IF(OR(AG30=0,AG30="-"),"-",INDEX(Atendimento!$D$7:$D$51,MATCH(AE30,Atendimento!$C$7:$C$51,0)))</f>
        <v>-</v>
      </c>
      <c r="AI30" s="59" t="str">
        <f>IF(OR(AG30=0,AG30="-"),"-",INDEX(Atendimento!$N$7:$N$51,MATCH(AE30,Atendimento!$C$7:$C$51,0)))</f>
        <v>-</v>
      </c>
      <c r="AJ30" s="59" t="str">
        <f>IF(OR(AG30=0,AG30="-"),"-",INDEX(Atendimento!$O$7:$O$51,MATCH(AE30,Atendimento!$C$7:$C$51,0)))</f>
        <v>-</v>
      </c>
      <c r="AK30" s="59" t="str">
        <f>IF(OR(AG30=0,AG30="-"),"-",INDEX(Atendimento!$P$7:$P$51,MATCH(AE30,Atendimento!$C$7:$C$51,0)))</f>
        <v>-</v>
      </c>
      <c r="AL30" s="59" t="str">
        <f>IFERROR(INDEX(Atendimento!$K$67:$K$111,MATCH(AE30,Atendimento!$C$67:$C$111,0)),"-")</f>
        <v>-</v>
      </c>
    </row>
    <row r="31" spans="2:38" ht="15">
      <c r="J31" s="4">
        <v>0</v>
      </c>
      <c r="M31" s="4">
        <v>0</v>
      </c>
      <c r="N31" s="4">
        <v>0</v>
      </c>
      <c r="AA31" s="59">
        <v>27</v>
      </c>
      <c r="AB31" s="591" t="str">
        <f>IF(IFERROR((Atendimento!I33)+ROW()/1000000,"-")="-","-",AA31)</f>
        <v>-</v>
      </c>
      <c r="AC31" s="590" t="str">
        <f>Atendimento!C33</f>
        <v>Se</v>
      </c>
      <c r="AD31" s="589" t="str">
        <f t="shared" si="9"/>
        <v>-</v>
      </c>
      <c r="AE31" s="592" t="str">
        <f t="shared" si="12"/>
        <v>-</v>
      </c>
      <c r="AF31" s="59" t="str">
        <f t="shared" si="10"/>
        <v>-</v>
      </c>
      <c r="AG31" s="595" t="str">
        <f>IF(AD31="-","-",ROUND(INDEX(Atendimento!$I$7:$I$51,MATCH(AE31,Atendimento!$C$7:$C$51,0)),2))</f>
        <v>-</v>
      </c>
      <c r="AH31" s="59" t="str">
        <f>IF(OR(AG31=0,AG31="-"),"-",INDEX(Atendimento!$D$7:$D$51,MATCH(AE31,Atendimento!$C$7:$C$51,0)))</f>
        <v>-</v>
      </c>
      <c r="AI31" s="59" t="str">
        <f>IF(OR(AG31=0,AG31="-"),"-",INDEX(Atendimento!$N$7:$N$51,MATCH(AE31,Atendimento!$C$7:$C$51,0)))</f>
        <v>-</v>
      </c>
      <c r="AJ31" s="59" t="str">
        <f>IF(OR(AG31=0,AG31="-"),"-",INDEX(Atendimento!$O$7:$O$51,MATCH(AE31,Atendimento!$C$7:$C$51,0)))</f>
        <v>-</v>
      </c>
      <c r="AK31" s="59" t="str">
        <f>IF(OR(AG31=0,AG31="-"),"-",INDEX(Atendimento!$P$7:$P$51,MATCH(AE31,Atendimento!$C$7:$C$51,0)))</f>
        <v>-</v>
      </c>
      <c r="AL31" s="59" t="str">
        <f>IFERROR(INDEX(Atendimento!$K$67:$K$111,MATCH(AE31,Atendimento!$C$67:$C$111,0)),"-")</f>
        <v>-</v>
      </c>
    </row>
    <row r="32" spans="2:38" ht="15">
      <c r="AA32" s="59">
        <v>28</v>
      </c>
      <c r="AB32" s="591" t="str">
        <f>IF(IFERROR((Atendimento!I34)+ROW()/1000000,"-")="-","-",AA32)</f>
        <v>-</v>
      </c>
      <c r="AC32" s="590" t="str">
        <f>Atendimento!C34</f>
        <v>Lis</v>
      </c>
      <c r="AD32" s="589" t="str">
        <f t="shared" si="9"/>
        <v>-</v>
      </c>
      <c r="AE32" s="592" t="str">
        <f t="shared" si="12"/>
        <v>-</v>
      </c>
      <c r="AF32" s="59" t="str">
        <f t="shared" si="10"/>
        <v>-</v>
      </c>
      <c r="AG32" s="595" t="str">
        <f>IF(AD32="-","-",ROUND(INDEX(Atendimento!$I$7:$I$51,MATCH(AE32,Atendimento!$C$7:$C$51,0)),2))</f>
        <v>-</v>
      </c>
      <c r="AH32" s="59" t="str">
        <f>IF(OR(AG32=0,AG32="-"),"-",INDEX(Atendimento!$D$7:$D$51,MATCH(AE32,Atendimento!$C$7:$C$51,0)))</f>
        <v>-</v>
      </c>
      <c r="AI32" s="59" t="str">
        <f>IF(OR(AG32=0,AG32="-"),"-",INDEX(Atendimento!$N$7:$N$51,MATCH(AE32,Atendimento!$C$7:$C$51,0)))</f>
        <v>-</v>
      </c>
      <c r="AJ32" s="59" t="str">
        <f>IF(OR(AG32=0,AG32="-"),"-",INDEX(Atendimento!$O$7:$O$51,MATCH(AE32,Atendimento!$C$7:$C$51,0)))</f>
        <v>-</v>
      </c>
      <c r="AK32" s="59" t="str">
        <f>IF(OR(AG32=0,AG32="-"),"-",INDEX(Atendimento!$P$7:$P$51,MATCH(AE32,Atendimento!$C$7:$C$51,0)))</f>
        <v>-</v>
      </c>
      <c r="AL32" s="59" t="str">
        <f>IFERROR(INDEX(Atendimento!$K$67:$K$111,MATCH(AE32,Atendimento!$C$67:$C$111,0)),"-")</f>
        <v>-</v>
      </c>
    </row>
    <row r="33" spans="2:38" ht="30">
      <c r="B33" s="6" t="s">
        <v>74</v>
      </c>
      <c r="C33" s="5" t="s">
        <v>62</v>
      </c>
      <c r="D33" s="5" t="s">
        <v>63</v>
      </c>
      <c r="E33" s="5" t="s">
        <v>64</v>
      </c>
      <c r="F33" s="20" t="s">
        <v>81</v>
      </c>
      <c r="G33" s="7" t="s">
        <v>76</v>
      </c>
      <c r="J33" s="6" t="s">
        <v>74</v>
      </c>
      <c r="K33" s="5" t="s">
        <v>62</v>
      </c>
      <c r="L33" s="5" t="s">
        <v>63</v>
      </c>
      <c r="M33" s="7" t="s">
        <v>64</v>
      </c>
      <c r="AA33" s="59">
        <v>29</v>
      </c>
      <c r="AB33" s="591" t="str">
        <f>IF(IFERROR((Atendimento!I35)+ROW()/1000000,"-")="-","-",AA33)</f>
        <v>-</v>
      </c>
      <c r="AC33" s="590" t="str">
        <f>Atendimento!C35</f>
        <v>Met</v>
      </c>
      <c r="AD33" s="589" t="str">
        <f t="shared" si="9"/>
        <v>-</v>
      </c>
      <c r="AE33" s="592" t="str">
        <f t="shared" si="12"/>
        <v>-</v>
      </c>
      <c r="AF33" s="59" t="str">
        <f t="shared" si="10"/>
        <v>-</v>
      </c>
      <c r="AG33" s="595" t="str">
        <f>IF(AD33="-","-",ROUND(INDEX(Atendimento!$I$7:$I$51,MATCH(AE33,Atendimento!$C$7:$C$51,0)),2))</f>
        <v>-</v>
      </c>
      <c r="AH33" s="59" t="str">
        <f>IF(OR(AG33=0,AG33="-"),"-",INDEX(Atendimento!$D$7:$D$51,MATCH(AE33,Atendimento!$C$7:$C$51,0)))</f>
        <v>-</v>
      </c>
      <c r="AI33" s="59" t="str">
        <f>IF(OR(AG33=0,AG33="-"),"-",INDEX(Atendimento!$N$7:$N$51,MATCH(AE33,Atendimento!$C$7:$C$51,0)))</f>
        <v>-</v>
      </c>
      <c r="AJ33" s="59" t="str">
        <f>IF(OR(AG33=0,AG33="-"),"-",INDEX(Atendimento!$O$7:$O$51,MATCH(AE33,Atendimento!$C$7:$C$51,0)))</f>
        <v>-</v>
      </c>
      <c r="AK33" s="59" t="str">
        <f>IF(OR(AG33=0,AG33="-"),"-",INDEX(Atendimento!$P$7:$P$51,MATCH(AE33,Atendimento!$C$7:$C$51,0)))</f>
        <v>-</v>
      </c>
      <c r="AL33" s="59" t="str">
        <f>IFERROR(INDEX(Atendimento!$K$67:$K$111,MATCH(AE33,Atendimento!$C$67:$C$111,0)),"-")</f>
        <v>-</v>
      </c>
    </row>
    <row r="34" spans="2:38" ht="15">
      <c r="B34" s="19">
        <f>IF($F34=0,0,B5)</f>
        <v>0</v>
      </c>
      <c r="C34" s="21">
        <f>IF($F34=0,0,C5)</f>
        <v>0</v>
      </c>
      <c r="D34" s="22">
        <f>IF($F34=0,0,D5)</f>
        <v>0</v>
      </c>
      <c r="E34" s="23">
        <f>IF($F34=0,0,E5)</f>
        <v>0</v>
      </c>
      <c r="F34" s="48">
        <f>IF(F5="Volumoso",0,F5)</f>
        <v>0</v>
      </c>
      <c r="G34" s="24" t="str">
        <f>IF(C34=0,"",IF(B34=0,0,C34+(ROW()/10000000)))</f>
        <v/>
      </c>
      <c r="H34" s="65">
        <v>1</v>
      </c>
      <c r="I34" s="65">
        <f>LARGE($G$34:$G$58,H34)</f>
        <v>0.45378420742781606</v>
      </c>
      <c r="J34" s="19" t="str">
        <f>IFERROR(INDEX($B$34:$B$58,MATCH(I34,$G$34:$G$58,0)),"")</f>
        <v>Fosfato Bicálcico</v>
      </c>
      <c r="K34" s="21">
        <f>IFERROR(INDEX($C$34:$C$58,MATCH(I34,$G$34:$G$58,0)),"")</f>
        <v>0.45378000742781605</v>
      </c>
      <c r="L34" s="22">
        <f>IFERROR(INDEX($D$34:$D$58,MATCH(I34,$G$34:$G$58,0)),"")</f>
        <v>1</v>
      </c>
      <c r="M34" s="50">
        <f>IFERROR(INDEX($E$34:$E$58,MATCH(I34,$G$34:$G$58,0)),"")</f>
        <v>0.45378000742781605</v>
      </c>
      <c r="AA34" s="59">
        <v>30</v>
      </c>
      <c r="AB34" s="591" t="str">
        <f>IF(IFERROR((Atendimento!I36)+ROW()/1000000,"-")="-","-",AA34)</f>
        <v>-</v>
      </c>
      <c r="AC34" s="590" t="str">
        <f>Atendimento!C36</f>
        <v>Mon</v>
      </c>
      <c r="AD34" s="589" t="str">
        <f t="shared" si="9"/>
        <v>-</v>
      </c>
      <c r="AE34" s="592" t="str">
        <f t="shared" si="12"/>
        <v>-</v>
      </c>
      <c r="AF34" s="59" t="str">
        <f t="shared" si="10"/>
        <v>-</v>
      </c>
      <c r="AG34" s="595" t="str">
        <f>IF(AD34="-","-",ROUND(INDEX(Atendimento!$I$7:$I$51,MATCH(AE34,Atendimento!$C$7:$C$51,0)),2))</f>
        <v>-</v>
      </c>
      <c r="AH34" s="59" t="str">
        <f>IF(OR(AG34=0,AG34="-"),"-",INDEX(Atendimento!$D$7:$D$51,MATCH(AE34,Atendimento!$C$7:$C$51,0)))</f>
        <v>-</v>
      </c>
      <c r="AI34" s="59" t="str">
        <f>IF(OR(AG34=0,AG34="-"),"-",INDEX(Atendimento!$N$7:$N$51,MATCH(AE34,Atendimento!$C$7:$C$51,0)))</f>
        <v>-</v>
      </c>
      <c r="AJ34" s="59" t="str">
        <f>IF(OR(AG34=0,AG34="-"),"-",INDEX(Atendimento!$O$7:$O$51,MATCH(AE34,Atendimento!$C$7:$C$51,0)))</f>
        <v>-</v>
      </c>
      <c r="AK34" s="59" t="str">
        <f>IF(OR(AG34=0,AG34="-"),"-",INDEX(Atendimento!$P$7:$P$51,MATCH(AE34,Atendimento!$C$7:$C$51,0)))</f>
        <v>-</v>
      </c>
      <c r="AL34" s="59" t="str">
        <f>IFERROR(INDEX(Atendimento!$K$67:$K$111,MATCH(AE34,Atendimento!$C$67:$C$111,0)),"-")</f>
        <v>-</v>
      </c>
    </row>
    <row r="35" spans="2:38" ht="15">
      <c r="B35" s="19" t="str">
        <f t="shared" ref="B35:E35" si="20">IF($F35=0,0,B6)</f>
        <v>Cloreto de Potássio</v>
      </c>
      <c r="C35" s="21">
        <f t="shared" si="20"/>
        <v>0.27925956377726013</v>
      </c>
      <c r="D35" s="22">
        <f t="shared" si="20"/>
        <v>1</v>
      </c>
      <c r="E35" s="23">
        <f t="shared" si="20"/>
        <v>0.27925956377726013</v>
      </c>
      <c r="F35" s="48" t="str">
        <f t="shared" ref="F35:F58" si="21">IF(F6="Volumoso",0,F6)</f>
        <v>Concentrado</v>
      </c>
      <c r="G35" s="24">
        <f t="shared" ref="G35:G58" si="22">IF(C35=0,"",IF(B35=0,0,C35+(ROW()/10000000)))</f>
        <v>0.27926306377726012</v>
      </c>
      <c r="H35" s="65">
        <v>2</v>
      </c>
      <c r="I35" s="65">
        <f t="shared" ref="I35:I58" si="23">LARGE($G$34:$G$58,H35)</f>
        <v>0.27926306377726012</v>
      </c>
      <c r="J35" s="19" t="str">
        <f t="shared" ref="J35:J58" si="24">IFERROR(INDEX($B$34:$B$58,MATCH(I35,$G$34:$G$58,0)),"")</f>
        <v>Cloreto de Potássio</v>
      </c>
      <c r="K35" s="21">
        <f t="shared" ref="K35:K58" si="25">IFERROR(INDEX($C$34:$C$58,MATCH(I35,$G$34:$G$58,0)),"")</f>
        <v>0.27925956377726013</v>
      </c>
      <c r="L35" s="22">
        <f t="shared" ref="L35:L58" si="26">IFERROR(INDEX($D$34:$D$58,MATCH(I35,$G$34:$G$58,0)),"")</f>
        <v>1</v>
      </c>
      <c r="M35" s="50">
        <f t="shared" ref="M35:M58" si="27">IFERROR(INDEX($E$34:$E$58,MATCH(I35,$G$34:$G$58,0)),"")</f>
        <v>0.27925956377726013</v>
      </c>
      <c r="AA35" s="59">
        <v>31</v>
      </c>
      <c r="AB35" s="591" t="str">
        <f>IF(IFERROR((Atendimento!I37)+ROW()/1000000,"-")="-","-",AA35)</f>
        <v>-</v>
      </c>
      <c r="AC35" s="590" t="str">
        <f>Atendimento!C37</f>
        <v>Vit A</v>
      </c>
      <c r="AD35" s="589" t="str">
        <f t="shared" si="9"/>
        <v>-</v>
      </c>
      <c r="AE35" s="592" t="str">
        <f t="shared" si="12"/>
        <v>-</v>
      </c>
      <c r="AF35" s="59" t="str">
        <f t="shared" si="10"/>
        <v>-</v>
      </c>
      <c r="AG35" s="595" t="str">
        <f>IF(AD35="-","-",ROUND(INDEX(Atendimento!$I$7:$I$51,MATCH(AE35,Atendimento!$C$7:$C$51,0)),2))</f>
        <v>-</v>
      </c>
      <c r="AH35" s="59" t="str">
        <f>IF(OR(AG35=0,AG35="-"),"-",INDEX(Atendimento!$D$7:$D$51,MATCH(AE35,Atendimento!$C$7:$C$51,0)))</f>
        <v>-</v>
      </c>
      <c r="AI35" s="59" t="str">
        <f>IF(OR(AG35=0,AG35="-"),"-",INDEX(Atendimento!$N$7:$N$51,MATCH(AE35,Atendimento!$C$7:$C$51,0)))</f>
        <v>-</v>
      </c>
      <c r="AJ35" s="59" t="str">
        <f>IF(OR(AG35=0,AG35="-"),"-",INDEX(Atendimento!$O$7:$O$51,MATCH(AE35,Atendimento!$C$7:$C$51,0)))</f>
        <v>-</v>
      </c>
      <c r="AK35" s="59" t="str">
        <f>IF(OR(AG35=0,AG35="-"),"-",INDEX(Atendimento!$P$7:$P$51,MATCH(AE35,Atendimento!$C$7:$C$51,0)))</f>
        <v>-</v>
      </c>
      <c r="AL35" s="59" t="str">
        <f>IFERROR(INDEX(Atendimento!$K$67:$K$111,MATCH(AE35,Atendimento!$C$67:$C$111,0)),"-")</f>
        <v>-</v>
      </c>
    </row>
    <row r="36" spans="2:38" ht="15">
      <c r="B36" s="19" t="str">
        <f t="shared" ref="B36:E36" si="28">IF($F36=0,0,B7)</f>
        <v>Sulfato de Zinco</v>
      </c>
      <c r="C36" s="21">
        <f t="shared" si="28"/>
        <v>5.1306038761938788E-3</v>
      </c>
      <c r="D36" s="22">
        <f t="shared" si="28"/>
        <v>1</v>
      </c>
      <c r="E36" s="23">
        <f t="shared" si="28"/>
        <v>5.1306038761938788E-3</v>
      </c>
      <c r="F36" s="48" t="str">
        <f t="shared" si="21"/>
        <v>Concentrado</v>
      </c>
      <c r="G36" s="24">
        <f t="shared" si="22"/>
        <v>5.1342038761938791E-3</v>
      </c>
      <c r="H36" s="65">
        <v>3</v>
      </c>
      <c r="I36" s="65">
        <f t="shared" si="23"/>
        <v>0.12002118460773538</v>
      </c>
      <c r="J36" s="19" t="str">
        <f t="shared" si="24"/>
        <v>Sal Comum (NaCl)</v>
      </c>
      <c r="K36" s="21">
        <f t="shared" si="25"/>
        <v>0.12001638460773538</v>
      </c>
      <c r="L36" s="22">
        <f t="shared" si="26"/>
        <v>1.5</v>
      </c>
      <c r="M36" s="50">
        <f t="shared" si="27"/>
        <v>0.18002457691160306</v>
      </c>
      <c r="AA36" s="59">
        <v>32</v>
      </c>
      <c r="AB36" s="591" t="str">
        <f>IF(IFERROR((Atendimento!I38)+ROW()/1000000,"-")="-","-",AA36)</f>
        <v>-</v>
      </c>
      <c r="AC36" s="590" t="str">
        <f>Atendimento!C38</f>
        <v>Vit B (UI)</v>
      </c>
      <c r="AD36" s="589" t="str">
        <f t="shared" si="9"/>
        <v>-</v>
      </c>
      <c r="AE36" s="592" t="str">
        <f t="shared" si="12"/>
        <v>-</v>
      </c>
      <c r="AF36" s="59" t="str">
        <f t="shared" si="10"/>
        <v>-</v>
      </c>
      <c r="AG36" s="595" t="str">
        <f>IF(AD36="-","-",ROUND(INDEX(Atendimento!$I$7:$I$51,MATCH(AE36,Atendimento!$C$7:$C$51,0)),2))</f>
        <v>-</v>
      </c>
      <c r="AH36" s="59" t="str">
        <f>IF(OR(AG36=0,AG36="-"),"-",INDEX(Atendimento!$D$7:$D$51,MATCH(AE36,Atendimento!$C$7:$C$51,0)))</f>
        <v>-</v>
      </c>
      <c r="AI36" s="59" t="str">
        <f>IF(OR(AG36=0,AG36="-"),"-",INDEX(Atendimento!$N$7:$N$51,MATCH(AE36,Atendimento!$C$7:$C$51,0)))</f>
        <v>-</v>
      </c>
      <c r="AJ36" s="59" t="str">
        <f>IF(OR(AG36=0,AG36="-"),"-",INDEX(Atendimento!$O$7:$O$51,MATCH(AE36,Atendimento!$C$7:$C$51,0)))</f>
        <v>-</v>
      </c>
      <c r="AK36" s="59" t="str">
        <f>IF(OR(AG36=0,AG36="-"),"-",INDEX(Atendimento!$P$7:$P$51,MATCH(AE36,Atendimento!$C$7:$C$51,0)))</f>
        <v>-</v>
      </c>
      <c r="AL36" s="59" t="str">
        <f>IFERROR(INDEX(Atendimento!$K$67:$K$111,MATCH(AE36,Atendimento!$C$67:$C$111,0)),"-")</f>
        <v>-</v>
      </c>
    </row>
    <row r="37" spans="2:38" ht="15">
      <c r="B37" s="19" t="str">
        <f t="shared" ref="B37:E37" si="29">IF($F37=0,0,B8)</f>
        <v>Sulfato de Manganês</v>
      </c>
      <c r="C37" s="21">
        <f t="shared" si="29"/>
        <v>1.5413975575876851E-3</v>
      </c>
      <c r="D37" s="22">
        <f t="shared" si="29"/>
        <v>1</v>
      </c>
      <c r="E37" s="23">
        <f t="shared" si="29"/>
        <v>1.5413975575876851E-3</v>
      </c>
      <c r="F37" s="48" t="str">
        <f t="shared" si="21"/>
        <v>Concentrado</v>
      </c>
      <c r="G37" s="24">
        <f t="shared" si="22"/>
        <v>1.5450975575876851E-3</v>
      </c>
      <c r="H37" s="65">
        <v>4</v>
      </c>
      <c r="I37" s="65">
        <f t="shared" si="23"/>
        <v>5.6818169403672375E-2</v>
      </c>
      <c r="J37" s="19" t="str">
        <f t="shared" si="24"/>
        <v>Sulfato Magnésio</v>
      </c>
      <c r="K37" s="21">
        <f t="shared" si="25"/>
        <v>5.6813469403672372E-2</v>
      </c>
      <c r="L37" s="22">
        <f t="shared" si="26"/>
        <v>1</v>
      </c>
      <c r="M37" s="50">
        <f t="shared" si="27"/>
        <v>5.6813469403672372E-2</v>
      </c>
      <c r="AA37" s="59">
        <v>33</v>
      </c>
      <c r="AB37" s="591" t="str">
        <f>IF(IFERROR((Atendimento!I39)+ROW()/1000000,"-")="-","-",AA37)</f>
        <v>-</v>
      </c>
      <c r="AC37" s="590" t="str">
        <f>Atendimento!C39</f>
        <v>Vit D (UI)</v>
      </c>
      <c r="AD37" s="589" t="str">
        <f t="shared" si="9"/>
        <v>-</v>
      </c>
      <c r="AE37" s="592" t="str">
        <f t="shared" si="12"/>
        <v>-</v>
      </c>
      <c r="AF37" s="59" t="str">
        <f t="shared" si="10"/>
        <v>-</v>
      </c>
      <c r="AG37" s="595" t="str">
        <f>IF(AD37="-","-",ROUND(INDEX(Atendimento!$I$7:$I$51,MATCH(AE37,Atendimento!$C$7:$C$51,0)),2))</f>
        <v>-</v>
      </c>
      <c r="AH37" s="59" t="str">
        <f>IF(OR(AG37=0,AG37="-"),"-",INDEX(Atendimento!$D$7:$D$51,MATCH(AE37,Atendimento!$C$7:$C$51,0)))</f>
        <v>-</v>
      </c>
      <c r="AI37" s="59" t="str">
        <f>IF(OR(AG37=0,AG37="-"),"-",INDEX(Atendimento!$N$7:$N$51,MATCH(AE37,Atendimento!$C$7:$C$51,0)))</f>
        <v>-</v>
      </c>
      <c r="AJ37" s="59" t="str">
        <f>IF(OR(AG37=0,AG37="-"),"-",INDEX(Atendimento!$O$7:$O$51,MATCH(AE37,Atendimento!$C$7:$C$51,0)))</f>
        <v>-</v>
      </c>
      <c r="AK37" s="59" t="str">
        <f>IF(OR(AG37=0,AG37="-"),"-",INDEX(Atendimento!$P$7:$P$51,MATCH(AE37,Atendimento!$C$7:$C$51,0)))</f>
        <v>-</v>
      </c>
      <c r="AL37" s="59" t="str">
        <f>IFERROR(INDEX(Atendimento!$K$67:$K$111,MATCH(AE37,Atendimento!$C$67:$C$111,0)),"-")</f>
        <v>-</v>
      </c>
    </row>
    <row r="38" spans="2:38" ht="15">
      <c r="B38" s="19" t="str">
        <f t="shared" ref="B38:E38" si="30">IF($F38=0,0,B9)</f>
        <v>Calcário Calcítico</v>
      </c>
      <c r="C38" s="21">
        <f t="shared" si="30"/>
        <v>0</v>
      </c>
      <c r="D38" s="22">
        <f t="shared" si="30"/>
        <v>1</v>
      </c>
      <c r="E38" s="23">
        <f t="shared" si="30"/>
        <v>0</v>
      </c>
      <c r="F38" s="48" t="str">
        <f t="shared" si="21"/>
        <v>Concentrado</v>
      </c>
      <c r="G38" s="24" t="str">
        <f t="shared" si="22"/>
        <v/>
      </c>
      <c r="H38" s="65">
        <v>5</v>
      </c>
      <c r="I38" s="65">
        <f t="shared" si="23"/>
        <v>4.4845044671800026E-2</v>
      </c>
      <c r="J38" s="19" t="str">
        <f t="shared" si="24"/>
        <v>Óxido de Magnésio</v>
      </c>
      <c r="K38" s="21">
        <f t="shared" si="25"/>
        <v>4.4841144671800025E-2</v>
      </c>
      <c r="L38" s="22">
        <f t="shared" si="26"/>
        <v>1</v>
      </c>
      <c r="M38" s="50">
        <f t="shared" si="27"/>
        <v>4.4841144671800025E-2</v>
      </c>
      <c r="AA38" s="59">
        <v>34</v>
      </c>
      <c r="AB38" s="591" t="str">
        <f>IF(IFERROR((Atendimento!I40)+ROW()/1000000,"-")="-","-",AA38)</f>
        <v>-</v>
      </c>
      <c r="AC38" s="590" t="str">
        <f>Atendimento!C40</f>
        <v>Vit E (UI)</v>
      </c>
      <c r="AD38" s="589" t="str">
        <f t="shared" si="9"/>
        <v>-</v>
      </c>
      <c r="AE38" s="592" t="str">
        <f t="shared" si="12"/>
        <v>-</v>
      </c>
      <c r="AF38" s="59" t="str">
        <f t="shared" si="10"/>
        <v>-</v>
      </c>
      <c r="AG38" s="595" t="str">
        <f>IF(AD38="-","-",ROUND(INDEX(Atendimento!$I$7:$I$51,MATCH(AE38,Atendimento!$C$7:$C$51,0)),2))</f>
        <v>-</v>
      </c>
      <c r="AH38" s="59" t="str">
        <f>IF(OR(AG38=0,AG38="-"),"-",INDEX(Atendimento!$D$7:$D$51,MATCH(AE38,Atendimento!$C$7:$C$51,0)))</f>
        <v>-</v>
      </c>
      <c r="AI38" s="59" t="str">
        <f>IF(OR(AG38=0,AG38="-"),"-",INDEX(Atendimento!$N$7:$N$51,MATCH(AE38,Atendimento!$C$7:$C$51,0)))</f>
        <v>-</v>
      </c>
      <c r="AJ38" s="59" t="str">
        <f>IF(OR(AG38=0,AG38="-"),"-",INDEX(Atendimento!$O$7:$O$51,MATCH(AE38,Atendimento!$C$7:$C$51,0)))</f>
        <v>-</v>
      </c>
      <c r="AK38" s="59" t="str">
        <f>IF(OR(AG38=0,AG38="-"),"-",INDEX(Atendimento!$P$7:$P$51,MATCH(AE38,Atendimento!$C$7:$C$51,0)))</f>
        <v>-</v>
      </c>
      <c r="AL38" s="59" t="str">
        <f>IFERROR(INDEX(Atendimento!$K$67:$K$111,MATCH(AE38,Atendimento!$C$67:$C$111,0)),"-")</f>
        <v>-</v>
      </c>
    </row>
    <row r="39" spans="2:38" ht="15">
      <c r="B39" s="19" t="str">
        <f t="shared" ref="B39:E39" si="31">IF($F39=0,0,B10)</f>
        <v>Óxido de Magnésio</v>
      </c>
      <c r="C39" s="21">
        <f t="shared" si="31"/>
        <v>4.4841144671800025E-2</v>
      </c>
      <c r="D39" s="22">
        <f t="shared" si="31"/>
        <v>1</v>
      </c>
      <c r="E39" s="23">
        <f t="shared" si="31"/>
        <v>4.4841144671800025E-2</v>
      </c>
      <c r="F39" s="48" t="str">
        <f t="shared" si="21"/>
        <v>Concentrado</v>
      </c>
      <c r="G39" s="24">
        <f t="shared" si="22"/>
        <v>4.4845044671800026E-2</v>
      </c>
      <c r="H39" s="65">
        <v>6</v>
      </c>
      <c r="I39" s="65">
        <f t="shared" si="23"/>
        <v>3.7044048276730156E-2</v>
      </c>
      <c r="J39" s="19" t="str">
        <f t="shared" si="24"/>
        <v xml:space="preserve">Flor de S </v>
      </c>
      <c r="K39" s="21">
        <f t="shared" si="25"/>
        <v>3.7039948276730156E-2</v>
      </c>
      <c r="L39" s="22">
        <f t="shared" si="26"/>
        <v>1</v>
      </c>
      <c r="M39" s="50">
        <f t="shared" si="27"/>
        <v>3.7039948276730156E-2</v>
      </c>
      <c r="AA39" s="59">
        <v>35</v>
      </c>
      <c r="AB39" s="591" t="str">
        <f>IF(IFERROR((Atendimento!I41)+ROW()/1000000,"-")="-","-",AA39)</f>
        <v>-</v>
      </c>
      <c r="AC39" s="590" t="str">
        <f>Atendimento!C41</f>
        <v>Novo 01</v>
      </c>
      <c r="AD39" s="589" t="str">
        <f t="shared" si="9"/>
        <v>-</v>
      </c>
      <c r="AE39" s="592" t="str">
        <f t="shared" si="12"/>
        <v>-</v>
      </c>
      <c r="AF39" s="59" t="str">
        <f t="shared" si="10"/>
        <v>-</v>
      </c>
      <c r="AG39" s="595" t="str">
        <f>IF(AD39="-","-",ROUND(INDEX(Atendimento!$I$7:$I$51,MATCH(AE39,Atendimento!$C$7:$C$51,0)),2))</f>
        <v>-</v>
      </c>
      <c r="AH39" s="59" t="str">
        <f>IF(OR(AG39=0,AG39="-"),"-",INDEX(Atendimento!$D$7:$D$51,MATCH(AE39,Atendimento!$C$7:$C$51,0)))</f>
        <v>-</v>
      </c>
      <c r="AI39" s="59" t="str">
        <f>IF(OR(AG39=0,AG39="-"),"-",INDEX(Atendimento!$N$7:$N$51,MATCH(AE39,Atendimento!$C$7:$C$51,0)))</f>
        <v>-</v>
      </c>
      <c r="AJ39" s="59" t="str">
        <f>IF(OR(AG39=0,AG39="-"),"-",INDEX(Atendimento!$O$7:$O$51,MATCH(AE39,Atendimento!$C$7:$C$51,0)))</f>
        <v>-</v>
      </c>
      <c r="AK39" s="59" t="str">
        <f>IF(OR(AG39=0,AG39="-"),"-",INDEX(Atendimento!$P$7:$P$51,MATCH(AE39,Atendimento!$C$7:$C$51,0)))</f>
        <v>-</v>
      </c>
      <c r="AL39" s="59" t="str">
        <f>IFERROR(INDEX(Atendimento!$K$67:$K$111,MATCH(AE39,Atendimento!$C$67:$C$111,0)),"-")</f>
        <v>-</v>
      </c>
    </row>
    <row r="40" spans="2:38" ht="15">
      <c r="B40" s="19" t="str">
        <f t="shared" ref="B40:E40" si="32">IF($F40=0,0,B11)</f>
        <v>SULFATO COBRE</v>
      </c>
      <c r="C40" s="21">
        <f t="shared" si="32"/>
        <v>1.51002149765763E-3</v>
      </c>
      <c r="D40" s="22">
        <f t="shared" si="32"/>
        <v>1</v>
      </c>
      <c r="E40" s="23">
        <f t="shared" si="32"/>
        <v>1.51002149765763E-3</v>
      </c>
      <c r="F40" s="48" t="str">
        <f t="shared" si="21"/>
        <v>Concentrado</v>
      </c>
      <c r="G40" s="24">
        <f t="shared" si="22"/>
        <v>1.5140214976576301E-3</v>
      </c>
      <c r="H40" s="65">
        <v>7</v>
      </c>
      <c r="I40" s="65">
        <f t="shared" si="23"/>
        <v>5.1342038761938791E-3</v>
      </c>
      <c r="J40" s="19" t="str">
        <f t="shared" si="24"/>
        <v>Sulfato de Zinco</v>
      </c>
      <c r="K40" s="21">
        <f t="shared" si="25"/>
        <v>5.1306038761938788E-3</v>
      </c>
      <c r="L40" s="22">
        <f t="shared" si="26"/>
        <v>1</v>
      </c>
      <c r="M40" s="50">
        <f t="shared" si="27"/>
        <v>5.1306038761938788E-3</v>
      </c>
      <c r="AA40" s="59">
        <v>36</v>
      </c>
      <c r="AB40" s="591" t="str">
        <f>IF(IFERROR((Atendimento!I42)+ROW()/1000000,"-")="-","-",AA40)</f>
        <v>-</v>
      </c>
      <c r="AC40" s="590" t="str">
        <f>Atendimento!C42</f>
        <v>Novo 02</v>
      </c>
      <c r="AD40" s="589" t="str">
        <f t="shared" si="9"/>
        <v>-</v>
      </c>
      <c r="AE40" s="592" t="str">
        <f t="shared" si="12"/>
        <v>-</v>
      </c>
      <c r="AF40" s="59" t="str">
        <f t="shared" si="10"/>
        <v>-</v>
      </c>
      <c r="AG40" s="595" t="str">
        <f>IF(AD40="-","-",ROUND(INDEX(Atendimento!$I$7:$I$51,MATCH(AE40,Atendimento!$C$7:$C$51,0)),2))</f>
        <v>-</v>
      </c>
      <c r="AH40" s="59" t="str">
        <f>IF(OR(AG40=0,AG40="-"),"-",INDEX(Atendimento!$D$7:$D$51,MATCH(AE40,Atendimento!$C$7:$C$51,0)))</f>
        <v>-</v>
      </c>
      <c r="AI40" s="59" t="str">
        <f>IF(OR(AG40=0,AG40="-"),"-",INDEX(Atendimento!$N$7:$N$51,MATCH(AE40,Atendimento!$C$7:$C$51,0)))</f>
        <v>-</v>
      </c>
      <c r="AJ40" s="59" t="str">
        <f>IF(OR(AG40=0,AG40="-"),"-",INDEX(Atendimento!$O$7:$O$51,MATCH(AE40,Atendimento!$C$7:$C$51,0)))</f>
        <v>-</v>
      </c>
      <c r="AK40" s="59" t="str">
        <f>IF(OR(AG40=0,AG40="-"),"-",INDEX(Atendimento!$P$7:$P$51,MATCH(AE40,Atendimento!$C$7:$C$51,0)))</f>
        <v>-</v>
      </c>
      <c r="AL40" s="59" t="str">
        <f>IFERROR(INDEX(Atendimento!$K$67:$K$111,MATCH(AE40,Atendimento!$C$67:$C$111,0)),"-")</f>
        <v>-</v>
      </c>
    </row>
    <row r="41" spans="2:38" ht="15">
      <c r="B41" s="19" t="str">
        <f t="shared" ref="B41:E41" si="33">IF($F41=0,0,B12)</f>
        <v xml:space="preserve">Flor de S </v>
      </c>
      <c r="C41" s="21">
        <f t="shared" si="33"/>
        <v>3.7039948276730156E-2</v>
      </c>
      <c r="D41" s="22">
        <f t="shared" si="33"/>
        <v>1</v>
      </c>
      <c r="E41" s="23">
        <f t="shared" si="33"/>
        <v>3.7039948276730156E-2</v>
      </c>
      <c r="F41" s="48" t="str">
        <f t="shared" si="21"/>
        <v>Concentrado</v>
      </c>
      <c r="G41" s="24">
        <f t="shared" si="22"/>
        <v>3.7044048276730156E-2</v>
      </c>
      <c r="H41" s="65">
        <v>8</v>
      </c>
      <c r="I41" s="65">
        <f t="shared" si="23"/>
        <v>1.5450975575876851E-3</v>
      </c>
      <c r="J41" s="19" t="str">
        <f t="shared" si="24"/>
        <v>Sulfato de Manganês</v>
      </c>
      <c r="K41" s="21">
        <f t="shared" si="25"/>
        <v>1.5413975575876851E-3</v>
      </c>
      <c r="L41" s="22">
        <f t="shared" si="26"/>
        <v>1</v>
      </c>
      <c r="M41" s="50">
        <f t="shared" si="27"/>
        <v>1.5413975575876851E-3</v>
      </c>
      <c r="AA41" s="59">
        <v>37</v>
      </c>
      <c r="AB41" s="591" t="str">
        <f>IF(IFERROR((Atendimento!I43)+ROW()/1000000,"-")="-","-",AA41)</f>
        <v>-</v>
      </c>
      <c r="AC41" s="590" t="str">
        <f>Atendimento!C43</f>
        <v>Novo 03</v>
      </c>
      <c r="AD41" s="589" t="str">
        <f t="shared" si="9"/>
        <v>-</v>
      </c>
      <c r="AE41" s="592" t="str">
        <f t="shared" si="12"/>
        <v>-</v>
      </c>
      <c r="AF41" s="59" t="str">
        <f t="shared" si="10"/>
        <v>-</v>
      </c>
      <c r="AG41" s="595" t="str">
        <f>IF(AD41="-","-",ROUND(INDEX(Atendimento!$I$7:$I$51,MATCH(AE41,Atendimento!$C$7:$C$51,0)),2))</f>
        <v>-</v>
      </c>
      <c r="AH41" s="59" t="str">
        <f>IF(OR(AG41=0,AG41="-"),"-",INDEX(Atendimento!$D$7:$D$51,MATCH(AE41,Atendimento!$C$7:$C$51,0)))</f>
        <v>-</v>
      </c>
      <c r="AI41" s="59" t="str">
        <f>IF(OR(AG41=0,AG41="-"),"-",INDEX(Atendimento!$N$7:$N$51,MATCH(AE41,Atendimento!$C$7:$C$51,0)))</f>
        <v>-</v>
      </c>
      <c r="AJ41" s="59" t="str">
        <f>IF(OR(AG41=0,AG41="-"),"-",INDEX(Atendimento!$O$7:$O$51,MATCH(AE41,Atendimento!$C$7:$C$51,0)))</f>
        <v>-</v>
      </c>
      <c r="AK41" s="59" t="str">
        <f>IF(OR(AG41=0,AG41="-"),"-",INDEX(Atendimento!$P$7:$P$51,MATCH(AE41,Atendimento!$C$7:$C$51,0)))</f>
        <v>-</v>
      </c>
      <c r="AL41" s="59" t="str">
        <f>IFERROR(INDEX(Atendimento!$K$67:$K$111,MATCH(AE41,Atendimento!$C$67:$C$111,0)),"-")</f>
        <v>-</v>
      </c>
    </row>
    <row r="42" spans="2:38" ht="15">
      <c r="B42" s="19" t="str">
        <f t="shared" ref="B42:E42" si="34">IF($F42=0,0,B13)</f>
        <v>Fosfato Bicálcico</v>
      </c>
      <c r="C42" s="21">
        <f t="shared" si="34"/>
        <v>0.45378000742781605</v>
      </c>
      <c r="D42" s="22">
        <f t="shared" si="34"/>
        <v>1</v>
      </c>
      <c r="E42" s="23">
        <f t="shared" si="34"/>
        <v>0.45378000742781605</v>
      </c>
      <c r="F42" s="48" t="str">
        <f t="shared" si="21"/>
        <v>Concentrado</v>
      </c>
      <c r="G42" s="24">
        <f t="shared" si="22"/>
        <v>0.45378420742781606</v>
      </c>
      <c r="H42" s="65">
        <v>9</v>
      </c>
      <c r="I42" s="65">
        <f t="shared" si="23"/>
        <v>1.5140214976576301E-3</v>
      </c>
      <c r="J42" s="19" t="str">
        <f t="shared" si="24"/>
        <v>SULFATO COBRE</v>
      </c>
      <c r="K42" s="21">
        <f t="shared" si="25"/>
        <v>1.51002149765763E-3</v>
      </c>
      <c r="L42" s="22">
        <f t="shared" si="26"/>
        <v>1</v>
      </c>
      <c r="M42" s="50">
        <f t="shared" si="27"/>
        <v>1.51002149765763E-3</v>
      </c>
      <c r="AA42" s="59">
        <v>38</v>
      </c>
      <c r="AB42" s="591" t="str">
        <f>IF(IFERROR((Atendimento!I44)+ROW()/1000000,"-")="-","-",AA42)</f>
        <v>-</v>
      </c>
      <c r="AC42" s="590" t="str">
        <f>Atendimento!C44</f>
        <v>Novo 04</v>
      </c>
      <c r="AD42" s="589" t="str">
        <f t="shared" si="9"/>
        <v>-</v>
      </c>
      <c r="AE42" s="592" t="str">
        <f t="shared" si="12"/>
        <v>-</v>
      </c>
      <c r="AF42" s="59" t="str">
        <f t="shared" si="10"/>
        <v>-</v>
      </c>
      <c r="AG42" s="595" t="str">
        <f>IF(AD42="-","-",ROUND(INDEX(Atendimento!$I$7:$I$51,MATCH(AE42,Atendimento!$C$7:$C$51,0)),2))</f>
        <v>-</v>
      </c>
      <c r="AH42" s="59" t="str">
        <f>IF(OR(AG42=0,AG42="-"),"-",INDEX(Atendimento!$D$7:$D$51,MATCH(AE42,Atendimento!$C$7:$C$51,0)))</f>
        <v>-</v>
      </c>
      <c r="AI42" s="59" t="str">
        <f>IF(OR(AG42=0,AG42="-"),"-",INDEX(Atendimento!$N$7:$N$51,MATCH(AE42,Atendimento!$C$7:$C$51,0)))</f>
        <v>-</v>
      </c>
      <c r="AJ42" s="59" t="str">
        <f>IF(OR(AG42=0,AG42="-"),"-",INDEX(Atendimento!$O$7:$O$51,MATCH(AE42,Atendimento!$C$7:$C$51,0)))</f>
        <v>-</v>
      </c>
      <c r="AK42" s="59" t="str">
        <f>IF(OR(AG42=0,AG42="-"),"-",INDEX(Atendimento!$P$7:$P$51,MATCH(AE42,Atendimento!$C$7:$C$51,0)))</f>
        <v>-</v>
      </c>
      <c r="AL42" s="59" t="str">
        <f>IFERROR(INDEX(Atendimento!$K$67:$K$111,MATCH(AE42,Atendimento!$C$67:$C$111,0)),"-")</f>
        <v>-</v>
      </c>
    </row>
    <row r="43" spans="2:38" ht="15">
      <c r="B43" s="19" t="str">
        <f t="shared" ref="B43:E43" si="35">IF($F43=0,0,B14)</f>
        <v>Selenito de Sódio</v>
      </c>
      <c r="C43" s="21">
        <f t="shared" si="35"/>
        <v>1.7543859649122809E-5</v>
      </c>
      <c r="D43" s="22">
        <f t="shared" si="35"/>
        <v>45</v>
      </c>
      <c r="E43" s="23">
        <f t="shared" si="35"/>
        <v>7.8947368421052641E-4</v>
      </c>
      <c r="F43" s="48" t="str">
        <f t="shared" si="21"/>
        <v>Concentrado</v>
      </c>
      <c r="G43" s="24">
        <f t="shared" si="22"/>
        <v>2.1843859649122809E-5</v>
      </c>
      <c r="H43" s="65">
        <v>10</v>
      </c>
      <c r="I43" s="65">
        <f t="shared" si="23"/>
        <v>3.8126812816188868E-5</v>
      </c>
      <c r="J43" s="19" t="str">
        <f t="shared" si="24"/>
        <v>Iodato de Potássio</v>
      </c>
      <c r="K43" s="21">
        <f t="shared" si="25"/>
        <v>3.3726812816188869E-5</v>
      </c>
      <c r="L43" s="22">
        <f t="shared" si="26"/>
        <v>1</v>
      </c>
      <c r="M43" s="50">
        <f t="shared" si="27"/>
        <v>3.3726812816188869E-5</v>
      </c>
      <c r="AA43" s="59">
        <v>39</v>
      </c>
      <c r="AB43" s="591" t="str">
        <f>IF(IFERROR((Atendimento!I45)+ROW()/1000000,"-")="-","-",AA43)</f>
        <v>-</v>
      </c>
      <c r="AC43" s="590" t="str">
        <f>Atendimento!C45</f>
        <v>Novo 05</v>
      </c>
      <c r="AD43" s="589" t="str">
        <f t="shared" si="9"/>
        <v>-</v>
      </c>
      <c r="AE43" s="592" t="str">
        <f t="shared" si="12"/>
        <v>-</v>
      </c>
      <c r="AF43" s="59" t="str">
        <f t="shared" si="10"/>
        <v>-</v>
      </c>
      <c r="AG43" s="595" t="str">
        <f>IF(AD43="-","-",ROUND(INDEX(Atendimento!$I$7:$I$51,MATCH(AE43,Atendimento!$C$7:$C$51,0)),2))</f>
        <v>-</v>
      </c>
      <c r="AH43" s="59" t="str">
        <f>IF(OR(AG43=0,AG43="-"),"-",INDEX(Atendimento!$D$7:$D$51,MATCH(AE43,Atendimento!$C$7:$C$51,0)))</f>
        <v>-</v>
      </c>
      <c r="AI43" s="59" t="str">
        <f>IF(OR(AG43=0,AG43="-"),"-",INDEX(Atendimento!$N$7:$N$51,MATCH(AE43,Atendimento!$C$7:$C$51,0)))</f>
        <v>-</v>
      </c>
      <c r="AJ43" s="59" t="str">
        <f>IF(OR(AG43=0,AG43="-"),"-",INDEX(Atendimento!$O$7:$O$51,MATCH(AE43,Atendimento!$C$7:$C$51,0)))</f>
        <v>-</v>
      </c>
      <c r="AK43" s="59" t="str">
        <f>IF(OR(AG43=0,AG43="-"),"-",INDEX(Atendimento!$P$7:$P$51,MATCH(AE43,Atendimento!$C$7:$C$51,0)))</f>
        <v>-</v>
      </c>
      <c r="AL43" s="59" t="str">
        <f>IFERROR(INDEX(Atendimento!$K$67:$K$111,MATCH(AE43,Atendimento!$C$67:$C$111,0)),"-")</f>
        <v>-</v>
      </c>
    </row>
    <row r="44" spans="2:38" ht="15">
      <c r="B44" s="19" t="str">
        <f t="shared" ref="B44:E44" si="36">IF($F44=0,0,B15)</f>
        <v>Iodato de Potássio</v>
      </c>
      <c r="C44" s="21">
        <f t="shared" si="36"/>
        <v>3.3726812816188869E-5</v>
      </c>
      <c r="D44" s="22">
        <f t="shared" si="36"/>
        <v>1</v>
      </c>
      <c r="E44" s="23">
        <f t="shared" si="36"/>
        <v>3.3726812816188869E-5</v>
      </c>
      <c r="F44" s="48" t="str">
        <f t="shared" si="21"/>
        <v>Concentrado</v>
      </c>
      <c r="G44" s="24">
        <f t="shared" si="22"/>
        <v>3.8126812816188868E-5</v>
      </c>
      <c r="H44" s="65">
        <v>11</v>
      </c>
      <c r="I44" s="65">
        <f t="shared" si="23"/>
        <v>2.1843859649122809E-5</v>
      </c>
      <c r="J44" s="19" t="str">
        <f t="shared" si="24"/>
        <v>Selenito de Sódio</v>
      </c>
      <c r="K44" s="21">
        <f t="shared" si="25"/>
        <v>1.7543859649122809E-5</v>
      </c>
      <c r="L44" s="22">
        <f t="shared" si="26"/>
        <v>45</v>
      </c>
      <c r="M44" s="50">
        <f t="shared" si="27"/>
        <v>7.8947368421052641E-4</v>
      </c>
      <c r="AA44" s="59">
        <v>40</v>
      </c>
      <c r="AB44" s="591" t="str">
        <f>IF(IFERROR((Atendimento!I46)+ROW()/1000000,"-")="-","-",AA44)</f>
        <v>-</v>
      </c>
      <c r="AC44" s="590" t="str">
        <f>Atendimento!C46</f>
        <v>Novo 06</v>
      </c>
      <c r="AD44" s="589" t="str">
        <f t="shared" si="9"/>
        <v>-</v>
      </c>
      <c r="AE44" s="592" t="str">
        <f t="shared" si="12"/>
        <v>-</v>
      </c>
      <c r="AF44" s="59" t="str">
        <f t="shared" si="10"/>
        <v>-</v>
      </c>
      <c r="AG44" s="595" t="str">
        <f>IF(AD44="-","-",ROUND(INDEX(Atendimento!$I$7:$I$51,MATCH(AE44,Atendimento!$C$7:$C$51,0)),2))</f>
        <v>-</v>
      </c>
      <c r="AH44" s="59" t="str">
        <f>IF(OR(AG44=0,AG44="-"),"-",INDEX(Atendimento!$D$7:$D$51,MATCH(AE44,Atendimento!$C$7:$C$51,0)))</f>
        <v>-</v>
      </c>
      <c r="AI44" s="59" t="str">
        <f>IF(OR(AG44=0,AG44="-"),"-",INDEX(Atendimento!$N$7:$N$51,MATCH(AE44,Atendimento!$C$7:$C$51,0)))</f>
        <v>-</v>
      </c>
      <c r="AJ44" s="59" t="str">
        <f>IF(OR(AG44=0,AG44="-"),"-",INDEX(Atendimento!$O$7:$O$51,MATCH(AE44,Atendimento!$C$7:$C$51,0)))</f>
        <v>-</v>
      </c>
      <c r="AK44" s="59" t="str">
        <f>IF(OR(AG44=0,AG44="-"),"-",INDEX(Atendimento!$P$7:$P$51,MATCH(AE44,Atendimento!$C$7:$C$51,0)))</f>
        <v>-</v>
      </c>
      <c r="AL44" s="59" t="str">
        <f>IFERROR(INDEX(Atendimento!$K$67:$K$111,MATCH(AE44,Atendimento!$C$67:$C$111,0)),"-")</f>
        <v>-</v>
      </c>
    </row>
    <row r="45" spans="2:38" ht="15">
      <c r="B45" s="19" t="str">
        <f t="shared" ref="B45:E45" si="37">IF($F45=0,0,B16)</f>
        <v>Sulfato Cobalto</v>
      </c>
      <c r="C45" s="21">
        <f t="shared" si="37"/>
        <v>1.6129032258064517E-5</v>
      </c>
      <c r="D45" s="22">
        <f t="shared" si="37"/>
        <v>1</v>
      </c>
      <c r="E45" s="23">
        <f t="shared" si="37"/>
        <v>1.6129032258064517E-5</v>
      </c>
      <c r="F45" s="48" t="str">
        <f t="shared" si="21"/>
        <v>Concentrado</v>
      </c>
      <c r="G45" s="24">
        <f t="shared" si="22"/>
        <v>2.0629032258064518E-5</v>
      </c>
      <c r="H45" s="65">
        <v>12</v>
      </c>
      <c r="I45" s="65">
        <f t="shared" si="23"/>
        <v>2.0629032258064518E-5</v>
      </c>
      <c r="J45" s="19" t="str">
        <f t="shared" si="24"/>
        <v>Sulfato Cobalto</v>
      </c>
      <c r="K45" s="21">
        <f t="shared" si="25"/>
        <v>1.6129032258064517E-5</v>
      </c>
      <c r="L45" s="22">
        <f t="shared" si="26"/>
        <v>1</v>
      </c>
      <c r="M45" s="50">
        <f t="shared" si="27"/>
        <v>1.6129032258064517E-5</v>
      </c>
      <c r="AA45" s="59">
        <v>41</v>
      </c>
      <c r="AB45" s="591" t="str">
        <f>IF(IFERROR((Atendimento!I47)+ROW()/1000000,"-")="-","-",AA45)</f>
        <v>-</v>
      </c>
      <c r="AC45" s="590" t="str">
        <f>Atendimento!C47</f>
        <v>Novo 07</v>
      </c>
      <c r="AD45" s="589" t="str">
        <f t="shared" si="9"/>
        <v>-</v>
      </c>
      <c r="AE45" s="592" t="str">
        <f t="shared" si="12"/>
        <v>-</v>
      </c>
      <c r="AF45" s="59" t="str">
        <f t="shared" si="10"/>
        <v>-</v>
      </c>
      <c r="AG45" s="595" t="str">
        <f>IF(AD45="-","-",ROUND(INDEX(Atendimento!$I$7:$I$51,MATCH(AE45,Atendimento!$C$7:$C$51,0)),2))</f>
        <v>-</v>
      </c>
      <c r="AH45" s="59" t="str">
        <f>IF(OR(AG45=0,AG45="-"),"-",INDEX(Atendimento!$D$7:$D$51,MATCH(AE45,Atendimento!$C$7:$C$51,0)))</f>
        <v>-</v>
      </c>
      <c r="AI45" s="59" t="str">
        <f>IF(OR(AG45=0,AG45="-"),"-",INDEX(Atendimento!$N$7:$N$51,MATCH(AE45,Atendimento!$C$7:$C$51,0)))</f>
        <v>-</v>
      </c>
      <c r="AJ45" s="59" t="str">
        <f>IF(OR(AG45=0,AG45="-"),"-",INDEX(Atendimento!$O$7:$O$51,MATCH(AE45,Atendimento!$C$7:$C$51,0)))</f>
        <v>-</v>
      </c>
      <c r="AK45" s="59" t="str">
        <f>IF(OR(AG45=0,AG45="-"),"-",INDEX(Atendimento!$P$7:$P$51,MATCH(AE45,Atendimento!$C$7:$C$51,0)))</f>
        <v>-</v>
      </c>
      <c r="AL45" s="59" t="str">
        <f>IFERROR(INDEX(Atendimento!$K$67:$K$111,MATCH(AE45,Atendimento!$C$67:$C$111,0)),"-")</f>
        <v>-</v>
      </c>
    </row>
    <row r="46" spans="2:38" ht="15">
      <c r="B46" s="19" t="str">
        <f t="shared" ref="B46:E46" si="38">IF($F46=0,0,B17)</f>
        <v>Sulfato Ferro</v>
      </c>
      <c r="C46" s="21">
        <f t="shared" si="38"/>
        <v>0</v>
      </c>
      <c r="D46" s="22">
        <f t="shared" si="38"/>
        <v>29</v>
      </c>
      <c r="E46" s="23">
        <f t="shared" si="38"/>
        <v>0</v>
      </c>
      <c r="F46" s="48" t="str">
        <f t="shared" si="21"/>
        <v>Concentrado</v>
      </c>
      <c r="G46" s="24" t="str">
        <f t="shared" si="22"/>
        <v/>
      </c>
      <c r="H46" s="65">
        <v>13</v>
      </c>
      <c r="I46" s="65" t="e">
        <f t="shared" si="23"/>
        <v>#NUM!</v>
      </c>
      <c r="J46" s="19" t="str">
        <f t="shared" si="24"/>
        <v/>
      </c>
      <c r="K46" s="21" t="str">
        <f t="shared" si="25"/>
        <v/>
      </c>
      <c r="L46" s="22" t="str">
        <f t="shared" si="26"/>
        <v/>
      </c>
      <c r="M46" s="50" t="str">
        <f t="shared" si="27"/>
        <v/>
      </c>
      <c r="AA46" s="59">
        <v>42</v>
      </c>
      <c r="AB46" s="591" t="str">
        <f>IF(IFERROR((Atendimento!I48)+ROW()/1000000,"-")="-","-",AA46)</f>
        <v>-</v>
      </c>
      <c r="AC46" s="590" t="str">
        <f>Atendimento!C48</f>
        <v>Novo 08</v>
      </c>
      <c r="AD46" s="589" t="str">
        <f t="shared" si="9"/>
        <v>-</v>
      </c>
      <c r="AE46" s="592" t="str">
        <f t="shared" si="12"/>
        <v>-</v>
      </c>
      <c r="AF46" s="59" t="str">
        <f t="shared" si="10"/>
        <v>-</v>
      </c>
      <c r="AG46" s="595" t="str">
        <f>IF(AD46="-","-",ROUND(INDEX(Atendimento!$I$7:$I$51,MATCH(AE46,Atendimento!$C$7:$C$51,0)),2))</f>
        <v>-</v>
      </c>
      <c r="AH46" s="59" t="str">
        <f>IF(OR(AG46=0,AG46="-"),"-",INDEX(Atendimento!$D$7:$D$51,MATCH(AE46,Atendimento!$C$7:$C$51,0)))</f>
        <v>-</v>
      </c>
      <c r="AI46" s="59" t="str">
        <f>IF(OR(AG46=0,AG46="-"),"-",INDEX(Atendimento!$N$7:$N$51,MATCH(AE46,Atendimento!$C$7:$C$51,0)))</f>
        <v>-</v>
      </c>
      <c r="AJ46" s="59" t="str">
        <f>IF(OR(AG46=0,AG46="-"),"-",INDEX(Atendimento!$O$7:$O$51,MATCH(AE46,Atendimento!$C$7:$C$51,0)))</f>
        <v>-</v>
      </c>
      <c r="AK46" s="59" t="str">
        <f>IF(OR(AG46=0,AG46="-"),"-",INDEX(Atendimento!$P$7:$P$51,MATCH(AE46,Atendimento!$C$7:$C$51,0)))</f>
        <v>-</v>
      </c>
      <c r="AL46" s="59" t="str">
        <f>IFERROR(INDEX(Atendimento!$K$67:$K$111,MATCH(AE46,Atendimento!$C$67:$C$111,0)),"-")</f>
        <v>-</v>
      </c>
    </row>
    <row r="47" spans="2:38" ht="15">
      <c r="B47" s="19" t="str">
        <f t="shared" ref="B47:E47" si="39">IF($F47=0,0,B18)</f>
        <v>Sulfato Magnésio</v>
      </c>
      <c r="C47" s="21">
        <f t="shared" si="39"/>
        <v>5.6813469403672372E-2</v>
      </c>
      <c r="D47" s="22">
        <f t="shared" si="39"/>
        <v>1</v>
      </c>
      <c r="E47" s="23">
        <f t="shared" si="39"/>
        <v>5.6813469403672372E-2</v>
      </c>
      <c r="F47" s="48" t="str">
        <f t="shared" si="21"/>
        <v>Concentrado</v>
      </c>
      <c r="G47" s="24">
        <f t="shared" si="22"/>
        <v>5.6818169403672375E-2</v>
      </c>
      <c r="H47" s="65">
        <v>14</v>
      </c>
      <c r="I47" s="65" t="e">
        <f t="shared" si="23"/>
        <v>#NUM!</v>
      </c>
      <c r="J47" s="19" t="str">
        <f t="shared" si="24"/>
        <v/>
      </c>
      <c r="K47" s="21" t="str">
        <f t="shared" si="25"/>
        <v/>
      </c>
      <c r="L47" s="22" t="str">
        <f t="shared" si="26"/>
        <v/>
      </c>
      <c r="M47" s="50" t="str">
        <f t="shared" si="27"/>
        <v/>
      </c>
      <c r="AA47" s="59">
        <v>43</v>
      </c>
      <c r="AB47" s="591" t="str">
        <f>IF(IFERROR((Atendimento!I49)+ROW()/1000000,"-")="-","-",AA47)</f>
        <v>-</v>
      </c>
      <c r="AC47" s="590" t="str">
        <f>Atendimento!C49</f>
        <v>Novo 09</v>
      </c>
      <c r="AD47" s="589" t="str">
        <f t="shared" si="9"/>
        <v>-</v>
      </c>
      <c r="AE47" s="592" t="str">
        <f t="shared" si="12"/>
        <v>-</v>
      </c>
      <c r="AF47" s="59" t="str">
        <f t="shared" si="10"/>
        <v>-</v>
      </c>
      <c r="AG47" s="595" t="str">
        <f>IF(AD47="-","-",ROUND(INDEX(Atendimento!$I$7:$I$51,MATCH(AE47,Atendimento!$C$7:$C$51,0)),2))</f>
        <v>-</v>
      </c>
      <c r="AH47" s="59" t="str">
        <f>IF(OR(AG47=0,AG47="-"),"-",INDEX(Atendimento!$D$7:$D$51,MATCH(AE47,Atendimento!$C$7:$C$51,0)))</f>
        <v>-</v>
      </c>
      <c r="AI47" s="59" t="str">
        <f>IF(OR(AG47=0,AG47="-"),"-",INDEX(Atendimento!$N$7:$N$51,MATCH(AE47,Atendimento!$C$7:$C$51,0)))</f>
        <v>-</v>
      </c>
      <c r="AJ47" s="59" t="str">
        <f>IF(OR(AG47=0,AG47="-"),"-",INDEX(Atendimento!$O$7:$O$51,MATCH(AE47,Atendimento!$C$7:$C$51,0)))</f>
        <v>-</v>
      </c>
      <c r="AK47" s="59" t="str">
        <f>IF(OR(AG47=0,AG47="-"),"-",INDEX(Atendimento!$P$7:$P$51,MATCH(AE47,Atendimento!$C$7:$C$51,0)))</f>
        <v>-</v>
      </c>
      <c r="AL47" s="59" t="str">
        <f>IFERROR(INDEX(Atendimento!$K$67:$K$111,MATCH(AE47,Atendimento!$C$67:$C$111,0)),"-")</f>
        <v>-</v>
      </c>
    </row>
    <row r="48" spans="2:38" ht="15">
      <c r="B48" s="19" t="str">
        <f t="shared" ref="B48:E48" si="40">IF($F48=0,0,B19)</f>
        <v>Sal Comum (NaCl)</v>
      </c>
      <c r="C48" s="21">
        <f t="shared" si="40"/>
        <v>0.12001638460773538</v>
      </c>
      <c r="D48" s="22">
        <f t="shared" si="40"/>
        <v>1.5</v>
      </c>
      <c r="E48" s="23">
        <f t="shared" si="40"/>
        <v>0.18002457691160306</v>
      </c>
      <c r="F48" s="48" t="str">
        <f t="shared" si="21"/>
        <v>Concentrado</v>
      </c>
      <c r="G48" s="24">
        <f t="shared" si="22"/>
        <v>0.12002118460773538</v>
      </c>
      <c r="H48" s="65">
        <v>15</v>
      </c>
      <c r="I48" s="65" t="e">
        <f t="shared" si="23"/>
        <v>#NUM!</v>
      </c>
      <c r="J48" s="19" t="str">
        <f t="shared" si="24"/>
        <v/>
      </c>
      <c r="K48" s="21" t="str">
        <f t="shared" si="25"/>
        <v/>
      </c>
      <c r="L48" s="22" t="str">
        <f t="shared" si="26"/>
        <v/>
      </c>
      <c r="M48" s="50" t="str">
        <f t="shared" si="27"/>
        <v/>
      </c>
      <c r="AA48" s="59">
        <v>44</v>
      </c>
      <c r="AB48" s="591" t="str">
        <f>IF(IFERROR((Atendimento!I50)+ROW()/1000000,"-")="-","-",AA48)</f>
        <v>-</v>
      </c>
      <c r="AC48" s="590" t="str">
        <f>Atendimento!C50</f>
        <v>VOL</v>
      </c>
      <c r="AD48" s="589" t="str">
        <f t="shared" si="9"/>
        <v>-</v>
      </c>
      <c r="AE48" s="592" t="str">
        <f t="shared" si="12"/>
        <v>-</v>
      </c>
      <c r="AF48" s="59" t="str">
        <f t="shared" si="10"/>
        <v>-</v>
      </c>
      <c r="AG48" s="595" t="str">
        <f>IF(AD48="-","-",ROUND(INDEX(Atendimento!$I$7:$I$51,MATCH(AE48,Atendimento!$C$7:$C$51,0)),2))</f>
        <v>-</v>
      </c>
      <c r="AH48" s="59" t="str">
        <f>IF(OR(AG48=0,AG48="-"),"-",INDEX(Atendimento!$D$7:$D$51,MATCH(AE48,Atendimento!$C$7:$C$51,0)))</f>
        <v>-</v>
      </c>
      <c r="AI48" s="59" t="str">
        <f>IF(OR(AG48=0,AG48="-"),"-",INDEX(Atendimento!$N$7:$N$51,MATCH(AE48,Atendimento!$C$7:$C$51,0)))</f>
        <v>-</v>
      </c>
      <c r="AJ48" s="59" t="str">
        <f>IF(OR(AG48=0,AG48="-"),"-",INDEX(Atendimento!$O$7:$O$51,MATCH(AE48,Atendimento!$C$7:$C$51,0)))</f>
        <v>-</v>
      </c>
      <c r="AK48" s="59" t="str">
        <f>IF(OR(AG48=0,AG48="-"),"-",INDEX(Atendimento!$P$7:$P$51,MATCH(AE48,Atendimento!$C$7:$C$51,0)))</f>
        <v>-</v>
      </c>
      <c r="AL48" s="59" t="str">
        <f>IFERROR(INDEX(Atendimento!$K$67:$K$111,MATCH(AE48,Atendimento!$C$67:$C$111,0)),"-")</f>
        <v>-</v>
      </c>
    </row>
    <row r="49" spans="2:38" ht="15">
      <c r="B49" s="19">
        <f t="shared" ref="B49:E49" si="41">IF($F49=0,0,B20)</f>
        <v>0</v>
      </c>
      <c r="C49" s="21">
        <f t="shared" si="41"/>
        <v>0</v>
      </c>
      <c r="D49" s="22" t="str">
        <f t="shared" si="41"/>
        <v/>
      </c>
      <c r="E49" s="23">
        <f t="shared" si="41"/>
        <v>0</v>
      </c>
      <c r="F49" s="48" t="str">
        <f t="shared" si="21"/>
        <v/>
      </c>
      <c r="G49" s="24" t="str">
        <f t="shared" si="22"/>
        <v/>
      </c>
      <c r="H49" s="65">
        <v>16</v>
      </c>
      <c r="I49" s="65" t="e">
        <f t="shared" si="23"/>
        <v>#NUM!</v>
      </c>
      <c r="J49" s="19" t="str">
        <f t="shared" si="24"/>
        <v/>
      </c>
      <c r="K49" s="21" t="str">
        <f t="shared" si="25"/>
        <v/>
      </c>
      <c r="L49" s="22" t="str">
        <f t="shared" si="26"/>
        <v/>
      </c>
      <c r="M49" s="50" t="str">
        <f t="shared" si="27"/>
        <v/>
      </c>
      <c r="AA49" s="59">
        <v>45</v>
      </c>
      <c r="AB49" s="591" t="str">
        <f>IF(IFERROR((Atendimento!I51)+ROW()/1000000,"-")="-","-",AA49)</f>
        <v>-</v>
      </c>
      <c r="AC49" s="590" t="str">
        <f>Atendimento!C51</f>
        <v>CONC</v>
      </c>
      <c r="AD49" s="589" t="str">
        <f t="shared" si="9"/>
        <v>-</v>
      </c>
      <c r="AE49" s="592" t="str">
        <f t="shared" si="12"/>
        <v>-</v>
      </c>
      <c r="AF49" s="59" t="str">
        <f t="shared" si="10"/>
        <v>-</v>
      </c>
      <c r="AG49" s="595" t="str">
        <f>IF(AD49="-","-",ROUND(INDEX(Atendimento!$I$7:$I$51,MATCH(AE49,Atendimento!$C$7:$C$51,0)),2))</f>
        <v>-</v>
      </c>
      <c r="AH49" s="59" t="str">
        <f>IF(OR(AG49=0,AG49="-"),"-",INDEX(Atendimento!$D$7:$D$51,MATCH(AE49,Atendimento!$C$7:$C$51,0)))</f>
        <v>-</v>
      </c>
      <c r="AI49" s="59" t="str">
        <f>IF(OR(AG49=0,AG49="-"),"-",INDEX(Atendimento!$N$7:$N$51,MATCH(AE49,Atendimento!$C$7:$C$51,0)))</f>
        <v>-</v>
      </c>
      <c r="AJ49" s="59" t="str">
        <f>IF(OR(AG49=0,AG49="-"),"-",INDEX(Atendimento!$O$7:$O$51,MATCH(AE49,Atendimento!$C$7:$C$51,0)))</f>
        <v>-</v>
      </c>
      <c r="AK49" s="59" t="str">
        <f>IF(OR(AG49=0,AG49="-"),"-",INDEX(Atendimento!$P$7:$P$51,MATCH(AE49,Atendimento!$C$7:$C$51,0)))</f>
        <v>-</v>
      </c>
      <c r="AL49" s="59" t="str">
        <f>IFERROR(INDEX(Atendimento!$K$67:$K$111,MATCH(AE49,Atendimento!$C$67:$C$111,0)),"-")</f>
        <v>-</v>
      </c>
    </row>
    <row r="50" spans="2:38">
      <c r="B50" s="19">
        <f t="shared" ref="B50:E50" si="42">IF($F50=0,0,B21)</f>
        <v>0</v>
      </c>
      <c r="C50" s="21">
        <f t="shared" si="42"/>
        <v>0</v>
      </c>
      <c r="D50" s="22" t="str">
        <f t="shared" si="42"/>
        <v/>
      </c>
      <c r="E50" s="23">
        <f t="shared" si="42"/>
        <v>0</v>
      </c>
      <c r="F50" s="48" t="str">
        <f t="shared" si="21"/>
        <v/>
      </c>
      <c r="G50" s="24" t="str">
        <f t="shared" si="22"/>
        <v/>
      </c>
      <c r="H50" s="65">
        <v>17</v>
      </c>
      <c r="I50" s="65" t="e">
        <f t="shared" si="23"/>
        <v>#NUM!</v>
      </c>
      <c r="J50" s="19" t="str">
        <f t="shared" si="24"/>
        <v/>
      </c>
      <c r="K50" s="21" t="str">
        <f t="shared" si="25"/>
        <v/>
      </c>
      <c r="L50" s="22" t="str">
        <f t="shared" si="26"/>
        <v/>
      </c>
      <c r="M50" s="50" t="str">
        <f t="shared" si="27"/>
        <v/>
      </c>
    </row>
    <row r="51" spans="2:38">
      <c r="B51" s="19">
        <f t="shared" ref="B51:E51" si="43">IF($F51=0,0,B22)</f>
        <v>0</v>
      </c>
      <c r="C51" s="21">
        <f t="shared" si="43"/>
        <v>0</v>
      </c>
      <c r="D51" s="22" t="str">
        <f t="shared" si="43"/>
        <v/>
      </c>
      <c r="E51" s="23">
        <f t="shared" si="43"/>
        <v>0</v>
      </c>
      <c r="F51" s="48" t="str">
        <f t="shared" si="21"/>
        <v/>
      </c>
      <c r="G51" s="24" t="str">
        <f t="shared" si="22"/>
        <v/>
      </c>
      <c r="H51" s="65">
        <v>18</v>
      </c>
      <c r="I51" s="65" t="e">
        <f t="shared" si="23"/>
        <v>#NUM!</v>
      </c>
      <c r="J51" s="19" t="str">
        <f t="shared" si="24"/>
        <v/>
      </c>
      <c r="K51" s="21" t="str">
        <f t="shared" si="25"/>
        <v/>
      </c>
      <c r="L51" s="22" t="str">
        <f t="shared" si="26"/>
        <v/>
      </c>
      <c r="M51" s="50" t="str">
        <f t="shared" si="27"/>
        <v/>
      </c>
    </row>
    <row r="52" spans="2:38">
      <c r="B52" s="19">
        <f t="shared" ref="B52:E52" si="44">IF($F52=0,0,B23)</f>
        <v>0</v>
      </c>
      <c r="C52" s="21">
        <f t="shared" si="44"/>
        <v>0</v>
      </c>
      <c r="D52" s="22" t="str">
        <f t="shared" si="44"/>
        <v/>
      </c>
      <c r="E52" s="23">
        <f t="shared" si="44"/>
        <v>0</v>
      </c>
      <c r="F52" s="48" t="str">
        <f t="shared" si="21"/>
        <v/>
      </c>
      <c r="G52" s="24" t="str">
        <f t="shared" si="22"/>
        <v/>
      </c>
      <c r="H52" s="65">
        <v>19</v>
      </c>
      <c r="I52" s="65" t="e">
        <f t="shared" si="23"/>
        <v>#NUM!</v>
      </c>
      <c r="J52" s="19" t="str">
        <f t="shared" si="24"/>
        <v/>
      </c>
      <c r="K52" s="21" t="str">
        <f t="shared" si="25"/>
        <v/>
      </c>
      <c r="L52" s="22" t="str">
        <f t="shared" si="26"/>
        <v/>
      </c>
      <c r="M52" s="50" t="str">
        <f t="shared" si="27"/>
        <v/>
      </c>
    </row>
    <row r="53" spans="2:38">
      <c r="B53" s="19">
        <f t="shared" ref="B53:E53" si="45">IF($F53=0,0,B24)</f>
        <v>0</v>
      </c>
      <c r="C53" s="21">
        <f t="shared" si="45"/>
        <v>0</v>
      </c>
      <c r="D53" s="22" t="str">
        <f t="shared" si="45"/>
        <v/>
      </c>
      <c r="E53" s="23">
        <f t="shared" si="45"/>
        <v>0</v>
      </c>
      <c r="F53" s="48" t="str">
        <f t="shared" si="21"/>
        <v/>
      </c>
      <c r="G53" s="24" t="str">
        <f t="shared" si="22"/>
        <v/>
      </c>
      <c r="H53" s="65">
        <v>20</v>
      </c>
      <c r="I53" s="65" t="e">
        <f t="shared" si="23"/>
        <v>#NUM!</v>
      </c>
      <c r="J53" s="19" t="str">
        <f t="shared" si="24"/>
        <v/>
      </c>
      <c r="K53" s="21" t="str">
        <f t="shared" si="25"/>
        <v/>
      </c>
      <c r="L53" s="22" t="str">
        <f t="shared" si="26"/>
        <v/>
      </c>
      <c r="M53" s="50" t="str">
        <f t="shared" si="27"/>
        <v/>
      </c>
    </row>
    <row r="54" spans="2:38">
      <c r="B54" s="19">
        <f t="shared" ref="B54:E54" si="46">IF($F54=0,0,B25)</f>
        <v>0</v>
      </c>
      <c r="C54" s="21">
        <f t="shared" si="46"/>
        <v>0</v>
      </c>
      <c r="D54" s="22" t="str">
        <f t="shared" si="46"/>
        <v/>
      </c>
      <c r="E54" s="23">
        <f t="shared" si="46"/>
        <v>0</v>
      </c>
      <c r="F54" s="48" t="str">
        <f t="shared" si="21"/>
        <v/>
      </c>
      <c r="G54" s="24" t="str">
        <f t="shared" si="22"/>
        <v/>
      </c>
      <c r="H54" s="65">
        <v>21</v>
      </c>
      <c r="I54" s="65" t="e">
        <f t="shared" si="23"/>
        <v>#NUM!</v>
      </c>
      <c r="J54" s="19" t="str">
        <f t="shared" si="24"/>
        <v/>
      </c>
      <c r="K54" s="21" t="str">
        <f t="shared" si="25"/>
        <v/>
      </c>
      <c r="L54" s="22" t="str">
        <f t="shared" si="26"/>
        <v/>
      </c>
      <c r="M54" s="50" t="str">
        <f t="shared" si="27"/>
        <v/>
      </c>
    </row>
    <row r="55" spans="2:38">
      <c r="B55" s="19">
        <f t="shared" ref="B55:E55" si="47">IF($F55=0,0,B26)</f>
        <v>0</v>
      </c>
      <c r="C55" s="21">
        <f t="shared" si="47"/>
        <v>0</v>
      </c>
      <c r="D55" s="22" t="str">
        <f t="shared" si="47"/>
        <v/>
      </c>
      <c r="E55" s="23">
        <f t="shared" si="47"/>
        <v>0</v>
      </c>
      <c r="F55" s="48" t="str">
        <f t="shared" si="21"/>
        <v/>
      </c>
      <c r="G55" s="24" t="str">
        <f t="shared" si="22"/>
        <v/>
      </c>
      <c r="H55" s="65">
        <v>22</v>
      </c>
      <c r="I55" s="65" t="e">
        <f t="shared" si="23"/>
        <v>#NUM!</v>
      </c>
      <c r="J55" s="19" t="str">
        <f t="shared" si="24"/>
        <v/>
      </c>
      <c r="K55" s="21" t="str">
        <f t="shared" si="25"/>
        <v/>
      </c>
      <c r="L55" s="22" t="str">
        <f t="shared" si="26"/>
        <v/>
      </c>
      <c r="M55" s="50" t="str">
        <f t="shared" si="27"/>
        <v/>
      </c>
    </row>
    <row r="56" spans="2:38">
      <c r="B56" s="19">
        <f t="shared" ref="B56:E56" si="48">IF($F56=0,0,B27)</f>
        <v>0</v>
      </c>
      <c r="C56" s="21">
        <f t="shared" si="48"/>
        <v>0</v>
      </c>
      <c r="D56" s="22" t="str">
        <f t="shared" si="48"/>
        <v/>
      </c>
      <c r="E56" s="23">
        <f t="shared" si="48"/>
        <v>0</v>
      </c>
      <c r="F56" s="48" t="str">
        <f t="shared" si="21"/>
        <v/>
      </c>
      <c r="G56" s="24" t="str">
        <f t="shared" si="22"/>
        <v/>
      </c>
      <c r="H56" s="65">
        <v>23</v>
      </c>
      <c r="I56" s="65" t="e">
        <f t="shared" si="23"/>
        <v>#NUM!</v>
      </c>
      <c r="J56" s="19" t="str">
        <f t="shared" si="24"/>
        <v/>
      </c>
      <c r="K56" s="21" t="str">
        <f t="shared" si="25"/>
        <v/>
      </c>
      <c r="L56" s="22" t="str">
        <f t="shared" si="26"/>
        <v/>
      </c>
      <c r="M56" s="50" t="str">
        <f t="shared" si="27"/>
        <v/>
      </c>
    </row>
    <row r="57" spans="2:38">
      <c r="B57" s="19">
        <f t="shared" ref="B57:E57" si="49">IF($F57=0,0,B28)</f>
        <v>0</v>
      </c>
      <c r="C57" s="21">
        <f t="shared" si="49"/>
        <v>0</v>
      </c>
      <c r="D57" s="22" t="str">
        <f t="shared" si="49"/>
        <v/>
      </c>
      <c r="E57" s="23">
        <f t="shared" si="49"/>
        <v>0</v>
      </c>
      <c r="F57" s="48" t="str">
        <f t="shared" si="21"/>
        <v/>
      </c>
      <c r="G57" s="24" t="str">
        <f t="shared" si="22"/>
        <v/>
      </c>
      <c r="H57" s="65">
        <v>24</v>
      </c>
      <c r="I57" s="65" t="e">
        <f t="shared" si="23"/>
        <v>#NUM!</v>
      </c>
      <c r="J57" s="19" t="str">
        <f t="shared" si="24"/>
        <v/>
      </c>
      <c r="K57" s="21" t="str">
        <f t="shared" si="25"/>
        <v/>
      </c>
      <c r="L57" s="22" t="str">
        <f t="shared" si="26"/>
        <v/>
      </c>
      <c r="M57" s="50" t="str">
        <f t="shared" si="27"/>
        <v/>
      </c>
    </row>
    <row r="58" spans="2:38">
      <c r="B58" s="19">
        <f t="shared" ref="B58:E58" si="50">IF($F58=0,0,B29)</f>
        <v>0</v>
      </c>
      <c r="C58" s="21">
        <f t="shared" si="50"/>
        <v>0</v>
      </c>
      <c r="D58" s="22" t="str">
        <f t="shared" si="50"/>
        <v/>
      </c>
      <c r="E58" s="23">
        <f t="shared" si="50"/>
        <v>0</v>
      </c>
      <c r="F58" s="48" t="str">
        <f t="shared" si="21"/>
        <v/>
      </c>
      <c r="G58" s="24" t="str">
        <f t="shared" si="22"/>
        <v/>
      </c>
      <c r="H58" s="65">
        <v>25</v>
      </c>
      <c r="I58" s="65" t="e">
        <f t="shared" si="23"/>
        <v>#NUM!</v>
      </c>
      <c r="J58" s="19" t="str">
        <f t="shared" si="24"/>
        <v/>
      </c>
      <c r="K58" s="21" t="str">
        <f t="shared" si="25"/>
        <v/>
      </c>
      <c r="L58" s="22" t="str">
        <f t="shared" si="26"/>
        <v/>
      </c>
      <c r="M58" s="50" t="str">
        <f t="shared" si="27"/>
        <v/>
      </c>
    </row>
    <row r="60" spans="2:38" ht="30.75" thickBot="1">
      <c r="B60" s="371" t="s">
        <v>88</v>
      </c>
      <c r="C60" s="372"/>
      <c r="D60" s="666">
        <f>SUMIFS(Exigência!H4:H53,Exigência!$BB$4:$BB$53,F60,Exigência!$BA$4:$BA$53,"Máx")</f>
        <v>1</v>
      </c>
      <c r="E60" s="1084">
        <v>4</v>
      </c>
      <c r="F60" s="667" t="str">
        <f>IFERROR(INDEX(F61:F110,MATCH(E60,E61:E110,0)),"-")</f>
        <v>04 - Suplemento  Mineral</v>
      </c>
      <c r="G60" s="667"/>
      <c r="H60" s="63" t="s">
        <v>661</v>
      </c>
      <c r="J60" s="6" t="s">
        <v>74</v>
      </c>
      <c r="K60" s="5" t="s">
        <v>62</v>
      </c>
      <c r="L60" s="5" t="s">
        <v>63</v>
      </c>
      <c r="M60" s="7" t="s">
        <v>64</v>
      </c>
    </row>
    <row r="61" spans="2:38">
      <c r="B61" s="69" t="str">
        <f>Exigência!B5</f>
        <v>01 - Zebuíno, Corte, Macho não castrado, Confinamento, 251 kg PV, GMD 0,5kg</v>
      </c>
      <c r="C61" s="70">
        <f>IF(B61=0,"",COUNTIF($B$61:$B$110,"&lt;"&amp;B61)+1)</f>
        <v>1</v>
      </c>
      <c r="D61" s="70">
        <f t="shared" ref="D61:D92" si="51">SMALL($C$61:$C$110,E61)</f>
        <v>1</v>
      </c>
      <c r="E61" s="70">
        <v>1</v>
      </c>
      <c r="F61" s="71" t="str">
        <f>IFERROR(INDEX($B$61:$B$110,MATCH(D61,$C$61:$C$110,0)),"-")</f>
        <v>01 - Zebuíno, Corte, Macho não castrado, Confinamento, 251 kg PV, GMD 0,5kg</v>
      </c>
      <c r="G61" s="72">
        <f>INDEX(Exigência!$E$5:$E$54,MATCH(F61,Exigência!$B$5:$B$54,0))</f>
        <v>0.5</v>
      </c>
      <c r="H61" s="63" t="s">
        <v>661</v>
      </c>
      <c r="J61" s="19" t="str">
        <f t="shared" ref="J61:J85" si="52">IFERROR(INDEX($J$5:$J$29,MATCH(N61,$M$86:$M$110,0)),"")</f>
        <v/>
      </c>
      <c r="K61" s="22" t="str">
        <f t="shared" ref="K61:K85" si="53">IFERROR(INDEX($K$5:$K$29,MATCH(N61,$M$86:$M$110,0)),"")</f>
        <v/>
      </c>
      <c r="L61" s="23" t="str">
        <f t="shared" ref="L61:L85" si="54">IFERROR(INDEX($L$5:$L$29,MATCH(N61,$M$86:$M$110,0)),"")</f>
        <v/>
      </c>
      <c r="M61" s="50" t="str">
        <f t="shared" ref="M61:M85" si="55">IFERROR(INDEX($M$5:$M$29,MATCH(N61,$M$86:$M$110,0)),"")</f>
        <v/>
      </c>
      <c r="N61" s="518" t="s">
        <v>817</v>
      </c>
    </row>
    <row r="62" spans="2:38">
      <c r="B62" s="73">
        <f>Exigência!B6</f>
        <v>0</v>
      </c>
      <c r="C62" s="64" t="str">
        <f t="shared" ref="C62:C110" si="56">IF(B62=0,"",COUNTIF($B$61:$B$110,"&lt;"&amp;B62)+1)</f>
        <v/>
      </c>
      <c r="D62" s="64">
        <f t="shared" si="51"/>
        <v>2</v>
      </c>
      <c r="E62" s="64">
        <v>2</v>
      </c>
      <c r="F62" s="61" t="str">
        <f t="shared" ref="F62:F92" si="57">IFERROR(INDEX($B$61:$B$110,MATCH(D62,$C$61:$C$110,0)),"-")</f>
        <v>02 - Vacas em Sistema Intensivo (Lactação Maior que 3 Semanas)_460PV_15Prod_0Gord_0PB__0GMD</v>
      </c>
      <c r="G62" s="74">
        <f>INDEX(Exigência!$E$5:$E$54,MATCH(F62,Exigência!$B$5:$B$54,0))</f>
        <v>15</v>
      </c>
      <c r="H62" s="63" t="s">
        <v>661</v>
      </c>
      <c r="J62" s="19" t="str">
        <f t="shared" si="52"/>
        <v/>
      </c>
      <c r="K62" s="22" t="str">
        <f t="shared" si="53"/>
        <v/>
      </c>
      <c r="L62" s="23" t="str">
        <f t="shared" si="54"/>
        <v/>
      </c>
      <c r="M62" s="50" t="str">
        <f t="shared" si="55"/>
        <v/>
      </c>
      <c r="N62" s="518" t="s">
        <v>818</v>
      </c>
    </row>
    <row r="63" spans="2:38">
      <c r="B63" s="73" t="str">
        <f>Exigência!B7</f>
        <v>02 - Vacas em Sistema Intensivo (Lactação Maior que 3 Semanas)_460PV_15Prod_0Gord_0PB__0GMD</v>
      </c>
      <c r="C63" s="64">
        <f t="shared" si="56"/>
        <v>2</v>
      </c>
      <c r="D63" s="64">
        <f t="shared" si="51"/>
        <v>3</v>
      </c>
      <c r="E63" s="64">
        <v>3</v>
      </c>
      <c r="F63" s="61" t="str">
        <f t="shared" si="57"/>
        <v>03 - Caprino_Manutenção_40PV(kg)_0 GMD(g)</v>
      </c>
      <c r="G63" s="74">
        <f>INDEX(Exigência!$E$5:$E$54,MATCH(F63,Exigência!$B$5:$B$54,0))</f>
        <v>0.01</v>
      </c>
      <c r="H63" s="63" t="s">
        <v>661</v>
      </c>
      <c r="J63" s="19" t="str">
        <f t="shared" si="52"/>
        <v/>
      </c>
      <c r="K63" s="22" t="str">
        <f t="shared" si="53"/>
        <v/>
      </c>
      <c r="L63" s="23" t="str">
        <f t="shared" si="54"/>
        <v/>
      </c>
      <c r="M63" s="50" t="str">
        <f t="shared" si="55"/>
        <v/>
      </c>
      <c r="N63" s="518" t="s">
        <v>819</v>
      </c>
    </row>
    <row r="64" spans="2:38">
      <c r="B64" s="73">
        <f>Exigência!B8</f>
        <v>0</v>
      </c>
      <c r="C64" s="64" t="str">
        <f t="shared" si="56"/>
        <v/>
      </c>
      <c r="D64" s="64">
        <f t="shared" si="51"/>
        <v>4</v>
      </c>
      <c r="E64" s="64">
        <v>4</v>
      </c>
      <c r="F64" s="61" t="str">
        <f t="shared" si="57"/>
        <v>04 - Suplemento  Mineral</v>
      </c>
      <c r="G64" s="74">
        <f>INDEX(Exigência!$E$5:$E$54,MATCH(F64,Exigência!$B$5:$B$54,0))</f>
        <v>0</v>
      </c>
      <c r="H64" s="63" t="s">
        <v>661</v>
      </c>
      <c r="J64" s="19" t="str">
        <f t="shared" si="52"/>
        <v/>
      </c>
      <c r="K64" s="22" t="str">
        <f t="shared" si="53"/>
        <v/>
      </c>
      <c r="L64" s="23" t="str">
        <f t="shared" si="54"/>
        <v/>
      </c>
      <c r="M64" s="50" t="str">
        <f t="shared" si="55"/>
        <v/>
      </c>
      <c r="N64" s="518" t="s">
        <v>820</v>
      </c>
    </row>
    <row r="65" spans="2:14">
      <c r="B65" s="73" t="str">
        <f>Exigência!B9</f>
        <v>03 - Caprino_Manutenção_40PV(kg)_0 GMD(g)</v>
      </c>
      <c r="C65" s="64">
        <f t="shared" si="56"/>
        <v>3</v>
      </c>
      <c r="D65" s="64" t="e">
        <f t="shared" si="51"/>
        <v>#NUM!</v>
      </c>
      <c r="E65" s="64">
        <v>5</v>
      </c>
      <c r="F65" s="61" t="str">
        <f t="shared" si="57"/>
        <v>-</v>
      </c>
      <c r="G65" s="74" t="e">
        <f>INDEX(Exigência!$E$5:$E$54,MATCH(F65,Exigência!$B$5:$B$54,0))</f>
        <v>#N/A</v>
      </c>
      <c r="H65" s="63" t="s">
        <v>661</v>
      </c>
      <c r="J65" s="19" t="str">
        <f t="shared" si="52"/>
        <v/>
      </c>
      <c r="K65" s="22" t="str">
        <f t="shared" si="53"/>
        <v/>
      </c>
      <c r="L65" s="23" t="str">
        <f t="shared" si="54"/>
        <v/>
      </c>
      <c r="M65" s="50" t="str">
        <f t="shared" si="55"/>
        <v/>
      </c>
      <c r="N65" s="518" t="s">
        <v>821</v>
      </c>
    </row>
    <row r="66" spans="2:14">
      <c r="B66" s="73">
        <f>Exigência!B10</f>
        <v>0</v>
      </c>
      <c r="C66" s="64" t="str">
        <f t="shared" si="56"/>
        <v/>
      </c>
      <c r="D66" s="64" t="e">
        <f t="shared" si="51"/>
        <v>#NUM!</v>
      </c>
      <c r="E66" s="64">
        <v>6</v>
      </c>
      <c r="F66" s="61" t="str">
        <f t="shared" si="57"/>
        <v>-</v>
      </c>
      <c r="G66" s="74" t="e">
        <f>INDEX(Exigência!$E$5:$E$54,MATCH(F66,Exigência!$B$5:$B$54,0))</f>
        <v>#N/A</v>
      </c>
      <c r="H66" s="63" t="s">
        <v>661</v>
      </c>
      <c r="J66" s="19" t="str">
        <f t="shared" si="52"/>
        <v/>
      </c>
      <c r="K66" s="22" t="str">
        <f t="shared" si="53"/>
        <v/>
      </c>
      <c r="L66" s="23" t="str">
        <f t="shared" si="54"/>
        <v/>
      </c>
      <c r="M66" s="50" t="str">
        <f t="shared" si="55"/>
        <v/>
      </c>
      <c r="N66" s="518" t="s">
        <v>822</v>
      </c>
    </row>
    <row r="67" spans="2:14">
      <c r="B67" s="73" t="str">
        <f>Exigência!B11</f>
        <v>04 - Suplemento  Mineral</v>
      </c>
      <c r="C67" s="64">
        <f t="shared" si="56"/>
        <v>4</v>
      </c>
      <c r="D67" s="64" t="e">
        <f t="shared" si="51"/>
        <v>#NUM!</v>
      </c>
      <c r="E67" s="64">
        <v>7</v>
      </c>
      <c r="F67" s="61" t="str">
        <f t="shared" si="57"/>
        <v>-</v>
      </c>
      <c r="G67" s="74" t="e">
        <f>INDEX(Exigência!$E$5:$E$54,MATCH(F67,Exigência!$B$5:$B$54,0))</f>
        <v>#N/A</v>
      </c>
      <c r="H67" s="63" t="s">
        <v>661</v>
      </c>
      <c r="J67" s="19" t="str">
        <f t="shared" si="52"/>
        <v/>
      </c>
      <c r="K67" s="22" t="str">
        <f t="shared" si="53"/>
        <v/>
      </c>
      <c r="L67" s="23" t="str">
        <f t="shared" si="54"/>
        <v/>
      </c>
      <c r="M67" s="50" t="str">
        <f t="shared" si="55"/>
        <v/>
      </c>
      <c r="N67" s="518" t="s">
        <v>823</v>
      </c>
    </row>
    <row r="68" spans="2:14">
      <c r="B68" s="73">
        <f>Exigência!B12</f>
        <v>0</v>
      </c>
      <c r="C68" s="64" t="str">
        <f t="shared" si="56"/>
        <v/>
      </c>
      <c r="D68" s="64" t="e">
        <f t="shared" si="51"/>
        <v>#NUM!</v>
      </c>
      <c r="E68" s="64">
        <v>8</v>
      </c>
      <c r="F68" s="61" t="str">
        <f t="shared" si="57"/>
        <v>-</v>
      </c>
      <c r="G68" s="74" t="e">
        <f>INDEX(Exigência!$E$5:$E$54,MATCH(F68,Exigência!$B$5:$B$54,0))</f>
        <v>#N/A</v>
      </c>
      <c r="H68" s="63"/>
      <c r="J68" s="19" t="str">
        <f t="shared" si="52"/>
        <v/>
      </c>
      <c r="K68" s="22" t="str">
        <f t="shared" si="53"/>
        <v/>
      </c>
      <c r="L68" s="23" t="str">
        <f t="shared" si="54"/>
        <v/>
      </c>
      <c r="M68" s="50" t="str">
        <f t="shared" si="55"/>
        <v/>
      </c>
      <c r="N68" s="518" t="s">
        <v>824</v>
      </c>
    </row>
    <row r="69" spans="2:14">
      <c r="B69" s="73">
        <f>Exigência!B13</f>
        <v>0</v>
      </c>
      <c r="C69" s="64" t="str">
        <f t="shared" si="56"/>
        <v/>
      </c>
      <c r="D69" s="64" t="e">
        <f t="shared" si="51"/>
        <v>#NUM!</v>
      </c>
      <c r="E69" s="64">
        <v>9</v>
      </c>
      <c r="F69" s="61" t="str">
        <f t="shared" si="57"/>
        <v>-</v>
      </c>
      <c r="G69" s="74" t="e">
        <f>INDEX(Exigência!$E$5:$E$54,MATCH(F69,Exigência!$B$5:$B$54,0))</f>
        <v>#N/A</v>
      </c>
      <c r="H69" s="63"/>
      <c r="J69" s="19" t="str">
        <f t="shared" si="52"/>
        <v/>
      </c>
      <c r="K69" s="22" t="str">
        <f t="shared" si="53"/>
        <v/>
      </c>
      <c r="L69" s="23" t="str">
        <f t="shared" si="54"/>
        <v/>
      </c>
      <c r="M69" s="50" t="str">
        <f t="shared" si="55"/>
        <v/>
      </c>
      <c r="N69" s="518" t="s">
        <v>825</v>
      </c>
    </row>
    <row r="70" spans="2:14">
      <c r="B70" s="73">
        <f>Exigência!B14</f>
        <v>0</v>
      </c>
      <c r="C70" s="64" t="str">
        <f t="shared" si="56"/>
        <v/>
      </c>
      <c r="D70" s="64" t="e">
        <f t="shared" si="51"/>
        <v>#NUM!</v>
      </c>
      <c r="E70" s="64">
        <v>10</v>
      </c>
      <c r="F70" s="61" t="str">
        <f t="shared" si="57"/>
        <v>-</v>
      </c>
      <c r="G70" s="74" t="e">
        <f>INDEX(Exigência!$E$5:$E$54,MATCH(F70,Exigência!$B$5:$B$54,0))</f>
        <v>#N/A</v>
      </c>
      <c r="H70" s="63"/>
      <c r="J70" s="19" t="str">
        <f t="shared" si="52"/>
        <v/>
      </c>
      <c r="K70" s="22" t="str">
        <f t="shared" si="53"/>
        <v/>
      </c>
      <c r="L70" s="23" t="str">
        <f t="shared" si="54"/>
        <v/>
      </c>
      <c r="M70" s="50" t="str">
        <f t="shared" si="55"/>
        <v/>
      </c>
      <c r="N70" s="518" t="s">
        <v>826</v>
      </c>
    </row>
    <row r="71" spans="2:14">
      <c r="B71" s="73">
        <f>Exigência!B15</f>
        <v>0</v>
      </c>
      <c r="C71" s="64" t="str">
        <f t="shared" si="56"/>
        <v/>
      </c>
      <c r="D71" s="64" t="e">
        <f t="shared" si="51"/>
        <v>#NUM!</v>
      </c>
      <c r="E71" s="64">
        <v>11</v>
      </c>
      <c r="F71" s="61" t="str">
        <f t="shared" si="57"/>
        <v>-</v>
      </c>
      <c r="G71" s="74" t="e">
        <f>INDEX(Exigência!$E$5:$E$54,MATCH(F71,Exigência!$B$5:$B$54,0))</f>
        <v>#N/A</v>
      </c>
      <c r="H71" s="63"/>
      <c r="J71" s="19" t="str">
        <f t="shared" si="52"/>
        <v/>
      </c>
      <c r="K71" s="22" t="str">
        <f t="shared" si="53"/>
        <v/>
      </c>
      <c r="L71" s="23" t="str">
        <f t="shared" si="54"/>
        <v/>
      </c>
      <c r="M71" s="50" t="str">
        <f t="shared" si="55"/>
        <v/>
      </c>
      <c r="N71" s="518" t="s">
        <v>827</v>
      </c>
    </row>
    <row r="72" spans="2:14">
      <c r="B72" s="73">
        <f>Exigência!B16</f>
        <v>0</v>
      </c>
      <c r="C72" s="64" t="str">
        <f t="shared" si="56"/>
        <v/>
      </c>
      <c r="D72" s="64" t="e">
        <f t="shared" si="51"/>
        <v>#NUM!</v>
      </c>
      <c r="E72" s="64">
        <v>12</v>
      </c>
      <c r="F72" s="61" t="str">
        <f t="shared" si="57"/>
        <v>-</v>
      </c>
      <c r="G72" s="74" t="e">
        <f>INDEX(Exigência!$E$5:$E$54,MATCH(F72,Exigência!$B$5:$B$54,0))</f>
        <v>#N/A</v>
      </c>
      <c r="H72" s="63"/>
      <c r="J72" s="19" t="str">
        <f t="shared" si="52"/>
        <v/>
      </c>
      <c r="K72" s="22" t="str">
        <f t="shared" si="53"/>
        <v/>
      </c>
      <c r="L72" s="23" t="str">
        <f t="shared" si="54"/>
        <v/>
      </c>
      <c r="M72" s="50" t="str">
        <f t="shared" si="55"/>
        <v/>
      </c>
      <c r="N72" s="518" t="s">
        <v>828</v>
      </c>
    </row>
    <row r="73" spans="2:14">
      <c r="B73" s="73">
        <f>Exigência!B17</f>
        <v>0</v>
      </c>
      <c r="C73" s="64" t="str">
        <f t="shared" si="56"/>
        <v/>
      </c>
      <c r="D73" s="64" t="e">
        <f t="shared" si="51"/>
        <v>#NUM!</v>
      </c>
      <c r="E73" s="64">
        <v>13</v>
      </c>
      <c r="F73" s="61" t="str">
        <f t="shared" si="57"/>
        <v>-</v>
      </c>
      <c r="G73" s="74" t="e">
        <f>INDEX(Exigência!$E$5:$E$54,MATCH(F73,Exigência!$B$5:$B$54,0))</f>
        <v>#N/A</v>
      </c>
      <c r="H73" s="63"/>
      <c r="J73" s="19" t="str">
        <f t="shared" si="52"/>
        <v/>
      </c>
      <c r="K73" s="22" t="str">
        <f t="shared" si="53"/>
        <v/>
      </c>
      <c r="L73" s="23" t="str">
        <f t="shared" si="54"/>
        <v/>
      </c>
      <c r="M73" s="50" t="str">
        <f t="shared" si="55"/>
        <v/>
      </c>
      <c r="N73" s="518" t="s">
        <v>829</v>
      </c>
    </row>
    <row r="74" spans="2:14">
      <c r="B74" s="73">
        <f>Exigência!B18</f>
        <v>0</v>
      </c>
      <c r="C74" s="64" t="str">
        <f t="shared" si="56"/>
        <v/>
      </c>
      <c r="D74" s="64" t="e">
        <f t="shared" si="51"/>
        <v>#NUM!</v>
      </c>
      <c r="E74" s="64">
        <v>14</v>
      </c>
      <c r="F74" s="61" t="str">
        <f t="shared" si="57"/>
        <v>-</v>
      </c>
      <c r="G74" s="74" t="e">
        <f>INDEX(Exigência!$E$5:$E$54,MATCH(F74,Exigência!$B$5:$B$54,0))</f>
        <v>#N/A</v>
      </c>
      <c r="H74" s="63"/>
      <c r="J74" s="19" t="str">
        <f t="shared" si="52"/>
        <v/>
      </c>
      <c r="K74" s="22" t="str">
        <f t="shared" si="53"/>
        <v/>
      </c>
      <c r="L74" s="23" t="str">
        <f t="shared" si="54"/>
        <v/>
      </c>
      <c r="M74" s="50" t="str">
        <f t="shared" si="55"/>
        <v/>
      </c>
      <c r="N74" s="518" t="s">
        <v>830</v>
      </c>
    </row>
    <row r="75" spans="2:14">
      <c r="B75" s="73">
        <f>Exigência!B19</f>
        <v>0</v>
      </c>
      <c r="C75" s="64" t="str">
        <f t="shared" si="56"/>
        <v/>
      </c>
      <c r="D75" s="64" t="e">
        <f t="shared" si="51"/>
        <v>#NUM!</v>
      </c>
      <c r="E75" s="64">
        <v>15</v>
      </c>
      <c r="F75" s="61" t="str">
        <f t="shared" si="57"/>
        <v>-</v>
      </c>
      <c r="G75" s="74" t="e">
        <f>INDEX(Exigência!$E$5:$E$54,MATCH(F75,Exigência!$B$5:$B$54,0))</f>
        <v>#N/A</v>
      </c>
      <c r="H75" s="63"/>
      <c r="J75" s="19" t="str">
        <f t="shared" si="52"/>
        <v/>
      </c>
      <c r="K75" s="22" t="str">
        <f t="shared" si="53"/>
        <v/>
      </c>
      <c r="L75" s="23" t="str">
        <f t="shared" si="54"/>
        <v/>
      </c>
      <c r="M75" s="50" t="str">
        <f t="shared" si="55"/>
        <v/>
      </c>
      <c r="N75" s="518" t="s">
        <v>831</v>
      </c>
    </row>
    <row r="76" spans="2:14">
      <c r="B76" s="73">
        <f>Exigência!B20</f>
        <v>0</v>
      </c>
      <c r="C76" s="64" t="str">
        <f t="shared" si="56"/>
        <v/>
      </c>
      <c r="D76" s="64" t="e">
        <f t="shared" si="51"/>
        <v>#NUM!</v>
      </c>
      <c r="E76" s="64">
        <v>16</v>
      </c>
      <c r="F76" s="61" t="str">
        <f t="shared" si="57"/>
        <v>-</v>
      </c>
      <c r="G76" s="74" t="e">
        <f>INDEX(Exigência!$E$5:$E$54,MATCH(F76,Exigência!$B$5:$B$54,0))</f>
        <v>#N/A</v>
      </c>
      <c r="H76" s="63"/>
      <c r="J76" s="19" t="str">
        <f t="shared" si="52"/>
        <v/>
      </c>
      <c r="K76" s="22" t="str">
        <f t="shared" si="53"/>
        <v/>
      </c>
      <c r="L76" s="23" t="str">
        <f t="shared" si="54"/>
        <v/>
      </c>
      <c r="M76" s="50" t="str">
        <f t="shared" si="55"/>
        <v/>
      </c>
      <c r="N76" s="518" t="s">
        <v>832</v>
      </c>
    </row>
    <row r="77" spans="2:14">
      <c r="B77" s="73">
        <f>Exigência!B21</f>
        <v>0</v>
      </c>
      <c r="C77" s="64" t="str">
        <f t="shared" si="56"/>
        <v/>
      </c>
      <c r="D77" s="64" t="e">
        <f t="shared" si="51"/>
        <v>#NUM!</v>
      </c>
      <c r="E77" s="64">
        <v>17</v>
      </c>
      <c r="F77" s="61" t="str">
        <f t="shared" si="57"/>
        <v>-</v>
      </c>
      <c r="G77" s="74" t="e">
        <f>INDEX(Exigência!$E$5:$E$54,MATCH(F77,Exigência!$B$5:$B$54,0))</f>
        <v>#N/A</v>
      </c>
      <c r="H77" s="63"/>
      <c r="J77" s="19" t="str">
        <f t="shared" si="52"/>
        <v/>
      </c>
      <c r="K77" s="22" t="str">
        <f t="shared" si="53"/>
        <v/>
      </c>
      <c r="L77" s="23" t="str">
        <f t="shared" si="54"/>
        <v/>
      </c>
      <c r="M77" s="50" t="str">
        <f t="shared" si="55"/>
        <v/>
      </c>
      <c r="N77" s="518" t="s">
        <v>833</v>
      </c>
    </row>
    <row r="78" spans="2:14">
      <c r="B78" s="73">
        <f>Exigência!B22</f>
        <v>0</v>
      </c>
      <c r="C78" s="64" t="str">
        <f t="shared" si="56"/>
        <v/>
      </c>
      <c r="D78" s="64" t="e">
        <f t="shared" si="51"/>
        <v>#NUM!</v>
      </c>
      <c r="E78" s="64">
        <v>18</v>
      </c>
      <c r="F78" s="61" t="str">
        <f t="shared" si="57"/>
        <v>-</v>
      </c>
      <c r="G78" s="74" t="e">
        <f>INDEX(Exigência!$E$5:$E$54,MATCH(F78,Exigência!$B$5:$B$54,0))</f>
        <v>#N/A</v>
      </c>
      <c r="H78" s="63"/>
      <c r="J78" s="19" t="str">
        <f t="shared" si="52"/>
        <v/>
      </c>
      <c r="K78" s="22" t="str">
        <f t="shared" si="53"/>
        <v/>
      </c>
      <c r="L78" s="23" t="str">
        <f t="shared" si="54"/>
        <v/>
      </c>
      <c r="M78" s="50" t="str">
        <f t="shared" si="55"/>
        <v/>
      </c>
      <c r="N78" s="518" t="s">
        <v>834</v>
      </c>
    </row>
    <row r="79" spans="2:14">
      <c r="B79" s="73">
        <f>Exigência!B23</f>
        <v>0</v>
      </c>
      <c r="C79" s="64" t="str">
        <f t="shared" si="56"/>
        <v/>
      </c>
      <c r="D79" s="64" t="e">
        <f t="shared" si="51"/>
        <v>#NUM!</v>
      </c>
      <c r="E79" s="64">
        <v>19</v>
      </c>
      <c r="F79" s="61" t="str">
        <f t="shared" si="57"/>
        <v>-</v>
      </c>
      <c r="G79" s="74" t="e">
        <f>INDEX(Exigência!$E$5:$E$54,MATCH(F79,Exigência!$B$5:$B$54,0))</f>
        <v>#N/A</v>
      </c>
      <c r="H79" s="63"/>
      <c r="J79" s="19" t="str">
        <f t="shared" si="52"/>
        <v/>
      </c>
      <c r="K79" s="22" t="str">
        <f t="shared" si="53"/>
        <v/>
      </c>
      <c r="L79" s="23" t="str">
        <f t="shared" si="54"/>
        <v/>
      </c>
      <c r="M79" s="50" t="str">
        <f t="shared" si="55"/>
        <v/>
      </c>
      <c r="N79" s="518" t="s">
        <v>835</v>
      </c>
    </row>
    <row r="80" spans="2:14">
      <c r="B80" s="73">
        <f>Exigência!B24</f>
        <v>0</v>
      </c>
      <c r="C80" s="64" t="str">
        <f t="shared" si="56"/>
        <v/>
      </c>
      <c r="D80" s="64" t="e">
        <f t="shared" si="51"/>
        <v>#NUM!</v>
      </c>
      <c r="E80" s="64">
        <v>20</v>
      </c>
      <c r="F80" s="61" t="str">
        <f t="shared" si="57"/>
        <v>-</v>
      </c>
      <c r="G80" s="74" t="e">
        <f>INDEX(Exigência!$E$5:$E$54,MATCH(F80,Exigência!$B$5:$B$54,0))</f>
        <v>#N/A</v>
      </c>
      <c r="H80" s="63"/>
      <c r="J80" s="19" t="str">
        <f t="shared" si="52"/>
        <v/>
      </c>
      <c r="K80" s="22" t="str">
        <f t="shared" si="53"/>
        <v/>
      </c>
      <c r="L80" s="23" t="str">
        <f t="shared" si="54"/>
        <v/>
      </c>
      <c r="M80" s="50" t="str">
        <f t="shared" si="55"/>
        <v/>
      </c>
      <c r="N80" s="518" t="s">
        <v>836</v>
      </c>
    </row>
    <row r="81" spans="2:14">
      <c r="B81" s="73">
        <f>Exigência!B25</f>
        <v>0</v>
      </c>
      <c r="C81" s="64" t="str">
        <f t="shared" si="56"/>
        <v/>
      </c>
      <c r="D81" s="64" t="e">
        <f t="shared" si="51"/>
        <v>#NUM!</v>
      </c>
      <c r="E81" s="64">
        <v>21</v>
      </c>
      <c r="F81" s="61" t="str">
        <f t="shared" si="57"/>
        <v>-</v>
      </c>
      <c r="G81" s="74" t="e">
        <f>INDEX(Exigência!$E$5:$E$54,MATCH(F81,Exigência!$B$5:$B$54,0))</f>
        <v>#N/A</v>
      </c>
      <c r="H81" s="63"/>
      <c r="J81" s="19" t="str">
        <f t="shared" si="52"/>
        <v/>
      </c>
      <c r="K81" s="22" t="str">
        <f t="shared" si="53"/>
        <v/>
      </c>
      <c r="L81" s="23" t="str">
        <f t="shared" si="54"/>
        <v/>
      </c>
      <c r="M81" s="50" t="str">
        <f t="shared" si="55"/>
        <v/>
      </c>
      <c r="N81" s="518" t="s">
        <v>837</v>
      </c>
    </row>
    <row r="82" spans="2:14">
      <c r="B82" s="73">
        <f>Exigência!B26</f>
        <v>0</v>
      </c>
      <c r="C82" s="64" t="str">
        <f t="shared" si="56"/>
        <v/>
      </c>
      <c r="D82" s="64" t="e">
        <f t="shared" si="51"/>
        <v>#NUM!</v>
      </c>
      <c r="E82" s="64">
        <v>22</v>
      </c>
      <c r="F82" s="61" t="str">
        <f t="shared" si="57"/>
        <v>-</v>
      </c>
      <c r="G82" s="74" t="e">
        <f>INDEX(Exigência!$E$5:$E$54,MATCH(F82,Exigência!$B$5:$B$54,0))</f>
        <v>#N/A</v>
      </c>
      <c r="H82" s="63"/>
      <c r="J82" s="19" t="str">
        <f t="shared" si="52"/>
        <v/>
      </c>
      <c r="K82" s="22" t="str">
        <f t="shared" si="53"/>
        <v/>
      </c>
      <c r="L82" s="23" t="str">
        <f t="shared" si="54"/>
        <v/>
      </c>
      <c r="M82" s="50" t="str">
        <f t="shared" si="55"/>
        <v/>
      </c>
      <c r="N82" s="518" t="s">
        <v>838</v>
      </c>
    </row>
    <row r="83" spans="2:14">
      <c r="B83" s="73">
        <f>Exigência!B27</f>
        <v>0</v>
      </c>
      <c r="C83" s="64" t="str">
        <f t="shared" si="56"/>
        <v/>
      </c>
      <c r="D83" s="64" t="e">
        <f t="shared" si="51"/>
        <v>#NUM!</v>
      </c>
      <c r="E83" s="64">
        <v>23</v>
      </c>
      <c r="F83" s="61" t="str">
        <f t="shared" si="57"/>
        <v>-</v>
      </c>
      <c r="G83" s="74" t="e">
        <f>INDEX(Exigência!$E$5:$E$54,MATCH(F83,Exigência!$B$5:$B$54,0))</f>
        <v>#N/A</v>
      </c>
      <c r="H83" s="63"/>
      <c r="J83" s="19" t="str">
        <f t="shared" si="52"/>
        <v/>
      </c>
      <c r="K83" s="22" t="str">
        <f t="shared" si="53"/>
        <v/>
      </c>
      <c r="L83" s="23" t="str">
        <f t="shared" si="54"/>
        <v/>
      </c>
      <c r="M83" s="50" t="str">
        <f t="shared" si="55"/>
        <v/>
      </c>
      <c r="N83" s="518" t="s">
        <v>839</v>
      </c>
    </row>
    <row r="84" spans="2:14">
      <c r="B84" s="73">
        <f>Exigência!B28</f>
        <v>0</v>
      </c>
      <c r="C84" s="64" t="str">
        <f t="shared" si="56"/>
        <v/>
      </c>
      <c r="D84" s="64" t="e">
        <f t="shared" si="51"/>
        <v>#NUM!</v>
      </c>
      <c r="E84" s="64">
        <v>24</v>
      </c>
      <c r="F84" s="61" t="str">
        <f t="shared" si="57"/>
        <v>-</v>
      </c>
      <c r="G84" s="74" t="e">
        <f>INDEX(Exigência!$E$5:$E$54,MATCH(F84,Exigência!$B$5:$B$54,0))</f>
        <v>#N/A</v>
      </c>
      <c r="H84" s="63"/>
      <c r="J84" s="19" t="str">
        <f t="shared" si="52"/>
        <v/>
      </c>
      <c r="K84" s="22" t="str">
        <f t="shared" si="53"/>
        <v/>
      </c>
      <c r="L84" s="23" t="str">
        <f t="shared" si="54"/>
        <v/>
      </c>
      <c r="M84" s="50" t="str">
        <f t="shared" si="55"/>
        <v/>
      </c>
      <c r="N84" s="518" t="s">
        <v>840</v>
      </c>
    </row>
    <row r="85" spans="2:14">
      <c r="B85" s="73">
        <f>Exigência!B29</f>
        <v>0</v>
      </c>
      <c r="C85" s="64" t="str">
        <f t="shared" si="56"/>
        <v/>
      </c>
      <c r="D85" s="64" t="e">
        <f t="shared" si="51"/>
        <v>#NUM!</v>
      </c>
      <c r="E85" s="64">
        <v>25</v>
      </c>
      <c r="F85" s="61" t="str">
        <f t="shared" si="57"/>
        <v>-</v>
      </c>
      <c r="G85" s="74" t="e">
        <f>INDEX(Exigência!$E$5:$E$54,MATCH(F85,Exigência!$B$5:$B$54,0))</f>
        <v>#N/A</v>
      </c>
      <c r="H85" s="63"/>
      <c r="J85" s="693" t="str">
        <f t="shared" si="52"/>
        <v/>
      </c>
      <c r="K85" s="694" t="str">
        <f t="shared" si="53"/>
        <v/>
      </c>
      <c r="L85" s="695" t="str">
        <f t="shared" si="54"/>
        <v/>
      </c>
      <c r="M85" s="696" t="str">
        <f t="shared" si="55"/>
        <v/>
      </c>
      <c r="N85" s="518" t="s">
        <v>841</v>
      </c>
    </row>
    <row r="86" spans="2:14">
      <c r="B86" s="73">
        <f>Exigência!B30</f>
        <v>0</v>
      </c>
      <c r="C86" s="64" t="str">
        <f t="shared" si="56"/>
        <v/>
      </c>
      <c r="D86" s="64" t="e">
        <f t="shared" si="51"/>
        <v>#NUM!</v>
      </c>
      <c r="E86" s="64">
        <v>26</v>
      </c>
      <c r="F86" s="61" t="str">
        <f t="shared" si="57"/>
        <v>-</v>
      </c>
      <c r="G86" s="74" t="e">
        <f>INDEX(Exigência!$E$5:$E$54,MATCH(F86,Exigência!$B$5:$B$54,0))</f>
        <v>#N/A</v>
      </c>
      <c r="H86" s="63"/>
      <c r="J86" s="697"/>
      <c r="L86" s="63" t="str">
        <f t="shared" ref="L86:L110" si="58">INDEX($F$5:$F$29,MATCH(J5,$B$5:$B$29,0))</f>
        <v>Concentrado</v>
      </c>
      <c r="M86" s="698" t="str">
        <f>L86&amp;IF(L86="Volumoso",COUNTIF(L$86:L86,"Volumoso"),"")</f>
        <v>Concentrado</v>
      </c>
    </row>
    <row r="87" spans="2:14">
      <c r="B87" s="73">
        <f>Exigência!B31</f>
        <v>0</v>
      </c>
      <c r="C87" s="64" t="str">
        <f t="shared" si="56"/>
        <v/>
      </c>
      <c r="D87" s="64" t="e">
        <f t="shared" si="51"/>
        <v>#NUM!</v>
      </c>
      <c r="E87" s="64">
        <v>27</v>
      </c>
      <c r="F87" s="61" t="str">
        <f t="shared" si="57"/>
        <v>-</v>
      </c>
      <c r="G87" s="74" t="e">
        <f>INDEX(Exigência!$E$5:$E$54,MATCH(F87,Exigência!$B$5:$B$54,0))</f>
        <v>#N/A</v>
      </c>
      <c r="H87" s="63"/>
      <c r="J87" s="697"/>
      <c r="L87" s="63" t="str">
        <f t="shared" si="58"/>
        <v>Concentrado</v>
      </c>
      <c r="M87" s="698" t="str">
        <f>L87&amp;IF(L87="Volumoso",COUNTIF(L$86:L87,"Volumoso"),"")</f>
        <v>Concentrado</v>
      </c>
    </row>
    <row r="88" spans="2:14">
      <c r="B88" s="73">
        <f>Exigência!B32</f>
        <v>0</v>
      </c>
      <c r="C88" s="64" t="str">
        <f t="shared" si="56"/>
        <v/>
      </c>
      <c r="D88" s="64" t="e">
        <f t="shared" si="51"/>
        <v>#NUM!</v>
      </c>
      <c r="E88" s="64">
        <v>28</v>
      </c>
      <c r="F88" s="61" t="str">
        <f t="shared" si="57"/>
        <v>-</v>
      </c>
      <c r="G88" s="74" t="e">
        <f>INDEX(Exigência!$E$5:$E$54,MATCH(F88,Exigência!$B$5:$B$54,0))</f>
        <v>#N/A</v>
      </c>
      <c r="H88" s="63"/>
      <c r="J88" s="697"/>
      <c r="L88" s="63" t="str">
        <f t="shared" si="58"/>
        <v>Concentrado</v>
      </c>
      <c r="M88" s="698" t="str">
        <f>L88&amp;IF(L88="Volumoso",COUNTIF(L$86:L88,"Volumoso"),"")</f>
        <v>Concentrado</v>
      </c>
    </row>
    <row r="89" spans="2:14">
      <c r="B89" s="73">
        <f>Exigência!B33</f>
        <v>0</v>
      </c>
      <c r="C89" s="64" t="str">
        <f t="shared" si="56"/>
        <v/>
      </c>
      <c r="D89" s="64" t="e">
        <f t="shared" si="51"/>
        <v>#NUM!</v>
      </c>
      <c r="E89" s="64">
        <v>29</v>
      </c>
      <c r="F89" s="61" t="str">
        <f t="shared" si="57"/>
        <v>-</v>
      </c>
      <c r="G89" s="74" t="e">
        <f>INDEX(Exigência!$E$5:$E$54,MATCH(F89,Exigência!$B$5:$B$54,0))</f>
        <v>#N/A</v>
      </c>
      <c r="H89" s="63"/>
      <c r="J89" s="697"/>
      <c r="L89" s="63" t="str">
        <f t="shared" si="58"/>
        <v>Concentrado</v>
      </c>
      <c r="M89" s="698" t="str">
        <f>L89&amp;IF(L89="Volumoso",COUNTIF(L$86:L89,"Volumoso"),"")</f>
        <v>Concentrado</v>
      </c>
    </row>
    <row r="90" spans="2:14">
      <c r="B90" s="73">
        <f>Exigência!B34</f>
        <v>0</v>
      </c>
      <c r="C90" s="64" t="str">
        <f t="shared" si="56"/>
        <v/>
      </c>
      <c r="D90" s="64" t="e">
        <f t="shared" si="51"/>
        <v>#NUM!</v>
      </c>
      <c r="E90" s="64">
        <v>30</v>
      </c>
      <c r="F90" s="61" t="str">
        <f t="shared" si="57"/>
        <v>-</v>
      </c>
      <c r="G90" s="74" t="e">
        <f>INDEX(Exigência!$E$5:$E$54,MATCH(F90,Exigência!$B$5:$B$54,0))</f>
        <v>#N/A</v>
      </c>
      <c r="H90" s="63"/>
      <c r="J90" s="697"/>
      <c r="L90" s="63" t="str">
        <f t="shared" si="58"/>
        <v>Concentrado</v>
      </c>
      <c r="M90" s="698" t="str">
        <f>L90&amp;IF(L90="Volumoso",COUNTIF(L$86:L90,"Volumoso"),"")</f>
        <v>Concentrado</v>
      </c>
    </row>
    <row r="91" spans="2:14">
      <c r="B91" s="73">
        <f>Exigência!B35</f>
        <v>0</v>
      </c>
      <c r="C91" s="64" t="str">
        <f t="shared" si="56"/>
        <v/>
      </c>
      <c r="D91" s="64" t="e">
        <f t="shared" si="51"/>
        <v>#NUM!</v>
      </c>
      <c r="E91" s="64">
        <v>31</v>
      </c>
      <c r="F91" s="61" t="str">
        <f t="shared" si="57"/>
        <v>-</v>
      </c>
      <c r="G91" s="74" t="e">
        <f>INDEX(Exigência!$E$5:$E$54,MATCH(F91,Exigência!$B$5:$B$54,0))</f>
        <v>#N/A</v>
      </c>
      <c r="H91" s="63"/>
      <c r="J91" s="697"/>
      <c r="L91" s="63" t="str">
        <f t="shared" si="58"/>
        <v>Concentrado</v>
      </c>
      <c r="M91" s="698" t="str">
        <f>L91&amp;IF(L91="Volumoso",COUNTIF(L$86:L91,"Volumoso"),"")</f>
        <v>Concentrado</v>
      </c>
    </row>
    <row r="92" spans="2:14">
      <c r="B92" s="73">
        <f>Exigência!B36</f>
        <v>0</v>
      </c>
      <c r="C92" s="64" t="str">
        <f t="shared" si="56"/>
        <v/>
      </c>
      <c r="D92" s="64" t="e">
        <f t="shared" si="51"/>
        <v>#NUM!</v>
      </c>
      <c r="E92" s="64">
        <v>32</v>
      </c>
      <c r="F92" s="61" t="str">
        <f t="shared" si="57"/>
        <v>-</v>
      </c>
      <c r="G92" s="74" t="e">
        <f>INDEX(Exigência!$E$5:$E$54,MATCH(F92,Exigência!$B$5:$B$54,0))</f>
        <v>#N/A</v>
      </c>
      <c r="H92" s="63"/>
      <c r="J92" s="697"/>
      <c r="L92" s="63" t="str">
        <f t="shared" si="58"/>
        <v>Concentrado</v>
      </c>
      <c r="M92" s="698" t="str">
        <f>L92&amp;IF(L92="Volumoso",COUNTIF(L$86:L92,"Volumoso"),"")</f>
        <v>Concentrado</v>
      </c>
    </row>
    <row r="93" spans="2:14">
      <c r="B93" s="73">
        <f>Exigência!B37</f>
        <v>0</v>
      </c>
      <c r="C93" s="64" t="str">
        <f t="shared" si="56"/>
        <v/>
      </c>
      <c r="D93" s="64" t="e">
        <f t="shared" ref="D93:D110" si="59">SMALL($C$61:$C$110,E93)</f>
        <v>#NUM!</v>
      </c>
      <c r="E93" s="64">
        <v>33</v>
      </c>
      <c r="F93" s="61" t="str">
        <f t="shared" ref="F93:F110" si="60">IFERROR(INDEX($B$61:$B$110,MATCH(D93,$C$61:$C$110,0)),"-")</f>
        <v>-</v>
      </c>
      <c r="G93" s="74" t="e">
        <f>INDEX(Exigência!$E$5:$E$54,MATCH(F93,Exigência!$B$5:$B$54,0))</f>
        <v>#N/A</v>
      </c>
      <c r="H93" s="63"/>
      <c r="J93" s="697"/>
      <c r="L93" s="63" t="str">
        <f t="shared" si="58"/>
        <v>Concentrado</v>
      </c>
      <c r="M93" s="698" t="str">
        <f>L93&amp;IF(L93="Volumoso",COUNTIF(L$86:L93,"Volumoso"),"")</f>
        <v>Concentrado</v>
      </c>
    </row>
    <row r="94" spans="2:14">
      <c r="B94" s="73">
        <f>Exigência!B38</f>
        <v>0</v>
      </c>
      <c r="C94" s="64" t="str">
        <f t="shared" si="56"/>
        <v/>
      </c>
      <c r="D94" s="64" t="e">
        <f t="shared" si="59"/>
        <v>#NUM!</v>
      </c>
      <c r="E94" s="64">
        <v>34</v>
      </c>
      <c r="F94" s="61" t="str">
        <f t="shared" si="60"/>
        <v>-</v>
      </c>
      <c r="G94" s="74" t="e">
        <f>INDEX(Exigência!$E$5:$E$54,MATCH(F94,Exigência!$B$5:$B$54,0))</f>
        <v>#N/A</v>
      </c>
      <c r="H94" s="63"/>
      <c r="J94" s="697"/>
      <c r="L94" s="63" t="str">
        <f t="shared" si="58"/>
        <v>Concentrado</v>
      </c>
      <c r="M94" s="698" t="str">
        <f>L94&amp;IF(L94="Volumoso",COUNTIF(L$86:L94,"Volumoso"),"")</f>
        <v>Concentrado</v>
      </c>
    </row>
    <row r="95" spans="2:14">
      <c r="B95" s="73">
        <f>Exigência!B39</f>
        <v>0</v>
      </c>
      <c r="C95" s="64" t="str">
        <f t="shared" si="56"/>
        <v/>
      </c>
      <c r="D95" s="64" t="e">
        <f t="shared" si="59"/>
        <v>#NUM!</v>
      </c>
      <c r="E95" s="64">
        <v>35</v>
      </c>
      <c r="F95" s="61" t="str">
        <f t="shared" si="60"/>
        <v>-</v>
      </c>
      <c r="G95" s="74" t="e">
        <f>INDEX(Exigência!$E$5:$E$54,MATCH(F95,Exigência!$B$5:$B$54,0))</f>
        <v>#N/A</v>
      </c>
      <c r="H95" s="63"/>
      <c r="J95" s="697"/>
      <c r="L95" s="63" t="str">
        <f t="shared" si="58"/>
        <v>Concentrado</v>
      </c>
      <c r="M95" s="698" t="str">
        <f>L95&amp;IF(L95="Volumoso",COUNTIF(L$86:L95,"Volumoso"),"")</f>
        <v>Concentrado</v>
      </c>
    </row>
    <row r="96" spans="2:14">
      <c r="B96" s="73">
        <f>Exigência!B40</f>
        <v>0</v>
      </c>
      <c r="C96" s="64" t="str">
        <f t="shared" si="56"/>
        <v/>
      </c>
      <c r="D96" s="64" t="e">
        <f t="shared" si="59"/>
        <v>#NUM!</v>
      </c>
      <c r="E96" s="64">
        <v>36</v>
      </c>
      <c r="F96" s="61" t="str">
        <f t="shared" si="60"/>
        <v>-</v>
      </c>
      <c r="G96" s="74" t="e">
        <f>INDEX(Exigência!$E$5:$E$54,MATCH(F96,Exigência!$B$5:$B$54,0))</f>
        <v>#N/A</v>
      </c>
      <c r="H96" s="63"/>
      <c r="J96" s="697"/>
      <c r="L96" s="63" t="str">
        <f t="shared" si="58"/>
        <v>Concentrado</v>
      </c>
      <c r="M96" s="698" t="str">
        <f>L96&amp;IF(L96="Volumoso",COUNTIF(L$86:L96,"Volumoso"),"")</f>
        <v>Concentrado</v>
      </c>
    </row>
    <row r="97" spans="2:13">
      <c r="B97" s="73">
        <f>Exigência!B41</f>
        <v>0</v>
      </c>
      <c r="C97" s="64" t="str">
        <f t="shared" si="56"/>
        <v/>
      </c>
      <c r="D97" s="64" t="e">
        <f t="shared" si="59"/>
        <v>#NUM!</v>
      </c>
      <c r="E97" s="64">
        <v>37</v>
      </c>
      <c r="F97" s="61" t="str">
        <f t="shared" si="60"/>
        <v>-</v>
      </c>
      <c r="G97" s="74" t="e">
        <f>INDEX(Exigência!$E$5:$E$54,MATCH(F97,Exigência!$B$5:$B$54,0))</f>
        <v>#N/A</v>
      </c>
      <c r="H97" s="63"/>
      <c r="J97" s="697"/>
      <c r="L97" s="63" t="str">
        <f t="shared" si="58"/>
        <v>Concentrado</v>
      </c>
      <c r="M97" s="698" t="str">
        <f>L97&amp;IF(L97="Volumoso",COUNTIF(L$86:L97,"Volumoso"),"")</f>
        <v>Concentrado</v>
      </c>
    </row>
    <row r="98" spans="2:13">
      <c r="B98" s="73">
        <f>Exigência!B42</f>
        <v>0</v>
      </c>
      <c r="C98" s="64" t="str">
        <f t="shared" si="56"/>
        <v/>
      </c>
      <c r="D98" s="64" t="e">
        <f t="shared" si="59"/>
        <v>#NUM!</v>
      </c>
      <c r="E98" s="64">
        <v>38</v>
      </c>
      <c r="F98" s="61" t="str">
        <f t="shared" si="60"/>
        <v>-</v>
      </c>
      <c r="G98" s="74" t="e">
        <f>INDEX(Exigência!$E$5:$E$54,MATCH(F98,Exigência!$B$5:$B$54,0))</f>
        <v>#N/A</v>
      </c>
      <c r="H98" s="63"/>
      <c r="J98" s="697"/>
      <c r="L98" s="63" t="e">
        <f t="shared" si="58"/>
        <v>#N/A</v>
      </c>
      <c r="M98" s="698" t="e">
        <f>L98&amp;IF(L98="Volumoso",COUNTIF(L$86:L98,"Volumoso"),"")</f>
        <v>#N/A</v>
      </c>
    </row>
    <row r="99" spans="2:13">
      <c r="B99" s="73">
        <f>Exigência!B43</f>
        <v>0</v>
      </c>
      <c r="C99" s="64" t="str">
        <f t="shared" si="56"/>
        <v/>
      </c>
      <c r="D99" s="64" t="e">
        <f t="shared" si="59"/>
        <v>#NUM!</v>
      </c>
      <c r="E99" s="64">
        <v>39</v>
      </c>
      <c r="F99" s="61" t="str">
        <f t="shared" si="60"/>
        <v>-</v>
      </c>
      <c r="G99" s="74" t="e">
        <f>INDEX(Exigência!$E$5:$E$54,MATCH(F99,Exigência!$B$5:$B$54,0))</f>
        <v>#N/A</v>
      </c>
      <c r="H99" s="63"/>
      <c r="J99" s="697"/>
      <c r="L99" s="63" t="e">
        <f t="shared" si="58"/>
        <v>#N/A</v>
      </c>
      <c r="M99" s="698" t="e">
        <f>L99&amp;IF(L99="Volumoso",COUNTIF(L$86:L99,"Volumoso"),"")</f>
        <v>#N/A</v>
      </c>
    </row>
    <row r="100" spans="2:13">
      <c r="B100" s="73">
        <f>Exigência!B44</f>
        <v>0</v>
      </c>
      <c r="C100" s="64" t="str">
        <f t="shared" si="56"/>
        <v/>
      </c>
      <c r="D100" s="64" t="e">
        <f t="shared" si="59"/>
        <v>#NUM!</v>
      </c>
      <c r="E100" s="64">
        <v>40</v>
      </c>
      <c r="F100" s="61" t="str">
        <f t="shared" si="60"/>
        <v>-</v>
      </c>
      <c r="G100" s="74" t="e">
        <f>INDEX(Exigência!$E$5:$E$54,MATCH(F100,Exigência!$B$5:$B$54,0))</f>
        <v>#N/A</v>
      </c>
      <c r="H100" s="63"/>
      <c r="J100" s="697"/>
      <c r="L100" s="63" t="e">
        <f t="shared" si="58"/>
        <v>#N/A</v>
      </c>
      <c r="M100" s="698" t="e">
        <f>L100&amp;IF(L100="Volumoso",COUNTIF(L$86:L100,"Volumoso"),"")</f>
        <v>#N/A</v>
      </c>
    </row>
    <row r="101" spans="2:13">
      <c r="B101" s="73">
        <f>Exigência!B45</f>
        <v>0</v>
      </c>
      <c r="C101" s="64" t="str">
        <f t="shared" si="56"/>
        <v/>
      </c>
      <c r="D101" s="64" t="e">
        <f t="shared" si="59"/>
        <v>#NUM!</v>
      </c>
      <c r="E101" s="64">
        <v>41</v>
      </c>
      <c r="F101" s="61" t="str">
        <f t="shared" si="60"/>
        <v>-</v>
      </c>
      <c r="G101" s="74" t="e">
        <f>INDEX(Exigência!$E$5:$E$54,MATCH(F101,Exigência!$B$5:$B$54,0))</f>
        <v>#N/A</v>
      </c>
      <c r="H101" s="63"/>
      <c r="J101" s="697"/>
      <c r="L101" s="63" t="e">
        <f t="shared" si="58"/>
        <v>#N/A</v>
      </c>
      <c r="M101" s="698" t="e">
        <f>L101&amp;IF(L101="Volumoso",COUNTIF(L$86:L101,"Volumoso"),"")</f>
        <v>#N/A</v>
      </c>
    </row>
    <row r="102" spans="2:13">
      <c r="B102" s="73">
        <f>Exigência!B46</f>
        <v>0</v>
      </c>
      <c r="C102" s="64" t="str">
        <f t="shared" si="56"/>
        <v/>
      </c>
      <c r="D102" s="64" t="e">
        <f t="shared" si="59"/>
        <v>#NUM!</v>
      </c>
      <c r="E102" s="64">
        <v>42</v>
      </c>
      <c r="F102" s="61" t="str">
        <f t="shared" si="60"/>
        <v>-</v>
      </c>
      <c r="G102" s="74" t="e">
        <f>INDEX(Exigência!$E$5:$E$54,MATCH(F102,Exigência!$B$5:$B$54,0))</f>
        <v>#N/A</v>
      </c>
      <c r="H102" s="63"/>
      <c r="J102" s="697"/>
      <c r="L102" s="63" t="e">
        <f t="shared" si="58"/>
        <v>#N/A</v>
      </c>
      <c r="M102" s="698" t="e">
        <f>L102&amp;IF(L102="Volumoso",COUNTIF(L$86:L102,"Volumoso"),"")</f>
        <v>#N/A</v>
      </c>
    </row>
    <row r="103" spans="2:13">
      <c r="B103" s="73">
        <f>Exigência!B47</f>
        <v>0</v>
      </c>
      <c r="C103" s="64" t="str">
        <f t="shared" si="56"/>
        <v/>
      </c>
      <c r="D103" s="64" t="e">
        <f t="shared" si="59"/>
        <v>#NUM!</v>
      </c>
      <c r="E103" s="64">
        <v>43</v>
      </c>
      <c r="F103" s="61" t="str">
        <f t="shared" si="60"/>
        <v>-</v>
      </c>
      <c r="G103" s="74" t="e">
        <f>INDEX(Exigência!$E$5:$E$54,MATCH(F103,Exigência!$B$5:$B$54,0))</f>
        <v>#N/A</v>
      </c>
      <c r="H103" s="63"/>
      <c r="J103" s="697"/>
      <c r="L103" s="63" t="e">
        <f t="shared" si="58"/>
        <v>#N/A</v>
      </c>
      <c r="M103" s="698" t="e">
        <f>L103&amp;IF(L103="Volumoso",COUNTIF(L$86:L103,"Volumoso"),"")</f>
        <v>#N/A</v>
      </c>
    </row>
    <row r="104" spans="2:13">
      <c r="B104" s="73">
        <f>Exigência!B48</f>
        <v>0</v>
      </c>
      <c r="C104" s="64" t="str">
        <f t="shared" si="56"/>
        <v/>
      </c>
      <c r="D104" s="64" t="e">
        <f t="shared" si="59"/>
        <v>#NUM!</v>
      </c>
      <c r="E104" s="64">
        <v>44</v>
      </c>
      <c r="F104" s="61" t="str">
        <f t="shared" si="60"/>
        <v>-</v>
      </c>
      <c r="G104" s="74" t="e">
        <f>INDEX(Exigência!$E$5:$E$54,MATCH(F104,Exigência!$B$5:$B$54,0))</f>
        <v>#N/A</v>
      </c>
      <c r="H104" s="63"/>
      <c r="J104" s="697"/>
      <c r="L104" s="63" t="e">
        <f t="shared" si="58"/>
        <v>#N/A</v>
      </c>
      <c r="M104" s="698" t="e">
        <f>L104&amp;IF(L104="Volumoso",COUNTIF(L$86:L104,"Volumoso"),"")</f>
        <v>#N/A</v>
      </c>
    </row>
    <row r="105" spans="2:13">
      <c r="B105" s="73">
        <f>Exigência!B49</f>
        <v>0</v>
      </c>
      <c r="C105" s="64" t="str">
        <f t="shared" si="56"/>
        <v/>
      </c>
      <c r="D105" s="64" t="e">
        <f t="shared" si="59"/>
        <v>#NUM!</v>
      </c>
      <c r="E105" s="64">
        <v>45</v>
      </c>
      <c r="F105" s="61" t="str">
        <f t="shared" si="60"/>
        <v>-</v>
      </c>
      <c r="G105" s="74" t="e">
        <f>INDEX(Exigência!$E$5:$E$54,MATCH(F105,Exigência!$B$5:$B$54,0))</f>
        <v>#N/A</v>
      </c>
      <c r="H105" s="63"/>
      <c r="J105" s="697"/>
      <c r="L105" s="63" t="e">
        <f t="shared" si="58"/>
        <v>#N/A</v>
      </c>
      <c r="M105" s="698" t="e">
        <f>L105&amp;IF(L105="Volumoso",COUNTIF(L$86:L105,"Volumoso"),"")</f>
        <v>#N/A</v>
      </c>
    </row>
    <row r="106" spans="2:13">
      <c r="B106" s="73">
        <f>Exigência!B50</f>
        <v>0</v>
      </c>
      <c r="C106" s="64" t="str">
        <f t="shared" si="56"/>
        <v/>
      </c>
      <c r="D106" s="64" t="e">
        <f t="shared" si="59"/>
        <v>#NUM!</v>
      </c>
      <c r="E106" s="64">
        <v>46</v>
      </c>
      <c r="F106" s="61" t="str">
        <f t="shared" si="60"/>
        <v>-</v>
      </c>
      <c r="G106" s="74" t="e">
        <f>INDEX(Exigência!$E$5:$E$54,MATCH(F106,Exigência!$B$5:$B$54,0))</f>
        <v>#N/A</v>
      </c>
      <c r="H106" s="63"/>
      <c r="J106" s="697"/>
      <c r="L106" s="63" t="e">
        <f t="shared" si="58"/>
        <v>#N/A</v>
      </c>
      <c r="M106" s="698" t="e">
        <f>L106&amp;IF(L106="Volumoso",COUNTIF(L$86:L106,"Volumoso"),"")</f>
        <v>#N/A</v>
      </c>
    </row>
    <row r="107" spans="2:13">
      <c r="B107" s="73">
        <f>Exigência!B51</f>
        <v>0</v>
      </c>
      <c r="C107" s="64" t="str">
        <f t="shared" si="56"/>
        <v/>
      </c>
      <c r="D107" s="64" t="e">
        <f t="shared" si="59"/>
        <v>#NUM!</v>
      </c>
      <c r="E107" s="64">
        <v>47</v>
      </c>
      <c r="F107" s="61" t="str">
        <f t="shared" si="60"/>
        <v>-</v>
      </c>
      <c r="G107" s="74" t="e">
        <f>INDEX(Exigência!$E$5:$E$54,MATCH(F107,Exigência!$B$5:$B$54,0))</f>
        <v>#N/A</v>
      </c>
      <c r="H107" s="63"/>
      <c r="J107" s="697"/>
      <c r="L107" s="63" t="e">
        <f t="shared" si="58"/>
        <v>#N/A</v>
      </c>
      <c r="M107" s="698" t="e">
        <f>L107&amp;IF(L107="Volumoso",COUNTIF(L$86:L107,"Volumoso"),"")</f>
        <v>#N/A</v>
      </c>
    </row>
    <row r="108" spans="2:13">
      <c r="B108" s="73">
        <f>Exigência!B52</f>
        <v>0</v>
      </c>
      <c r="C108" s="64" t="str">
        <f t="shared" si="56"/>
        <v/>
      </c>
      <c r="D108" s="64" t="e">
        <f t="shared" si="59"/>
        <v>#NUM!</v>
      </c>
      <c r="E108" s="64">
        <v>48</v>
      </c>
      <c r="F108" s="61" t="str">
        <f t="shared" si="60"/>
        <v>-</v>
      </c>
      <c r="G108" s="74" t="e">
        <f>INDEX(Exigência!$E$5:$E$54,MATCH(F108,Exigência!$B$5:$B$54,0))</f>
        <v>#N/A</v>
      </c>
      <c r="H108" s="63"/>
      <c r="J108" s="697"/>
      <c r="L108" s="63" t="e">
        <f t="shared" si="58"/>
        <v>#N/A</v>
      </c>
      <c r="M108" s="698" t="e">
        <f>L108&amp;IF(L108="Volumoso",COUNTIF(L$86:L108,"Volumoso"),"")</f>
        <v>#N/A</v>
      </c>
    </row>
    <row r="109" spans="2:13">
      <c r="B109" s="73">
        <f>Exigência!B53</f>
        <v>0</v>
      </c>
      <c r="C109" s="64" t="str">
        <f t="shared" si="56"/>
        <v/>
      </c>
      <c r="D109" s="64" t="e">
        <f t="shared" si="59"/>
        <v>#NUM!</v>
      </c>
      <c r="E109" s="64">
        <v>49</v>
      </c>
      <c r="F109" s="61" t="str">
        <f t="shared" si="60"/>
        <v>-</v>
      </c>
      <c r="G109" s="74" t="e">
        <f>INDEX(Exigência!$E$5:$E$54,MATCH(F109,Exigência!$B$5:$B$54,0))</f>
        <v>#N/A</v>
      </c>
      <c r="H109" s="63"/>
      <c r="J109" s="697"/>
      <c r="L109" s="63" t="e">
        <f t="shared" si="58"/>
        <v>#N/A</v>
      </c>
      <c r="M109" s="698" t="e">
        <f>L109&amp;IF(L109="Volumoso",COUNTIF(L$86:L109,"Volumoso"),"")</f>
        <v>#N/A</v>
      </c>
    </row>
    <row r="110" spans="2:13" ht="15" thickBot="1">
      <c r="B110" s="75">
        <f>Exigência!B54</f>
        <v>0</v>
      </c>
      <c r="C110" s="76" t="str">
        <f t="shared" si="56"/>
        <v/>
      </c>
      <c r="D110" s="76" t="e">
        <f t="shared" si="59"/>
        <v>#NUM!</v>
      </c>
      <c r="E110" s="76">
        <v>50</v>
      </c>
      <c r="F110" s="77" t="str">
        <f t="shared" si="60"/>
        <v>-</v>
      </c>
      <c r="G110" s="78" t="e">
        <f>INDEX(Exigência!$E$5:$E$54,MATCH(F110,Exigência!$B$5:$B$54,0))</f>
        <v>#N/A</v>
      </c>
      <c r="H110" s="63"/>
      <c r="J110" s="699"/>
      <c r="K110" s="372"/>
      <c r="L110" s="700" t="e">
        <f t="shared" si="58"/>
        <v>#N/A</v>
      </c>
      <c r="M110" s="701" t="e">
        <f>L110&amp;IF(L110="Volumoso",COUNTIF(L$86:L110,"Volumoso"),"")</f>
        <v>#N/A</v>
      </c>
    </row>
    <row r="113" spans="1:10">
      <c r="A113" s="1452">
        <f>IF(OR(A114=1,A114=3),1,0)</f>
        <v>1</v>
      </c>
      <c r="B113" s="1453">
        <f>IF(A114&gt;2,100,0)</f>
        <v>0</v>
      </c>
      <c r="C113" s="1454"/>
      <c r="D113" s="514" t="s">
        <v>1347</v>
      </c>
      <c r="E113" s="514" t="s">
        <v>1349</v>
      </c>
      <c r="F113" s="514" t="s">
        <v>1346</v>
      </c>
    </row>
    <row r="114" spans="1:10">
      <c r="A114" s="1455">
        <f>IFERROR(INDEX(A115:A118,MATCH(B114,B115:B118,0)),1)</f>
        <v>1</v>
      </c>
      <c r="B114" s="107"/>
      <c r="C114" s="1456" t="str">
        <f>LOOKUP(A114,A115:A118,B115:B118)</f>
        <v>Proteinado (Seca)</v>
      </c>
      <c r="J114" s="513" t="s">
        <v>877</v>
      </c>
    </row>
    <row r="115" spans="1:10">
      <c r="A115" s="1457">
        <v>1</v>
      </c>
      <c r="B115" s="1451" t="s">
        <v>1302</v>
      </c>
      <c r="C115" s="1458"/>
      <c r="D115" s="513" t="s">
        <v>270</v>
      </c>
      <c r="E115" s="1030">
        <f>Proteinado!C3</f>
        <v>0</v>
      </c>
      <c r="F115" s="1030">
        <f>Proteinado!BC32</f>
        <v>0.94385704252605263</v>
      </c>
      <c r="G115" s="1030">
        <f>ROUND(F115-E115,1)</f>
        <v>0.9</v>
      </c>
    </row>
    <row r="116" spans="1:10">
      <c r="A116" s="1457">
        <v>2</v>
      </c>
      <c r="B116" s="81" t="s">
        <v>1303</v>
      </c>
      <c r="C116" s="1458"/>
      <c r="D116" s="1031" t="s">
        <v>1348</v>
      </c>
      <c r="E116" s="1032">
        <f>B113</f>
        <v>0</v>
      </c>
      <c r="F116" s="1033">
        <f>Proteinado!C81</f>
        <v>0</v>
      </c>
      <c r="G116" s="1033">
        <f>ROUND(F116-E116,1)</f>
        <v>0</v>
      </c>
    </row>
    <row r="117" spans="1:10">
      <c r="A117" s="1457">
        <v>3</v>
      </c>
      <c r="B117" s="81" t="s">
        <v>1304</v>
      </c>
      <c r="C117" s="1458"/>
    </row>
    <row r="118" spans="1:10">
      <c r="A118" s="1459">
        <v>4</v>
      </c>
      <c r="B118" s="1460" t="s">
        <v>1305</v>
      </c>
      <c r="C118" s="1461"/>
      <c r="D118" s="1034" t="str">
        <f>IF(G115&lt;0,"PB abaixo da Meta",IF(G115&gt;0,"PB Acima da Meta","-"))</f>
        <v>PB Acima da Meta</v>
      </c>
    </row>
    <row r="119" spans="1:10">
      <c r="A119" s="98"/>
      <c r="B119"/>
      <c r="D119" s="1034" t="str">
        <f>IF(G116&lt;0,"NDT abaixo da Meta","-")</f>
        <v>-</v>
      </c>
    </row>
    <row r="120" spans="1:10">
      <c r="A120" s="1452">
        <f>A121</f>
        <v>1</v>
      </c>
      <c r="B120" s="1463">
        <f>IF(OR(C120="",C120="-"),B122,C120)</f>
        <v>5.0000000000000001E-3</v>
      </c>
      <c r="C120" s="1468">
        <v>5.0000000000000001E-3</v>
      </c>
      <c r="D120" s="62" t="str">
        <f>B120*100&amp;"%"</f>
        <v>0,5%</v>
      </c>
    </row>
    <row r="121" spans="1:10">
      <c r="A121" s="1455">
        <f>A114</f>
        <v>1</v>
      </c>
      <c r="B121" s="107">
        <f>B114</f>
        <v>0</v>
      </c>
      <c r="C121" s="1466"/>
    </row>
    <row r="122" spans="1:10">
      <c r="A122" s="1457">
        <v>1</v>
      </c>
      <c r="B122" s="1462">
        <f>IF(A114&lt;3,0.1%,0.3%)</f>
        <v>1E-3</v>
      </c>
      <c r="C122" s="1467"/>
      <c r="E122" s="1465">
        <f>B122*100</f>
        <v>0.1</v>
      </c>
    </row>
    <row r="123" spans="1:10">
      <c r="A123" s="1457">
        <v>2</v>
      </c>
      <c r="B123" s="1462">
        <f>IF(A114&lt;3,0.2%,0.4%)</f>
        <v>2E-3</v>
      </c>
      <c r="C123" s="1467"/>
    </row>
    <row r="124" spans="1:10">
      <c r="A124" s="1457">
        <v>3</v>
      </c>
      <c r="B124" s="1462" t="str">
        <f>IF(A114&lt;3,"-",0.5%)</f>
        <v>-</v>
      </c>
      <c r="C124" s="1467"/>
    </row>
    <row r="125" spans="1:10">
      <c r="A125" s="1457"/>
      <c r="B125" s="1462"/>
      <c r="C125" s="1458"/>
    </row>
    <row r="126" spans="1:10">
      <c r="A126" s="1459" t="str">
        <f>B114&amp;" "&amp;D120</f>
        <v xml:space="preserve"> 0,5%</v>
      </c>
      <c r="B126" s="1464"/>
      <c r="C126" s="1461"/>
      <c r="D126" s="513"/>
    </row>
    <row r="128" spans="1:10">
      <c r="D128" s="513" t="s">
        <v>661</v>
      </c>
    </row>
    <row r="129" spans="1:8">
      <c r="G129" s="63" t="s">
        <v>772</v>
      </c>
      <c r="H129" s="63">
        <v>22.861478063033196</v>
      </c>
    </row>
    <row r="130" spans="1:8">
      <c r="G130" s="63" t="s">
        <v>849</v>
      </c>
      <c r="H130" s="63">
        <v>1</v>
      </c>
    </row>
    <row r="131" spans="1:8">
      <c r="G131" s="63" t="s">
        <v>773</v>
      </c>
      <c r="H131" s="63">
        <v>0.4</v>
      </c>
    </row>
    <row r="132" spans="1:8">
      <c r="G132" s="63" t="s">
        <v>774</v>
      </c>
      <c r="H132" s="63">
        <v>3.9965018977245474</v>
      </c>
    </row>
    <row r="133" spans="1:8">
      <c r="G133" s="63" t="s">
        <v>764</v>
      </c>
      <c r="H133" s="63">
        <v>2.9728666049646328</v>
      </c>
    </row>
    <row r="134" spans="1:8">
      <c r="G134" s="63" t="s">
        <v>775</v>
      </c>
      <c r="H134" s="63">
        <v>0.61030760843970411</v>
      </c>
    </row>
    <row r="135" spans="1:8">
      <c r="G135" s="63" t="s">
        <v>777</v>
      </c>
      <c r="H135" s="63">
        <v>0</v>
      </c>
    </row>
    <row r="141" spans="1:8">
      <c r="A141" s="731" t="s">
        <v>875</v>
      </c>
    </row>
  </sheetData>
  <sheetProtection selectLockedCells="1" selectUnlockedCells="1"/>
  <phoneticPr fontId="14" type="noConversion"/>
  <hyperlinks>
    <hyperlink ref="A141" r:id="rId1" xr:uid="{76C6F197-522D-4E88-98D9-79AC0542BEE3}"/>
  </hyperlinks>
  <pageMargins left="0.511811024" right="0.511811024" top="0.78740157499999996" bottom="0.78740157499999996" header="0.31496062000000002" footer="0.3149606200000000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Menu_Aparecer">
                <anchor moveWithCells="1" sizeWithCells="1">
                  <from>
                    <xdr:col>10</xdr:col>
                    <xdr:colOff>314325</xdr:colOff>
                    <xdr:row>1</xdr:row>
                    <xdr:rowOff>19050</xdr:rowOff>
                  </from>
                  <to>
                    <xdr:col>10</xdr:col>
                    <xdr:colOff>981075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defaultSize="0" print="0" autoFill="0" autoPict="0" macro="[0]!Salvar">
                <anchor moveWithCells="1" sizeWithCells="1">
                  <from>
                    <xdr:col>11</xdr:col>
                    <xdr:colOff>9525</xdr:colOff>
                    <xdr:row>1</xdr:row>
                    <xdr:rowOff>19050</xdr:rowOff>
                  </from>
                  <to>
                    <xdr:col>11</xdr:col>
                    <xdr:colOff>552450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6" name="Button 4">
              <controlPr defaultSize="0" print="0" autoFill="0" autoPict="0" macro="[0]!Fechar">
                <anchor moveWithCells="1" sizeWithCells="1">
                  <from>
                    <xdr:col>11</xdr:col>
                    <xdr:colOff>600075</xdr:colOff>
                    <xdr:row>1</xdr:row>
                    <xdr:rowOff>19050</xdr:rowOff>
                  </from>
                  <to>
                    <xdr:col>12</xdr:col>
                    <xdr:colOff>457200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7" name="Button 5">
              <controlPr defaultSize="0" print="0" autoFill="0" autoPict="0" macro="[0]!Menu_Aparecer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9</xdr:col>
                    <xdr:colOff>666750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8" name="Button 6">
              <controlPr defaultSize="0" print="0" autoFill="0" autoPict="0" macro="[0]!Salvar">
                <anchor moveWithCells="1" sizeWithCells="1">
                  <from>
                    <xdr:col>9</xdr:col>
                    <xdr:colOff>714375</xdr:colOff>
                    <xdr:row>1</xdr:row>
                    <xdr:rowOff>0</xdr:rowOff>
                  </from>
                  <to>
                    <xdr:col>9</xdr:col>
                    <xdr:colOff>1257300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9" name="Button 7">
              <controlPr defaultSize="0" print="0" autoFill="0" autoPict="0" macro="[0]!Fechar">
                <anchor moveWithCells="1" sizeWithCells="1">
                  <from>
                    <xdr:col>9</xdr:col>
                    <xdr:colOff>1304925</xdr:colOff>
                    <xdr:row>1</xdr:row>
                    <xdr:rowOff>0</xdr:rowOff>
                  </from>
                  <to>
                    <xdr:col>9</xdr:col>
                    <xdr:colOff>1847850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0" name="Button 8">
              <controlPr defaultSize="0" print="0" autoFill="0" autoPict="0" macro="[0]!Menu_Aparecer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14</xdr:col>
                    <xdr:colOff>666750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1" name="Button 9">
              <controlPr defaultSize="0" print="0" autoFill="0" autoPict="0" macro="[0]!Salvar">
                <anchor moveWithCells="1" sizeWithCells="1">
                  <from>
                    <xdr:col>14</xdr:col>
                    <xdr:colOff>714375</xdr:colOff>
                    <xdr:row>1</xdr:row>
                    <xdr:rowOff>0</xdr:rowOff>
                  </from>
                  <to>
                    <xdr:col>14</xdr:col>
                    <xdr:colOff>1257300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2" name="Button 10">
              <controlPr defaultSize="0" print="0" autoFill="0" autoPict="0" macro="[0]!Fechar">
                <anchor moveWithCells="1" sizeWithCells="1">
                  <from>
                    <xdr:col>14</xdr:col>
                    <xdr:colOff>1304925</xdr:colOff>
                    <xdr:row>1</xdr:row>
                    <xdr:rowOff>0</xdr:rowOff>
                  </from>
                  <to>
                    <xdr:col>15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3" name="Button 11">
              <controlPr defaultSize="0" print="0" autoFill="0" autoPict="0" macro="[0]!Menu_Aparecer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24</xdr:col>
                    <xdr:colOff>666750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4" name="Button 12">
              <controlPr defaultSize="0" print="0" autoFill="0" autoPict="0" macro="[0]!Salvar">
                <anchor moveWithCells="1" sizeWithCells="1">
                  <from>
                    <xdr:col>24</xdr:col>
                    <xdr:colOff>714375</xdr:colOff>
                    <xdr:row>1</xdr:row>
                    <xdr:rowOff>0</xdr:rowOff>
                  </from>
                  <to>
                    <xdr:col>24</xdr:col>
                    <xdr:colOff>1257300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5" name="Button 13">
              <controlPr defaultSize="0" print="0" autoFill="0" autoPict="0" macro="[0]!Fechar">
                <anchor moveWithCells="1" sizeWithCells="1">
                  <from>
                    <xdr:col>24</xdr:col>
                    <xdr:colOff>1304925</xdr:colOff>
                    <xdr:row>1</xdr:row>
                    <xdr:rowOff>0</xdr:rowOff>
                  </from>
                  <to>
                    <xdr:col>24</xdr:col>
                    <xdr:colOff>1847850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6" name="Button 14">
              <controlPr defaultSize="0" print="0" autoFill="0" autoPict="0" macro="[0]!Menu_Aparecer">
                <anchor moveWithCells="1" sizeWithCells="1">
                  <from>
                    <xdr:col>26</xdr:col>
                    <xdr:colOff>114300</xdr:colOff>
                    <xdr:row>1</xdr:row>
                    <xdr:rowOff>19050</xdr:rowOff>
                  </from>
                  <to>
                    <xdr:col>27</xdr:col>
                    <xdr:colOff>333375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7" name="Button 15">
              <controlPr defaultSize="0" print="0" autoFill="0" autoPict="0" macro="[0]!Salvar">
                <anchor moveWithCells="1" sizeWithCells="1">
                  <from>
                    <xdr:col>27</xdr:col>
                    <xdr:colOff>371475</xdr:colOff>
                    <xdr:row>1</xdr:row>
                    <xdr:rowOff>19050</xdr:rowOff>
                  </from>
                  <to>
                    <xdr:col>28</xdr:col>
                    <xdr:colOff>342900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8" name="Button 16">
              <controlPr defaultSize="0" print="0" autoFill="0" autoPict="0" macro="[0]!Fechar">
                <anchor moveWithCells="1" sizeWithCells="1">
                  <from>
                    <xdr:col>28</xdr:col>
                    <xdr:colOff>381000</xdr:colOff>
                    <xdr:row>1</xdr:row>
                    <xdr:rowOff>19050</xdr:rowOff>
                  </from>
                  <to>
                    <xdr:col>29</xdr:col>
                    <xdr:colOff>371475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19" name="Button 17">
              <controlPr defaultSize="0" print="0" autoFill="0" autoPict="0" macro="[0]!Menu_Aparecer">
                <anchor moveWithCells="1" sizeWithCells="1">
                  <from>
                    <xdr:col>9</xdr:col>
                    <xdr:colOff>1647825</xdr:colOff>
                    <xdr:row>110</xdr:row>
                    <xdr:rowOff>104775</xdr:rowOff>
                  </from>
                  <to>
                    <xdr:col>9</xdr:col>
                    <xdr:colOff>2314575</xdr:colOff>
                    <xdr:row>111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0" name="Button 18">
              <controlPr defaultSize="0" print="0" autoFill="0" autoPict="0" macro="[0]!MenuSalvarPDF">
                <anchor moveWithCells="1" sizeWithCells="1">
                  <from>
                    <xdr:col>11</xdr:col>
                    <xdr:colOff>161925</xdr:colOff>
                    <xdr:row>110</xdr:row>
                    <xdr:rowOff>104775</xdr:rowOff>
                  </from>
                  <to>
                    <xdr:col>13</xdr:col>
                    <xdr:colOff>28575</xdr:colOff>
                    <xdr:row>111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1" name="Button 19">
              <controlPr defaultSize="0" print="0" autoFill="0" autoPict="0" macro="[0]!Salvar">
                <anchor moveWithCells="1" sizeWithCells="1">
                  <from>
                    <xdr:col>10</xdr:col>
                    <xdr:colOff>0</xdr:colOff>
                    <xdr:row>110</xdr:row>
                    <xdr:rowOff>104775</xdr:rowOff>
                  </from>
                  <to>
                    <xdr:col>10</xdr:col>
                    <xdr:colOff>542925</xdr:colOff>
                    <xdr:row>111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2" name="Button 20">
              <controlPr defaultSize="0" print="0" autoFill="0" autoPict="0" macro="[0]!Fechar">
                <anchor moveWithCells="1" sizeWithCells="1">
                  <from>
                    <xdr:col>10</xdr:col>
                    <xdr:colOff>590550</xdr:colOff>
                    <xdr:row>110</xdr:row>
                    <xdr:rowOff>104775</xdr:rowOff>
                  </from>
                  <to>
                    <xdr:col>11</xdr:col>
                    <xdr:colOff>114300</xdr:colOff>
                    <xdr:row>111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23" name="Drop Down 28">
              <controlPr defaultSize="0" autoLine="0" autoPict="0">
                <anchor moveWithCells="1">
                  <from>
                    <xdr:col>9</xdr:col>
                    <xdr:colOff>1000125</xdr:colOff>
                    <xdr:row>133</xdr:row>
                    <xdr:rowOff>57150</xdr:rowOff>
                  </from>
                  <to>
                    <xdr:col>9</xdr:col>
                    <xdr:colOff>2105025</xdr:colOff>
                    <xdr:row>134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24" name="Drop Down 29">
              <controlPr defaultSize="0" autoLine="0" autoPict="0">
                <anchor moveWithCells="1">
                  <from>
                    <xdr:col>9</xdr:col>
                    <xdr:colOff>2200275</xdr:colOff>
                    <xdr:row>133</xdr:row>
                    <xdr:rowOff>66675</xdr:rowOff>
                  </from>
                  <to>
                    <xdr:col>10</xdr:col>
                    <xdr:colOff>209550</xdr:colOff>
                    <xdr:row>134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65</vt:i4>
      </vt:variant>
    </vt:vector>
  </HeadingPairs>
  <TitlesOfParts>
    <vt:vector size="85" baseType="lpstr">
      <vt:lpstr>Capa</vt:lpstr>
      <vt:lpstr>Home</vt:lpstr>
      <vt:lpstr>Minerais</vt:lpstr>
      <vt:lpstr>BC</vt:lpstr>
      <vt:lpstr>BL</vt:lpstr>
      <vt:lpstr>OC</vt:lpstr>
      <vt:lpstr>Alimentos</vt:lpstr>
      <vt:lpstr>Exigência</vt:lpstr>
      <vt:lpstr>Clientes</vt:lpstr>
      <vt:lpstr>Controle Serviço</vt:lpstr>
      <vt:lpstr>Apoio Mineral</vt:lpstr>
      <vt:lpstr>Proteinado</vt:lpstr>
      <vt:lpstr>Calcular Dieta</vt:lpstr>
      <vt:lpstr>Atendimento</vt:lpstr>
      <vt:lpstr>Ficha Mistura</vt:lpstr>
      <vt:lpstr>Batida</vt:lpstr>
      <vt:lpstr>Relatório Financeiro</vt:lpstr>
      <vt:lpstr>Config2</vt:lpstr>
      <vt:lpstr>Config</vt:lpstr>
      <vt:lpstr>MPR</vt:lpstr>
      <vt:lpstr>Atendimento!Area_de_impressao</vt:lpstr>
      <vt:lpstr>Batida!Area_de_impressao</vt:lpstr>
      <vt:lpstr>BC!Area_de_impressao</vt:lpstr>
      <vt:lpstr>BL!Area_de_impressao</vt:lpstr>
      <vt:lpstr>OC!Area_de_impressao</vt:lpstr>
      <vt:lpstr>Proteinado!Area_de_impressao</vt:lpstr>
      <vt:lpstr>'Relatório Financeiro'!Area_de_impressao</vt:lpstr>
      <vt:lpstr>Atendimento</vt:lpstr>
      <vt:lpstr>Cálcio</vt:lpstr>
      <vt:lpstr>CaPMax</vt:lpstr>
      <vt:lpstr>CaPMin</vt:lpstr>
      <vt:lpstr>Co</vt:lpstr>
      <vt:lpstr>Cobre</vt:lpstr>
      <vt:lpstr>CONCENTRADO.DIETA</vt:lpstr>
      <vt:lpstr>Custo_Ração</vt:lpstr>
      <vt:lpstr>Exigência_Máx</vt:lpstr>
      <vt:lpstr>Exigência_Mín</vt:lpstr>
      <vt:lpstr>Ferro</vt:lpstr>
      <vt:lpstr>Fósforo</vt:lpstr>
      <vt:lpstr>GMD</vt:lpstr>
      <vt:lpstr>GMD.2</vt:lpstr>
      <vt:lpstr>GPCVZ</vt:lpstr>
      <vt:lpstr>GrupoAlimentos</vt:lpstr>
      <vt:lpstr>BL!Impressao.BRC</vt:lpstr>
      <vt:lpstr>OC!Impressao.BRC</vt:lpstr>
      <vt:lpstr>Impressao.BRC</vt:lpstr>
      <vt:lpstr>Inclusão_Máx_Ingrediente</vt:lpstr>
      <vt:lpstr>Inclusão_Mín_Ingrediente.</vt:lpstr>
      <vt:lpstr>Iodo</vt:lpstr>
      <vt:lpstr>Mang</vt:lpstr>
      <vt:lpstr>Máx.Relação.Volumoso_Concentrado</vt:lpstr>
      <vt:lpstr>Mín.Relação.Volumoso_Concentrado</vt:lpstr>
      <vt:lpstr>Mistura_dos_Ingredientes</vt:lpstr>
      <vt:lpstr>NC</vt:lpstr>
      <vt:lpstr>NDT</vt:lpstr>
      <vt:lpstr>NDT.DIETA</vt:lpstr>
      <vt:lpstr>PB.DIETA</vt:lpstr>
      <vt:lpstr>BC!PC</vt:lpstr>
      <vt:lpstr>BL!PC</vt:lpstr>
      <vt:lpstr>Calc.Exg!PC</vt:lpstr>
      <vt:lpstr>OC!PC</vt:lpstr>
      <vt:lpstr>PC.2</vt:lpstr>
      <vt:lpstr>BC!PCVZ</vt:lpstr>
      <vt:lpstr>BL!PCVZ</vt:lpstr>
      <vt:lpstr>Calc.Exg!PCVZ</vt:lpstr>
      <vt:lpstr>OC!PCVZ</vt:lpstr>
      <vt:lpstr>Calc.Exg!PCVZeq</vt:lpstr>
      <vt:lpstr>Preço_Cadastrado</vt:lpstr>
      <vt:lpstr>PrLeite</vt:lpstr>
      <vt:lpstr>Profissão</vt:lpstr>
      <vt:lpstr>Relação.Volumoso.Concentrado</vt:lpstr>
      <vt:lpstr>RGProfissional</vt:lpstr>
      <vt:lpstr>Selen</vt:lpstr>
      <vt:lpstr>SL</vt:lpstr>
      <vt:lpstr>Atendimento!Titulos_de_impressao</vt:lpstr>
      <vt:lpstr>BC!Titulos_de_impressao</vt:lpstr>
      <vt:lpstr>BL!Titulos_de_impressao</vt:lpstr>
      <vt:lpstr>'Ficha Mistura'!Titulos_de_impressao</vt:lpstr>
      <vt:lpstr>OC!Titulos_de_impressao</vt:lpstr>
      <vt:lpstr>Total.MN</vt:lpstr>
      <vt:lpstr>Total.MS</vt:lpstr>
      <vt:lpstr>Usuário</vt:lpstr>
      <vt:lpstr>Valor.KG.Proteinado</vt:lpstr>
      <vt:lpstr>Zinco</vt:lpstr>
      <vt:lpstr>Zoom.Tela.Inicial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Iomar Bezerra</dc:creator>
  <cp:lastModifiedBy>Flávio E Pimentel</cp:lastModifiedBy>
  <cp:lastPrinted>2023-12-30T16:52:20Z</cp:lastPrinted>
  <dcterms:created xsi:type="dcterms:W3CDTF">2021-04-07T18:16:41Z</dcterms:created>
  <dcterms:modified xsi:type="dcterms:W3CDTF">2024-01-07T15:04:23Z</dcterms:modified>
</cp:coreProperties>
</file>